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omments385.xml" ContentType="application/vnd.openxmlformats-officedocument.spreadsheetml.comments+xml"/>
  <Override PartName="/xl/comments386.xml" ContentType="application/vnd.openxmlformats-officedocument.spreadsheetml.comments+xml"/>
  <Override PartName="/xl/comments387.xml" ContentType="application/vnd.openxmlformats-officedocument.spreadsheetml.comments+xml"/>
  <Override PartName="/xl/comments388.xml" ContentType="application/vnd.openxmlformats-officedocument.spreadsheetml.comments+xml"/>
  <Override PartName="/xl/comments389.xml" ContentType="application/vnd.openxmlformats-officedocument.spreadsheetml.comments+xml"/>
  <Override PartName="/xl/comments390.xml" ContentType="application/vnd.openxmlformats-officedocument.spreadsheetml.comments+xml"/>
  <Override PartName="/xl/comments391.xml" ContentType="application/vnd.openxmlformats-officedocument.spreadsheetml.comments+xml"/>
  <Override PartName="/xl/comments392.xml" ContentType="application/vnd.openxmlformats-officedocument.spreadsheetml.comments+xml"/>
  <Override PartName="/xl/comments393.xml" ContentType="application/vnd.openxmlformats-officedocument.spreadsheetml.comments+xml"/>
  <Override PartName="/xl/comments394.xml" ContentType="application/vnd.openxmlformats-officedocument.spreadsheetml.comments+xml"/>
  <Override PartName="/xl/comments395.xml" ContentType="application/vnd.openxmlformats-officedocument.spreadsheetml.comments+xml"/>
  <Override PartName="/xl/comments396.xml" ContentType="application/vnd.openxmlformats-officedocument.spreadsheetml.comments+xml"/>
  <Override PartName="/xl/comments397.xml" ContentType="application/vnd.openxmlformats-officedocument.spreadsheetml.comments+xml"/>
  <Override PartName="/xl/comments398.xml" ContentType="application/vnd.openxmlformats-officedocument.spreadsheetml.comments+xml"/>
  <Override PartName="/xl/comments399.xml" ContentType="application/vnd.openxmlformats-officedocument.spreadsheetml.comments+xml"/>
  <Override PartName="/xl/comments400.xml" ContentType="application/vnd.openxmlformats-officedocument.spreadsheetml.comments+xml"/>
  <Override PartName="/xl/comments401.xml" ContentType="application/vnd.openxmlformats-officedocument.spreadsheetml.comments+xml"/>
  <Override PartName="/xl/comments402.xml" ContentType="application/vnd.openxmlformats-officedocument.spreadsheetml.comments+xml"/>
  <Override PartName="/xl/comments403.xml" ContentType="application/vnd.openxmlformats-officedocument.spreadsheetml.comments+xml"/>
  <Override PartName="/xl/comments404.xml" ContentType="application/vnd.openxmlformats-officedocument.spreadsheetml.comments+xml"/>
  <Override PartName="/xl/comments405.xml" ContentType="application/vnd.openxmlformats-officedocument.spreadsheetml.comments+xml"/>
  <Override PartName="/xl/comments406.xml" ContentType="application/vnd.openxmlformats-officedocument.spreadsheetml.comments+xml"/>
  <Override PartName="/xl/comments407.xml" ContentType="application/vnd.openxmlformats-officedocument.spreadsheetml.comments+xml"/>
  <Override PartName="/xl/comments408.xml" ContentType="application/vnd.openxmlformats-officedocument.spreadsheetml.comments+xml"/>
  <Override PartName="/xl/comments409.xml" ContentType="application/vnd.openxmlformats-officedocument.spreadsheetml.comments+xml"/>
  <Override PartName="/xl/comments410.xml" ContentType="application/vnd.openxmlformats-officedocument.spreadsheetml.comments+xml"/>
  <Override PartName="/xl/comments411.xml" ContentType="application/vnd.openxmlformats-officedocument.spreadsheetml.comments+xml"/>
  <Override PartName="/xl/comments412.xml" ContentType="application/vnd.openxmlformats-officedocument.spreadsheetml.comments+xml"/>
  <Override PartName="/xl/comments413.xml" ContentType="application/vnd.openxmlformats-officedocument.spreadsheetml.comments+xml"/>
  <Override PartName="/xl/comments414.xml" ContentType="application/vnd.openxmlformats-officedocument.spreadsheetml.comments+xml"/>
  <Override PartName="/xl/comments415.xml" ContentType="application/vnd.openxmlformats-officedocument.spreadsheetml.comments+xml"/>
  <Override PartName="/xl/comments416.xml" ContentType="application/vnd.openxmlformats-officedocument.spreadsheetml.comments+xml"/>
  <Override PartName="/xl/comments417.xml" ContentType="application/vnd.openxmlformats-officedocument.spreadsheetml.comments+xml"/>
  <Override PartName="/xl/comments418.xml" ContentType="application/vnd.openxmlformats-officedocument.spreadsheetml.comments+xml"/>
  <Override PartName="/xl/comments419.xml" ContentType="application/vnd.openxmlformats-officedocument.spreadsheetml.comments+xml"/>
  <Override PartName="/xl/comments420.xml" ContentType="application/vnd.openxmlformats-officedocument.spreadsheetml.comments+xml"/>
  <Override PartName="/xl/comments421.xml" ContentType="application/vnd.openxmlformats-officedocument.spreadsheetml.comments+xml"/>
  <Override PartName="/xl/comments422.xml" ContentType="application/vnd.openxmlformats-officedocument.spreadsheetml.comments+xml"/>
  <Override PartName="/xl/comments423.xml" ContentType="application/vnd.openxmlformats-officedocument.spreadsheetml.comments+xml"/>
  <Override PartName="/xl/comments424.xml" ContentType="application/vnd.openxmlformats-officedocument.spreadsheetml.comments+xml"/>
  <Override PartName="/xl/comments425.xml" ContentType="application/vnd.openxmlformats-officedocument.spreadsheetml.comments+xml"/>
  <Override PartName="/xl/comments426.xml" ContentType="application/vnd.openxmlformats-officedocument.spreadsheetml.comments+xml"/>
  <Override PartName="/xl/comments427.xml" ContentType="application/vnd.openxmlformats-officedocument.spreadsheetml.comments+xml"/>
  <Override PartName="/xl/comments428.xml" ContentType="application/vnd.openxmlformats-officedocument.spreadsheetml.comments+xml"/>
  <Override PartName="/xl/comments429.xml" ContentType="application/vnd.openxmlformats-officedocument.spreadsheetml.comments+xml"/>
  <Override PartName="/xl/comments430.xml" ContentType="application/vnd.openxmlformats-officedocument.spreadsheetml.comments+xml"/>
  <Override PartName="/xl/comments431.xml" ContentType="application/vnd.openxmlformats-officedocument.spreadsheetml.comments+xml"/>
  <Override PartName="/xl/comments432.xml" ContentType="application/vnd.openxmlformats-officedocument.spreadsheetml.comments+xml"/>
  <Override PartName="/xl/comments433.xml" ContentType="application/vnd.openxmlformats-officedocument.spreadsheetml.comments+xml"/>
  <Override PartName="/xl/comments434.xml" ContentType="application/vnd.openxmlformats-officedocument.spreadsheetml.comments+xml"/>
  <Override PartName="/xl/comments435.xml" ContentType="application/vnd.openxmlformats-officedocument.spreadsheetml.comments+xml"/>
  <Override PartName="/xl/comments436.xml" ContentType="application/vnd.openxmlformats-officedocument.spreadsheetml.comments+xml"/>
  <Override PartName="/xl/comments437.xml" ContentType="application/vnd.openxmlformats-officedocument.spreadsheetml.comments+xml"/>
  <Override PartName="/xl/comments438.xml" ContentType="application/vnd.openxmlformats-officedocument.spreadsheetml.comments+xml"/>
  <Override PartName="/xl/comments439.xml" ContentType="application/vnd.openxmlformats-officedocument.spreadsheetml.comments+xml"/>
  <Override PartName="/xl/comments440.xml" ContentType="application/vnd.openxmlformats-officedocument.spreadsheetml.comments+xml"/>
  <Override PartName="/xl/comments441.xml" ContentType="application/vnd.openxmlformats-officedocument.spreadsheetml.comments+xml"/>
  <Override PartName="/xl/comments442.xml" ContentType="application/vnd.openxmlformats-officedocument.spreadsheetml.comments+xml"/>
  <Override PartName="/xl/comments443.xml" ContentType="application/vnd.openxmlformats-officedocument.spreadsheetml.comments+xml"/>
  <Override PartName="/xl/comments444.xml" ContentType="application/vnd.openxmlformats-officedocument.spreadsheetml.comments+xml"/>
  <Override PartName="/xl/comments445.xml" ContentType="application/vnd.openxmlformats-officedocument.spreadsheetml.comments+xml"/>
  <Override PartName="/xl/comments446.xml" ContentType="application/vnd.openxmlformats-officedocument.spreadsheetml.comments+xml"/>
  <Override PartName="/xl/comments447.xml" ContentType="application/vnd.openxmlformats-officedocument.spreadsheetml.comments+xml"/>
  <Override PartName="/xl/comments448.xml" ContentType="application/vnd.openxmlformats-officedocument.spreadsheetml.comments+xml"/>
  <Override PartName="/xl/comments449.xml" ContentType="application/vnd.openxmlformats-officedocument.spreadsheetml.comments+xml"/>
  <Override PartName="/xl/comments450.xml" ContentType="application/vnd.openxmlformats-officedocument.spreadsheetml.comments+xml"/>
  <Override PartName="/xl/comments451.xml" ContentType="application/vnd.openxmlformats-officedocument.spreadsheetml.comments+xml"/>
  <Override PartName="/xl/comments452.xml" ContentType="application/vnd.openxmlformats-officedocument.spreadsheetml.comments+xml"/>
  <Override PartName="/xl/comments453.xml" ContentType="application/vnd.openxmlformats-officedocument.spreadsheetml.comments+xml"/>
  <Override PartName="/xl/comments454.xml" ContentType="application/vnd.openxmlformats-officedocument.spreadsheetml.comments+xml"/>
  <Override PartName="/xl/comments455.xml" ContentType="application/vnd.openxmlformats-officedocument.spreadsheetml.comments+xml"/>
  <Override PartName="/xl/comments456.xml" ContentType="application/vnd.openxmlformats-officedocument.spreadsheetml.comments+xml"/>
  <Override PartName="/xl/comments457.xml" ContentType="application/vnd.openxmlformats-officedocument.spreadsheetml.comments+xml"/>
  <Override PartName="/xl/comments458.xml" ContentType="application/vnd.openxmlformats-officedocument.spreadsheetml.comments+xml"/>
  <Override PartName="/xl/comments459.xml" ContentType="application/vnd.openxmlformats-officedocument.spreadsheetml.comments+xml"/>
  <Override PartName="/xl/comments460.xml" ContentType="application/vnd.openxmlformats-officedocument.spreadsheetml.comments+xml"/>
  <Override PartName="/xl/comments461.xml" ContentType="application/vnd.openxmlformats-officedocument.spreadsheetml.comments+xml"/>
  <Override PartName="/xl/comments462.xml" ContentType="application/vnd.openxmlformats-officedocument.spreadsheetml.comments+xml"/>
  <Override PartName="/xl/comments463.xml" ContentType="application/vnd.openxmlformats-officedocument.spreadsheetml.comments+xml"/>
  <Override PartName="/xl/comments464.xml" ContentType="application/vnd.openxmlformats-officedocument.spreadsheetml.comments+xml"/>
  <Override PartName="/xl/comments465.xml" ContentType="application/vnd.openxmlformats-officedocument.spreadsheetml.comments+xml"/>
  <Override PartName="/xl/comments466.xml" ContentType="application/vnd.openxmlformats-officedocument.spreadsheetml.comments+xml"/>
  <Override PartName="/xl/comments467.xml" ContentType="application/vnd.openxmlformats-officedocument.spreadsheetml.comments+xml"/>
  <Override PartName="/xl/comments468.xml" ContentType="application/vnd.openxmlformats-officedocument.spreadsheetml.comments+xml"/>
  <Override PartName="/xl/comments469.xml" ContentType="application/vnd.openxmlformats-officedocument.spreadsheetml.comments+xml"/>
  <Override PartName="/xl/comments470.xml" ContentType="application/vnd.openxmlformats-officedocument.spreadsheetml.comments+xml"/>
  <Override PartName="/xl/comments471.xml" ContentType="application/vnd.openxmlformats-officedocument.spreadsheetml.comments+xml"/>
  <Override PartName="/xl/comments472.xml" ContentType="application/vnd.openxmlformats-officedocument.spreadsheetml.comments+xml"/>
  <Override PartName="/xl/comments473.xml" ContentType="application/vnd.openxmlformats-officedocument.spreadsheetml.comments+xml"/>
  <Override PartName="/xl/comments474.xml" ContentType="application/vnd.openxmlformats-officedocument.spreadsheetml.comments+xml"/>
  <Override PartName="/xl/comments475.xml" ContentType="application/vnd.openxmlformats-officedocument.spreadsheetml.comments+xml"/>
  <Override PartName="/xl/comments476.xml" ContentType="application/vnd.openxmlformats-officedocument.spreadsheetml.comments+xml"/>
  <Override PartName="/xl/comments477.xml" ContentType="application/vnd.openxmlformats-officedocument.spreadsheetml.comments+xml"/>
  <Override PartName="/xl/comments478.xml" ContentType="application/vnd.openxmlformats-officedocument.spreadsheetml.comments+xml"/>
  <Override PartName="/xl/comments479.xml" ContentType="application/vnd.openxmlformats-officedocument.spreadsheetml.comments+xml"/>
  <Override PartName="/xl/comments480.xml" ContentType="application/vnd.openxmlformats-officedocument.spreadsheetml.comments+xml"/>
  <Override PartName="/xl/comments481.xml" ContentType="application/vnd.openxmlformats-officedocument.spreadsheetml.comments+xml"/>
  <Override PartName="/xl/comments482.xml" ContentType="application/vnd.openxmlformats-officedocument.spreadsheetml.comments+xml"/>
  <Override PartName="/xl/comments483.xml" ContentType="application/vnd.openxmlformats-officedocument.spreadsheetml.comments+xml"/>
  <Override PartName="/xl/comments484.xml" ContentType="application/vnd.openxmlformats-officedocument.spreadsheetml.comments+xml"/>
  <Override PartName="/xl/comments485.xml" ContentType="application/vnd.openxmlformats-officedocument.spreadsheetml.comments+xml"/>
  <Override PartName="/xl/comments486.xml" ContentType="application/vnd.openxmlformats-officedocument.spreadsheetml.comments+xml"/>
  <Override PartName="/xl/comments487.xml" ContentType="application/vnd.openxmlformats-officedocument.spreadsheetml.comments+xml"/>
  <Override PartName="/xl/comments488.xml" ContentType="application/vnd.openxmlformats-officedocument.spreadsheetml.comments+xml"/>
  <Override PartName="/xl/comments489.xml" ContentType="application/vnd.openxmlformats-officedocument.spreadsheetml.comments+xml"/>
  <Override PartName="/xl/comments490.xml" ContentType="application/vnd.openxmlformats-officedocument.spreadsheetml.comments+xml"/>
  <Override PartName="/xl/comments491.xml" ContentType="application/vnd.openxmlformats-officedocument.spreadsheetml.comments+xml"/>
  <Override PartName="/xl/comments492.xml" ContentType="application/vnd.openxmlformats-officedocument.spreadsheetml.comments+xml"/>
  <Override PartName="/xl/comments493.xml" ContentType="application/vnd.openxmlformats-officedocument.spreadsheetml.comments+xml"/>
  <Override PartName="/xl/comments494.xml" ContentType="application/vnd.openxmlformats-officedocument.spreadsheetml.comments+xml"/>
  <Override PartName="/xl/comments495.xml" ContentType="application/vnd.openxmlformats-officedocument.spreadsheetml.comments+xml"/>
  <Override PartName="/xl/comments496.xml" ContentType="application/vnd.openxmlformats-officedocument.spreadsheetml.comments+xml"/>
  <Override PartName="/xl/comments497.xml" ContentType="application/vnd.openxmlformats-officedocument.spreadsheetml.comments+xml"/>
  <Override PartName="/xl/comments498.xml" ContentType="application/vnd.openxmlformats-officedocument.spreadsheetml.comments+xml"/>
  <Override PartName="/xl/comments499.xml" ContentType="application/vnd.openxmlformats-officedocument.spreadsheetml.comments+xml"/>
  <Override PartName="/xl/comments500.xml" ContentType="application/vnd.openxmlformats-officedocument.spreadsheetml.comments+xml"/>
  <Override PartName="/xl/comments501.xml" ContentType="application/vnd.openxmlformats-officedocument.spreadsheetml.comments+xml"/>
  <Override PartName="/xl/comments502.xml" ContentType="application/vnd.openxmlformats-officedocument.spreadsheetml.comments+xml"/>
  <Override PartName="/xl/comments503.xml" ContentType="application/vnd.openxmlformats-officedocument.spreadsheetml.comments+xml"/>
  <Override PartName="/xl/comments50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Bayingana\Desktop\Dev Project\"/>
    </mc:Choice>
  </mc:AlternateContent>
  <xr:revisionPtr revIDLastSave="0" documentId="13_ncr:1_{06F2BB7D-BD2D-4913-826C-39C28768BFE0}" xr6:coauthVersionLast="47" xr6:coauthVersionMax="47" xr10:uidLastSave="{00000000-0000-0000-0000-000000000000}"/>
  <bookViews>
    <workbookView xWindow="-120" yWindow="-16320" windowWidth="29040" windowHeight="15840" tabRatio="744" firstSheet="495" activeTab="503" xr2:uid="{00000000-000D-0000-FFFF-FFFF00000000}"/>
  </bookViews>
  <sheets>
    <sheet name="6.1" sheetId="1" state="hidden" r:id="rId1"/>
    <sheet name="6.2" sheetId="2" state="hidden" r:id="rId2"/>
    <sheet name="6.3" sheetId="3" state="hidden" r:id="rId3"/>
    <sheet name="6.4" sheetId="4" state="hidden" r:id="rId4"/>
    <sheet name="6.5" sheetId="5" state="hidden" r:id="rId5"/>
    <sheet name="6.8" sheetId="6" state="hidden" r:id="rId6"/>
    <sheet name="6.9" sheetId="7" state="hidden" r:id="rId7"/>
    <sheet name="6.11" sheetId="8" state="hidden" r:id="rId8"/>
    <sheet name="6.12" sheetId="9" state="hidden" r:id="rId9"/>
    <sheet name="6.13" sheetId="10" state="hidden" r:id="rId10"/>
    <sheet name="6.14" sheetId="11" state="hidden" r:id="rId11"/>
    <sheet name="6.15" sheetId="12" state="hidden" r:id="rId12"/>
    <sheet name="6.16" sheetId="13" state="hidden" r:id="rId13"/>
    <sheet name="6.17" sheetId="14" state="hidden" r:id="rId14"/>
    <sheet name="6.18" sheetId="15" state="hidden" r:id="rId15"/>
    <sheet name="6.19" sheetId="16" state="hidden" r:id="rId16"/>
    <sheet name="6.20" sheetId="17" state="hidden" r:id="rId17"/>
    <sheet name="6.21" sheetId="18" state="hidden" r:id="rId18"/>
    <sheet name="6.22" sheetId="19" state="hidden" r:id="rId19"/>
    <sheet name="6.23" sheetId="20" state="hidden" r:id="rId20"/>
    <sheet name="6.24" sheetId="21" state="hidden" r:id="rId21"/>
    <sheet name="6.25" sheetId="22" state="hidden" r:id="rId22"/>
    <sheet name="6.26" sheetId="23" state="hidden" r:id="rId23"/>
    <sheet name="6.27" sheetId="24" state="hidden" r:id="rId24"/>
    <sheet name="6.28" sheetId="25" state="hidden" r:id="rId25"/>
    <sheet name="6.29" sheetId="26" state="hidden" r:id="rId26"/>
    <sheet name="6.30" sheetId="27" state="hidden" r:id="rId27"/>
    <sheet name="7.01" sheetId="28" state="hidden" r:id="rId28"/>
    <sheet name="7.02" sheetId="29" state="hidden" r:id="rId29"/>
    <sheet name="7.03" sheetId="30" state="hidden" r:id="rId30"/>
    <sheet name="7.04" sheetId="31" state="hidden" r:id="rId31"/>
    <sheet name="7.05" sheetId="32" state="hidden" r:id="rId32"/>
    <sheet name="7.06" sheetId="33" state="hidden" r:id="rId33"/>
    <sheet name="7.07" sheetId="34" state="hidden" r:id="rId34"/>
    <sheet name="7.08" sheetId="35" state="hidden" r:id="rId35"/>
    <sheet name="7.09" sheetId="36" state="hidden" r:id="rId36"/>
    <sheet name="7.10" sheetId="37" state="hidden" r:id="rId37"/>
    <sheet name="7.11" sheetId="38" state="hidden" r:id="rId38"/>
    <sheet name="7.12" sheetId="39" state="hidden" r:id="rId39"/>
    <sheet name="7.13" sheetId="40" state="hidden" r:id="rId40"/>
    <sheet name="7.14" sheetId="41" state="hidden" r:id="rId41"/>
    <sheet name="7.15" sheetId="42" state="hidden" r:id="rId42"/>
    <sheet name="7.16" sheetId="43" state="hidden" r:id="rId43"/>
    <sheet name="7.17" sheetId="44" state="hidden" r:id="rId44"/>
    <sheet name="7.18" sheetId="45" state="hidden" r:id="rId45"/>
    <sheet name="7.19" sheetId="46" state="hidden" r:id="rId46"/>
    <sheet name="7.20" sheetId="47" state="hidden" r:id="rId47"/>
    <sheet name="7.21" sheetId="48" state="hidden" r:id="rId48"/>
    <sheet name="7.22" sheetId="49" state="hidden" r:id="rId49"/>
    <sheet name="7.23" sheetId="50" state="hidden" r:id="rId50"/>
    <sheet name="7.24" sheetId="51" state="hidden" r:id="rId51"/>
    <sheet name="7.25" sheetId="52" state="hidden" r:id="rId52"/>
    <sheet name="7.26" sheetId="53" state="hidden" r:id="rId53"/>
    <sheet name="7.27" sheetId="54" state="hidden" r:id="rId54"/>
    <sheet name="7.28" sheetId="55" state="hidden" r:id="rId55"/>
    <sheet name="7.29" sheetId="56" state="hidden" r:id="rId56"/>
    <sheet name="7.30" sheetId="57" state="hidden" r:id="rId57"/>
    <sheet name="7.31" sheetId="58" state="hidden" r:id="rId58"/>
    <sheet name="8.1" sheetId="59" state="hidden" r:id="rId59"/>
    <sheet name="8.2" sheetId="60" state="hidden" r:id="rId60"/>
    <sheet name="8.3" sheetId="61" state="hidden" r:id="rId61"/>
    <sheet name="8.4" sheetId="62" state="hidden" r:id="rId62"/>
    <sheet name="8.5" sheetId="63" state="hidden" r:id="rId63"/>
    <sheet name="8.6" sheetId="64" state="hidden" r:id="rId64"/>
    <sheet name="8.7" sheetId="65" state="hidden" r:id="rId65"/>
    <sheet name="8.8" sheetId="66" state="hidden" r:id="rId66"/>
    <sheet name="8.9" sheetId="67" state="hidden" r:id="rId67"/>
    <sheet name="8.10" sheetId="68" state="hidden" r:id="rId68"/>
    <sheet name="8.11" sheetId="69" state="hidden" r:id="rId69"/>
    <sheet name="8.12" sheetId="70" state="hidden" r:id="rId70"/>
    <sheet name="8.13" sheetId="71" state="hidden" r:id="rId71"/>
    <sheet name="8.14" sheetId="72" state="hidden" r:id="rId72"/>
    <sheet name="8.15" sheetId="73" state="hidden" r:id="rId73"/>
    <sheet name="8.16" sheetId="74" state="hidden" r:id="rId74"/>
    <sheet name="8.17" sheetId="75" state="hidden" r:id="rId75"/>
    <sheet name="8.18" sheetId="76" state="hidden" r:id="rId76"/>
    <sheet name="8.19" sheetId="77" state="hidden" r:id="rId77"/>
    <sheet name="8.20" sheetId="78" state="hidden" r:id="rId78"/>
    <sheet name="8.21" sheetId="79" state="hidden" r:id="rId79"/>
    <sheet name="8.22" sheetId="80" state="hidden" r:id="rId80"/>
    <sheet name="8.23" sheetId="81" state="hidden" r:id="rId81"/>
    <sheet name="8.24" sheetId="82" state="hidden" r:id="rId82"/>
    <sheet name="8.25" sheetId="83" state="hidden" r:id="rId83"/>
    <sheet name="8.26" sheetId="84" state="hidden" r:id="rId84"/>
    <sheet name="8.27" sheetId="85" state="hidden" r:id="rId85"/>
    <sheet name="8.28" sheetId="86" state="hidden" r:id="rId86"/>
    <sheet name="8.29" sheetId="87" state="hidden" r:id="rId87"/>
    <sheet name="8.30" sheetId="88" state="hidden" r:id="rId88"/>
    <sheet name="8.31" sheetId="89" state="hidden" r:id="rId89"/>
    <sheet name="9.01" sheetId="90" state="hidden" r:id="rId90"/>
    <sheet name="9.02" sheetId="91" state="hidden" r:id="rId91"/>
    <sheet name="9.03" sheetId="92" state="hidden" r:id="rId92"/>
    <sheet name="9.04" sheetId="93" state="hidden" r:id="rId93"/>
    <sheet name="9.05" sheetId="94" state="hidden" r:id="rId94"/>
    <sheet name="9.06" sheetId="95" state="hidden" r:id="rId95"/>
    <sheet name="9.07" sheetId="96" state="hidden" r:id="rId96"/>
    <sheet name="9.08" sheetId="97" state="hidden" r:id="rId97"/>
    <sheet name="9.09" sheetId="98" state="hidden" r:id="rId98"/>
    <sheet name="9.10" sheetId="99" state="hidden" r:id="rId99"/>
    <sheet name="9.11" sheetId="100" state="hidden" r:id="rId100"/>
    <sheet name="9.12" sheetId="101" state="hidden" r:id="rId101"/>
    <sheet name="9.13" sheetId="102" state="hidden" r:id="rId102"/>
    <sheet name="9.14" sheetId="103" state="hidden" r:id="rId103"/>
    <sheet name="9.15" sheetId="104" state="hidden" r:id="rId104"/>
    <sheet name="9.16" sheetId="105" state="hidden" r:id="rId105"/>
    <sheet name="9.17" sheetId="106" state="hidden" r:id="rId106"/>
    <sheet name="9.18" sheetId="107" state="hidden" r:id="rId107"/>
    <sheet name="9.19" sheetId="108" state="hidden" r:id="rId108"/>
    <sheet name="9.20" sheetId="109" state="hidden" r:id="rId109"/>
    <sheet name="9.21" sheetId="110" state="hidden" r:id="rId110"/>
    <sheet name="9.22" sheetId="111" state="hidden" r:id="rId111"/>
    <sheet name="9.23" sheetId="112" state="hidden" r:id="rId112"/>
    <sheet name="9.24" sheetId="113" state="hidden" r:id="rId113"/>
    <sheet name="9.25" sheetId="114" state="hidden" r:id="rId114"/>
    <sheet name="9.27" sheetId="115" state="hidden" r:id="rId115"/>
    <sheet name="9.26" sheetId="116" state="hidden" r:id="rId116"/>
    <sheet name="9.28" sheetId="117" state="hidden" r:id="rId117"/>
    <sheet name="9.29" sheetId="118" state="hidden" r:id="rId118"/>
    <sheet name="9.30" sheetId="119" state="hidden" r:id="rId119"/>
    <sheet name="10.01" sheetId="120" state="hidden" r:id="rId120"/>
    <sheet name="10.02" sheetId="121" state="hidden" r:id="rId121"/>
    <sheet name="10.03" sheetId="122" state="hidden" r:id="rId122"/>
    <sheet name="10.04" sheetId="123" state="hidden" r:id="rId123"/>
    <sheet name="10.05" sheetId="124" state="hidden" r:id="rId124"/>
    <sheet name="10.06" sheetId="125" state="hidden" r:id="rId125"/>
    <sheet name="10.07" sheetId="126" state="hidden" r:id="rId126"/>
    <sheet name="10.08" sheetId="127" state="hidden" r:id="rId127"/>
    <sheet name="10.09" sheetId="128" state="hidden" r:id="rId128"/>
    <sheet name="10.10" sheetId="129" state="hidden" r:id="rId129"/>
    <sheet name="10.11" sheetId="130" state="hidden" r:id="rId130"/>
    <sheet name="10.12" sheetId="131" state="hidden" r:id="rId131"/>
    <sheet name="10.13" sheetId="132" state="hidden" r:id="rId132"/>
    <sheet name="10.14" sheetId="133" state="hidden" r:id="rId133"/>
    <sheet name="10.15" sheetId="134" state="hidden" r:id="rId134"/>
    <sheet name="10.16" sheetId="135" state="hidden" r:id="rId135"/>
    <sheet name="10.17" sheetId="136" state="hidden" r:id="rId136"/>
    <sheet name="10.18" sheetId="137" state="hidden" r:id="rId137"/>
    <sheet name="10.19" sheetId="138" state="hidden" r:id="rId138"/>
    <sheet name="10.20" sheetId="139" state="hidden" r:id="rId139"/>
    <sheet name="10.21" sheetId="140" state="hidden" r:id="rId140"/>
    <sheet name="10.22" sheetId="141" state="hidden" r:id="rId141"/>
    <sheet name="10.23" sheetId="142" state="hidden" r:id="rId142"/>
    <sheet name="10.24" sheetId="143" state="hidden" r:id="rId143"/>
    <sheet name="10.25" sheetId="144" state="hidden" r:id="rId144"/>
    <sheet name="10.26" sheetId="145" state="hidden" r:id="rId145"/>
    <sheet name="10.27" sheetId="146" state="hidden" r:id="rId146"/>
    <sheet name="10.28" sheetId="147" state="hidden" r:id="rId147"/>
    <sheet name="10.29" sheetId="148" state="hidden" r:id="rId148"/>
    <sheet name="10.30" sheetId="149" state="hidden" r:id="rId149"/>
    <sheet name="10.31" sheetId="150" state="hidden" r:id="rId150"/>
    <sheet name="11.1" sheetId="151" state="hidden" r:id="rId151"/>
    <sheet name="11.2" sheetId="152" state="hidden" r:id="rId152"/>
    <sheet name="11.3" sheetId="153" state="hidden" r:id="rId153"/>
    <sheet name="11.4" sheetId="154" state="hidden" r:id="rId154"/>
    <sheet name="11.5" sheetId="155" state="hidden" r:id="rId155"/>
    <sheet name="11.6" sheetId="156" state="hidden" r:id="rId156"/>
    <sheet name="11.7" sheetId="157" state="hidden" r:id="rId157"/>
    <sheet name="11.8" sheetId="158" state="hidden" r:id="rId158"/>
    <sheet name="11.9" sheetId="159" state="hidden" r:id="rId159"/>
    <sheet name="11.10" sheetId="160" state="hidden" r:id="rId160"/>
    <sheet name="11.11" sheetId="161" state="hidden" r:id="rId161"/>
    <sheet name="11.12" sheetId="162" state="hidden" r:id="rId162"/>
    <sheet name="11.13" sheetId="163" state="hidden" r:id="rId163"/>
    <sheet name="11.14" sheetId="164" state="hidden" r:id="rId164"/>
    <sheet name="11.15" sheetId="165" state="hidden" r:id="rId165"/>
    <sheet name="11.16" sheetId="166" state="hidden" r:id="rId166"/>
    <sheet name="11.17" sheetId="167" state="hidden" r:id="rId167"/>
    <sheet name="11.18" sheetId="168" state="hidden" r:id="rId168"/>
    <sheet name="11.19" sheetId="169" state="hidden" r:id="rId169"/>
    <sheet name="11.20" sheetId="170" state="hidden" r:id="rId170"/>
    <sheet name="11.21" sheetId="171" state="hidden" r:id="rId171"/>
    <sheet name="11.22" sheetId="172" state="hidden" r:id="rId172"/>
    <sheet name="11.23" sheetId="173" state="hidden" r:id="rId173"/>
    <sheet name="11.24" sheetId="174" state="hidden" r:id="rId174"/>
    <sheet name="11.26" sheetId="175" state="hidden" r:id="rId175"/>
    <sheet name="11.27" sheetId="176" state="hidden" r:id="rId176"/>
    <sheet name="11.28" sheetId="177" state="hidden" r:id="rId177"/>
    <sheet name="11.29" sheetId="178" state="hidden" r:id="rId178"/>
    <sheet name="11.30" sheetId="179" state="hidden" r:id="rId179"/>
    <sheet name="12.1" sheetId="180" state="hidden" r:id="rId180"/>
    <sheet name="12.2" sheetId="181" state="hidden" r:id="rId181"/>
    <sheet name="12.3" sheetId="182" state="hidden" r:id="rId182"/>
    <sheet name="12.4" sheetId="183" state="hidden" r:id="rId183"/>
    <sheet name="12.5" sheetId="184" state="hidden" r:id="rId184"/>
    <sheet name="12.6" sheetId="185" state="hidden" r:id="rId185"/>
    <sheet name="12.7" sheetId="186" state="hidden" r:id="rId186"/>
    <sheet name="12.8" sheetId="187" state="hidden" r:id="rId187"/>
    <sheet name="12.9" sheetId="188" state="hidden" r:id="rId188"/>
    <sheet name="12.10" sheetId="189" state="hidden" r:id="rId189"/>
    <sheet name="12.11" sheetId="190" state="hidden" r:id="rId190"/>
    <sheet name="12.12" sheetId="191" state="hidden" r:id="rId191"/>
    <sheet name="12.13" sheetId="192" state="hidden" r:id="rId192"/>
    <sheet name="12.14" sheetId="193" state="hidden" r:id="rId193"/>
    <sheet name="12.15" sheetId="194" state="hidden" r:id="rId194"/>
    <sheet name="12.16" sheetId="195" state="hidden" r:id="rId195"/>
    <sheet name="12.17" sheetId="196" state="hidden" r:id="rId196"/>
    <sheet name="12.18" sheetId="197" state="hidden" r:id="rId197"/>
    <sheet name="12.19" sheetId="198" state="hidden" r:id="rId198"/>
    <sheet name="12.20" sheetId="199" state="hidden" r:id="rId199"/>
    <sheet name="12.21" sheetId="200" state="hidden" r:id="rId200"/>
    <sheet name="12.22" sheetId="201" state="hidden" r:id="rId201"/>
    <sheet name="12.23" sheetId="202" state="hidden" r:id="rId202"/>
    <sheet name="12.24" sheetId="203" state="hidden" r:id="rId203"/>
    <sheet name="12.26" sheetId="204" state="hidden" r:id="rId204"/>
    <sheet name="12.27" sheetId="205" state="hidden" r:id="rId205"/>
    <sheet name="12.28" sheetId="206" state="hidden" r:id="rId206"/>
    <sheet name="12.29" sheetId="207" state="hidden" r:id="rId207"/>
    <sheet name="12.30" sheetId="208" state="hidden" r:id="rId208"/>
    <sheet name="12.31" sheetId="209" state="hidden" r:id="rId209"/>
    <sheet name="1.1.22" sheetId="210" state="hidden" r:id="rId210"/>
    <sheet name="1.2.22" sheetId="211" state="hidden" r:id="rId211"/>
    <sheet name="1.3.22" sheetId="212" state="hidden" r:id="rId212"/>
    <sheet name="1.4.22" sheetId="213" state="hidden" r:id="rId213"/>
    <sheet name="1.5" sheetId="214" state="hidden" r:id="rId214"/>
    <sheet name="1.6" sheetId="215" state="hidden" r:id="rId215"/>
    <sheet name="1.7" sheetId="216" state="hidden" r:id="rId216"/>
    <sheet name="1.8" sheetId="217" state="hidden" r:id="rId217"/>
    <sheet name="1.9" sheetId="218" state="hidden" r:id="rId218"/>
    <sheet name="1.10" sheetId="219" state="hidden" r:id="rId219"/>
    <sheet name="1.11" sheetId="220" state="hidden" r:id="rId220"/>
    <sheet name="1.12" sheetId="221" state="hidden" r:id="rId221"/>
    <sheet name="1.13" sheetId="222" state="hidden" r:id="rId222"/>
    <sheet name="1.14" sheetId="223" state="hidden" r:id="rId223"/>
    <sheet name="1.15" sheetId="224" state="hidden" r:id="rId224"/>
    <sheet name="1.16" sheetId="225" state="hidden" r:id="rId225"/>
    <sheet name="1.17" sheetId="226" state="hidden" r:id="rId226"/>
    <sheet name="1.18" sheetId="227" state="hidden" r:id="rId227"/>
    <sheet name="1.19" sheetId="228" state="hidden" r:id="rId228"/>
    <sheet name="1.20" sheetId="229" state="hidden" r:id="rId229"/>
    <sheet name="1.21" sheetId="230" state="hidden" r:id="rId230"/>
    <sheet name="1.22" sheetId="231" state="hidden" r:id="rId231"/>
    <sheet name="1.23" sheetId="232" state="hidden" r:id="rId232"/>
    <sheet name="1.24" sheetId="233" state="hidden" r:id="rId233"/>
    <sheet name="1.25" sheetId="234" state="hidden" r:id="rId234"/>
    <sheet name="1.26" sheetId="235" state="hidden" r:id="rId235"/>
    <sheet name="1.27" sheetId="236" state="hidden" r:id="rId236"/>
    <sheet name="1.28" sheetId="237" state="hidden" r:id="rId237"/>
    <sheet name="1.29" sheetId="238" state="hidden" r:id="rId238"/>
    <sheet name="1.30" sheetId="239" state="hidden" r:id="rId239"/>
    <sheet name="1.31" sheetId="240" state="hidden" r:id="rId240"/>
    <sheet name="2.1" sheetId="241" state="hidden" r:id="rId241"/>
    <sheet name="2.2" sheetId="242" state="hidden" r:id="rId242"/>
    <sheet name="2.3" sheetId="243" state="hidden" r:id="rId243"/>
    <sheet name="2.4" sheetId="244" state="hidden" r:id="rId244"/>
    <sheet name="2.5" sheetId="245" state="hidden" r:id="rId245"/>
    <sheet name="2.6" sheetId="246" state="hidden" r:id="rId246"/>
    <sheet name="2.7" sheetId="247" state="hidden" r:id="rId247"/>
    <sheet name="2.8" sheetId="248" state="hidden" r:id="rId248"/>
    <sheet name="2.9" sheetId="249" state="hidden" r:id="rId249"/>
    <sheet name="2.10" sheetId="250" state="hidden" r:id="rId250"/>
    <sheet name="2.11" sheetId="251" state="hidden" r:id="rId251"/>
    <sheet name="2.12" sheetId="252" state="hidden" r:id="rId252"/>
    <sheet name="2.13" sheetId="253" state="hidden" r:id="rId253"/>
    <sheet name="2.14" sheetId="254" state="hidden" r:id="rId254"/>
    <sheet name="2.15" sheetId="255" state="hidden" r:id="rId255"/>
    <sheet name="2.16" sheetId="256" state="hidden" r:id="rId256"/>
    <sheet name="2.17" sheetId="257" state="hidden" r:id="rId257"/>
    <sheet name="2.18" sheetId="258" state="hidden" r:id="rId258"/>
    <sheet name="2.19" sheetId="259" state="hidden" r:id="rId259"/>
    <sheet name="2.20" sheetId="260" state="hidden" r:id="rId260"/>
    <sheet name="2.21" sheetId="261" state="hidden" r:id="rId261"/>
    <sheet name="2.22" sheetId="262" state="hidden" r:id="rId262"/>
    <sheet name="2.23" sheetId="263" state="hidden" r:id="rId263"/>
    <sheet name="2.24" sheetId="264" state="hidden" r:id="rId264"/>
    <sheet name="2.25" sheetId="265" state="hidden" r:id="rId265"/>
    <sheet name="2.26" sheetId="266" state="hidden" r:id="rId266"/>
    <sheet name="2.27" sheetId="267" state="hidden" r:id="rId267"/>
    <sheet name="2.28" sheetId="268" state="hidden" r:id="rId268"/>
    <sheet name="3.01" sheetId="269" state="hidden" r:id="rId269"/>
    <sheet name="3.02" sheetId="270" state="hidden" r:id="rId270"/>
    <sheet name="3.03" sheetId="271" state="hidden" r:id="rId271"/>
    <sheet name="3.04" sheetId="272" state="hidden" r:id="rId272"/>
    <sheet name="3.5" sheetId="273" state="hidden" r:id="rId273"/>
    <sheet name="3.6" sheetId="274" state="hidden" r:id="rId274"/>
    <sheet name="3.7" sheetId="275" state="hidden" r:id="rId275"/>
    <sheet name="3.8" sheetId="276" state="hidden" r:id="rId276"/>
    <sheet name="3.9" sheetId="277" state="hidden" r:id="rId277"/>
    <sheet name="3.10" sheetId="278" state="hidden" r:id="rId278"/>
    <sheet name="3.11" sheetId="279" state="hidden" r:id="rId279"/>
    <sheet name="3.12" sheetId="280" state="hidden" r:id="rId280"/>
    <sheet name="3.13" sheetId="281" state="hidden" r:id="rId281"/>
    <sheet name="3.14" sheetId="282" state="hidden" r:id="rId282"/>
    <sheet name="3.15" sheetId="283" state="hidden" r:id="rId283"/>
    <sheet name="3.16" sheetId="284" state="hidden" r:id="rId284"/>
    <sheet name="3.17" sheetId="285" state="hidden" r:id="rId285"/>
    <sheet name="3.18" sheetId="286" state="hidden" r:id="rId286"/>
    <sheet name="3.19" sheetId="287" state="hidden" r:id="rId287"/>
    <sheet name="3.20" sheetId="288" state="hidden" r:id="rId288"/>
    <sheet name="3.21" sheetId="289" state="hidden" r:id="rId289"/>
    <sheet name="3.22" sheetId="290" state="hidden" r:id="rId290"/>
    <sheet name="3.23" sheetId="291" state="hidden" r:id="rId291"/>
    <sheet name="3.24" sheetId="292" state="hidden" r:id="rId292"/>
    <sheet name="3.25" sheetId="293" state="hidden" r:id="rId293"/>
    <sheet name="3.26" sheetId="294" state="hidden" r:id="rId294"/>
    <sheet name="3.27" sheetId="295" state="hidden" r:id="rId295"/>
    <sheet name="3.28" sheetId="296" state="hidden" r:id="rId296"/>
    <sheet name="3.29" sheetId="297" state="hidden" r:id="rId297"/>
    <sheet name="3.30" sheetId="298" state="hidden" r:id="rId298"/>
    <sheet name="3.31" sheetId="299" state="hidden" r:id="rId299"/>
    <sheet name="4.1" sheetId="300" state="hidden" r:id="rId300"/>
    <sheet name="4.2" sheetId="301" state="hidden" r:id="rId301"/>
    <sheet name="4.3" sheetId="302" state="hidden" r:id="rId302"/>
    <sheet name="4.4" sheetId="303" state="hidden" r:id="rId303"/>
    <sheet name="4.5" sheetId="304" state="hidden" r:id="rId304"/>
    <sheet name="4.6" sheetId="305" state="hidden" r:id="rId305"/>
    <sheet name="4.7" sheetId="306" state="hidden" r:id="rId306"/>
    <sheet name="4.8" sheetId="307" state="hidden" r:id="rId307"/>
    <sheet name="4.9" sheetId="308" state="hidden" r:id="rId308"/>
    <sheet name="4.10" sheetId="309" state="hidden" r:id="rId309"/>
    <sheet name="4.11" sheetId="310" state="hidden" r:id="rId310"/>
    <sheet name="4.12" sheetId="311" state="hidden" r:id="rId311"/>
    <sheet name="4.13" sheetId="312" state="hidden" r:id="rId312"/>
    <sheet name="4.14" sheetId="313" state="hidden" r:id="rId313"/>
    <sheet name="4.15" sheetId="314" state="hidden" r:id="rId314"/>
    <sheet name="4.16" sheetId="315" state="hidden" r:id="rId315"/>
    <sheet name="4.17" sheetId="316" state="hidden" r:id="rId316"/>
    <sheet name="4.18" sheetId="317" state="hidden" r:id="rId317"/>
    <sheet name="4.19" sheetId="318" state="hidden" r:id="rId318"/>
    <sheet name="4.20" sheetId="319" state="hidden" r:id="rId319"/>
    <sheet name="4.21" sheetId="320" state="hidden" r:id="rId320"/>
    <sheet name="4.22" sheetId="321" state="hidden" r:id="rId321"/>
    <sheet name="4.23" sheetId="322" state="hidden" r:id="rId322"/>
    <sheet name="4.24" sheetId="323" state="hidden" r:id="rId323"/>
    <sheet name="4.25" sheetId="324" state="hidden" r:id="rId324"/>
    <sheet name="4.26" sheetId="325" state="hidden" r:id="rId325"/>
    <sheet name="4.27" sheetId="326" state="hidden" r:id="rId326"/>
    <sheet name="4.28" sheetId="327" state="hidden" r:id="rId327"/>
    <sheet name="4.29" sheetId="328" state="hidden" r:id="rId328"/>
    <sheet name="4.30" sheetId="329" state="hidden" r:id="rId329"/>
    <sheet name="5.1" sheetId="330" state="hidden" r:id="rId330"/>
    <sheet name="5.2" sheetId="331" state="hidden" r:id="rId331"/>
    <sheet name="5.3" sheetId="332" state="hidden" r:id="rId332"/>
    <sheet name="5.4" sheetId="333" state="hidden" r:id="rId333"/>
    <sheet name="5.5" sheetId="334" state="hidden" r:id="rId334"/>
    <sheet name="5.6" sheetId="335" state="hidden" r:id="rId335"/>
    <sheet name="5.7" sheetId="336" state="hidden" r:id="rId336"/>
    <sheet name="5.8" sheetId="337" state="hidden" r:id="rId337"/>
    <sheet name="5.9" sheetId="338" state="hidden" r:id="rId338"/>
    <sheet name="5.10" sheetId="339" state="hidden" r:id="rId339"/>
    <sheet name="5.11" sheetId="340" state="hidden" r:id="rId340"/>
    <sheet name="5.12" sheetId="341" state="hidden" r:id="rId341"/>
    <sheet name="5.13" sheetId="342" state="hidden" r:id="rId342"/>
    <sheet name="5.14" sheetId="343" state="hidden" r:id="rId343"/>
    <sheet name="5.15" sheetId="344" state="hidden" r:id="rId344"/>
    <sheet name="5.16" sheetId="345" state="hidden" r:id="rId345"/>
    <sheet name="5.17" sheetId="346" state="hidden" r:id="rId346"/>
    <sheet name="5.18" sheetId="347" state="hidden" r:id="rId347"/>
    <sheet name="5.19" sheetId="348" state="hidden" r:id="rId348"/>
    <sheet name="5.20" sheetId="349" state="hidden" r:id="rId349"/>
    <sheet name="5.21" sheetId="350" state="hidden" r:id="rId350"/>
    <sheet name="5.22" sheetId="351" state="hidden" r:id="rId351"/>
    <sheet name="5.23" sheetId="352" state="hidden" r:id="rId352"/>
    <sheet name="5.24" sheetId="353" state="hidden" r:id="rId353"/>
    <sheet name="5.25" sheetId="354" state="hidden" r:id="rId354"/>
    <sheet name="5.26" sheetId="355" state="hidden" r:id="rId355"/>
    <sheet name="5.27" sheetId="356" state="hidden" r:id="rId356"/>
    <sheet name="5.28" sheetId="357" state="hidden" r:id="rId357"/>
    <sheet name="5.29" sheetId="358" state="hidden" r:id="rId358"/>
    <sheet name="5.30" sheetId="359" state="hidden" r:id="rId359"/>
    <sheet name="5.31" sheetId="360" state="hidden" r:id="rId360"/>
    <sheet name="6.1.22" sheetId="361" r:id="rId361"/>
    <sheet name="6.2.22" sheetId="362" r:id="rId362"/>
    <sheet name="6.3.22" sheetId="363" r:id="rId363"/>
    <sheet name="6.4.22" sheetId="364" r:id="rId364"/>
    <sheet name="6.5.22" sheetId="365" r:id="rId365"/>
    <sheet name="6.6.22" sheetId="366" r:id="rId366"/>
    <sheet name="6.7.22" sheetId="367" r:id="rId367"/>
    <sheet name="6.8.22" sheetId="368" r:id="rId368"/>
    <sheet name="6.9.22" sheetId="369" r:id="rId369"/>
    <sheet name="6.10.22" sheetId="370" r:id="rId370"/>
    <sheet name="6.11.22" sheetId="371" r:id="rId371"/>
    <sheet name="6.12.22" sheetId="372" r:id="rId372"/>
    <sheet name="6.13.22" sheetId="373" r:id="rId373"/>
    <sheet name="6.14.22" sheetId="374" r:id="rId374"/>
    <sheet name="6.15.22" sheetId="375" r:id="rId375"/>
    <sheet name="6.16.22" sheetId="376" r:id="rId376"/>
    <sheet name="6.17.22" sheetId="377" r:id="rId377"/>
    <sheet name="6.18.22" sheetId="378" r:id="rId378"/>
    <sheet name="6.19.22" sheetId="379" r:id="rId379"/>
    <sheet name="6.20.22" sheetId="380" r:id="rId380"/>
    <sheet name="6.21.22" sheetId="381" r:id="rId381"/>
    <sheet name="6.22.22" sheetId="382" r:id="rId382"/>
    <sheet name="6.23.22" sheetId="383" r:id="rId383"/>
    <sheet name="6.24.22" sheetId="384" r:id="rId384"/>
    <sheet name="6.25.22" sheetId="385" r:id="rId385"/>
    <sheet name="6.26.22" sheetId="386" r:id="rId386"/>
    <sheet name="6.27.22" sheetId="387" r:id="rId387"/>
    <sheet name="6.28.22" sheetId="388" r:id="rId388"/>
    <sheet name="6.29.22" sheetId="389" r:id="rId389"/>
    <sheet name="6.30.22" sheetId="390" r:id="rId390"/>
    <sheet name="7.1.22" sheetId="391" r:id="rId391"/>
    <sheet name="7.2.22" sheetId="392" r:id="rId392"/>
    <sheet name="7.3.22" sheetId="393" r:id="rId393"/>
    <sheet name="7.4.22" sheetId="394" r:id="rId394"/>
    <sheet name="7.5.22" sheetId="395" r:id="rId395"/>
    <sheet name="7.6.22" sheetId="396" r:id="rId396"/>
    <sheet name="7.7.22" sheetId="397" r:id="rId397"/>
    <sheet name="7.8.22" sheetId="398" r:id="rId398"/>
    <sheet name="7.9.22" sheetId="399" r:id="rId399"/>
    <sheet name="7.10.22" sheetId="400" r:id="rId400"/>
    <sheet name="7.11.22" sheetId="401" r:id="rId401"/>
    <sheet name="7.12.22" sheetId="402" r:id="rId402"/>
    <sheet name="7.13.22" sheetId="403" r:id="rId403"/>
    <sheet name="7.14.22" sheetId="404" r:id="rId404"/>
    <sheet name="7.15.22" sheetId="405" r:id="rId405"/>
    <sheet name="7.16.22" sheetId="406" r:id="rId406"/>
    <sheet name="7.17.22" sheetId="407" r:id="rId407"/>
    <sheet name="7.18.22" sheetId="408" r:id="rId408"/>
    <sheet name="7.19.22" sheetId="409" r:id="rId409"/>
    <sheet name="7.20.22" sheetId="410" r:id="rId410"/>
    <sheet name="7.21.22" sheetId="411" r:id="rId411"/>
    <sheet name="7.22.22" sheetId="412" r:id="rId412"/>
    <sheet name="7.23.22" sheetId="413" r:id="rId413"/>
    <sheet name="7.24.22" sheetId="414" r:id="rId414"/>
    <sheet name="7.25.22" sheetId="415" r:id="rId415"/>
    <sheet name="7.26.22" sheetId="416" r:id="rId416"/>
    <sheet name="7.27.22" sheetId="417" r:id="rId417"/>
    <sheet name="7.28.22" sheetId="418" r:id="rId418"/>
    <sheet name="7.29.22" sheetId="419" r:id="rId419"/>
    <sheet name="7.30.22" sheetId="420" r:id="rId420"/>
    <sheet name="7.31.22" sheetId="421" r:id="rId421"/>
    <sheet name="8.1.22" sheetId="422" r:id="rId422"/>
    <sheet name="8.2.22" sheetId="423" r:id="rId423"/>
    <sheet name="8.3.22" sheetId="424" r:id="rId424"/>
    <sheet name="8.4.22" sheetId="425" r:id="rId425"/>
    <sheet name="8.5.22" sheetId="426" r:id="rId426"/>
    <sheet name="8.6.22" sheetId="427" r:id="rId427"/>
    <sheet name="8.7.22" sheetId="428" r:id="rId428"/>
    <sheet name="8.8.22" sheetId="429" r:id="rId429"/>
    <sheet name="8.9.22" sheetId="430" r:id="rId430"/>
    <sheet name="8.10.22" sheetId="431" r:id="rId431"/>
    <sheet name="8.11.22" sheetId="432" r:id="rId432"/>
    <sheet name="8.12.22" sheetId="433" r:id="rId433"/>
    <sheet name="8.13.22" sheetId="434" r:id="rId434"/>
    <sheet name="8.14.22" sheetId="435" r:id="rId435"/>
    <sheet name="8.15.22" sheetId="436" r:id="rId436"/>
    <sheet name="8.16.22" sheetId="437" r:id="rId437"/>
    <sheet name="8.17.22 " sheetId="438" r:id="rId438"/>
    <sheet name="8.18.22" sheetId="439" r:id="rId439"/>
    <sheet name="8.19.22" sheetId="440" r:id="rId440"/>
    <sheet name="8.20.22" sheetId="441" r:id="rId441"/>
    <sheet name="8.21.22" sheetId="442" r:id="rId442"/>
    <sheet name="8.22.22" sheetId="443" r:id="rId443"/>
    <sheet name="8.23.22" sheetId="444" r:id="rId444"/>
    <sheet name="8.24.22" sheetId="445" r:id="rId445"/>
    <sheet name="8.25.22" sheetId="446" r:id="rId446"/>
    <sheet name="8.26.22" sheetId="447" r:id="rId447"/>
    <sheet name="8.27.22" sheetId="448" r:id="rId448"/>
    <sheet name="8.28.22" sheetId="449" r:id="rId449"/>
    <sheet name="8.29.22" sheetId="450" r:id="rId450"/>
    <sheet name="8.30.22" sheetId="451" r:id="rId451"/>
    <sheet name="8.31.22" sheetId="452" r:id="rId452"/>
    <sheet name="9.1.22" sheetId="453" r:id="rId453"/>
    <sheet name="9.2.22" sheetId="454" r:id="rId454"/>
    <sheet name="9.3.22" sheetId="455" r:id="rId455"/>
    <sheet name="9.4.22" sheetId="456" r:id="rId456"/>
    <sheet name="9.5.22" sheetId="457" r:id="rId457"/>
    <sheet name="9.6.22" sheetId="458" r:id="rId458"/>
    <sheet name="9.7.22" sheetId="459" r:id="rId459"/>
    <sheet name="9.8.22" sheetId="460" r:id="rId460"/>
    <sheet name="9.9.22" sheetId="461" r:id="rId461"/>
    <sheet name="9.10.22" sheetId="462" r:id="rId462"/>
    <sheet name="9.11.22" sheetId="463" r:id="rId463"/>
    <sheet name="9.12.22" sheetId="464" r:id="rId464"/>
    <sheet name="9.13.22" sheetId="465" r:id="rId465"/>
    <sheet name="9.14.2022" sheetId="466" r:id="rId466"/>
    <sheet name="9.15.2022 " sheetId="467" r:id="rId467"/>
    <sheet name="9.16.2022" sheetId="468" r:id="rId468"/>
    <sheet name="9.17.2022" sheetId="469" r:id="rId469"/>
    <sheet name="9.18.2022" sheetId="470" r:id="rId470"/>
    <sheet name="9.19.2022" sheetId="471" r:id="rId471"/>
    <sheet name="9.20.2022" sheetId="472" r:id="rId472"/>
    <sheet name="9.21.2022" sheetId="473" r:id="rId473"/>
    <sheet name="9.22.2022" sheetId="474" r:id="rId474"/>
    <sheet name="9.23.2022" sheetId="475" r:id="rId475"/>
    <sheet name="9.26.2022" sheetId="476" r:id="rId476"/>
    <sheet name="9.27.2022" sheetId="477" r:id="rId477"/>
    <sheet name="9.28.2022" sheetId="478" r:id="rId478"/>
    <sheet name="9.29.2022" sheetId="479" r:id="rId479"/>
    <sheet name="9.30.2022" sheetId="480" r:id="rId480"/>
    <sheet name="10.1.2022" sheetId="481" r:id="rId481"/>
    <sheet name="10.2.2022" sheetId="482" r:id="rId482"/>
    <sheet name="10.3.2022" sheetId="483" r:id="rId483"/>
    <sheet name="10.4.2022" sheetId="484" r:id="rId484"/>
    <sheet name="10.5.2022" sheetId="485" r:id="rId485"/>
    <sheet name="10.6.2022" sheetId="486" r:id="rId486"/>
    <sheet name="10.7.2022" sheetId="487" r:id="rId487"/>
    <sheet name="10.8.2022" sheetId="488" r:id="rId488"/>
    <sheet name="10.9.2022" sheetId="489" r:id="rId489"/>
    <sheet name="10.10.2022" sheetId="490" r:id="rId490"/>
    <sheet name="10.11.2022" sheetId="491" r:id="rId491"/>
    <sheet name="10.12.2022" sheetId="492" r:id="rId492"/>
    <sheet name="10.13.2022" sheetId="493" r:id="rId493"/>
    <sheet name="10.14.2022" sheetId="494" r:id="rId494"/>
    <sheet name="10.15.2022" sheetId="495" r:id="rId495"/>
    <sheet name="10.16.2022" sheetId="496" r:id="rId496"/>
    <sheet name="10.17.2022" sheetId="497" r:id="rId497"/>
    <sheet name="10.18.2022" sheetId="498" r:id="rId498"/>
    <sheet name="10.19.2022" sheetId="499" r:id="rId499"/>
    <sheet name="10.20.2022" sheetId="500" r:id="rId500"/>
    <sheet name="10.21.2022" sheetId="501" r:id="rId501"/>
    <sheet name="10.22.2022" sheetId="502" r:id="rId502"/>
    <sheet name="10.23.2022" sheetId="503" r:id="rId503"/>
    <sheet name="10.24.2022" sheetId="504" r:id="rId504"/>
  </sheets>
  <externalReferences>
    <externalReference r:id="rId505"/>
  </externalReferences>
  <definedNames>
    <definedName name="lotcode">MID(TEXT('[1]orders by location'!$I1-DATE(YEAR('[1]orders by location'!$I1),1,0),"000"),1,1)&amp;MID(YEAR('[1]orders by location'!$I1),3,1)&amp;MID(TEXT('[1]orders by location'!$I1-DATE(YEAR('[1]orders by location'!$I1),1,0),"000"),2,1)&amp;MID(YEAR('[1]orders by location'!$I1),4,1)&amp;MID(TEXT('[1]orders by location'!$I1-DATE(YEAR('[1]orders by location'!$I1),1,0),"000"),3,1)</definedName>
    <definedName name="_xlnm.Print_Area" localSheetId="209">'1.1.22'!$B$1:$P$34</definedName>
    <definedName name="_xlnm.Print_Area" localSheetId="218">'1.10'!$B$1:$P$34</definedName>
    <definedName name="_xlnm.Print_Area" localSheetId="219">'1.11'!$B$1:$P$34</definedName>
    <definedName name="_xlnm.Print_Area" localSheetId="220">'1.12'!$B$1:$P$34</definedName>
    <definedName name="_xlnm.Print_Area" localSheetId="221">'1.13'!$B$1:$P$34</definedName>
    <definedName name="_xlnm.Print_Area" localSheetId="222">'1.14'!$B$1:$P$34</definedName>
    <definedName name="_xlnm.Print_Area" localSheetId="223">'1.15'!$B$1:$P$34</definedName>
    <definedName name="_xlnm.Print_Area" localSheetId="224">'1.16'!$B$1:$P$34</definedName>
    <definedName name="_xlnm.Print_Area" localSheetId="225">'1.17'!$B$1:$P$34</definedName>
    <definedName name="_xlnm.Print_Area" localSheetId="226">'1.18'!$B$1:$P$34</definedName>
    <definedName name="_xlnm.Print_Area" localSheetId="227">'1.19'!$B$1:$P$34</definedName>
    <definedName name="_xlnm.Print_Area" localSheetId="210">'1.2.22'!$B$1:$P$34</definedName>
    <definedName name="_xlnm.Print_Area" localSheetId="228">'1.20'!$B$1:$P$34</definedName>
    <definedName name="_xlnm.Print_Area" localSheetId="229">'1.21'!$B$1:$P$34</definedName>
    <definedName name="_xlnm.Print_Area" localSheetId="230">'1.22'!$B$1:$P$34</definedName>
    <definedName name="_xlnm.Print_Area" localSheetId="231">'1.23'!$B$1:$P$34</definedName>
    <definedName name="_xlnm.Print_Area" localSheetId="232">'1.24'!$B$1:$P$34</definedName>
    <definedName name="_xlnm.Print_Area" localSheetId="233">'1.25'!$B$1:$P$34</definedName>
    <definedName name="_xlnm.Print_Area" localSheetId="234">'1.26'!$B$1:$P$34</definedName>
    <definedName name="_xlnm.Print_Area" localSheetId="235">'1.27'!$B$1:$P$34</definedName>
    <definedName name="_xlnm.Print_Area" localSheetId="236">'1.28'!$B$1:$P$34</definedName>
    <definedName name="_xlnm.Print_Area" localSheetId="237">'1.29'!$B$1:$P$34</definedName>
    <definedName name="_xlnm.Print_Area" localSheetId="211">'1.3.22'!$B$1:$P$34</definedName>
    <definedName name="_xlnm.Print_Area" localSheetId="238">'1.30'!$B$1:$P$34</definedName>
    <definedName name="_xlnm.Print_Area" localSheetId="239">'1.31'!$B$1:$P$34</definedName>
    <definedName name="_xlnm.Print_Area" localSheetId="212">'1.4.22'!$B$1:$P$34</definedName>
    <definedName name="_xlnm.Print_Area" localSheetId="213">'1.5'!$B$1:$P$34</definedName>
    <definedName name="_xlnm.Print_Area" localSheetId="214">'1.6'!$B$1:$P$34</definedName>
    <definedName name="_xlnm.Print_Area" localSheetId="215">'1.7'!$B$1:$P$34</definedName>
    <definedName name="_xlnm.Print_Area" localSheetId="216">'1.8'!$B$1:$P$34</definedName>
    <definedName name="_xlnm.Print_Area" localSheetId="217">'1.9'!$B$1:$P$34</definedName>
    <definedName name="_xlnm.Print_Area" localSheetId="119">'10.01'!$B$1:$AE$64</definedName>
    <definedName name="_xlnm.Print_Area" localSheetId="120">'10.02'!$B$1:$AE$64</definedName>
    <definedName name="_xlnm.Print_Area" localSheetId="121">'10.03'!$B$1:$AE$64</definedName>
    <definedName name="_xlnm.Print_Area" localSheetId="122">'10.04'!$B$1:$AE$64</definedName>
    <definedName name="_xlnm.Print_Area" localSheetId="123">'10.05'!$B$1:$AE$64</definedName>
    <definedName name="_xlnm.Print_Area" localSheetId="124">'10.06'!$B$1:$AE$64</definedName>
    <definedName name="_xlnm.Print_Area" localSheetId="125">'10.07'!$B$1:$AE$64</definedName>
    <definedName name="_xlnm.Print_Area" localSheetId="126">'10.08'!$B$1:$AE$64</definedName>
    <definedName name="_xlnm.Print_Area" localSheetId="127">'10.09'!$B$1:$AE$64</definedName>
    <definedName name="_xlnm.Print_Area" localSheetId="480">'10.1.2022'!$B$1:$Q$33</definedName>
    <definedName name="_xlnm.Print_Area" localSheetId="128">'10.10'!$B$1:$AE$64</definedName>
    <definedName name="_xlnm.Print_Area" localSheetId="489">'10.10.2022'!$B$1:$Q$33</definedName>
    <definedName name="_xlnm.Print_Area" localSheetId="129">'10.11'!$B$1:$AE$64</definedName>
    <definedName name="_xlnm.Print_Area" localSheetId="490">'10.11.2022'!$B$1:$Q$33</definedName>
    <definedName name="_xlnm.Print_Area" localSheetId="130">'10.12'!$B$1:$AE$64</definedName>
    <definedName name="_xlnm.Print_Area" localSheetId="491">'10.12.2022'!$B$1:$Q$33</definedName>
    <definedName name="_xlnm.Print_Area" localSheetId="131">'10.13'!$B$1:$AE$64</definedName>
    <definedName name="_xlnm.Print_Area" localSheetId="492">'10.13.2022'!$B$1:$Q$33</definedName>
    <definedName name="_xlnm.Print_Area" localSheetId="132">'10.14'!$B$1:$AE$64</definedName>
    <definedName name="_xlnm.Print_Area" localSheetId="493">'10.14.2022'!$B$1:$Q$33</definedName>
    <definedName name="_xlnm.Print_Area" localSheetId="133">'10.15'!$B$1:$AE$64</definedName>
    <definedName name="_xlnm.Print_Area" localSheetId="494">'10.15.2022'!$B$1:$R$33</definedName>
    <definedName name="_xlnm.Print_Area" localSheetId="134">'10.16'!$B$1:$AE$64</definedName>
    <definedName name="_xlnm.Print_Area" localSheetId="495">'10.16.2022'!$B$1:$R$33</definedName>
    <definedName name="_xlnm.Print_Area" localSheetId="135">'10.17'!$B$1:$AE$64</definedName>
    <definedName name="_xlnm.Print_Area" localSheetId="496">'10.17.2022'!$B$1:$R$33</definedName>
    <definedName name="_xlnm.Print_Area" localSheetId="136">'10.18'!$B$1:$AF$64</definedName>
    <definedName name="_xlnm.Print_Area" localSheetId="497">'10.18.2022'!$B$1:$R$33</definedName>
    <definedName name="_xlnm.Print_Area" localSheetId="137">'10.19'!$B$1:$AF$64</definedName>
    <definedName name="_xlnm.Print_Area" localSheetId="498">'10.19.2022'!$B$1:$R$33</definedName>
    <definedName name="_xlnm.Print_Area" localSheetId="481">'10.2.2022'!$B$1:$Q$33</definedName>
    <definedName name="_xlnm.Print_Area" localSheetId="138">'10.20'!$B$1:$AF$64</definedName>
    <definedName name="_xlnm.Print_Area" localSheetId="499">'10.20.2022'!$B$1:$R$33</definedName>
    <definedName name="_xlnm.Print_Area" localSheetId="139">'10.21'!$B$1:$AF$64</definedName>
    <definedName name="_xlnm.Print_Area" localSheetId="500">'10.21.2022'!$B$1:$R$33</definedName>
    <definedName name="_xlnm.Print_Area" localSheetId="140">'10.22'!$B$1:$AF$64</definedName>
    <definedName name="_xlnm.Print_Area" localSheetId="501">'10.22.2022'!$B$1:$R$33</definedName>
    <definedName name="_xlnm.Print_Area" localSheetId="141">'10.23'!$B$1:$AF$64</definedName>
    <definedName name="_xlnm.Print_Area" localSheetId="502">'10.23.2022'!$B$1:$R$33</definedName>
    <definedName name="_xlnm.Print_Area" localSheetId="142">'10.24'!$B$1:$AF$64</definedName>
    <definedName name="_xlnm.Print_Area" localSheetId="503">'10.24.2022'!$B$1:$R$33</definedName>
    <definedName name="_xlnm.Print_Area" localSheetId="143">'10.25'!$B$1:$AF$64</definedName>
    <definedName name="_xlnm.Print_Area" localSheetId="144">'10.26'!$B$1:$AF$64</definedName>
    <definedName name="_xlnm.Print_Area" localSheetId="145">'10.27'!$B$1:$AF$64</definedName>
    <definedName name="_xlnm.Print_Area" localSheetId="146">'10.28'!$B$1:$AF$64</definedName>
    <definedName name="_xlnm.Print_Area" localSheetId="147">'10.29'!$B$1:$AF$64</definedName>
    <definedName name="_xlnm.Print_Area" localSheetId="482">'10.3.2022'!$B$1:$Q$33</definedName>
    <definedName name="_xlnm.Print_Area" localSheetId="148">'10.30'!$B$1:$AF$64</definedName>
    <definedName name="_xlnm.Print_Area" localSheetId="149">'10.31'!$B$1:$AF$64</definedName>
    <definedName name="_xlnm.Print_Area" localSheetId="483">'10.4.2022'!$B$1:$Q$33</definedName>
    <definedName name="_xlnm.Print_Area" localSheetId="484">'10.5.2022'!$B$1:$Q$33</definedName>
    <definedName name="_xlnm.Print_Area" localSheetId="485">'10.6.2022'!$B$1:$Q$33</definedName>
    <definedName name="_xlnm.Print_Area" localSheetId="486">'10.7.2022'!$B$1:$Q$33</definedName>
    <definedName name="_xlnm.Print_Area" localSheetId="487">'10.8.2022'!$B$1:$Q$33</definedName>
    <definedName name="_xlnm.Print_Area" localSheetId="488">'10.9.2022'!$B$1:$Q$33</definedName>
    <definedName name="_xlnm.Print_Area" localSheetId="150">'11.1'!$B$1:$AF$64</definedName>
    <definedName name="_xlnm.Print_Area" localSheetId="159">'11.10'!$B$1:$AF$64</definedName>
    <definedName name="_xlnm.Print_Area" localSheetId="160">'11.11'!$B$1:$AF$64</definedName>
    <definedName name="_xlnm.Print_Area" localSheetId="161">'11.12'!$B$1:$AF$64</definedName>
    <definedName name="_xlnm.Print_Area" localSheetId="162">'11.13'!$B$1:$AF$64</definedName>
    <definedName name="_xlnm.Print_Area" localSheetId="163">'11.14'!$B$1:$AF$64</definedName>
    <definedName name="_xlnm.Print_Area" localSheetId="164">'11.15'!$B$1:$AF$64</definedName>
    <definedName name="_xlnm.Print_Area" localSheetId="165">'11.16'!$B$1:$AF$64</definedName>
    <definedName name="_xlnm.Print_Area" localSheetId="166">'11.17'!$B$1:$AF$64</definedName>
    <definedName name="_xlnm.Print_Area" localSheetId="167">'11.18'!$B$1:$P$34</definedName>
    <definedName name="_xlnm.Print_Area" localSheetId="168">'11.19'!$B$1:$P$34</definedName>
    <definedName name="_xlnm.Print_Area" localSheetId="151">'11.2'!$B$1:$AF$64</definedName>
    <definedName name="_xlnm.Print_Area" localSheetId="169">'11.20'!$B$1:$P$34</definedName>
    <definedName name="_xlnm.Print_Area" localSheetId="170">'11.21'!$B$1:$P$34</definedName>
    <definedName name="_xlnm.Print_Area" localSheetId="171">'11.22'!$B$1:$P$34</definedName>
    <definedName name="_xlnm.Print_Area" localSheetId="172">'11.23'!$B$1:$P$34</definedName>
    <definedName name="_xlnm.Print_Area" localSheetId="173">'11.24'!$B$1:$P$34</definedName>
    <definedName name="_xlnm.Print_Area" localSheetId="174">'11.26'!$B$1:$P$34</definedName>
    <definedName name="_xlnm.Print_Area" localSheetId="175">'11.27'!$B$1:$P$34</definedName>
    <definedName name="_xlnm.Print_Area" localSheetId="176">'11.28'!$B$1:$P$34</definedName>
    <definedName name="_xlnm.Print_Area" localSheetId="177">'11.29'!$B$1:$P$34</definedName>
    <definedName name="_xlnm.Print_Area" localSheetId="152">'11.3'!$B$1:$AF$64</definedName>
    <definedName name="_xlnm.Print_Area" localSheetId="178">'11.30'!$B$1:$P$34</definedName>
    <definedName name="_xlnm.Print_Area" localSheetId="153">'11.4'!$B$1:$AF$64</definedName>
    <definedName name="_xlnm.Print_Area" localSheetId="154">'11.5'!$B$1:$AF$64</definedName>
    <definedName name="_xlnm.Print_Area" localSheetId="155">'11.6'!$B$1:$AF$64</definedName>
    <definedName name="_xlnm.Print_Area" localSheetId="156">'11.7'!$B$1:$AF$64</definedName>
    <definedName name="_xlnm.Print_Area" localSheetId="157">'11.8'!$B$1:$AF$64</definedName>
    <definedName name="_xlnm.Print_Area" localSheetId="158">'11.9'!$B$1:$AF$64</definedName>
    <definedName name="_xlnm.Print_Area" localSheetId="179">'12.1'!$B$1:$P$34</definedName>
    <definedName name="_xlnm.Print_Area" localSheetId="188">'12.10'!$B$1:$P$34</definedName>
    <definedName name="_xlnm.Print_Area" localSheetId="189">'12.11'!$B$1:$P$34</definedName>
    <definedName name="_xlnm.Print_Area" localSheetId="190">'12.12'!$B$1:$P$34</definedName>
    <definedName name="_xlnm.Print_Area" localSheetId="191">'12.13'!$B$1:$P$34</definedName>
    <definedName name="_xlnm.Print_Area" localSheetId="192">'12.14'!$B$1:$P$34</definedName>
    <definedName name="_xlnm.Print_Area" localSheetId="193">'12.15'!$B$1:$P$34</definedName>
    <definedName name="_xlnm.Print_Area" localSheetId="194">'12.16'!$B$1:$P$34</definedName>
    <definedName name="_xlnm.Print_Area" localSheetId="195">'12.17'!$B$1:$P$34</definedName>
    <definedName name="_xlnm.Print_Area" localSheetId="196">'12.18'!$B$1:$P$34</definedName>
    <definedName name="_xlnm.Print_Area" localSheetId="197">'12.19'!$B$1:$P$34</definedName>
    <definedName name="_xlnm.Print_Area" localSheetId="180">'12.2'!$B$1:$P$34</definedName>
    <definedName name="_xlnm.Print_Area" localSheetId="198">'12.20'!$B$1:$P$34</definedName>
    <definedName name="_xlnm.Print_Area" localSheetId="199">'12.21'!$B$1:$P$34</definedName>
    <definedName name="_xlnm.Print_Area" localSheetId="200">'12.22'!$B$1:$P$34</definedName>
    <definedName name="_xlnm.Print_Area" localSheetId="201">'12.23'!$B$1:$P$34</definedName>
    <definedName name="_xlnm.Print_Area" localSheetId="202">'12.24'!$B$1:$P$34</definedName>
    <definedName name="_xlnm.Print_Area" localSheetId="203">'12.26'!$B$1:$P$34</definedName>
    <definedName name="_xlnm.Print_Area" localSheetId="204">'12.27'!$B$1:$P$34</definedName>
    <definedName name="_xlnm.Print_Area" localSheetId="205">'12.28'!$B$1:$P$34</definedName>
    <definedName name="_xlnm.Print_Area" localSheetId="206">'12.29'!$B$1:$P$34</definedName>
    <definedName name="_xlnm.Print_Area" localSheetId="181">'12.3'!$B$1:$P$34</definedName>
    <definedName name="_xlnm.Print_Area" localSheetId="207">'12.30'!$B$1:$P$34</definedName>
    <definedName name="_xlnm.Print_Area" localSheetId="208">'12.31'!$B$1:$P$34</definedName>
    <definedName name="_xlnm.Print_Area" localSheetId="182">'12.4'!$B$1:$P$34</definedName>
    <definedName name="_xlnm.Print_Area" localSheetId="183">'12.5'!$B$1:$P$34</definedName>
    <definedName name="_xlnm.Print_Area" localSheetId="184">'12.6'!$B$1:$P$34</definedName>
    <definedName name="_xlnm.Print_Area" localSheetId="185">'12.7'!$B$1:$P$34</definedName>
    <definedName name="_xlnm.Print_Area" localSheetId="186">'12.8'!$B$1:$P$34</definedName>
    <definedName name="_xlnm.Print_Area" localSheetId="187">'12.9'!$B$1:$P$34</definedName>
    <definedName name="_xlnm.Print_Area" localSheetId="240">'2.1'!$B$1:$P$34</definedName>
    <definedName name="_xlnm.Print_Area" localSheetId="249">'2.10'!$B$1:$P$34</definedName>
    <definedName name="_xlnm.Print_Area" localSheetId="250">'2.11'!$B$1:$P$34</definedName>
    <definedName name="_xlnm.Print_Area" localSheetId="251">'2.12'!$B$1:$P$34</definedName>
    <definedName name="_xlnm.Print_Area" localSheetId="252">'2.13'!$B$1:$P$34</definedName>
    <definedName name="_xlnm.Print_Area" localSheetId="253">'2.14'!$B$1:$P$34</definedName>
    <definedName name="_xlnm.Print_Area" localSheetId="254">'2.15'!$B$1:$P$34</definedName>
    <definedName name="_xlnm.Print_Area" localSheetId="255">'2.16'!$B$1:$P$34</definedName>
    <definedName name="_xlnm.Print_Area" localSheetId="256">'2.17'!$B$1:$P$34</definedName>
    <definedName name="_xlnm.Print_Area" localSheetId="257">'2.18'!$B$1:$P$34</definedName>
    <definedName name="_xlnm.Print_Area" localSheetId="258">'2.19'!$B$1:$P$34</definedName>
    <definedName name="_xlnm.Print_Area" localSheetId="241">'2.2'!$B$1:$P$34</definedName>
    <definedName name="_xlnm.Print_Area" localSheetId="259">'2.20'!$B$1:$P$34</definedName>
    <definedName name="_xlnm.Print_Area" localSheetId="260">'2.21'!$B$1:$P$34</definedName>
    <definedName name="_xlnm.Print_Area" localSheetId="261">'2.22'!$B$1:$P$34</definedName>
    <definedName name="_xlnm.Print_Area" localSheetId="262">'2.23'!$B$1:$P$34</definedName>
    <definedName name="_xlnm.Print_Area" localSheetId="263">'2.24'!$B$1:$P$34</definedName>
    <definedName name="_xlnm.Print_Area" localSheetId="264">'2.25'!$B$1:$P$34</definedName>
    <definedName name="_xlnm.Print_Area" localSheetId="265">'2.26'!$B$1:$P$34</definedName>
    <definedName name="_xlnm.Print_Area" localSheetId="266">'2.27'!$B$1:$P$34</definedName>
    <definedName name="_xlnm.Print_Area" localSheetId="267">'2.28'!$B$1:$P$34</definedName>
    <definedName name="_xlnm.Print_Area" localSheetId="242">'2.3'!$B$1:$P$34</definedName>
    <definedName name="_xlnm.Print_Area" localSheetId="243">'2.4'!$B$1:$P$34</definedName>
    <definedName name="_xlnm.Print_Area" localSheetId="244">'2.5'!$B$1:$P$34</definedName>
    <definedName name="_xlnm.Print_Area" localSheetId="245">'2.6'!$B$1:$P$34</definedName>
    <definedName name="_xlnm.Print_Area" localSheetId="246">'2.7'!$B$1:$P$34</definedName>
    <definedName name="_xlnm.Print_Area" localSheetId="247">'2.8'!$B$1:$P$34</definedName>
    <definedName name="_xlnm.Print_Area" localSheetId="248">'2.9'!$B$1:$P$34</definedName>
    <definedName name="_xlnm.Print_Area" localSheetId="268">'3.01'!$B$1:$P$34</definedName>
    <definedName name="_xlnm.Print_Area" localSheetId="269">'3.02'!$B$1:$P$34</definedName>
    <definedName name="_xlnm.Print_Area" localSheetId="270">'3.03'!$B$1:$P$34</definedName>
    <definedName name="_xlnm.Print_Area" localSheetId="271">'3.04'!$B$1:$P$34</definedName>
    <definedName name="_xlnm.Print_Area" localSheetId="277">'3.10'!$B$1:$P$34</definedName>
    <definedName name="_xlnm.Print_Area" localSheetId="278">'3.11'!$B$1:$P$34</definedName>
    <definedName name="_xlnm.Print_Area" localSheetId="279">'3.12'!$B$1:$P$34</definedName>
    <definedName name="_xlnm.Print_Area" localSheetId="280">'3.13'!$B$1:$P$34</definedName>
    <definedName name="_xlnm.Print_Area" localSheetId="281">'3.14'!$B$1:$P$34</definedName>
    <definedName name="_xlnm.Print_Area" localSheetId="282">'3.15'!$B$1:$P$34</definedName>
    <definedName name="_xlnm.Print_Area" localSheetId="283">'3.16'!$B$1:$P$34</definedName>
    <definedName name="_xlnm.Print_Area" localSheetId="284">'3.17'!$B$1:$P$34</definedName>
    <definedName name="_xlnm.Print_Area" localSheetId="285">'3.18'!$B$1:$P$34</definedName>
    <definedName name="_xlnm.Print_Area" localSheetId="286">'3.19'!$B$1:$P$34</definedName>
    <definedName name="_xlnm.Print_Area" localSheetId="287">'3.20'!$B$1:$P$34</definedName>
    <definedName name="_xlnm.Print_Area" localSheetId="288">'3.21'!$B$1:$P$34</definedName>
    <definedName name="_xlnm.Print_Area" localSheetId="289">'3.22'!$B$1:$P$34</definedName>
    <definedName name="_xlnm.Print_Area" localSheetId="290">'3.23'!$B$1:$P$34</definedName>
    <definedName name="_xlnm.Print_Area" localSheetId="291">'3.24'!$B$1:$P$34</definedName>
    <definedName name="_xlnm.Print_Area" localSheetId="292">'3.25'!$B$1:$P$34</definedName>
    <definedName name="_xlnm.Print_Area" localSheetId="293">'3.26'!$B$1:$P$34</definedName>
    <definedName name="_xlnm.Print_Area" localSheetId="294">'3.27'!$B$1:$P$34</definedName>
    <definedName name="_xlnm.Print_Area" localSheetId="295">'3.28'!$B$1:$P$34</definedName>
    <definedName name="_xlnm.Print_Area" localSheetId="296">'3.29'!$B$1:$P$34</definedName>
    <definedName name="_xlnm.Print_Area" localSheetId="297">'3.30'!$B$1:$P$34</definedName>
    <definedName name="_xlnm.Print_Area" localSheetId="298">'3.31'!$B$1:$P$34</definedName>
    <definedName name="_xlnm.Print_Area" localSheetId="272">'3.5'!$B$1:$P$34</definedName>
    <definedName name="_xlnm.Print_Area" localSheetId="273">'3.6'!$B$1:$P$34</definedName>
    <definedName name="_xlnm.Print_Area" localSheetId="274">'3.7'!$B$1:$P$34</definedName>
    <definedName name="_xlnm.Print_Area" localSheetId="275">'3.8'!$B$1:$P$34</definedName>
    <definedName name="_xlnm.Print_Area" localSheetId="276">'3.9'!$B$1:$P$34</definedName>
    <definedName name="_xlnm.Print_Area" localSheetId="299">'4.1'!$B$1:$P$34</definedName>
    <definedName name="_xlnm.Print_Area" localSheetId="308">'4.10'!$B$1:$P$34</definedName>
    <definedName name="_xlnm.Print_Area" localSheetId="309">'4.11'!$B$1:$P$34</definedName>
    <definedName name="_xlnm.Print_Area" localSheetId="310">'4.12'!$B$1:$P$34</definedName>
    <definedName name="_xlnm.Print_Area" localSheetId="311">'4.13'!$B$1:$P$34</definedName>
    <definedName name="_xlnm.Print_Area" localSheetId="312">'4.14'!$B$1:$P$34</definedName>
    <definedName name="_xlnm.Print_Area" localSheetId="313">'4.15'!$B$1:$P$34</definedName>
    <definedName name="_xlnm.Print_Area" localSheetId="314">'4.16'!$B$1:$P$34</definedName>
    <definedName name="_xlnm.Print_Area" localSheetId="315">'4.17'!$B$1:$P$34</definedName>
    <definedName name="_xlnm.Print_Area" localSheetId="316">'4.18'!$B$1:$P$34</definedName>
    <definedName name="_xlnm.Print_Area" localSheetId="317">'4.19'!$B$1:$P$34</definedName>
    <definedName name="_xlnm.Print_Area" localSheetId="300">'4.2'!$B$1:$P$34</definedName>
    <definedName name="_xlnm.Print_Area" localSheetId="318">'4.20'!$B$1:$P$34</definedName>
    <definedName name="_xlnm.Print_Area" localSheetId="319">'4.21'!$B$1:$P$31</definedName>
    <definedName name="_xlnm.Print_Area" localSheetId="320">'4.22'!$B$1:$P$31</definedName>
    <definedName name="_xlnm.Print_Area" localSheetId="321">'4.23'!$B$1:$P$31</definedName>
    <definedName name="_xlnm.Print_Area" localSheetId="322">'4.24'!$B$1:$P$31</definedName>
    <definedName name="_xlnm.Print_Area" localSheetId="323">'4.25'!$B$1:$P$31</definedName>
    <definedName name="_xlnm.Print_Area" localSheetId="324">'4.26'!$B$1:$P$31</definedName>
    <definedName name="_xlnm.Print_Area" localSheetId="325">'4.27'!$B$1:$P$31</definedName>
    <definedName name="_xlnm.Print_Area" localSheetId="326">'4.28'!$B$1:$P$31</definedName>
    <definedName name="_xlnm.Print_Area" localSheetId="327">'4.29'!$B$1:$P$31</definedName>
    <definedName name="_xlnm.Print_Area" localSheetId="301">'4.3'!$B$1:$P$34</definedName>
    <definedName name="_xlnm.Print_Area" localSheetId="328">'4.30'!$B$1:$P$31</definedName>
    <definedName name="_xlnm.Print_Area" localSheetId="302">'4.4'!$B$1:$P$34</definedName>
    <definedName name="_xlnm.Print_Area" localSheetId="303">'4.5'!$B$1:$P$34</definedName>
    <definedName name="_xlnm.Print_Area" localSheetId="304">'4.6'!$B$1:$P$34</definedName>
    <definedName name="_xlnm.Print_Area" localSheetId="305">'4.7'!$B$1:$P$34</definedName>
    <definedName name="_xlnm.Print_Area" localSheetId="306">'4.8'!$B$1:$P$34</definedName>
    <definedName name="_xlnm.Print_Area" localSheetId="307">'4.9'!$B$1:$P$34</definedName>
    <definedName name="_xlnm.Print_Area" localSheetId="329">'5.1'!$B$1:$P$31</definedName>
    <definedName name="_xlnm.Print_Area" localSheetId="338">'5.10'!$B$1:$P$31</definedName>
    <definedName name="_xlnm.Print_Area" localSheetId="339">'5.11'!$B$1:$P$31</definedName>
    <definedName name="_xlnm.Print_Area" localSheetId="340">'5.12'!$B$1:$P$31</definedName>
    <definedName name="_xlnm.Print_Area" localSheetId="341">'5.13'!$B$1:$P$31</definedName>
    <definedName name="_xlnm.Print_Area" localSheetId="342">'5.14'!$B$1:$P$31</definedName>
    <definedName name="_xlnm.Print_Area" localSheetId="343">'5.15'!$B$1:$P$31</definedName>
    <definedName name="_xlnm.Print_Area" localSheetId="344">'5.16'!$B$1:$P$31</definedName>
    <definedName name="_xlnm.Print_Area" localSheetId="345">'5.17'!$B$1:$P$31</definedName>
    <definedName name="_xlnm.Print_Area" localSheetId="346">'5.18'!$B$1:$P$31</definedName>
    <definedName name="_xlnm.Print_Area" localSheetId="347">'5.19'!$B$1:$P$31</definedName>
    <definedName name="_xlnm.Print_Area" localSheetId="330">'5.2'!$B$1:$P$31</definedName>
    <definedName name="_xlnm.Print_Area" localSheetId="348">'5.20'!$B$1:$P$31</definedName>
    <definedName name="_xlnm.Print_Area" localSheetId="349">'5.21'!$B$1:$P$31</definedName>
    <definedName name="_xlnm.Print_Area" localSheetId="350">'5.22'!$B$1:$P$31</definedName>
    <definedName name="_xlnm.Print_Area" localSheetId="351">'5.23'!$B$1:$P$31</definedName>
    <definedName name="_xlnm.Print_Area" localSheetId="352">'5.24'!$B$1:$P$31</definedName>
    <definedName name="_xlnm.Print_Area" localSheetId="353">'5.25'!$B$1:$P$31</definedName>
    <definedName name="_xlnm.Print_Area" localSheetId="354">'5.26'!$B$1:$P$31</definedName>
    <definedName name="_xlnm.Print_Area" localSheetId="355">'5.27'!$B$1:$P$31</definedName>
    <definedName name="_xlnm.Print_Area" localSheetId="356">'5.28'!$B$1:$P$31</definedName>
    <definedName name="_xlnm.Print_Area" localSheetId="357">'5.29'!$B$1:$P$31</definedName>
    <definedName name="_xlnm.Print_Area" localSheetId="331">'5.3'!$B$1:$P$31</definedName>
    <definedName name="_xlnm.Print_Area" localSheetId="358">'5.30'!$B$1:$P$31</definedName>
    <definedName name="_xlnm.Print_Area" localSheetId="359">'5.31'!$B$1:$P$31</definedName>
    <definedName name="_xlnm.Print_Area" localSheetId="332">'5.4'!$B$1:$P$31</definedName>
    <definedName name="_xlnm.Print_Area" localSheetId="333">'5.5'!$B$1:$P$31</definedName>
    <definedName name="_xlnm.Print_Area" localSheetId="334">'5.6'!$B$1:$P$31</definedName>
    <definedName name="_xlnm.Print_Area" localSheetId="335">'5.7'!$B$1:$P$31</definedName>
    <definedName name="_xlnm.Print_Area" localSheetId="336">'5.8'!$B$1:$P$31</definedName>
    <definedName name="_xlnm.Print_Area" localSheetId="337">'5.9'!$B$1:$P$31</definedName>
    <definedName name="_xlnm.Print_Area" localSheetId="0">'6.1'!$B$1:$AE$65</definedName>
    <definedName name="_xlnm.Print_Area" localSheetId="360">'6.1.22'!$B$1:$P$31</definedName>
    <definedName name="_xlnm.Print_Area" localSheetId="369">'6.10.22'!$B$1:$P$31</definedName>
    <definedName name="_xlnm.Print_Area" localSheetId="7">'6.11'!$B$1:$AE$65</definedName>
    <definedName name="_xlnm.Print_Area" localSheetId="370">'6.11.22'!$B$1:$P$31</definedName>
    <definedName name="_xlnm.Print_Area" localSheetId="8">'6.12'!$B$1:$AE$65</definedName>
    <definedName name="_xlnm.Print_Area" localSheetId="371">'6.12.22'!$B$1:$P$31</definedName>
    <definedName name="_xlnm.Print_Area" localSheetId="9">'6.13'!$B$1:$AE$65</definedName>
    <definedName name="_xlnm.Print_Area" localSheetId="372">'6.13.22'!$B$1:$P$31</definedName>
    <definedName name="_xlnm.Print_Area" localSheetId="10">'6.14'!$B$1:$AE$65</definedName>
    <definedName name="_xlnm.Print_Area" localSheetId="373">'6.14.22'!$B$1:$P$31</definedName>
    <definedName name="_xlnm.Print_Area" localSheetId="11">'6.15'!$B$1:$AE$65</definedName>
    <definedName name="_xlnm.Print_Area" localSheetId="374">'6.15.22'!$B$1:$P$31</definedName>
    <definedName name="_xlnm.Print_Area" localSheetId="12">'6.16'!$B$1:$AE$65</definedName>
    <definedName name="_xlnm.Print_Area" localSheetId="375">'6.16.22'!$B$1:$P$31</definedName>
    <definedName name="_xlnm.Print_Area" localSheetId="13">'6.17'!$B$1:$AE$65</definedName>
    <definedName name="_xlnm.Print_Area" localSheetId="376">'6.17.22'!$B$1:$P$31</definedName>
    <definedName name="_xlnm.Print_Area" localSheetId="14">'6.18'!$B$1:$AE$65</definedName>
    <definedName name="_xlnm.Print_Area" localSheetId="377">'6.18.22'!$B$1:$P$31</definedName>
    <definedName name="_xlnm.Print_Area" localSheetId="15">'6.19'!$B$1:$AE$65</definedName>
    <definedName name="_xlnm.Print_Area" localSheetId="378">'6.19.22'!$B$1:$P$31</definedName>
    <definedName name="_xlnm.Print_Area" localSheetId="1">'6.2'!$B$1:$AE$65</definedName>
    <definedName name="_xlnm.Print_Area" localSheetId="361">'6.2.22'!$B$1:$P$31</definedName>
    <definedName name="_xlnm.Print_Area" localSheetId="16">'6.20'!$B$1:$AE$65</definedName>
    <definedName name="_xlnm.Print_Area" localSheetId="379">'6.20.22'!$B$1:$P$31</definedName>
    <definedName name="_xlnm.Print_Area" localSheetId="17">'6.21'!$B$1:$AE$65</definedName>
    <definedName name="_xlnm.Print_Area" localSheetId="380">'6.21.22'!$B$1:$P$31</definedName>
    <definedName name="_xlnm.Print_Area" localSheetId="18">'6.22'!$B$1:$AE$65</definedName>
    <definedName name="_xlnm.Print_Area" localSheetId="381">'6.22.22'!$B$1:$P$31</definedName>
    <definedName name="_xlnm.Print_Area" localSheetId="19">'6.23'!$B$1:$AE$65</definedName>
    <definedName name="_xlnm.Print_Area" localSheetId="382">'6.23.22'!$B$1:$P$31</definedName>
    <definedName name="_xlnm.Print_Area" localSheetId="20">'6.24'!$B$1:$AE$65</definedName>
    <definedName name="_xlnm.Print_Area" localSheetId="383">'6.24.22'!$B$1:$P$31</definedName>
    <definedName name="_xlnm.Print_Area" localSheetId="21">'6.25'!$B$1:$AE$65</definedName>
    <definedName name="_xlnm.Print_Area" localSheetId="384">'6.25.22'!$B$1:$P$31</definedName>
    <definedName name="_xlnm.Print_Area" localSheetId="22">'6.26'!$B$1:$AE$65</definedName>
    <definedName name="_xlnm.Print_Area" localSheetId="385">'6.26.22'!$B$1:$P$31</definedName>
    <definedName name="_xlnm.Print_Area" localSheetId="23">'6.27'!$B$1:$AE$65</definedName>
    <definedName name="_xlnm.Print_Area" localSheetId="386">'6.27.22'!$B$1:$P$31</definedName>
    <definedName name="_xlnm.Print_Area" localSheetId="24">'6.28'!$B$1:$AE$65</definedName>
    <definedName name="_xlnm.Print_Area" localSheetId="387">'6.28.22'!$B$1:$P$31</definedName>
    <definedName name="_xlnm.Print_Area" localSheetId="25">'6.29'!$B$1:$AE$65</definedName>
    <definedName name="_xlnm.Print_Area" localSheetId="388">'6.29.22'!$B$1:$P$31</definedName>
    <definedName name="_xlnm.Print_Area" localSheetId="2">'6.3'!$B$1:$AE$65</definedName>
    <definedName name="_xlnm.Print_Area" localSheetId="362">'6.3.22'!$B$1:$P$31</definedName>
    <definedName name="_xlnm.Print_Area" localSheetId="26">'6.30'!$B$1:$AE$65</definedName>
    <definedName name="_xlnm.Print_Area" localSheetId="389">'6.30.22'!$B$1:$P$31</definedName>
    <definedName name="_xlnm.Print_Area" localSheetId="3">'6.4'!$B$1:$AE$65</definedName>
    <definedName name="_xlnm.Print_Area" localSheetId="363">'6.4.22'!$B$1:$P$31</definedName>
    <definedName name="_xlnm.Print_Area" localSheetId="4">'6.5'!$B$1:$AE$65</definedName>
    <definedName name="_xlnm.Print_Area" localSheetId="364">'6.5.22'!$B$1:$P$31</definedName>
    <definedName name="_xlnm.Print_Area" localSheetId="365">'6.6.22'!$B$1:$P$31</definedName>
    <definedName name="_xlnm.Print_Area" localSheetId="366">'6.7.22'!$B$1:$P$31</definedName>
    <definedName name="_xlnm.Print_Area" localSheetId="5">'6.8'!$B$1:$AE$65</definedName>
    <definedName name="_xlnm.Print_Area" localSheetId="367">'6.8.22'!$B$1:$P$31</definedName>
    <definedName name="_xlnm.Print_Area" localSheetId="6">'6.9'!$B$1:$AE$65</definedName>
    <definedName name="_xlnm.Print_Area" localSheetId="368">'6.9.22'!$B$1:$P$31</definedName>
    <definedName name="_xlnm.Print_Area" localSheetId="27">'7.01'!$B$1:$AE$65</definedName>
    <definedName name="_xlnm.Print_Area" localSheetId="28">'7.02'!$B$1:$AE$65</definedName>
    <definedName name="_xlnm.Print_Area" localSheetId="29">'7.03'!$B$1:$AE$65</definedName>
    <definedName name="_xlnm.Print_Area" localSheetId="30">'7.04'!$B$1:$AE$65</definedName>
    <definedName name="_xlnm.Print_Area" localSheetId="31">'7.05'!$B$1:$AE$64</definedName>
    <definedName name="_xlnm.Print_Area" localSheetId="32">'7.06'!$B$1:$AE$64</definedName>
    <definedName name="_xlnm.Print_Area" localSheetId="33">'7.07'!$B$1:$AE$64</definedName>
    <definedName name="_xlnm.Print_Area" localSheetId="34">'7.08'!$B$1:$AE$64</definedName>
    <definedName name="_xlnm.Print_Area" localSheetId="35">'7.09'!$B$1:$AE$64</definedName>
    <definedName name="_xlnm.Print_Area" localSheetId="390">'7.1.22'!$B$1:$P$31</definedName>
    <definedName name="_xlnm.Print_Area" localSheetId="36">'7.10'!$B$1:$AE$64</definedName>
    <definedName name="_xlnm.Print_Area" localSheetId="399">'7.10.22'!$B$1:$P$31</definedName>
    <definedName name="_xlnm.Print_Area" localSheetId="37">'7.11'!$B$1:$AE$64</definedName>
    <definedName name="_xlnm.Print_Area" localSheetId="400">'7.11.22'!$B$1:$P$31</definedName>
    <definedName name="_xlnm.Print_Area" localSheetId="38">'7.12'!$B$1:$AE$64</definedName>
    <definedName name="_xlnm.Print_Area" localSheetId="401">'7.12.22'!$B$1:$P$31</definedName>
    <definedName name="_xlnm.Print_Area" localSheetId="39">'7.13'!$B$1:$AE$64</definedName>
    <definedName name="_xlnm.Print_Area" localSheetId="402">'7.13.22'!$B$1:$P$31</definedName>
    <definedName name="_xlnm.Print_Area" localSheetId="40">'7.14'!$B$1:$AE$64</definedName>
    <definedName name="_xlnm.Print_Area" localSheetId="403">'7.14.22'!$B$1:$P$31</definedName>
    <definedName name="_xlnm.Print_Area" localSheetId="41">'7.15'!$B$1:$AE$64</definedName>
    <definedName name="_xlnm.Print_Area" localSheetId="404">'7.15.22'!$B$1:$P$31</definedName>
    <definedName name="_xlnm.Print_Area" localSheetId="42">'7.16'!$B$1:$AE$64</definedName>
    <definedName name="_xlnm.Print_Area" localSheetId="405">'7.16.22'!$B$1:$P$31</definedName>
    <definedName name="_xlnm.Print_Area" localSheetId="43">'7.17'!$B$1:$AE$64</definedName>
    <definedName name="_xlnm.Print_Area" localSheetId="406">'7.17.22'!$B$1:$P$31</definedName>
    <definedName name="_xlnm.Print_Area" localSheetId="44">'7.18'!$B$1:$AE$64</definedName>
    <definedName name="_xlnm.Print_Area" localSheetId="407">'7.18.22'!$B$1:$P$31</definedName>
    <definedName name="_xlnm.Print_Area" localSheetId="45">'7.19'!$B$1:$AE$64</definedName>
    <definedName name="_xlnm.Print_Area" localSheetId="408">'7.19.22'!$B$1:$P$31</definedName>
    <definedName name="_xlnm.Print_Area" localSheetId="391">'7.2.22'!$B$1:$P$31</definedName>
    <definedName name="_xlnm.Print_Area" localSheetId="46">'7.20'!$B$1:$AE$64</definedName>
    <definedName name="_xlnm.Print_Area" localSheetId="409">'7.20.22'!$B$1:$P$31</definedName>
    <definedName name="_xlnm.Print_Area" localSheetId="47">'7.21'!$B$1:$AE$64</definedName>
    <definedName name="_xlnm.Print_Area" localSheetId="410">'7.21.22'!$B$1:$P$31</definedName>
    <definedName name="_xlnm.Print_Area" localSheetId="48">'7.22'!$B$1:$AE$64</definedName>
    <definedName name="_xlnm.Print_Area" localSheetId="411">'7.22.22'!$B$1:$P$31</definedName>
    <definedName name="_xlnm.Print_Area" localSheetId="49">'7.23'!$B$1:$AE$64</definedName>
    <definedName name="_xlnm.Print_Area" localSheetId="412">'7.23.22'!$B$1:$P$31</definedName>
    <definedName name="_xlnm.Print_Area" localSheetId="50">'7.24'!$B$1:$AE$64</definedName>
    <definedName name="_xlnm.Print_Area" localSheetId="413">'7.24.22'!$B$1:$P$31</definedName>
    <definedName name="_xlnm.Print_Area" localSheetId="51">'7.25'!$B$1:$AE$64</definedName>
    <definedName name="_xlnm.Print_Area" localSheetId="414">'7.25.22'!$B$1:$P$31</definedName>
    <definedName name="_xlnm.Print_Area" localSheetId="52">'7.26'!$B$1:$AE$64</definedName>
    <definedName name="_xlnm.Print_Area" localSheetId="415">'7.26.22'!$B$1:$P$31</definedName>
    <definedName name="_xlnm.Print_Area" localSheetId="53">'7.27'!$B$1:$AE$64</definedName>
    <definedName name="_xlnm.Print_Area" localSheetId="416">'7.27.22'!$B$1:$P$31</definedName>
    <definedName name="_xlnm.Print_Area" localSheetId="54">'7.28'!$B$1:$AE$64</definedName>
    <definedName name="_xlnm.Print_Area" localSheetId="417">'7.28.22'!$B$1:$P$31</definedName>
    <definedName name="_xlnm.Print_Area" localSheetId="55">'7.29'!$B$1:$AE$64</definedName>
    <definedName name="_xlnm.Print_Area" localSheetId="418">'7.29.22'!$B$1:$P$31</definedName>
    <definedName name="_xlnm.Print_Area" localSheetId="392">'7.3.22'!$B$1:$P$31</definedName>
    <definedName name="_xlnm.Print_Area" localSheetId="56">'7.30'!$B$1:$AE$64</definedName>
    <definedName name="_xlnm.Print_Area" localSheetId="419">'7.30.22'!$B$1:$P$31</definedName>
    <definedName name="_xlnm.Print_Area" localSheetId="57">'7.31'!$B$1:$AE$64</definedName>
    <definedName name="_xlnm.Print_Area" localSheetId="420">'7.31.22'!$B$1:$P$31</definedName>
    <definedName name="_xlnm.Print_Area" localSheetId="393">'7.4.22'!$B$1:$P$31</definedName>
    <definedName name="_xlnm.Print_Area" localSheetId="394">'7.5.22'!$B$1:$P$31</definedName>
    <definedName name="_xlnm.Print_Area" localSheetId="395">'7.6.22'!$B$1:$P$31</definedName>
    <definedName name="_xlnm.Print_Area" localSheetId="396">'7.7.22'!$B$1:$P$31</definedName>
    <definedName name="_xlnm.Print_Area" localSheetId="397">'7.8.22'!$B$1:$P$31</definedName>
    <definedName name="_xlnm.Print_Area" localSheetId="398">'7.9.22'!$B$1:$P$31</definedName>
    <definedName name="_xlnm.Print_Area" localSheetId="58">'8.1'!$B$1:$AE$64</definedName>
    <definedName name="_xlnm.Print_Area" localSheetId="421">'8.1.22'!$B$1:$P$31</definedName>
    <definedName name="_xlnm.Print_Area" localSheetId="67">'8.10'!$B$1:$AE$64</definedName>
    <definedName name="_xlnm.Print_Area" localSheetId="430">'8.10.22'!$B$1:$P$31</definedName>
    <definedName name="_xlnm.Print_Area" localSheetId="68">'8.11'!$B$1:$AE$64</definedName>
    <definedName name="_xlnm.Print_Area" localSheetId="431">'8.11.22'!$B$1:$P$31</definedName>
    <definedName name="_xlnm.Print_Area" localSheetId="69">'8.12'!$B$1:$AE$64</definedName>
    <definedName name="_xlnm.Print_Area" localSheetId="432">'8.12.22'!$B$1:$P$31</definedName>
    <definedName name="_xlnm.Print_Area" localSheetId="70">'8.13'!$B$1:$AE$64</definedName>
    <definedName name="_xlnm.Print_Area" localSheetId="433">'8.13.22'!$B$1:$P$31</definedName>
    <definedName name="_xlnm.Print_Area" localSheetId="71">'8.14'!$B$1:$AE$64</definedName>
    <definedName name="_xlnm.Print_Area" localSheetId="434">'8.14.22'!$B$1:$P$31</definedName>
    <definedName name="_xlnm.Print_Area" localSheetId="72">'8.15'!$B$1:$AE$64</definedName>
    <definedName name="_xlnm.Print_Area" localSheetId="435">'8.15.22'!$B$1:$P$31</definedName>
    <definedName name="_xlnm.Print_Area" localSheetId="73">'8.16'!$B$1:$AE$64</definedName>
    <definedName name="_xlnm.Print_Area" localSheetId="436">'8.16.22'!$B$1:$P$31</definedName>
    <definedName name="_xlnm.Print_Area" localSheetId="74">'8.17'!$B$1:$AE$64</definedName>
    <definedName name="_xlnm.Print_Area" localSheetId="437">'8.17.22 '!$B$1:$Q$33</definedName>
    <definedName name="_xlnm.Print_Area" localSheetId="75">'8.18'!$B$1:$AE$64</definedName>
    <definedName name="_xlnm.Print_Area" localSheetId="438">'8.18.22'!$B$1:$Q$33</definedName>
    <definedName name="_xlnm.Print_Area" localSheetId="76">'8.19'!$B$1:$AE$64</definedName>
    <definedName name="_xlnm.Print_Area" localSheetId="439">'8.19.22'!$B$1:$Q$33</definedName>
    <definedName name="_xlnm.Print_Area" localSheetId="59">'8.2'!$B$1:$AE$64</definedName>
    <definedName name="_xlnm.Print_Area" localSheetId="422">'8.2.22'!$B$1:$P$31</definedName>
    <definedName name="_xlnm.Print_Area" localSheetId="77">'8.20'!$B$1:$AE$64</definedName>
    <definedName name="_xlnm.Print_Area" localSheetId="440">'8.20.22'!$B$1:$Q$33</definedName>
    <definedName name="_xlnm.Print_Area" localSheetId="78">'8.21'!$B$1:$AE$64</definedName>
    <definedName name="_xlnm.Print_Area" localSheetId="441">'8.21.22'!$B$1:$Q$33</definedName>
    <definedName name="_xlnm.Print_Area" localSheetId="79">'8.22'!$B$1:$AE$64</definedName>
    <definedName name="_xlnm.Print_Area" localSheetId="442">'8.22.22'!$B$1:$Q$33</definedName>
    <definedName name="_xlnm.Print_Area" localSheetId="80">'8.23'!$B$1:$AE$64</definedName>
    <definedName name="_xlnm.Print_Area" localSheetId="443">'8.23.22'!$B$1:$Q$33</definedName>
    <definedName name="_xlnm.Print_Area" localSheetId="81">'8.24'!$B$1:$AE$64</definedName>
    <definedName name="_xlnm.Print_Area" localSheetId="444">'8.24.22'!$B$1:$Q$33</definedName>
    <definedName name="_xlnm.Print_Area" localSheetId="82">'8.25'!$B$1:$AE$64</definedName>
    <definedName name="_xlnm.Print_Area" localSheetId="445">'8.25.22'!$B$1:$Q$33</definedName>
    <definedName name="_xlnm.Print_Area" localSheetId="83">'8.26'!$B$1:$AE$64</definedName>
    <definedName name="_xlnm.Print_Area" localSheetId="446">'8.26.22'!$B$1:$Q$33</definedName>
    <definedName name="_xlnm.Print_Area" localSheetId="84">'8.27'!$B$1:$AE$64</definedName>
    <definedName name="_xlnm.Print_Area" localSheetId="447">'8.27.22'!$B$1:$Q$33</definedName>
    <definedName name="_xlnm.Print_Area" localSheetId="85">'8.28'!$B$1:$AE$64</definedName>
    <definedName name="_xlnm.Print_Area" localSheetId="448">'8.28.22'!$B$1:$Q$33</definedName>
    <definedName name="_xlnm.Print_Area" localSheetId="86">'8.29'!$B$1:$AE$64</definedName>
    <definedName name="_xlnm.Print_Area" localSheetId="449">'8.29.22'!$B$1:$Q$33</definedName>
    <definedName name="_xlnm.Print_Area" localSheetId="60">'8.3'!$B$1:$AE$64</definedName>
    <definedName name="_xlnm.Print_Area" localSheetId="423">'8.3.22'!$B$1:$P$31</definedName>
    <definedName name="_xlnm.Print_Area" localSheetId="87">'8.30'!$B$1:$AE$64</definedName>
    <definedName name="_xlnm.Print_Area" localSheetId="450">'8.30.22'!$B$1:$Q$33</definedName>
    <definedName name="_xlnm.Print_Area" localSheetId="88">'8.31'!$B$1:$AE$64</definedName>
    <definedName name="_xlnm.Print_Area" localSheetId="451">'8.31.22'!$B$1:$Q$33</definedName>
    <definedName name="_xlnm.Print_Area" localSheetId="61">'8.4'!$B$1:$AE$64</definedName>
    <definedName name="_xlnm.Print_Area" localSheetId="424">'8.4.22'!$B$1:$P$31</definedName>
    <definedName name="_xlnm.Print_Area" localSheetId="62">'8.5'!$B$1:$AE$64</definedName>
    <definedName name="_xlnm.Print_Area" localSheetId="425">'8.5.22'!$B$1:$P$31</definedName>
    <definedName name="_xlnm.Print_Area" localSheetId="63">'8.6'!$B$1:$AE$64</definedName>
    <definedName name="_xlnm.Print_Area" localSheetId="426">'8.6.22'!$B$1:$P$31</definedName>
    <definedName name="_xlnm.Print_Area" localSheetId="64">'8.7'!$B$1:$AE$64</definedName>
    <definedName name="_xlnm.Print_Area" localSheetId="427">'8.7.22'!$B$1:$P$31</definedName>
    <definedName name="_xlnm.Print_Area" localSheetId="65">'8.8'!$B$1:$AE$64</definedName>
    <definedName name="_xlnm.Print_Area" localSheetId="428">'8.8.22'!$B$1:$P$31</definedName>
    <definedName name="_xlnm.Print_Area" localSheetId="66">'8.9'!$B$1:$AE$64</definedName>
    <definedName name="_xlnm.Print_Area" localSheetId="429">'8.9.22'!$B$1:$P$31</definedName>
    <definedName name="_xlnm.Print_Area" localSheetId="89">'9.01'!$B$1:$AE$64</definedName>
    <definedName name="_xlnm.Print_Area" localSheetId="90">'9.02'!$B$1:$AE$64</definedName>
    <definedName name="_xlnm.Print_Area" localSheetId="91">'9.03'!$B$1:$AE$64</definedName>
    <definedName name="_xlnm.Print_Area" localSheetId="92">'9.04'!$B$1:$AE$64</definedName>
    <definedName name="_xlnm.Print_Area" localSheetId="93">'9.05'!$B$1:$AE$64</definedName>
    <definedName name="_xlnm.Print_Area" localSheetId="94">'9.06'!$B$1:$AE$64</definedName>
    <definedName name="_xlnm.Print_Area" localSheetId="95">'9.07'!$B$1:$AE$64</definedName>
    <definedName name="_xlnm.Print_Area" localSheetId="96">'9.08'!$B$1:$AE$64</definedName>
    <definedName name="_xlnm.Print_Area" localSheetId="97">'9.09'!$B$1:$AE$64</definedName>
    <definedName name="_xlnm.Print_Area" localSheetId="452">'9.1.22'!$B$1:$Q$33</definedName>
    <definedName name="_xlnm.Print_Area" localSheetId="98">'9.10'!$B$1:$AE$64</definedName>
    <definedName name="_xlnm.Print_Area" localSheetId="461">'9.10.22'!$B$1:$Q$33</definedName>
    <definedName name="_xlnm.Print_Area" localSheetId="99">'9.11'!$B$1:$AE$64</definedName>
    <definedName name="_xlnm.Print_Area" localSheetId="462">'9.11.22'!$B$1:$Q$33</definedName>
    <definedName name="_xlnm.Print_Area" localSheetId="100">'9.12'!$B$1:$AE$64</definedName>
    <definedName name="_xlnm.Print_Area" localSheetId="463">'9.12.22'!$B$1:$Q$33</definedName>
    <definedName name="_xlnm.Print_Area" localSheetId="101">'9.13'!$B$1:$AE$64</definedName>
    <definedName name="_xlnm.Print_Area" localSheetId="464">'9.13.22'!$B$1:$Q$33</definedName>
    <definedName name="_xlnm.Print_Area" localSheetId="102">'9.14'!$B$1:$AE$64</definedName>
    <definedName name="_xlnm.Print_Area" localSheetId="465">'9.14.2022'!$B$1:$Q$33</definedName>
    <definedName name="_xlnm.Print_Area" localSheetId="103">'9.15'!$B$1:$AE$64</definedName>
    <definedName name="_xlnm.Print_Area" localSheetId="466">'9.15.2022 '!$B$1:$Q$33</definedName>
    <definedName name="_xlnm.Print_Area" localSheetId="104">'9.16'!$B$1:$AE$64</definedName>
    <definedName name="_xlnm.Print_Area" localSheetId="467">'9.16.2022'!$B$1:$Q$33</definedName>
    <definedName name="_xlnm.Print_Area" localSheetId="105">'9.17'!$B$1:$AE$64</definedName>
    <definedName name="_xlnm.Print_Area" localSheetId="468">'9.17.2022'!$B$1:$Q$33</definedName>
    <definedName name="_xlnm.Print_Area" localSheetId="106">'9.18'!$B$1:$AE$64</definedName>
    <definedName name="_xlnm.Print_Area" localSheetId="469">'9.18.2022'!$B$1:$Q$33</definedName>
    <definedName name="_xlnm.Print_Area" localSheetId="107">'9.19'!$B$1:$AE$64</definedName>
    <definedName name="_xlnm.Print_Area" localSheetId="470">'9.19.2022'!$B$1:$Q$33</definedName>
    <definedName name="_xlnm.Print_Area" localSheetId="453">'9.2.22'!$B$1:$Q$33</definedName>
    <definedName name="_xlnm.Print_Area" localSheetId="108">'9.20'!$B$1:$AE$64</definedName>
    <definedName name="_xlnm.Print_Area" localSheetId="471">'9.20.2022'!$B$1:$Q$33</definedName>
    <definedName name="_xlnm.Print_Area" localSheetId="109">'9.21'!$B$1:$AE$64</definedName>
    <definedName name="_xlnm.Print_Area" localSheetId="472">'9.21.2022'!$B$1:$Q$33</definedName>
    <definedName name="_xlnm.Print_Area" localSheetId="110">'9.22'!$B$1:$AE$64</definedName>
    <definedName name="_xlnm.Print_Area" localSheetId="473">'9.22.2022'!$B$1:$Q$33</definedName>
    <definedName name="_xlnm.Print_Area" localSheetId="111">'9.23'!$B$1:$AE$64</definedName>
    <definedName name="_xlnm.Print_Area" localSheetId="474">'9.23.2022'!$B$1:$Q$33</definedName>
    <definedName name="_xlnm.Print_Area" localSheetId="112">'9.24'!$B$1:$AE$64</definedName>
    <definedName name="_xlnm.Print_Area" localSheetId="113">'9.25'!$B$1:$AE$64</definedName>
    <definedName name="_xlnm.Print_Area" localSheetId="115">'9.26'!$B$1:$AE$64</definedName>
    <definedName name="_xlnm.Print_Area" localSheetId="475">'9.26.2022'!$B$1:$Q$33</definedName>
    <definedName name="_xlnm.Print_Area" localSheetId="114">'9.27'!$B$1:$AE$64</definedName>
    <definedName name="_xlnm.Print_Area" localSheetId="476">'9.27.2022'!$B$1:$Q$33</definedName>
    <definedName name="_xlnm.Print_Area" localSheetId="116">'9.28'!$B$1:$AE$64</definedName>
    <definedName name="_xlnm.Print_Area" localSheetId="477">'9.28.2022'!$B$1:$Q$33</definedName>
    <definedName name="_xlnm.Print_Area" localSheetId="117">'9.29'!$B$1:$AE$64</definedName>
    <definedName name="_xlnm.Print_Area" localSheetId="478">'9.29.2022'!$B$1:$Q$33</definedName>
    <definedName name="_xlnm.Print_Area" localSheetId="454">'9.3.22'!$B$1:$Q$33</definedName>
    <definedName name="_xlnm.Print_Area" localSheetId="118">'9.30'!$B$1:$AE$64</definedName>
    <definedName name="_xlnm.Print_Area" localSheetId="479">'9.30.2022'!$B$1:$Q$33</definedName>
    <definedName name="_xlnm.Print_Area" localSheetId="455">'9.4.22'!$B$1:$Q$33</definedName>
    <definedName name="_xlnm.Print_Area" localSheetId="456">'9.5.22'!$B$1:$Q$33</definedName>
    <definedName name="_xlnm.Print_Area" localSheetId="457">'9.6.22'!$B$1:$Q$33</definedName>
    <definedName name="_xlnm.Print_Area" localSheetId="458">'9.7.22'!$B$1:$Q$33</definedName>
    <definedName name="_xlnm.Print_Area" localSheetId="459">'9.8.22'!$B$1:$Q$33</definedName>
    <definedName name="_xlnm.Print_Area" localSheetId="460">'9.9.22'!$B$1:$Q$33</definedName>
    <definedName name="production_date">TODAY()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3" i="504" l="1"/>
  <c r="E32" i="504"/>
  <c r="E31" i="504"/>
  <c r="E30" i="504"/>
  <c r="E29" i="504"/>
  <c r="E28" i="504"/>
  <c r="E27" i="504"/>
  <c r="E26" i="504"/>
  <c r="E25" i="504"/>
  <c r="P18" i="504"/>
  <c r="O18" i="504"/>
  <c r="N18" i="504"/>
  <c r="L18" i="504"/>
  <c r="K18" i="504"/>
  <c r="J18" i="504"/>
  <c r="H18" i="504"/>
  <c r="G18" i="504"/>
  <c r="F18" i="504"/>
  <c r="P17" i="504"/>
  <c r="M16" i="504"/>
  <c r="I16" i="504"/>
  <c r="P15" i="504"/>
  <c r="R14" i="504"/>
  <c r="M14" i="504"/>
  <c r="I14" i="504"/>
  <c r="P13" i="504"/>
  <c r="R12" i="504"/>
  <c r="M12" i="504"/>
  <c r="I12" i="504"/>
  <c r="P11" i="504"/>
  <c r="R10" i="504"/>
  <c r="M10" i="504"/>
  <c r="I10" i="504"/>
  <c r="I18" i="504" s="1"/>
  <c r="P9" i="504"/>
  <c r="M8" i="504"/>
  <c r="I8" i="504"/>
  <c r="P7" i="504"/>
  <c r="R6" i="504"/>
  <c r="M6" i="504"/>
  <c r="M18" i="504" s="1"/>
  <c r="I6" i="504"/>
  <c r="C3" i="504"/>
  <c r="E33" i="503"/>
  <c r="E32" i="503"/>
  <c r="E31" i="503"/>
  <c r="E30" i="503"/>
  <c r="E29" i="503"/>
  <c r="E28" i="503"/>
  <c r="E27" i="503"/>
  <c r="E26" i="503"/>
  <c r="E25" i="503"/>
  <c r="P18" i="503"/>
  <c r="O18" i="503"/>
  <c r="N18" i="503"/>
  <c r="L18" i="503"/>
  <c r="K18" i="503"/>
  <c r="J18" i="503"/>
  <c r="H18" i="503"/>
  <c r="G18" i="503"/>
  <c r="F18" i="503"/>
  <c r="P17" i="503"/>
  <c r="M16" i="503"/>
  <c r="I16" i="503"/>
  <c r="P15" i="503"/>
  <c r="R14" i="503"/>
  <c r="M14" i="503"/>
  <c r="I14" i="503"/>
  <c r="P13" i="503"/>
  <c r="R12" i="503"/>
  <c r="M12" i="503"/>
  <c r="I12" i="503"/>
  <c r="P11" i="503"/>
  <c r="R10" i="503"/>
  <c r="M10" i="503"/>
  <c r="I10" i="503"/>
  <c r="P9" i="503"/>
  <c r="M8" i="503"/>
  <c r="I8" i="503"/>
  <c r="P7" i="503"/>
  <c r="R6" i="503"/>
  <c r="M6" i="503"/>
  <c r="I6" i="503"/>
  <c r="C3" i="503"/>
  <c r="E33" i="502"/>
  <c r="E32" i="502"/>
  <c r="E31" i="502"/>
  <c r="E30" i="502"/>
  <c r="E29" i="502"/>
  <c r="E28" i="502"/>
  <c r="E27" i="502"/>
  <c r="E26" i="502"/>
  <c r="E25" i="502"/>
  <c r="P18" i="502"/>
  <c r="O18" i="502"/>
  <c r="N18" i="502"/>
  <c r="L18" i="502"/>
  <c r="K18" i="502"/>
  <c r="J18" i="502"/>
  <c r="H18" i="502"/>
  <c r="G18" i="502"/>
  <c r="F18" i="502"/>
  <c r="P17" i="502"/>
  <c r="M16" i="502"/>
  <c r="I16" i="502"/>
  <c r="P15" i="502"/>
  <c r="R14" i="502"/>
  <c r="M14" i="502"/>
  <c r="I14" i="502"/>
  <c r="P13" i="502"/>
  <c r="P19" i="502" s="1"/>
  <c r="P20" i="502" s="1"/>
  <c r="R12" i="502"/>
  <c r="M12" i="502"/>
  <c r="I12" i="502"/>
  <c r="P11" i="502"/>
  <c r="R10" i="502"/>
  <c r="M10" i="502"/>
  <c r="I10" i="502"/>
  <c r="P9" i="502"/>
  <c r="M8" i="502"/>
  <c r="I8" i="502"/>
  <c r="P7" i="502"/>
  <c r="R6" i="502"/>
  <c r="M6" i="502"/>
  <c r="I6" i="502"/>
  <c r="C3" i="502"/>
  <c r="E33" i="501"/>
  <c r="E32" i="501"/>
  <c r="E31" i="501"/>
  <c r="E30" i="501"/>
  <c r="E29" i="501"/>
  <c r="E28" i="501"/>
  <c r="E27" i="501"/>
  <c r="E26" i="501"/>
  <c r="E25" i="501"/>
  <c r="P18" i="501"/>
  <c r="O18" i="501"/>
  <c r="N18" i="501"/>
  <c r="L18" i="501"/>
  <c r="K18" i="501"/>
  <c r="J18" i="501"/>
  <c r="H18" i="501"/>
  <c r="G18" i="501"/>
  <c r="F18" i="501"/>
  <c r="P17" i="501"/>
  <c r="M16" i="501"/>
  <c r="I16" i="501"/>
  <c r="P15" i="501"/>
  <c r="R14" i="501"/>
  <c r="M14" i="501"/>
  <c r="I14" i="501"/>
  <c r="P13" i="501"/>
  <c r="R12" i="501"/>
  <c r="M12" i="501"/>
  <c r="I12" i="501"/>
  <c r="P11" i="501"/>
  <c r="R10" i="501"/>
  <c r="M10" i="501"/>
  <c r="I10" i="501"/>
  <c r="P9" i="501"/>
  <c r="M8" i="501"/>
  <c r="M18" i="501" s="1"/>
  <c r="I8" i="501"/>
  <c r="P7" i="501"/>
  <c r="R6" i="501"/>
  <c r="M6" i="501"/>
  <c r="I6" i="501"/>
  <c r="C3" i="501"/>
  <c r="E33" i="500"/>
  <c r="E32" i="500"/>
  <c r="E31" i="500"/>
  <c r="E30" i="500"/>
  <c r="E29" i="500"/>
  <c r="E28" i="500"/>
  <c r="E27" i="500"/>
  <c r="E26" i="500"/>
  <c r="E25" i="500"/>
  <c r="P18" i="500"/>
  <c r="O18" i="500"/>
  <c r="N18" i="500"/>
  <c r="L18" i="500"/>
  <c r="K18" i="500"/>
  <c r="J18" i="500"/>
  <c r="P17" i="500"/>
  <c r="M16" i="500"/>
  <c r="I16" i="500"/>
  <c r="P15" i="500"/>
  <c r="R14" i="500"/>
  <c r="M14" i="500"/>
  <c r="I14" i="500"/>
  <c r="P13" i="500"/>
  <c r="R12" i="500"/>
  <c r="M12" i="500"/>
  <c r="I12" i="500"/>
  <c r="P11" i="500"/>
  <c r="R10" i="500"/>
  <c r="M10" i="500"/>
  <c r="M18" i="500" s="1"/>
  <c r="I10" i="500"/>
  <c r="P9" i="500"/>
  <c r="M8" i="500"/>
  <c r="I8" i="500"/>
  <c r="P7" i="500"/>
  <c r="R6" i="500"/>
  <c r="M6" i="500"/>
  <c r="I6" i="500"/>
  <c r="C3" i="500"/>
  <c r="E33" i="499"/>
  <c r="E32" i="499"/>
  <c r="E31" i="499"/>
  <c r="E30" i="499"/>
  <c r="E29" i="499"/>
  <c r="E28" i="499"/>
  <c r="E27" i="499"/>
  <c r="E26" i="499"/>
  <c r="E25" i="499"/>
  <c r="P18" i="499"/>
  <c r="O18" i="499"/>
  <c r="N18" i="499"/>
  <c r="L18" i="499"/>
  <c r="K18" i="499"/>
  <c r="J18" i="499"/>
  <c r="H18" i="499"/>
  <c r="G18" i="499"/>
  <c r="F18" i="499"/>
  <c r="P17" i="499"/>
  <c r="M16" i="499"/>
  <c r="I16" i="499"/>
  <c r="P15" i="499"/>
  <c r="R14" i="499"/>
  <c r="M14" i="499"/>
  <c r="I14" i="499"/>
  <c r="P13" i="499"/>
  <c r="R12" i="499"/>
  <c r="M12" i="499"/>
  <c r="I12" i="499"/>
  <c r="P11" i="499"/>
  <c r="R10" i="499"/>
  <c r="M10" i="499"/>
  <c r="I10" i="499"/>
  <c r="P9" i="499"/>
  <c r="M8" i="499"/>
  <c r="I8" i="499"/>
  <c r="I18" i="499" s="1"/>
  <c r="P7" i="499"/>
  <c r="R6" i="499"/>
  <c r="M6" i="499"/>
  <c r="I6" i="499"/>
  <c r="C3" i="499"/>
  <c r="E33" i="498"/>
  <c r="E32" i="498"/>
  <c r="E31" i="498"/>
  <c r="E30" i="498"/>
  <c r="E29" i="498"/>
  <c r="E28" i="498"/>
  <c r="E27" i="498"/>
  <c r="E26" i="498"/>
  <c r="E25" i="498"/>
  <c r="P18" i="498"/>
  <c r="O18" i="498"/>
  <c r="N18" i="498"/>
  <c r="L18" i="498"/>
  <c r="K18" i="498"/>
  <c r="J18" i="498"/>
  <c r="H18" i="498"/>
  <c r="G18" i="498"/>
  <c r="F18" i="498"/>
  <c r="P17" i="498"/>
  <c r="M16" i="498"/>
  <c r="I16" i="498"/>
  <c r="P15" i="498"/>
  <c r="R14" i="498"/>
  <c r="M14" i="498"/>
  <c r="I14" i="498"/>
  <c r="P13" i="498"/>
  <c r="P19" i="498" s="1"/>
  <c r="P20" i="498" s="1"/>
  <c r="R12" i="498"/>
  <c r="M12" i="498"/>
  <c r="I12" i="498"/>
  <c r="P11" i="498"/>
  <c r="R10" i="498"/>
  <c r="M10" i="498"/>
  <c r="I10" i="498"/>
  <c r="P9" i="498"/>
  <c r="M8" i="498"/>
  <c r="I8" i="498"/>
  <c r="P7" i="498"/>
  <c r="R6" i="498"/>
  <c r="M6" i="498"/>
  <c r="M18" i="498" s="1"/>
  <c r="I6" i="498"/>
  <c r="C3" i="498"/>
  <c r="E33" i="497"/>
  <c r="E32" i="497"/>
  <c r="E31" i="497"/>
  <c r="E30" i="497"/>
  <c r="E29" i="497"/>
  <c r="E28" i="497"/>
  <c r="E27" i="497"/>
  <c r="E26" i="497"/>
  <c r="E25" i="497"/>
  <c r="P18" i="497"/>
  <c r="O18" i="497"/>
  <c r="N18" i="497"/>
  <c r="L18" i="497"/>
  <c r="K18" i="497"/>
  <c r="J18" i="497"/>
  <c r="H18" i="497"/>
  <c r="G18" i="497"/>
  <c r="F18" i="497"/>
  <c r="P17" i="497"/>
  <c r="M16" i="497"/>
  <c r="I16" i="497"/>
  <c r="P15" i="497"/>
  <c r="R14" i="497"/>
  <c r="M14" i="497"/>
  <c r="I14" i="497"/>
  <c r="P13" i="497"/>
  <c r="R12" i="497"/>
  <c r="M12" i="497"/>
  <c r="I12" i="497"/>
  <c r="P11" i="497"/>
  <c r="R10" i="497"/>
  <c r="M10" i="497"/>
  <c r="I10" i="497"/>
  <c r="P9" i="497"/>
  <c r="M8" i="497"/>
  <c r="I8" i="497"/>
  <c r="P7" i="497"/>
  <c r="R6" i="497"/>
  <c r="M6" i="497"/>
  <c r="I6" i="497"/>
  <c r="C3" i="497"/>
  <c r="E33" i="496"/>
  <c r="E32" i="496"/>
  <c r="E31" i="496"/>
  <c r="E30" i="496"/>
  <c r="E29" i="496"/>
  <c r="E28" i="496"/>
  <c r="E27" i="496"/>
  <c r="E26" i="496"/>
  <c r="E25" i="496"/>
  <c r="P18" i="496"/>
  <c r="O18" i="496"/>
  <c r="N18" i="496"/>
  <c r="L18" i="496"/>
  <c r="K18" i="496"/>
  <c r="J18" i="496"/>
  <c r="H18" i="496"/>
  <c r="G18" i="496"/>
  <c r="F18" i="496"/>
  <c r="P17" i="496"/>
  <c r="M16" i="496"/>
  <c r="I16" i="496"/>
  <c r="P15" i="496"/>
  <c r="R14" i="496"/>
  <c r="M14" i="496"/>
  <c r="I14" i="496"/>
  <c r="P13" i="496"/>
  <c r="R12" i="496"/>
  <c r="M12" i="496"/>
  <c r="I12" i="496"/>
  <c r="P11" i="496"/>
  <c r="R10" i="496"/>
  <c r="M10" i="496"/>
  <c r="I10" i="496"/>
  <c r="P9" i="496"/>
  <c r="M8" i="496"/>
  <c r="I8" i="496"/>
  <c r="P7" i="496"/>
  <c r="R6" i="496"/>
  <c r="M6" i="496"/>
  <c r="I6" i="496"/>
  <c r="C3" i="496"/>
  <c r="E33" i="495"/>
  <c r="E32" i="495"/>
  <c r="E31" i="495"/>
  <c r="E30" i="495"/>
  <c r="E29" i="495"/>
  <c r="E28" i="495"/>
  <c r="E27" i="495"/>
  <c r="E26" i="495"/>
  <c r="E25" i="495"/>
  <c r="P18" i="495"/>
  <c r="O18" i="495"/>
  <c r="N18" i="495"/>
  <c r="L18" i="495"/>
  <c r="K18" i="495"/>
  <c r="J18" i="495"/>
  <c r="H18" i="495"/>
  <c r="G18" i="495"/>
  <c r="F18" i="495"/>
  <c r="P17" i="495"/>
  <c r="M16" i="495"/>
  <c r="I16" i="495"/>
  <c r="P15" i="495"/>
  <c r="P19" i="495" s="1"/>
  <c r="R14" i="495"/>
  <c r="M14" i="495"/>
  <c r="I14" i="495"/>
  <c r="P13" i="495"/>
  <c r="R12" i="495"/>
  <c r="M12" i="495"/>
  <c r="I12" i="495"/>
  <c r="P11" i="495"/>
  <c r="R10" i="495"/>
  <c r="M10" i="495"/>
  <c r="I10" i="495"/>
  <c r="P9" i="495"/>
  <c r="M8" i="495"/>
  <c r="I8" i="495"/>
  <c r="P7" i="495"/>
  <c r="R6" i="495"/>
  <c r="M6" i="495"/>
  <c r="I6" i="495"/>
  <c r="C3" i="495"/>
  <c r="E33" i="494"/>
  <c r="E32" i="494"/>
  <c r="E31" i="494"/>
  <c r="E30" i="494"/>
  <c r="E29" i="494"/>
  <c r="E28" i="494"/>
  <c r="E27" i="494"/>
  <c r="E26" i="494"/>
  <c r="E25" i="494"/>
  <c r="P18" i="494"/>
  <c r="O18" i="494"/>
  <c r="N18" i="494"/>
  <c r="L18" i="494"/>
  <c r="K18" i="494"/>
  <c r="J18" i="494"/>
  <c r="H18" i="494"/>
  <c r="G18" i="494"/>
  <c r="F18" i="494"/>
  <c r="P17" i="494"/>
  <c r="M16" i="494"/>
  <c r="I16" i="494"/>
  <c r="P15" i="494"/>
  <c r="Q14" i="494"/>
  <c r="M14" i="494"/>
  <c r="I14" i="494"/>
  <c r="P13" i="494"/>
  <c r="Q12" i="494"/>
  <c r="M12" i="494"/>
  <c r="I12" i="494"/>
  <c r="P11" i="494"/>
  <c r="Q10" i="494"/>
  <c r="M10" i="494"/>
  <c r="I10" i="494"/>
  <c r="P9" i="494"/>
  <c r="M8" i="494"/>
  <c r="I8" i="494"/>
  <c r="P7" i="494"/>
  <c r="Q6" i="494"/>
  <c r="M6" i="494"/>
  <c r="I6" i="494"/>
  <c r="C3" i="494"/>
  <c r="E33" i="493"/>
  <c r="E32" i="493"/>
  <c r="E31" i="493"/>
  <c r="E30" i="493"/>
  <c r="E29" i="493"/>
  <c r="E28" i="493"/>
  <c r="E27" i="493"/>
  <c r="E26" i="493"/>
  <c r="E25" i="493"/>
  <c r="P18" i="493"/>
  <c r="O18" i="493"/>
  <c r="N18" i="493"/>
  <c r="L18" i="493"/>
  <c r="K18" i="493"/>
  <c r="J18" i="493"/>
  <c r="H18" i="493"/>
  <c r="G18" i="493"/>
  <c r="F18" i="493"/>
  <c r="P17" i="493"/>
  <c r="M16" i="493"/>
  <c r="I16" i="493"/>
  <c r="P15" i="493"/>
  <c r="Q14" i="493"/>
  <c r="M14" i="493"/>
  <c r="I14" i="493"/>
  <c r="P13" i="493"/>
  <c r="Q12" i="493"/>
  <c r="M12" i="493"/>
  <c r="I12" i="493"/>
  <c r="P11" i="493"/>
  <c r="Q10" i="493"/>
  <c r="M10" i="493"/>
  <c r="I10" i="493"/>
  <c r="P9" i="493"/>
  <c r="M8" i="493"/>
  <c r="M18" i="493" s="1"/>
  <c r="I8" i="493"/>
  <c r="P7" i="493"/>
  <c r="Q6" i="493"/>
  <c r="M6" i="493"/>
  <c r="I6" i="493"/>
  <c r="C3" i="493"/>
  <c r="E33" i="492"/>
  <c r="E32" i="492"/>
  <c r="E31" i="492"/>
  <c r="E30" i="492"/>
  <c r="E29" i="492"/>
  <c r="E28" i="492"/>
  <c r="E27" i="492"/>
  <c r="E26" i="492"/>
  <c r="E25" i="492"/>
  <c r="P18" i="492"/>
  <c r="O18" i="492"/>
  <c r="N18" i="492"/>
  <c r="L18" i="492"/>
  <c r="K18" i="492"/>
  <c r="J18" i="492"/>
  <c r="H18" i="492"/>
  <c r="G18" i="492"/>
  <c r="F18" i="492"/>
  <c r="P17" i="492"/>
  <c r="M16" i="492"/>
  <c r="I16" i="492"/>
  <c r="P15" i="492"/>
  <c r="Q14" i="492"/>
  <c r="M14" i="492"/>
  <c r="I14" i="492"/>
  <c r="P13" i="492"/>
  <c r="Q12" i="492"/>
  <c r="M12" i="492"/>
  <c r="I12" i="492"/>
  <c r="P11" i="492"/>
  <c r="Q10" i="492"/>
  <c r="M10" i="492"/>
  <c r="I10" i="492"/>
  <c r="P9" i="492"/>
  <c r="M8" i="492"/>
  <c r="I8" i="492"/>
  <c r="P7" i="492"/>
  <c r="Q6" i="492"/>
  <c r="M6" i="492"/>
  <c r="I6" i="492"/>
  <c r="C3" i="492"/>
  <c r="E33" i="491"/>
  <c r="E32" i="491"/>
  <c r="E31" i="491"/>
  <c r="E30" i="491"/>
  <c r="E29" i="491"/>
  <c r="E28" i="491"/>
  <c r="E27" i="491"/>
  <c r="E26" i="491"/>
  <c r="E25" i="491"/>
  <c r="P18" i="491"/>
  <c r="O18" i="491"/>
  <c r="N18" i="491"/>
  <c r="L18" i="491"/>
  <c r="K18" i="491"/>
  <c r="J18" i="491"/>
  <c r="H18" i="491"/>
  <c r="G18" i="491"/>
  <c r="F18" i="491"/>
  <c r="P17" i="491"/>
  <c r="M16" i="491"/>
  <c r="I16" i="491"/>
  <c r="P15" i="491"/>
  <c r="Q14" i="491"/>
  <c r="M14" i="491"/>
  <c r="I14" i="491"/>
  <c r="P13" i="491"/>
  <c r="Q12" i="491"/>
  <c r="M12" i="491"/>
  <c r="I12" i="491"/>
  <c r="P11" i="491"/>
  <c r="Q10" i="491"/>
  <c r="M10" i="491"/>
  <c r="I10" i="491"/>
  <c r="P9" i="491"/>
  <c r="M8" i="491"/>
  <c r="I8" i="491"/>
  <c r="P7" i="491"/>
  <c r="Q6" i="491"/>
  <c r="M6" i="491"/>
  <c r="I6" i="491"/>
  <c r="C3" i="491"/>
  <c r="E33" i="490"/>
  <c r="E32" i="490"/>
  <c r="E31" i="490"/>
  <c r="E30" i="490"/>
  <c r="E29" i="490"/>
  <c r="E28" i="490"/>
  <c r="E27" i="490"/>
  <c r="E26" i="490"/>
  <c r="E25" i="490"/>
  <c r="P18" i="490"/>
  <c r="O18" i="490"/>
  <c r="N18" i="490"/>
  <c r="L18" i="490"/>
  <c r="K18" i="490"/>
  <c r="J18" i="490"/>
  <c r="H18" i="490"/>
  <c r="G18" i="490"/>
  <c r="F18" i="490"/>
  <c r="P17" i="490"/>
  <c r="M16" i="490"/>
  <c r="I16" i="490"/>
  <c r="P15" i="490"/>
  <c r="P19" i="490" s="1"/>
  <c r="P20" i="490" s="1"/>
  <c r="Q14" i="490"/>
  <c r="M14" i="490"/>
  <c r="I14" i="490"/>
  <c r="P13" i="490"/>
  <c r="Q12" i="490"/>
  <c r="M12" i="490"/>
  <c r="I12" i="490"/>
  <c r="P11" i="490"/>
  <c r="Q10" i="490"/>
  <c r="M10" i="490"/>
  <c r="I10" i="490"/>
  <c r="P9" i="490"/>
  <c r="M8" i="490"/>
  <c r="I8" i="490"/>
  <c r="P7" i="490"/>
  <c r="Q6" i="490"/>
  <c r="M6" i="490"/>
  <c r="M18" i="490" s="1"/>
  <c r="I6" i="490"/>
  <c r="I18" i="490" s="1"/>
  <c r="C3" i="490"/>
  <c r="E33" i="489"/>
  <c r="E32" i="489"/>
  <c r="E31" i="489"/>
  <c r="E30" i="489"/>
  <c r="E29" i="489"/>
  <c r="E28" i="489"/>
  <c r="E27" i="489"/>
  <c r="E26" i="489"/>
  <c r="E25" i="489"/>
  <c r="P18" i="489"/>
  <c r="O18" i="489"/>
  <c r="N18" i="489"/>
  <c r="L18" i="489"/>
  <c r="K18" i="489"/>
  <c r="J18" i="489"/>
  <c r="H18" i="489"/>
  <c r="G18" i="489"/>
  <c r="F18" i="489"/>
  <c r="P17" i="489"/>
  <c r="M16" i="489"/>
  <c r="I16" i="489"/>
  <c r="P15" i="489"/>
  <c r="Q14" i="489"/>
  <c r="M14" i="489"/>
  <c r="I14" i="489"/>
  <c r="P13" i="489"/>
  <c r="Q12" i="489"/>
  <c r="M12" i="489"/>
  <c r="I12" i="489"/>
  <c r="P11" i="489"/>
  <c r="Q10" i="489"/>
  <c r="M10" i="489"/>
  <c r="I10" i="489"/>
  <c r="P9" i="489"/>
  <c r="M8" i="489"/>
  <c r="I8" i="489"/>
  <c r="P7" i="489"/>
  <c r="Q6" i="489"/>
  <c r="M6" i="489"/>
  <c r="I6" i="489"/>
  <c r="C3" i="489"/>
  <c r="E33" i="488"/>
  <c r="E32" i="488"/>
  <c r="E31" i="488"/>
  <c r="E30" i="488"/>
  <c r="E29" i="488"/>
  <c r="E28" i="488"/>
  <c r="E27" i="488"/>
  <c r="E26" i="488"/>
  <c r="E25" i="488"/>
  <c r="P18" i="488"/>
  <c r="O18" i="488"/>
  <c r="N18" i="488"/>
  <c r="L18" i="488"/>
  <c r="K18" i="488"/>
  <c r="J18" i="488"/>
  <c r="H18" i="488"/>
  <c r="G18" i="488"/>
  <c r="F18" i="488"/>
  <c r="P17" i="488"/>
  <c r="M16" i="488"/>
  <c r="I16" i="488"/>
  <c r="P15" i="488"/>
  <c r="Q14" i="488"/>
  <c r="M14" i="488"/>
  <c r="I14" i="488"/>
  <c r="P13" i="488"/>
  <c r="Q12" i="488"/>
  <c r="M12" i="488"/>
  <c r="I12" i="488"/>
  <c r="P11" i="488"/>
  <c r="Q10" i="488"/>
  <c r="M10" i="488"/>
  <c r="I10" i="488"/>
  <c r="P9" i="488"/>
  <c r="M8" i="488"/>
  <c r="M18" i="488" s="1"/>
  <c r="I8" i="488"/>
  <c r="P7" i="488"/>
  <c r="Q6" i="488"/>
  <c r="M6" i="488"/>
  <c r="I6" i="488"/>
  <c r="C3" i="488"/>
  <c r="E33" i="487"/>
  <c r="E32" i="487"/>
  <c r="E31" i="487"/>
  <c r="E30" i="487"/>
  <c r="E29" i="487"/>
  <c r="E28" i="487"/>
  <c r="E27" i="487"/>
  <c r="E26" i="487"/>
  <c r="E25" i="487"/>
  <c r="P19" i="487"/>
  <c r="P20" i="487" s="1"/>
  <c r="P18" i="487"/>
  <c r="O18" i="487"/>
  <c r="N18" i="487"/>
  <c r="L18" i="487"/>
  <c r="K18" i="487"/>
  <c r="J18" i="487"/>
  <c r="H18" i="487"/>
  <c r="G18" i="487"/>
  <c r="F18" i="487"/>
  <c r="P17" i="487"/>
  <c r="M16" i="487"/>
  <c r="I16" i="487"/>
  <c r="P15" i="487"/>
  <c r="Q14" i="487"/>
  <c r="M14" i="487"/>
  <c r="I14" i="487"/>
  <c r="P13" i="487"/>
  <c r="Q12" i="487"/>
  <c r="M12" i="487"/>
  <c r="I12" i="487"/>
  <c r="P11" i="487"/>
  <c r="Q10" i="487"/>
  <c r="M10" i="487"/>
  <c r="I10" i="487"/>
  <c r="P9" i="487"/>
  <c r="M8" i="487"/>
  <c r="I8" i="487"/>
  <c r="P7" i="487"/>
  <c r="Q6" i="487"/>
  <c r="M6" i="487"/>
  <c r="I6" i="487"/>
  <c r="C3" i="487"/>
  <c r="E33" i="486"/>
  <c r="E32" i="486"/>
  <c r="E31" i="486"/>
  <c r="E30" i="486"/>
  <c r="E29" i="486"/>
  <c r="E28" i="486"/>
  <c r="E27" i="486"/>
  <c r="E26" i="486"/>
  <c r="E25" i="486"/>
  <c r="P18" i="486"/>
  <c r="O18" i="486"/>
  <c r="N18" i="486"/>
  <c r="L18" i="486"/>
  <c r="K18" i="486"/>
  <c r="J18" i="486"/>
  <c r="H18" i="486"/>
  <c r="G18" i="486"/>
  <c r="F18" i="486"/>
  <c r="P17" i="486"/>
  <c r="M16" i="486"/>
  <c r="I16" i="486"/>
  <c r="P15" i="486"/>
  <c r="Q14" i="486"/>
  <c r="M14" i="486"/>
  <c r="I14" i="486"/>
  <c r="P13" i="486"/>
  <c r="Q12" i="486"/>
  <c r="M12" i="486"/>
  <c r="I12" i="486"/>
  <c r="P11" i="486"/>
  <c r="Q10" i="486"/>
  <c r="M10" i="486"/>
  <c r="I10" i="486"/>
  <c r="P9" i="486"/>
  <c r="M8" i="486"/>
  <c r="I8" i="486"/>
  <c r="P7" i="486"/>
  <c r="Q6" i="486"/>
  <c r="M6" i="486"/>
  <c r="I6" i="486"/>
  <c r="I18" i="486" s="1"/>
  <c r="C3" i="486"/>
  <c r="E33" i="485"/>
  <c r="E32" i="485"/>
  <c r="E31" i="485"/>
  <c r="E30" i="485"/>
  <c r="E29" i="485"/>
  <c r="E28" i="485"/>
  <c r="E27" i="485"/>
  <c r="E26" i="485"/>
  <c r="E25" i="485"/>
  <c r="P18" i="485"/>
  <c r="O18" i="485"/>
  <c r="N18" i="485"/>
  <c r="L18" i="485"/>
  <c r="K18" i="485"/>
  <c r="J18" i="485"/>
  <c r="H18" i="485"/>
  <c r="G18" i="485"/>
  <c r="F18" i="485"/>
  <c r="P17" i="485"/>
  <c r="M16" i="485"/>
  <c r="I16" i="485"/>
  <c r="P15" i="485"/>
  <c r="Q14" i="485"/>
  <c r="M14" i="485"/>
  <c r="I14" i="485"/>
  <c r="P13" i="485"/>
  <c r="Q12" i="485"/>
  <c r="M12" i="485"/>
  <c r="I12" i="485"/>
  <c r="P11" i="485"/>
  <c r="Q10" i="485"/>
  <c r="M10" i="485"/>
  <c r="I10" i="485"/>
  <c r="P9" i="485"/>
  <c r="M8" i="485"/>
  <c r="I8" i="485"/>
  <c r="P7" i="485"/>
  <c r="Q6" i="485"/>
  <c r="M6" i="485"/>
  <c r="I6" i="485"/>
  <c r="I18" i="485" s="1"/>
  <c r="C3" i="485"/>
  <c r="E33" i="484"/>
  <c r="E32" i="484"/>
  <c r="E31" i="484"/>
  <c r="E30" i="484"/>
  <c r="E29" i="484"/>
  <c r="E28" i="484"/>
  <c r="E27" i="484"/>
  <c r="E26" i="484"/>
  <c r="E25" i="484"/>
  <c r="P18" i="484"/>
  <c r="O18" i="484"/>
  <c r="N18" i="484"/>
  <c r="L18" i="484"/>
  <c r="K18" i="484"/>
  <c r="J18" i="484"/>
  <c r="H18" i="484"/>
  <c r="G18" i="484"/>
  <c r="F18" i="484"/>
  <c r="P17" i="484"/>
  <c r="M16" i="484"/>
  <c r="I16" i="484"/>
  <c r="P15" i="484"/>
  <c r="Q14" i="484"/>
  <c r="M14" i="484"/>
  <c r="I14" i="484"/>
  <c r="P13" i="484"/>
  <c r="Q12" i="484"/>
  <c r="M12" i="484"/>
  <c r="I12" i="484"/>
  <c r="P11" i="484"/>
  <c r="Q10" i="484"/>
  <c r="M10" i="484"/>
  <c r="I10" i="484"/>
  <c r="P9" i="484"/>
  <c r="M8" i="484"/>
  <c r="I8" i="484"/>
  <c r="P7" i="484"/>
  <c r="Q6" i="484"/>
  <c r="M6" i="484"/>
  <c r="M18" i="484" s="1"/>
  <c r="I6" i="484"/>
  <c r="I18" i="484" s="1"/>
  <c r="C3" i="484"/>
  <c r="E33" i="483"/>
  <c r="E32" i="483"/>
  <c r="E31" i="483"/>
  <c r="E30" i="483"/>
  <c r="E29" i="483"/>
  <c r="E28" i="483"/>
  <c r="E27" i="483"/>
  <c r="E26" i="483"/>
  <c r="E25" i="483"/>
  <c r="P18" i="483"/>
  <c r="O18" i="483"/>
  <c r="N18" i="483"/>
  <c r="L18" i="483"/>
  <c r="K18" i="483"/>
  <c r="J18" i="483"/>
  <c r="H18" i="483"/>
  <c r="G18" i="483"/>
  <c r="F18" i="483"/>
  <c r="P17" i="483"/>
  <c r="M16" i="483"/>
  <c r="I16" i="483"/>
  <c r="P15" i="483"/>
  <c r="Q14" i="483"/>
  <c r="M14" i="483"/>
  <c r="I14" i="483"/>
  <c r="P13" i="483"/>
  <c r="Q12" i="483"/>
  <c r="M12" i="483"/>
  <c r="I12" i="483"/>
  <c r="P11" i="483"/>
  <c r="Q10" i="483"/>
  <c r="M10" i="483"/>
  <c r="I10" i="483"/>
  <c r="P9" i="483"/>
  <c r="M8" i="483"/>
  <c r="I8" i="483"/>
  <c r="P7" i="483"/>
  <c r="Q6" i="483"/>
  <c r="M6" i="483"/>
  <c r="I6" i="483"/>
  <c r="C3" i="483"/>
  <c r="E33" i="482"/>
  <c r="E32" i="482"/>
  <c r="E31" i="482"/>
  <c r="E30" i="482"/>
  <c r="E29" i="482"/>
  <c r="E28" i="482"/>
  <c r="E27" i="482"/>
  <c r="E26" i="482"/>
  <c r="E25" i="482"/>
  <c r="P18" i="482"/>
  <c r="O18" i="482"/>
  <c r="N18" i="482"/>
  <c r="L18" i="482"/>
  <c r="K18" i="482"/>
  <c r="J18" i="482"/>
  <c r="H18" i="482"/>
  <c r="G18" i="482"/>
  <c r="F18" i="482"/>
  <c r="P17" i="482"/>
  <c r="M16" i="482"/>
  <c r="I16" i="482"/>
  <c r="P15" i="482"/>
  <c r="P19" i="482" s="1"/>
  <c r="P20" i="482" s="1"/>
  <c r="Q14" i="482"/>
  <c r="M14" i="482"/>
  <c r="I14" i="482"/>
  <c r="P13" i="482"/>
  <c r="Q12" i="482"/>
  <c r="M12" i="482"/>
  <c r="I12" i="482"/>
  <c r="P11" i="482"/>
  <c r="Q10" i="482"/>
  <c r="M10" i="482"/>
  <c r="I10" i="482"/>
  <c r="P9" i="482"/>
  <c r="M8" i="482"/>
  <c r="I8" i="482"/>
  <c r="P7" i="482"/>
  <c r="Q6" i="482"/>
  <c r="M6" i="482"/>
  <c r="M18" i="482" s="1"/>
  <c r="I6" i="482"/>
  <c r="I18" i="482" s="1"/>
  <c r="C3" i="482"/>
  <c r="E33" i="481"/>
  <c r="E32" i="481"/>
  <c r="E31" i="481"/>
  <c r="E30" i="481"/>
  <c r="E29" i="481"/>
  <c r="E28" i="481"/>
  <c r="E27" i="481"/>
  <c r="E26" i="481"/>
  <c r="E25" i="481"/>
  <c r="P18" i="481"/>
  <c r="O18" i="481"/>
  <c r="N18" i="481"/>
  <c r="L18" i="481"/>
  <c r="K18" i="481"/>
  <c r="J18" i="481"/>
  <c r="H18" i="481"/>
  <c r="G18" i="481"/>
  <c r="F18" i="481"/>
  <c r="P17" i="481"/>
  <c r="M16" i="481"/>
  <c r="I16" i="481"/>
  <c r="P15" i="481"/>
  <c r="Q14" i="481"/>
  <c r="M14" i="481"/>
  <c r="I14" i="481"/>
  <c r="P13" i="481"/>
  <c r="Q12" i="481"/>
  <c r="M12" i="481"/>
  <c r="I12" i="481"/>
  <c r="P11" i="481"/>
  <c r="Q10" i="481"/>
  <c r="M10" i="481"/>
  <c r="I10" i="481"/>
  <c r="I18" i="481" s="1"/>
  <c r="P9" i="481"/>
  <c r="M8" i="481"/>
  <c r="I8" i="481"/>
  <c r="P7" i="481"/>
  <c r="Q6" i="481"/>
  <c r="M6" i="481"/>
  <c r="I6" i="481"/>
  <c r="C3" i="481"/>
  <c r="E33" i="480"/>
  <c r="E32" i="480"/>
  <c r="E31" i="480"/>
  <c r="E30" i="480"/>
  <c r="E29" i="480"/>
  <c r="E28" i="480"/>
  <c r="E27" i="480"/>
  <c r="E26" i="480"/>
  <c r="E25" i="480"/>
  <c r="P18" i="480"/>
  <c r="O18" i="480"/>
  <c r="N18" i="480"/>
  <c r="L18" i="480"/>
  <c r="K18" i="480"/>
  <c r="J18" i="480"/>
  <c r="H18" i="480"/>
  <c r="G18" i="480"/>
  <c r="F18" i="480"/>
  <c r="P17" i="480"/>
  <c r="M16" i="480"/>
  <c r="I16" i="480"/>
  <c r="P15" i="480"/>
  <c r="Q14" i="480"/>
  <c r="M14" i="480"/>
  <c r="I14" i="480"/>
  <c r="P13" i="480"/>
  <c r="Q12" i="480"/>
  <c r="M12" i="480"/>
  <c r="I12" i="480"/>
  <c r="P11" i="480"/>
  <c r="Q10" i="480"/>
  <c r="M10" i="480"/>
  <c r="I10" i="480"/>
  <c r="P9" i="480"/>
  <c r="M8" i="480"/>
  <c r="I8" i="480"/>
  <c r="P7" i="480"/>
  <c r="Q6" i="480"/>
  <c r="M6" i="480"/>
  <c r="I6" i="480"/>
  <c r="I18" i="480" s="1"/>
  <c r="C3" i="480"/>
  <c r="E33" i="479"/>
  <c r="E32" i="479"/>
  <c r="E31" i="479"/>
  <c r="E30" i="479"/>
  <c r="E29" i="479"/>
  <c r="E28" i="479"/>
  <c r="E27" i="479"/>
  <c r="E26" i="479"/>
  <c r="E25" i="479"/>
  <c r="P18" i="479"/>
  <c r="O18" i="479"/>
  <c r="N18" i="479"/>
  <c r="L18" i="479"/>
  <c r="K18" i="479"/>
  <c r="J18" i="479"/>
  <c r="H18" i="479"/>
  <c r="G18" i="479"/>
  <c r="F18" i="479"/>
  <c r="P17" i="479"/>
  <c r="M16" i="479"/>
  <c r="I16" i="479"/>
  <c r="P15" i="479"/>
  <c r="Q14" i="479"/>
  <c r="M14" i="479"/>
  <c r="I14" i="479"/>
  <c r="P13" i="479"/>
  <c r="Q12" i="479"/>
  <c r="M12" i="479"/>
  <c r="I12" i="479"/>
  <c r="P11" i="479"/>
  <c r="Q10" i="479"/>
  <c r="M10" i="479"/>
  <c r="I10" i="479"/>
  <c r="P9" i="479"/>
  <c r="M8" i="479"/>
  <c r="I8" i="479"/>
  <c r="P7" i="479"/>
  <c r="Q6" i="479"/>
  <c r="M6" i="479"/>
  <c r="I6" i="479"/>
  <c r="C3" i="479"/>
  <c r="E33" i="478"/>
  <c r="E32" i="478"/>
  <c r="E31" i="478"/>
  <c r="E30" i="478"/>
  <c r="E29" i="478"/>
  <c r="E28" i="478"/>
  <c r="E27" i="478"/>
  <c r="E26" i="478"/>
  <c r="E25" i="478"/>
  <c r="P18" i="478"/>
  <c r="O18" i="478"/>
  <c r="N18" i="478"/>
  <c r="L18" i="478"/>
  <c r="K18" i="478"/>
  <c r="J18" i="478"/>
  <c r="H18" i="478"/>
  <c r="G18" i="478"/>
  <c r="F18" i="478"/>
  <c r="P17" i="478"/>
  <c r="M16" i="478"/>
  <c r="I16" i="478"/>
  <c r="P15" i="478"/>
  <c r="Q14" i="478"/>
  <c r="M14" i="478"/>
  <c r="I14" i="478"/>
  <c r="P13" i="478"/>
  <c r="Q12" i="478"/>
  <c r="M12" i="478"/>
  <c r="M18" i="478" s="1"/>
  <c r="I12" i="478"/>
  <c r="P11" i="478"/>
  <c r="Q10" i="478"/>
  <c r="M10" i="478"/>
  <c r="I10" i="478"/>
  <c r="P9" i="478"/>
  <c r="M8" i="478"/>
  <c r="I8" i="478"/>
  <c r="P7" i="478"/>
  <c r="Q6" i="478"/>
  <c r="M6" i="478"/>
  <c r="I6" i="478"/>
  <c r="C3" i="478"/>
  <c r="E33" i="477"/>
  <c r="E32" i="477"/>
  <c r="E31" i="477"/>
  <c r="E30" i="477"/>
  <c r="E29" i="477"/>
  <c r="E28" i="477"/>
  <c r="E27" i="477"/>
  <c r="E26" i="477"/>
  <c r="E25" i="477"/>
  <c r="P18" i="477"/>
  <c r="O18" i="477"/>
  <c r="N18" i="477"/>
  <c r="L18" i="477"/>
  <c r="K18" i="477"/>
  <c r="J18" i="477"/>
  <c r="H18" i="477"/>
  <c r="G18" i="477"/>
  <c r="F18" i="477"/>
  <c r="P17" i="477"/>
  <c r="M16" i="477"/>
  <c r="I16" i="477"/>
  <c r="P15" i="477"/>
  <c r="Q14" i="477"/>
  <c r="M14" i="477"/>
  <c r="I14" i="477"/>
  <c r="P13" i="477"/>
  <c r="Q12" i="477"/>
  <c r="M12" i="477"/>
  <c r="I12" i="477"/>
  <c r="P11" i="477"/>
  <c r="Q10" i="477"/>
  <c r="M10" i="477"/>
  <c r="I10" i="477"/>
  <c r="P9" i="477"/>
  <c r="M8" i="477"/>
  <c r="M18" i="477" s="1"/>
  <c r="I8" i="477"/>
  <c r="I18" i="477" s="1"/>
  <c r="P7" i="477"/>
  <c r="Q6" i="477"/>
  <c r="M6" i="477"/>
  <c r="I6" i="477"/>
  <c r="C3" i="477"/>
  <c r="E33" i="476"/>
  <c r="E32" i="476"/>
  <c r="E31" i="476"/>
  <c r="E30" i="476"/>
  <c r="E29" i="476"/>
  <c r="E28" i="476"/>
  <c r="E27" i="476"/>
  <c r="E26" i="476"/>
  <c r="E25" i="476"/>
  <c r="P18" i="476"/>
  <c r="O18" i="476"/>
  <c r="N18" i="476"/>
  <c r="L18" i="476"/>
  <c r="K18" i="476"/>
  <c r="J18" i="476"/>
  <c r="H18" i="476"/>
  <c r="G18" i="476"/>
  <c r="F18" i="476"/>
  <c r="P17" i="476"/>
  <c r="M16" i="476"/>
  <c r="I16" i="476"/>
  <c r="P15" i="476"/>
  <c r="Q14" i="476"/>
  <c r="M14" i="476"/>
  <c r="I14" i="476"/>
  <c r="P13" i="476"/>
  <c r="Q12" i="476"/>
  <c r="M12" i="476"/>
  <c r="I12" i="476"/>
  <c r="P11" i="476"/>
  <c r="Q10" i="476"/>
  <c r="M10" i="476"/>
  <c r="I10" i="476"/>
  <c r="P9" i="476"/>
  <c r="M8" i="476"/>
  <c r="I8" i="476"/>
  <c r="P7" i="476"/>
  <c r="Q6" i="476"/>
  <c r="M6" i="476"/>
  <c r="I6" i="476"/>
  <c r="C3" i="476"/>
  <c r="E33" i="475"/>
  <c r="E32" i="475"/>
  <c r="E31" i="475"/>
  <c r="E30" i="475"/>
  <c r="E29" i="475"/>
  <c r="E28" i="475"/>
  <c r="E27" i="475"/>
  <c r="E26" i="475"/>
  <c r="E25" i="475"/>
  <c r="P18" i="475"/>
  <c r="O18" i="475"/>
  <c r="N18" i="475"/>
  <c r="L18" i="475"/>
  <c r="K18" i="475"/>
  <c r="J18" i="475"/>
  <c r="H18" i="475"/>
  <c r="G18" i="475"/>
  <c r="F18" i="475"/>
  <c r="P17" i="475"/>
  <c r="M16" i="475"/>
  <c r="I16" i="475"/>
  <c r="P15" i="475"/>
  <c r="Q14" i="475"/>
  <c r="M14" i="475"/>
  <c r="I14" i="475"/>
  <c r="P13" i="475"/>
  <c r="Q12" i="475"/>
  <c r="M12" i="475"/>
  <c r="I12" i="475"/>
  <c r="P11" i="475"/>
  <c r="Q10" i="475"/>
  <c r="M10" i="475"/>
  <c r="I10" i="475"/>
  <c r="P9" i="475"/>
  <c r="M8" i="475"/>
  <c r="I8" i="475"/>
  <c r="P7" i="475"/>
  <c r="Q6" i="475"/>
  <c r="M6" i="475"/>
  <c r="I6" i="475"/>
  <c r="C3" i="475"/>
  <c r="E33" i="474"/>
  <c r="E32" i="474"/>
  <c r="E31" i="474"/>
  <c r="E30" i="474"/>
  <c r="E29" i="474"/>
  <c r="E28" i="474"/>
  <c r="E27" i="474"/>
  <c r="E26" i="474"/>
  <c r="E25" i="474"/>
  <c r="P18" i="474"/>
  <c r="O18" i="474"/>
  <c r="N18" i="474"/>
  <c r="L18" i="474"/>
  <c r="K18" i="474"/>
  <c r="J18" i="474"/>
  <c r="I18" i="474"/>
  <c r="H18" i="474"/>
  <c r="G18" i="474"/>
  <c r="F18" i="474"/>
  <c r="P17" i="474"/>
  <c r="M16" i="474"/>
  <c r="I16" i="474"/>
  <c r="P15" i="474"/>
  <c r="Q14" i="474"/>
  <c r="M14" i="474"/>
  <c r="I14" i="474"/>
  <c r="P13" i="474"/>
  <c r="Q12" i="474"/>
  <c r="M12" i="474"/>
  <c r="I12" i="474"/>
  <c r="P11" i="474"/>
  <c r="Q10" i="474"/>
  <c r="M10" i="474"/>
  <c r="I10" i="474"/>
  <c r="P9" i="474"/>
  <c r="M8" i="474"/>
  <c r="I8" i="474"/>
  <c r="P7" i="474"/>
  <c r="Q6" i="474"/>
  <c r="M6" i="474"/>
  <c r="M18" i="474" s="1"/>
  <c r="I6" i="474"/>
  <c r="C3" i="474"/>
  <c r="E33" i="473"/>
  <c r="E32" i="473"/>
  <c r="E31" i="473"/>
  <c r="E30" i="473"/>
  <c r="E29" i="473"/>
  <c r="E28" i="473"/>
  <c r="E27" i="473"/>
  <c r="E26" i="473"/>
  <c r="E25" i="473"/>
  <c r="P18" i="473"/>
  <c r="O18" i="473"/>
  <c r="N18" i="473"/>
  <c r="L18" i="473"/>
  <c r="K18" i="473"/>
  <c r="J18" i="473"/>
  <c r="H18" i="473"/>
  <c r="G18" i="473"/>
  <c r="F18" i="473"/>
  <c r="P17" i="473"/>
  <c r="M16" i="473"/>
  <c r="P15" i="473"/>
  <c r="Q14" i="473"/>
  <c r="M14" i="473"/>
  <c r="P13" i="473"/>
  <c r="Q12" i="473"/>
  <c r="M12" i="473"/>
  <c r="P11" i="473"/>
  <c r="Q10" i="473"/>
  <c r="M10" i="473"/>
  <c r="P9" i="473"/>
  <c r="M8" i="473"/>
  <c r="P7" i="473"/>
  <c r="Q6" i="473"/>
  <c r="M6" i="473"/>
  <c r="I6" i="473"/>
  <c r="I18" i="473" s="1"/>
  <c r="C3" i="473"/>
  <c r="E33" i="472"/>
  <c r="E32" i="472"/>
  <c r="E31" i="472"/>
  <c r="E30" i="472"/>
  <c r="E29" i="472"/>
  <c r="E28" i="472"/>
  <c r="E27" i="472"/>
  <c r="E26" i="472"/>
  <c r="E25" i="472"/>
  <c r="P18" i="472"/>
  <c r="O18" i="472"/>
  <c r="N18" i="472"/>
  <c r="L18" i="472"/>
  <c r="K18" i="472"/>
  <c r="J18" i="472"/>
  <c r="H18" i="472"/>
  <c r="G18" i="472"/>
  <c r="F18" i="472"/>
  <c r="P17" i="472"/>
  <c r="M16" i="472"/>
  <c r="I16" i="472"/>
  <c r="P15" i="472"/>
  <c r="Q14" i="472"/>
  <c r="M14" i="472"/>
  <c r="I14" i="472"/>
  <c r="P13" i="472"/>
  <c r="Q12" i="472"/>
  <c r="M12" i="472"/>
  <c r="I12" i="472"/>
  <c r="P11" i="472"/>
  <c r="Q10" i="472"/>
  <c r="M10" i="472"/>
  <c r="I10" i="472"/>
  <c r="P9" i="472"/>
  <c r="M8" i="472"/>
  <c r="I8" i="472"/>
  <c r="P7" i="472"/>
  <c r="Q6" i="472"/>
  <c r="M6" i="472"/>
  <c r="M18" i="472" s="1"/>
  <c r="I6" i="472"/>
  <c r="C3" i="472"/>
  <c r="E33" i="471"/>
  <c r="E32" i="471"/>
  <c r="E31" i="471"/>
  <c r="E30" i="471"/>
  <c r="E29" i="471"/>
  <c r="E28" i="471"/>
  <c r="E27" i="471"/>
  <c r="E26" i="471"/>
  <c r="E25" i="471"/>
  <c r="P18" i="471"/>
  <c r="O18" i="471"/>
  <c r="N18" i="471"/>
  <c r="L18" i="471"/>
  <c r="K18" i="471"/>
  <c r="J18" i="471"/>
  <c r="H18" i="471"/>
  <c r="G18" i="471"/>
  <c r="F18" i="471"/>
  <c r="P17" i="471"/>
  <c r="M16" i="471"/>
  <c r="I16" i="471"/>
  <c r="P15" i="471"/>
  <c r="Q14" i="471"/>
  <c r="M14" i="471"/>
  <c r="I14" i="471"/>
  <c r="P13" i="471"/>
  <c r="Q12" i="471"/>
  <c r="M12" i="471"/>
  <c r="I12" i="471"/>
  <c r="P11" i="471"/>
  <c r="Q10" i="471"/>
  <c r="M10" i="471"/>
  <c r="I10" i="471"/>
  <c r="P9" i="471"/>
  <c r="M8" i="471"/>
  <c r="I8" i="471"/>
  <c r="P7" i="471"/>
  <c r="Q6" i="471"/>
  <c r="M6" i="471"/>
  <c r="I6" i="471"/>
  <c r="C3" i="471"/>
  <c r="E33" i="470"/>
  <c r="E32" i="470"/>
  <c r="E31" i="470"/>
  <c r="E30" i="470"/>
  <c r="E29" i="470"/>
  <c r="E28" i="470"/>
  <c r="E27" i="470"/>
  <c r="E26" i="470"/>
  <c r="E25" i="470"/>
  <c r="P18" i="470"/>
  <c r="O18" i="470"/>
  <c r="N18" i="470"/>
  <c r="L18" i="470"/>
  <c r="K18" i="470"/>
  <c r="J18" i="470"/>
  <c r="H18" i="470"/>
  <c r="G18" i="470"/>
  <c r="F18" i="470"/>
  <c r="P17" i="470"/>
  <c r="M16" i="470"/>
  <c r="I16" i="470"/>
  <c r="P15" i="470"/>
  <c r="Q14" i="470"/>
  <c r="M14" i="470"/>
  <c r="I14" i="470"/>
  <c r="P13" i="470"/>
  <c r="Q12" i="470"/>
  <c r="M12" i="470"/>
  <c r="I12" i="470"/>
  <c r="P11" i="470"/>
  <c r="Q10" i="470"/>
  <c r="M10" i="470"/>
  <c r="I10" i="470"/>
  <c r="P9" i="470"/>
  <c r="M8" i="470"/>
  <c r="I8" i="470"/>
  <c r="P7" i="470"/>
  <c r="Q6" i="470"/>
  <c r="M6" i="470"/>
  <c r="I6" i="470"/>
  <c r="C3" i="470"/>
  <c r="E33" i="469"/>
  <c r="E32" i="469"/>
  <c r="E31" i="469"/>
  <c r="E30" i="469"/>
  <c r="E29" i="469"/>
  <c r="E28" i="469"/>
  <c r="E27" i="469"/>
  <c r="E26" i="469"/>
  <c r="E25" i="469"/>
  <c r="P18" i="469"/>
  <c r="O18" i="469"/>
  <c r="N18" i="469"/>
  <c r="L18" i="469"/>
  <c r="K18" i="469"/>
  <c r="J18" i="469"/>
  <c r="H18" i="469"/>
  <c r="G18" i="469"/>
  <c r="F18" i="469"/>
  <c r="P17" i="469"/>
  <c r="M16" i="469"/>
  <c r="I16" i="469"/>
  <c r="P15" i="469"/>
  <c r="Q14" i="469"/>
  <c r="M14" i="469"/>
  <c r="I14" i="469"/>
  <c r="P13" i="469"/>
  <c r="Q12" i="469"/>
  <c r="M12" i="469"/>
  <c r="I12" i="469"/>
  <c r="P11" i="469"/>
  <c r="Q10" i="469"/>
  <c r="M10" i="469"/>
  <c r="I10" i="469"/>
  <c r="P9" i="469"/>
  <c r="M8" i="469"/>
  <c r="I8" i="469"/>
  <c r="P7" i="469"/>
  <c r="Q6" i="469"/>
  <c r="M6" i="469"/>
  <c r="I6" i="469"/>
  <c r="I18" i="469" s="1"/>
  <c r="C3" i="469"/>
  <c r="E33" i="468"/>
  <c r="E32" i="468"/>
  <c r="E31" i="468"/>
  <c r="E30" i="468"/>
  <c r="E29" i="468"/>
  <c r="E28" i="468"/>
  <c r="E27" i="468"/>
  <c r="E26" i="468"/>
  <c r="E25" i="468"/>
  <c r="P18" i="468"/>
  <c r="O18" i="468"/>
  <c r="N18" i="468"/>
  <c r="L18" i="468"/>
  <c r="K18" i="468"/>
  <c r="J18" i="468"/>
  <c r="H18" i="468"/>
  <c r="G18" i="468"/>
  <c r="F18" i="468"/>
  <c r="P17" i="468"/>
  <c r="M16" i="468"/>
  <c r="I16" i="468"/>
  <c r="P15" i="468"/>
  <c r="Q14" i="468"/>
  <c r="M14" i="468"/>
  <c r="I14" i="468"/>
  <c r="P13" i="468"/>
  <c r="Q12" i="468"/>
  <c r="M12" i="468"/>
  <c r="I12" i="468"/>
  <c r="P11" i="468"/>
  <c r="Q10" i="468"/>
  <c r="M10" i="468"/>
  <c r="I10" i="468"/>
  <c r="P9" i="468"/>
  <c r="M8" i="468"/>
  <c r="I8" i="468"/>
  <c r="P7" i="468"/>
  <c r="Q6" i="468"/>
  <c r="M6" i="468"/>
  <c r="I6" i="468"/>
  <c r="C3" i="468"/>
  <c r="E33" i="467"/>
  <c r="E32" i="467"/>
  <c r="E31" i="467"/>
  <c r="E30" i="467"/>
  <c r="E29" i="467"/>
  <c r="E28" i="467"/>
  <c r="E27" i="467"/>
  <c r="E26" i="467"/>
  <c r="E25" i="467"/>
  <c r="P18" i="467"/>
  <c r="O18" i="467"/>
  <c r="N18" i="467"/>
  <c r="M18" i="467"/>
  <c r="L18" i="467"/>
  <c r="K18" i="467"/>
  <c r="J18" i="467"/>
  <c r="I18" i="467"/>
  <c r="H18" i="467"/>
  <c r="G18" i="467"/>
  <c r="F18" i="467"/>
  <c r="P17" i="467"/>
  <c r="P15" i="467"/>
  <c r="Q14" i="467"/>
  <c r="P13" i="467"/>
  <c r="Q12" i="467"/>
  <c r="P11" i="467"/>
  <c r="Q10" i="467"/>
  <c r="P9" i="467"/>
  <c r="P7" i="467"/>
  <c r="Q6" i="467"/>
  <c r="C3" i="467"/>
  <c r="E33" i="466"/>
  <c r="E32" i="466"/>
  <c r="E31" i="466"/>
  <c r="E30" i="466"/>
  <c r="E29" i="466"/>
  <c r="E28" i="466"/>
  <c r="E27" i="466"/>
  <c r="E26" i="466"/>
  <c r="E25" i="466"/>
  <c r="P19" i="466"/>
  <c r="P20" i="466" s="1"/>
  <c r="P18" i="466"/>
  <c r="O18" i="466"/>
  <c r="N18" i="466"/>
  <c r="L18" i="466"/>
  <c r="K18" i="466"/>
  <c r="J18" i="466"/>
  <c r="H18" i="466"/>
  <c r="G18" i="466"/>
  <c r="F18" i="466"/>
  <c r="P17" i="466"/>
  <c r="M16" i="466"/>
  <c r="I16" i="466"/>
  <c r="P15" i="466"/>
  <c r="Q14" i="466"/>
  <c r="M14" i="466"/>
  <c r="I14" i="466"/>
  <c r="P13" i="466"/>
  <c r="Q12" i="466"/>
  <c r="M12" i="466"/>
  <c r="I12" i="466"/>
  <c r="P11" i="466"/>
  <c r="Q10" i="466"/>
  <c r="M10" i="466"/>
  <c r="I10" i="466"/>
  <c r="P9" i="466"/>
  <c r="M8" i="466"/>
  <c r="I8" i="466"/>
  <c r="P7" i="466"/>
  <c r="Q6" i="466"/>
  <c r="M6" i="466"/>
  <c r="I6" i="466"/>
  <c r="C3" i="466"/>
  <c r="E33" i="465"/>
  <c r="E32" i="465"/>
  <c r="E31" i="465"/>
  <c r="E30" i="465"/>
  <c r="E29" i="465"/>
  <c r="E28" i="465"/>
  <c r="E27" i="465"/>
  <c r="E26" i="465"/>
  <c r="E25" i="465"/>
  <c r="P18" i="465"/>
  <c r="O18" i="465"/>
  <c r="N18" i="465"/>
  <c r="L18" i="465"/>
  <c r="K18" i="465"/>
  <c r="J18" i="465"/>
  <c r="H18" i="465"/>
  <c r="G18" i="465"/>
  <c r="F18" i="465"/>
  <c r="P17" i="465"/>
  <c r="M16" i="465"/>
  <c r="I16" i="465"/>
  <c r="P15" i="465"/>
  <c r="Q14" i="465"/>
  <c r="M14" i="465"/>
  <c r="I14" i="465"/>
  <c r="P13" i="465"/>
  <c r="Q12" i="465"/>
  <c r="M12" i="465"/>
  <c r="I12" i="465"/>
  <c r="P11" i="465"/>
  <c r="Q10" i="465"/>
  <c r="M10" i="465"/>
  <c r="I10" i="465"/>
  <c r="P9" i="465"/>
  <c r="M8" i="465"/>
  <c r="I8" i="465"/>
  <c r="P7" i="465"/>
  <c r="Q6" i="465"/>
  <c r="M6" i="465"/>
  <c r="M18" i="465" s="1"/>
  <c r="I6" i="465"/>
  <c r="I18" i="465" s="1"/>
  <c r="C3" i="465"/>
  <c r="E33" i="464"/>
  <c r="E32" i="464"/>
  <c r="E31" i="464"/>
  <c r="E30" i="464"/>
  <c r="E29" i="464"/>
  <c r="E28" i="464"/>
  <c r="E27" i="464"/>
  <c r="E26" i="464"/>
  <c r="E25" i="464"/>
  <c r="P18" i="464"/>
  <c r="O18" i="464"/>
  <c r="N18" i="464"/>
  <c r="M18" i="464"/>
  <c r="L18" i="464"/>
  <c r="K18" i="464"/>
  <c r="J18" i="464"/>
  <c r="I18" i="464"/>
  <c r="H18" i="464"/>
  <c r="G18" i="464"/>
  <c r="F18" i="464"/>
  <c r="P17" i="464"/>
  <c r="P15" i="464"/>
  <c r="Q14" i="464"/>
  <c r="P13" i="464"/>
  <c r="Q12" i="464"/>
  <c r="P11" i="464"/>
  <c r="Q10" i="464"/>
  <c r="P9" i="464"/>
  <c r="P7" i="464"/>
  <c r="Q6" i="464"/>
  <c r="C3" i="464"/>
  <c r="D33" i="463"/>
  <c r="E33" i="463" s="1"/>
  <c r="D32" i="463"/>
  <c r="E32" i="463" s="1"/>
  <c r="D31" i="463"/>
  <c r="E31" i="463" s="1"/>
  <c r="D30" i="463"/>
  <c r="E30" i="463" s="1"/>
  <c r="E29" i="463"/>
  <c r="D29" i="463"/>
  <c r="D28" i="463"/>
  <c r="E28" i="463" s="1"/>
  <c r="D27" i="463"/>
  <c r="E27" i="463" s="1"/>
  <c r="D26" i="463"/>
  <c r="E26" i="463" s="1"/>
  <c r="D25" i="463"/>
  <c r="E25" i="463" s="1"/>
  <c r="P18" i="463"/>
  <c r="O18" i="463"/>
  <c r="N18" i="463"/>
  <c r="L18" i="463"/>
  <c r="K18" i="463"/>
  <c r="J18" i="463"/>
  <c r="H18" i="463"/>
  <c r="G18" i="463"/>
  <c r="F18" i="463"/>
  <c r="P17" i="463"/>
  <c r="M16" i="463"/>
  <c r="I16" i="463"/>
  <c r="P15" i="463"/>
  <c r="Q14" i="463"/>
  <c r="M14" i="463"/>
  <c r="I14" i="463"/>
  <c r="P13" i="463"/>
  <c r="Q12" i="463"/>
  <c r="M12" i="463"/>
  <c r="I12" i="463"/>
  <c r="P11" i="463"/>
  <c r="Q10" i="463"/>
  <c r="M10" i="463"/>
  <c r="I10" i="463"/>
  <c r="P9" i="463"/>
  <c r="M8" i="463"/>
  <c r="I8" i="463"/>
  <c r="P7" i="463"/>
  <c r="Q6" i="463"/>
  <c r="M6" i="463"/>
  <c r="I6" i="463"/>
  <c r="C3" i="463"/>
  <c r="D33" i="462"/>
  <c r="E33" i="462" s="1"/>
  <c r="E32" i="462"/>
  <c r="D32" i="462"/>
  <c r="D31" i="462"/>
  <c r="E31" i="462" s="1"/>
  <c r="D30" i="462"/>
  <c r="E30" i="462" s="1"/>
  <c r="D29" i="462"/>
  <c r="E29" i="462" s="1"/>
  <c r="D28" i="462"/>
  <c r="E28" i="462" s="1"/>
  <c r="E27" i="462"/>
  <c r="D27" i="462"/>
  <c r="D26" i="462"/>
  <c r="E26" i="462" s="1"/>
  <c r="D25" i="462"/>
  <c r="E25" i="462" s="1"/>
  <c r="P18" i="462"/>
  <c r="O18" i="462"/>
  <c r="N18" i="462"/>
  <c r="L18" i="462"/>
  <c r="K18" i="462"/>
  <c r="J18" i="462"/>
  <c r="H18" i="462"/>
  <c r="G18" i="462"/>
  <c r="F18" i="462"/>
  <c r="P17" i="462"/>
  <c r="M16" i="462"/>
  <c r="I16" i="462"/>
  <c r="P15" i="462"/>
  <c r="Q14" i="462"/>
  <c r="M14" i="462"/>
  <c r="I14" i="462"/>
  <c r="P13" i="462"/>
  <c r="Q12" i="462"/>
  <c r="M12" i="462"/>
  <c r="I12" i="462"/>
  <c r="P11" i="462"/>
  <c r="Q10" i="462"/>
  <c r="M10" i="462"/>
  <c r="I10" i="462"/>
  <c r="P9" i="462"/>
  <c r="M8" i="462"/>
  <c r="I8" i="462"/>
  <c r="P7" i="462"/>
  <c r="Q6" i="462"/>
  <c r="M6" i="462"/>
  <c r="I6" i="462"/>
  <c r="C3" i="462"/>
  <c r="D33" i="461"/>
  <c r="E33" i="461" s="1"/>
  <c r="D32" i="461"/>
  <c r="E32" i="461" s="1"/>
  <c r="D31" i="461"/>
  <c r="E31" i="461" s="1"/>
  <c r="E30" i="461"/>
  <c r="D30" i="461"/>
  <c r="D29" i="461"/>
  <c r="E29" i="461" s="1"/>
  <c r="D27" i="461"/>
  <c r="E27" i="461" s="1"/>
  <c r="D26" i="461"/>
  <c r="E26" i="461" s="1"/>
  <c r="D25" i="461"/>
  <c r="E25" i="461" s="1"/>
  <c r="P18" i="461"/>
  <c r="O18" i="461"/>
  <c r="N18" i="461"/>
  <c r="L18" i="461"/>
  <c r="K18" i="461"/>
  <c r="J18" i="461"/>
  <c r="H18" i="461"/>
  <c r="G18" i="461"/>
  <c r="F18" i="461"/>
  <c r="P17" i="461"/>
  <c r="M16" i="461"/>
  <c r="I16" i="461"/>
  <c r="P15" i="461"/>
  <c r="C15" i="461"/>
  <c r="D28" i="461" s="1"/>
  <c r="E28" i="461" s="1"/>
  <c r="Q14" i="461"/>
  <c r="M14" i="461"/>
  <c r="I14" i="461"/>
  <c r="P13" i="461"/>
  <c r="Q12" i="461"/>
  <c r="M12" i="461"/>
  <c r="I12" i="461"/>
  <c r="P11" i="461"/>
  <c r="P19" i="461" s="1"/>
  <c r="P20" i="461" s="1"/>
  <c r="Q10" i="461"/>
  <c r="M10" i="461"/>
  <c r="I10" i="461"/>
  <c r="P9" i="461"/>
  <c r="M8" i="461"/>
  <c r="I8" i="461"/>
  <c r="P7" i="461"/>
  <c r="Q6" i="461"/>
  <c r="M6" i="461"/>
  <c r="I6" i="461"/>
  <c r="I18" i="461" s="1"/>
  <c r="C3" i="461"/>
  <c r="D33" i="460"/>
  <c r="E33" i="460" s="1"/>
  <c r="E32" i="460"/>
  <c r="D32" i="460"/>
  <c r="D31" i="460"/>
  <c r="E31" i="460" s="1"/>
  <c r="D30" i="460"/>
  <c r="E30" i="460" s="1"/>
  <c r="D29" i="460"/>
  <c r="E29" i="460" s="1"/>
  <c r="D27" i="460"/>
  <c r="E27" i="460" s="1"/>
  <c r="D26" i="460"/>
  <c r="E26" i="460" s="1"/>
  <c r="D25" i="460"/>
  <c r="E25" i="460" s="1"/>
  <c r="P18" i="460"/>
  <c r="O18" i="460"/>
  <c r="N18" i="460"/>
  <c r="L18" i="460"/>
  <c r="K18" i="460"/>
  <c r="J18" i="460"/>
  <c r="H18" i="460"/>
  <c r="G18" i="460"/>
  <c r="F18" i="460"/>
  <c r="P17" i="460"/>
  <c r="M16" i="460"/>
  <c r="I16" i="460"/>
  <c r="P15" i="460"/>
  <c r="C15" i="460"/>
  <c r="D28" i="460" s="1"/>
  <c r="E28" i="460" s="1"/>
  <c r="Q14" i="460"/>
  <c r="M14" i="460"/>
  <c r="I14" i="460"/>
  <c r="P13" i="460"/>
  <c r="Q12" i="460"/>
  <c r="M12" i="460"/>
  <c r="I12" i="460"/>
  <c r="P11" i="460"/>
  <c r="Q10" i="460"/>
  <c r="M10" i="460"/>
  <c r="I10" i="460"/>
  <c r="P9" i="460"/>
  <c r="M8" i="460"/>
  <c r="I8" i="460"/>
  <c r="P7" i="460"/>
  <c r="Q6" i="460"/>
  <c r="M6" i="460"/>
  <c r="M18" i="460" s="1"/>
  <c r="I6" i="460"/>
  <c r="I18" i="460" s="1"/>
  <c r="C3" i="460"/>
  <c r="E33" i="459"/>
  <c r="D33" i="459"/>
  <c r="D32" i="459"/>
  <c r="E32" i="459" s="1"/>
  <c r="D31" i="459"/>
  <c r="E31" i="459" s="1"/>
  <c r="D30" i="459"/>
  <c r="E30" i="459" s="1"/>
  <c r="E29" i="459"/>
  <c r="D29" i="459"/>
  <c r="D27" i="459"/>
  <c r="E27" i="459" s="1"/>
  <c r="E26" i="459"/>
  <c r="D26" i="459"/>
  <c r="D25" i="459"/>
  <c r="E25" i="459" s="1"/>
  <c r="P19" i="459"/>
  <c r="P18" i="459"/>
  <c r="O18" i="459"/>
  <c r="N18" i="459"/>
  <c r="L18" i="459"/>
  <c r="K18" i="459"/>
  <c r="J18" i="459"/>
  <c r="H18" i="459"/>
  <c r="G18" i="459"/>
  <c r="F18" i="459"/>
  <c r="P17" i="459"/>
  <c r="M16" i="459"/>
  <c r="I16" i="459"/>
  <c r="P15" i="459"/>
  <c r="C15" i="459"/>
  <c r="D28" i="459" s="1"/>
  <c r="E28" i="459" s="1"/>
  <c r="Q14" i="459"/>
  <c r="M14" i="459"/>
  <c r="I14" i="459"/>
  <c r="P13" i="459"/>
  <c r="Q12" i="459"/>
  <c r="M12" i="459"/>
  <c r="I12" i="459"/>
  <c r="P11" i="459"/>
  <c r="Q10" i="459"/>
  <c r="M10" i="459"/>
  <c r="I10" i="459"/>
  <c r="P9" i="459"/>
  <c r="M8" i="459"/>
  <c r="I8" i="459"/>
  <c r="P7" i="459"/>
  <c r="Q6" i="459"/>
  <c r="M6" i="459"/>
  <c r="I6" i="459"/>
  <c r="I18" i="459" s="1"/>
  <c r="C3" i="459"/>
  <c r="D33" i="458"/>
  <c r="E33" i="458" s="1"/>
  <c r="E32" i="458"/>
  <c r="D32" i="458"/>
  <c r="D31" i="458"/>
  <c r="E31" i="458" s="1"/>
  <c r="E30" i="458"/>
  <c r="D30" i="458"/>
  <c r="D29" i="458"/>
  <c r="E29" i="458" s="1"/>
  <c r="E27" i="458"/>
  <c r="D27" i="458"/>
  <c r="D26" i="458"/>
  <c r="E26" i="458" s="1"/>
  <c r="D25" i="458"/>
  <c r="E25" i="458" s="1"/>
  <c r="P18" i="458"/>
  <c r="O18" i="458"/>
  <c r="N18" i="458"/>
  <c r="L18" i="458"/>
  <c r="K18" i="458"/>
  <c r="J18" i="458"/>
  <c r="H18" i="458"/>
  <c r="G18" i="458"/>
  <c r="F18" i="458"/>
  <c r="P17" i="458"/>
  <c r="M16" i="458"/>
  <c r="I16" i="458"/>
  <c r="P15" i="458"/>
  <c r="C15" i="458"/>
  <c r="D28" i="458" s="1"/>
  <c r="E28" i="458" s="1"/>
  <c r="Q14" i="458"/>
  <c r="M14" i="458"/>
  <c r="I14" i="458"/>
  <c r="P13" i="458"/>
  <c r="Q12" i="458"/>
  <c r="M12" i="458"/>
  <c r="I12" i="458"/>
  <c r="P11" i="458"/>
  <c r="Q10" i="458"/>
  <c r="M10" i="458"/>
  <c r="I10" i="458"/>
  <c r="P9" i="458"/>
  <c r="M8" i="458"/>
  <c r="I8" i="458"/>
  <c r="P7" i="458"/>
  <c r="Q6" i="458"/>
  <c r="M6" i="458"/>
  <c r="I6" i="458"/>
  <c r="C3" i="458"/>
  <c r="E33" i="457"/>
  <c r="D33" i="457"/>
  <c r="D32" i="457"/>
  <c r="E32" i="457" s="1"/>
  <c r="D31" i="457"/>
  <c r="E31" i="457" s="1"/>
  <c r="D30" i="457"/>
  <c r="E30" i="457" s="1"/>
  <c r="D29" i="457"/>
  <c r="E29" i="457" s="1"/>
  <c r="E28" i="457"/>
  <c r="D28" i="457"/>
  <c r="D27" i="457"/>
  <c r="E27" i="457" s="1"/>
  <c r="D26" i="457"/>
  <c r="E26" i="457" s="1"/>
  <c r="E25" i="457"/>
  <c r="D25" i="457"/>
  <c r="P18" i="457"/>
  <c r="O18" i="457"/>
  <c r="N18" i="457"/>
  <c r="L18" i="457"/>
  <c r="K18" i="457"/>
  <c r="J18" i="457"/>
  <c r="H18" i="457"/>
  <c r="G18" i="457"/>
  <c r="F18" i="457"/>
  <c r="P17" i="457"/>
  <c r="M16" i="457"/>
  <c r="I16" i="457"/>
  <c r="P15" i="457"/>
  <c r="Q14" i="457"/>
  <c r="M14" i="457"/>
  <c r="I14" i="457"/>
  <c r="P13" i="457"/>
  <c r="Q12" i="457"/>
  <c r="M12" i="457"/>
  <c r="M18" i="457" s="1"/>
  <c r="I12" i="457"/>
  <c r="P11" i="457"/>
  <c r="Q10" i="457"/>
  <c r="M10" i="457"/>
  <c r="I10" i="457"/>
  <c r="P9" i="457"/>
  <c r="M8" i="457"/>
  <c r="I8" i="457"/>
  <c r="I18" i="457" s="1"/>
  <c r="P7" i="457"/>
  <c r="Q6" i="457"/>
  <c r="M6" i="457"/>
  <c r="I6" i="457"/>
  <c r="C3" i="457"/>
  <c r="D33" i="456"/>
  <c r="E33" i="456" s="1"/>
  <c r="D32" i="456"/>
  <c r="E32" i="456" s="1"/>
  <c r="E31" i="456"/>
  <c r="D31" i="456"/>
  <c r="D30" i="456"/>
  <c r="E30" i="456" s="1"/>
  <c r="D29" i="456"/>
  <c r="E29" i="456" s="1"/>
  <c r="E28" i="456"/>
  <c r="D28" i="456"/>
  <c r="D27" i="456"/>
  <c r="E27" i="456" s="1"/>
  <c r="D26" i="456"/>
  <c r="E26" i="456" s="1"/>
  <c r="D25" i="456"/>
  <c r="E25" i="456" s="1"/>
  <c r="P18" i="456"/>
  <c r="O18" i="456"/>
  <c r="N18" i="456"/>
  <c r="L18" i="456"/>
  <c r="K18" i="456"/>
  <c r="J18" i="456"/>
  <c r="H18" i="456"/>
  <c r="G18" i="456"/>
  <c r="F18" i="456"/>
  <c r="P17" i="456"/>
  <c r="M16" i="456"/>
  <c r="I16" i="456"/>
  <c r="P15" i="456"/>
  <c r="Q14" i="456"/>
  <c r="M14" i="456"/>
  <c r="I14" i="456"/>
  <c r="P13" i="456"/>
  <c r="Q12" i="456"/>
  <c r="M12" i="456"/>
  <c r="I12" i="456"/>
  <c r="P11" i="456"/>
  <c r="Q10" i="456"/>
  <c r="M10" i="456"/>
  <c r="I10" i="456"/>
  <c r="P9" i="456"/>
  <c r="M8" i="456"/>
  <c r="I8" i="456"/>
  <c r="P7" i="456"/>
  <c r="Q6" i="456"/>
  <c r="M6" i="456"/>
  <c r="I6" i="456"/>
  <c r="C3" i="456"/>
  <c r="D33" i="455"/>
  <c r="E33" i="455" s="1"/>
  <c r="D32" i="455"/>
  <c r="E32" i="455" s="1"/>
  <c r="E31" i="455"/>
  <c r="D31" i="455"/>
  <c r="D30" i="455"/>
  <c r="E30" i="455" s="1"/>
  <c r="D29" i="455"/>
  <c r="E29" i="455" s="1"/>
  <c r="E27" i="455"/>
  <c r="D27" i="455"/>
  <c r="E26" i="455"/>
  <c r="D26" i="455"/>
  <c r="D25" i="455"/>
  <c r="E25" i="455" s="1"/>
  <c r="P19" i="455"/>
  <c r="P20" i="455" s="1"/>
  <c r="P18" i="455"/>
  <c r="O18" i="455"/>
  <c r="N18" i="455"/>
  <c r="L18" i="455"/>
  <c r="K18" i="455"/>
  <c r="J18" i="455"/>
  <c r="H18" i="455"/>
  <c r="G18" i="455"/>
  <c r="F18" i="455"/>
  <c r="P17" i="455"/>
  <c r="M16" i="455"/>
  <c r="I16" i="455"/>
  <c r="P15" i="455"/>
  <c r="C15" i="455"/>
  <c r="D28" i="455" s="1"/>
  <c r="E28" i="455" s="1"/>
  <c r="Q14" i="455"/>
  <c r="M14" i="455"/>
  <c r="I14" i="455"/>
  <c r="P13" i="455"/>
  <c r="Q12" i="455"/>
  <c r="M12" i="455"/>
  <c r="I12" i="455"/>
  <c r="P11" i="455"/>
  <c r="Q10" i="455"/>
  <c r="M10" i="455"/>
  <c r="I10" i="455"/>
  <c r="P9" i="455"/>
  <c r="M8" i="455"/>
  <c r="I8" i="455"/>
  <c r="P7" i="455"/>
  <c r="Q6" i="455"/>
  <c r="M6" i="455"/>
  <c r="I6" i="455"/>
  <c r="C3" i="455"/>
  <c r="D33" i="454"/>
  <c r="E33" i="454" s="1"/>
  <c r="E32" i="454"/>
  <c r="D32" i="454"/>
  <c r="D31" i="454"/>
  <c r="E31" i="454" s="1"/>
  <c r="D30" i="454"/>
  <c r="E30" i="454" s="1"/>
  <c r="E29" i="454"/>
  <c r="D29" i="454"/>
  <c r="D27" i="454"/>
  <c r="E27" i="454" s="1"/>
  <c r="D26" i="454"/>
  <c r="E26" i="454" s="1"/>
  <c r="E25" i="454"/>
  <c r="D25" i="454"/>
  <c r="P18" i="454"/>
  <c r="O18" i="454"/>
  <c r="N18" i="454"/>
  <c r="L18" i="454"/>
  <c r="K18" i="454"/>
  <c r="J18" i="454"/>
  <c r="H18" i="454"/>
  <c r="G18" i="454"/>
  <c r="F18" i="454"/>
  <c r="P17" i="454"/>
  <c r="M16" i="454"/>
  <c r="I16" i="454"/>
  <c r="P15" i="454"/>
  <c r="C15" i="454"/>
  <c r="D28" i="454" s="1"/>
  <c r="E28" i="454" s="1"/>
  <c r="Q14" i="454"/>
  <c r="M14" i="454"/>
  <c r="I14" i="454"/>
  <c r="P13" i="454"/>
  <c r="Q12" i="454"/>
  <c r="M12" i="454"/>
  <c r="I12" i="454"/>
  <c r="P11" i="454"/>
  <c r="Q10" i="454"/>
  <c r="M10" i="454"/>
  <c r="I10" i="454"/>
  <c r="P9" i="454"/>
  <c r="M8" i="454"/>
  <c r="I8" i="454"/>
  <c r="P7" i="454"/>
  <c r="Q6" i="454"/>
  <c r="M6" i="454"/>
  <c r="M18" i="454" s="1"/>
  <c r="I6" i="454"/>
  <c r="C3" i="454"/>
  <c r="E33" i="453"/>
  <c r="D33" i="453"/>
  <c r="D32" i="453"/>
  <c r="E32" i="453" s="1"/>
  <c r="D31" i="453"/>
  <c r="E31" i="453" s="1"/>
  <c r="E30" i="453"/>
  <c r="D30" i="453"/>
  <c r="D29" i="453"/>
  <c r="E29" i="453" s="1"/>
  <c r="D27" i="453"/>
  <c r="E27" i="453" s="1"/>
  <c r="E26" i="453"/>
  <c r="D26" i="453"/>
  <c r="E25" i="453"/>
  <c r="D25" i="453"/>
  <c r="P18" i="453"/>
  <c r="O18" i="453"/>
  <c r="N18" i="453"/>
  <c r="L18" i="453"/>
  <c r="K18" i="453"/>
  <c r="J18" i="453"/>
  <c r="P17" i="453"/>
  <c r="M16" i="453"/>
  <c r="I16" i="453"/>
  <c r="P15" i="453"/>
  <c r="C15" i="453"/>
  <c r="D28" i="453" s="1"/>
  <c r="E28" i="453" s="1"/>
  <c r="Q14" i="453"/>
  <c r="M14" i="453"/>
  <c r="I14" i="453"/>
  <c r="P13" i="453"/>
  <c r="Q12" i="453"/>
  <c r="M12" i="453"/>
  <c r="I12" i="453"/>
  <c r="P11" i="453"/>
  <c r="Q10" i="453"/>
  <c r="M10" i="453"/>
  <c r="I10" i="453"/>
  <c r="P9" i="453"/>
  <c r="M8" i="453"/>
  <c r="I8" i="453"/>
  <c r="P7" i="453"/>
  <c r="Q6" i="453"/>
  <c r="M6" i="453"/>
  <c r="I6" i="453"/>
  <c r="C3" i="453"/>
  <c r="D33" i="452"/>
  <c r="E33" i="452" s="1"/>
  <c r="D32" i="452"/>
  <c r="E32" i="452" s="1"/>
  <c r="E31" i="452"/>
  <c r="D31" i="452"/>
  <c r="D30" i="452"/>
  <c r="E30" i="452" s="1"/>
  <c r="D29" i="452"/>
  <c r="E29" i="452" s="1"/>
  <c r="D27" i="452"/>
  <c r="E27" i="452" s="1"/>
  <c r="D26" i="452"/>
  <c r="E26" i="452" s="1"/>
  <c r="D25" i="452"/>
  <c r="E25" i="452" s="1"/>
  <c r="P18" i="452"/>
  <c r="O18" i="452"/>
  <c r="N18" i="452"/>
  <c r="L18" i="452"/>
  <c r="K18" i="452"/>
  <c r="J18" i="452"/>
  <c r="H18" i="452"/>
  <c r="G18" i="452"/>
  <c r="F18" i="452"/>
  <c r="P17" i="452"/>
  <c r="M16" i="452"/>
  <c r="I16" i="452"/>
  <c r="P15" i="452"/>
  <c r="C15" i="452"/>
  <c r="D28" i="452" s="1"/>
  <c r="E28" i="452" s="1"/>
  <c r="Q14" i="452"/>
  <c r="M14" i="452"/>
  <c r="I14" i="452"/>
  <c r="P13" i="452"/>
  <c r="Q12" i="452"/>
  <c r="M12" i="452"/>
  <c r="I12" i="452"/>
  <c r="P11" i="452"/>
  <c r="Q10" i="452"/>
  <c r="M10" i="452"/>
  <c r="I10" i="452"/>
  <c r="P9" i="452"/>
  <c r="M8" i="452"/>
  <c r="I8" i="452"/>
  <c r="P7" i="452"/>
  <c r="Q6" i="452"/>
  <c r="M6" i="452"/>
  <c r="I6" i="452"/>
  <c r="C3" i="452"/>
  <c r="E33" i="451"/>
  <c r="D33" i="451"/>
  <c r="E32" i="451"/>
  <c r="D32" i="451"/>
  <c r="D31" i="451"/>
  <c r="E31" i="451" s="1"/>
  <c r="D30" i="451"/>
  <c r="E30" i="451" s="1"/>
  <c r="E29" i="451"/>
  <c r="D29" i="451"/>
  <c r="D27" i="451"/>
  <c r="E27" i="451" s="1"/>
  <c r="D26" i="451"/>
  <c r="E26" i="451" s="1"/>
  <c r="D25" i="451"/>
  <c r="E25" i="451" s="1"/>
  <c r="P18" i="451"/>
  <c r="O18" i="451"/>
  <c r="N18" i="451"/>
  <c r="L18" i="451"/>
  <c r="K18" i="451"/>
  <c r="J18" i="451"/>
  <c r="H18" i="451"/>
  <c r="G18" i="451"/>
  <c r="F18" i="451"/>
  <c r="P17" i="451"/>
  <c r="M16" i="451"/>
  <c r="I16" i="451"/>
  <c r="P15" i="451"/>
  <c r="C15" i="451"/>
  <c r="D28" i="451" s="1"/>
  <c r="E28" i="451" s="1"/>
  <c r="Q14" i="451"/>
  <c r="M14" i="451"/>
  <c r="I14" i="451"/>
  <c r="P13" i="451"/>
  <c r="Q12" i="451"/>
  <c r="M12" i="451"/>
  <c r="I12" i="451"/>
  <c r="P11" i="451"/>
  <c r="Q10" i="451"/>
  <c r="M10" i="451"/>
  <c r="I10" i="451"/>
  <c r="P9" i="451"/>
  <c r="M8" i="451"/>
  <c r="I8" i="451"/>
  <c r="P7" i="451"/>
  <c r="Q6" i="451"/>
  <c r="M6" i="451"/>
  <c r="I6" i="451"/>
  <c r="C3" i="451"/>
  <c r="D33" i="450"/>
  <c r="E33" i="450" s="1"/>
  <c r="D32" i="450"/>
  <c r="E32" i="450" s="1"/>
  <c r="E31" i="450"/>
  <c r="D31" i="450"/>
  <c r="E30" i="450"/>
  <c r="D30" i="450"/>
  <c r="D29" i="450"/>
  <c r="E29" i="450" s="1"/>
  <c r="D28" i="450"/>
  <c r="E28" i="450" s="1"/>
  <c r="E27" i="450"/>
  <c r="D27" i="450"/>
  <c r="E26" i="450"/>
  <c r="D26" i="450"/>
  <c r="D25" i="450"/>
  <c r="E25" i="450" s="1"/>
  <c r="P18" i="450"/>
  <c r="O18" i="450"/>
  <c r="N18" i="450"/>
  <c r="L18" i="450"/>
  <c r="K18" i="450"/>
  <c r="J18" i="450"/>
  <c r="H18" i="450"/>
  <c r="G18" i="450"/>
  <c r="F18" i="450"/>
  <c r="P17" i="450"/>
  <c r="M16" i="450"/>
  <c r="I16" i="450"/>
  <c r="P15" i="450"/>
  <c r="Q14" i="450"/>
  <c r="M14" i="450"/>
  <c r="I14" i="450"/>
  <c r="P13" i="450"/>
  <c r="Q12" i="450"/>
  <c r="M12" i="450"/>
  <c r="I12" i="450"/>
  <c r="P11" i="450"/>
  <c r="Q10" i="450"/>
  <c r="M10" i="450"/>
  <c r="I10" i="450"/>
  <c r="P9" i="450"/>
  <c r="M8" i="450"/>
  <c r="I8" i="450"/>
  <c r="P7" i="450"/>
  <c r="Q6" i="450"/>
  <c r="M6" i="450"/>
  <c r="I6" i="450"/>
  <c r="C3" i="450"/>
  <c r="D33" i="449"/>
  <c r="E33" i="449" s="1"/>
  <c r="D32" i="449"/>
  <c r="E32" i="449" s="1"/>
  <c r="D31" i="449"/>
  <c r="E31" i="449" s="1"/>
  <c r="D30" i="449"/>
  <c r="E30" i="449" s="1"/>
  <c r="D29" i="449"/>
  <c r="E29" i="449" s="1"/>
  <c r="D28" i="449"/>
  <c r="E28" i="449" s="1"/>
  <c r="D27" i="449"/>
  <c r="E27" i="449" s="1"/>
  <c r="E26" i="449"/>
  <c r="D26" i="449"/>
  <c r="D25" i="449"/>
  <c r="E25" i="449" s="1"/>
  <c r="P18" i="449"/>
  <c r="O18" i="449"/>
  <c r="N18" i="449"/>
  <c r="L18" i="449"/>
  <c r="K18" i="449"/>
  <c r="J18" i="449"/>
  <c r="H18" i="449"/>
  <c r="G18" i="449"/>
  <c r="F18" i="449"/>
  <c r="P17" i="449"/>
  <c r="M16" i="449"/>
  <c r="I16" i="449"/>
  <c r="P15" i="449"/>
  <c r="Q14" i="449"/>
  <c r="M14" i="449"/>
  <c r="I14" i="449"/>
  <c r="P13" i="449"/>
  <c r="Q12" i="449"/>
  <c r="M12" i="449"/>
  <c r="I12" i="449"/>
  <c r="P11" i="449"/>
  <c r="Q10" i="449"/>
  <c r="M10" i="449"/>
  <c r="I10" i="449"/>
  <c r="P9" i="449"/>
  <c r="M8" i="449"/>
  <c r="I8" i="449"/>
  <c r="P7" i="449"/>
  <c r="Q6" i="449"/>
  <c r="M6" i="449"/>
  <c r="M18" i="449" s="1"/>
  <c r="I6" i="449"/>
  <c r="C3" i="449"/>
  <c r="E33" i="448"/>
  <c r="D33" i="448"/>
  <c r="D32" i="448"/>
  <c r="E32" i="448" s="1"/>
  <c r="D31" i="448"/>
  <c r="E31" i="448" s="1"/>
  <c r="D30" i="448"/>
  <c r="E30" i="448" s="1"/>
  <c r="E29" i="448"/>
  <c r="D29" i="448"/>
  <c r="D27" i="448"/>
  <c r="E27" i="448" s="1"/>
  <c r="D26" i="448"/>
  <c r="E26" i="448" s="1"/>
  <c r="D25" i="448"/>
  <c r="E25" i="448" s="1"/>
  <c r="P18" i="448"/>
  <c r="O18" i="448"/>
  <c r="N18" i="448"/>
  <c r="L18" i="448"/>
  <c r="K18" i="448"/>
  <c r="J18" i="448"/>
  <c r="H18" i="448"/>
  <c r="G18" i="448"/>
  <c r="F18" i="448"/>
  <c r="P17" i="448"/>
  <c r="M16" i="448"/>
  <c r="I16" i="448"/>
  <c r="P15" i="448"/>
  <c r="C15" i="448"/>
  <c r="D28" i="448" s="1"/>
  <c r="E28" i="448" s="1"/>
  <c r="Q14" i="448"/>
  <c r="M14" i="448"/>
  <c r="I14" i="448"/>
  <c r="P13" i="448"/>
  <c r="Q12" i="448"/>
  <c r="M12" i="448"/>
  <c r="I12" i="448"/>
  <c r="P11" i="448"/>
  <c r="Q10" i="448"/>
  <c r="M10" i="448"/>
  <c r="I10" i="448"/>
  <c r="P9" i="448"/>
  <c r="M8" i="448"/>
  <c r="I8" i="448"/>
  <c r="P7" i="448"/>
  <c r="Q6" i="448"/>
  <c r="M6" i="448"/>
  <c r="I6" i="448"/>
  <c r="C3" i="448"/>
  <c r="D33" i="447"/>
  <c r="E33" i="447" s="1"/>
  <c r="D32" i="447"/>
  <c r="E32" i="447" s="1"/>
  <c r="D31" i="447"/>
  <c r="E31" i="447" s="1"/>
  <c r="D30" i="447"/>
  <c r="E30" i="447" s="1"/>
  <c r="D29" i="447"/>
  <c r="E29" i="447" s="1"/>
  <c r="D28" i="447"/>
  <c r="E28" i="447" s="1"/>
  <c r="D27" i="447"/>
  <c r="E27" i="447" s="1"/>
  <c r="D26" i="447"/>
  <c r="E26" i="447" s="1"/>
  <c r="D25" i="447"/>
  <c r="E25" i="447" s="1"/>
  <c r="P18" i="447"/>
  <c r="O18" i="447"/>
  <c r="N18" i="447"/>
  <c r="L18" i="447"/>
  <c r="K18" i="447"/>
  <c r="J18" i="447"/>
  <c r="H18" i="447"/>
  <c r="G18" i="447"/>
  <c r="F18" i="447"/>
  <c r="P17" i="447"/>
  <c r="M16" i="447"/>
  <c r="I16" i="447"/>
  <c r="P15" i="447"/>
  <c r="C15" i="447"/>
  <c r="Q14" i="447"/>
  <c r="M14" i="447"/>
  <c r="I14" i="447"/>
  <c r="P13" i="447"/>
  <c r="Q12" i="447"/>
  <c r="M12" i="447"/>
  <c r="I12" i="447"/>
  <c r="P11" i="447"/>
  <c r="Q10" i="447"/>
  <c r="M10" i="447"/>
  <c r="I10" i="447"/>
  <c r="P9" i="447"/>
  <c r="M8" i="447"/>
  <c r="I8" i="447"/>
  <c r="I18" i="447" s="1"/>
  <c r="P7" i="447"/>
  <c r="Q6" i="447"/>
  <c r="M6" i="447"/>
  <c r="I6" i="447"/>
  <c r="C3" i="447"/>
  <c r="D33" i="446"/>
  <c r="E33" i="446" s="1"/>
  <c r="D32" i="446"/>
  <c r="E32" i="446" s="1"/>
  <c r="E31" i="446"/>
  <c r="D31" i="446"/>
  <c r="D30" i="446"/>
  <c r="E30" i="446" s="1"/>
  <c r="D29" i="446"/>
  <c r="E29" i="446" s="1"/>
  <c r="D28" i="446"/>
  <c r="E28" i="446" s="1"/>
  <c r="D27" i="446"/>
  <c r="E27" i="446" s="1"/>
  <c r="D26" i="446"/>
  <c r="E26" i="446" s="1"/>
  <c r="D25" i="446"/>
  <c r="E25" i="446" s="1"/>
  <c r="P18" i="446"/>
  <c r="O18" i="446"/>
  <c r="N18" i="446"/>
  <c r="L18" i="446"/>
  <c r="K18" i="446"/>
  <c r="J18" i="446"/>
  <c r="H18" i="446"/>
  <c r="G18" i="446"/>
  <c r="F18" i="446"/>
  <c r="P17" i="446"/>
  <c r="M16" i="446"/>
  <c r="I16" i="446"/>
  <c r="P15" i="446"/>
  <c r="Q14" i="446"/>
  <c r="M14" i="446"/>
  <c r="I14" i="446"/>
  <c r="P13" i="446"/>
  <c r="Q12" i="446"/>
  <c r="M12" i="446"/>
  <c r="I12" i="446"/>
  <c r="P11" i="446"/>
  <c r="Q10" i="446"/>
  <c r="M10" i="446"/>
  <c r="I10" i="446"/>
  <c r="P9" i="446"/>
  <c r="M8" i="446"/>
  <c r="I8" i="446"/>
  <c r="P7" i="446"/>
  <c r="Q6" i="446"/>
  <c r="M6" i="446"/>
  <c r="I6" i="446"/>
  <c r="I18" i="446" s="1"/>
  <c r="C3" i="446"/>
  <c r="D33" i="445"/>
  <c r="E33" i="445" s="1"/>
  <c r="D32" i="445"/>
  <c r="E32" i="445" s="1"/>
  <c r="D31" i="445"/>
  <c r="E31" i="445" s="1"/>
  <c r="D30" i="445"/>
  <c r="E30" i="445" s="1"/>
  <c r="D29" i="445"/>
  <c r="E29" i="445" s="1"/>
  <c r="D28" i="445"/>
  <c r="E28" i="445" s="1"/>
  <c r="D27" i="445"/>
  <c r="E27" i="445" s="1"/>
  <c r="D26" i="445"/>
  <c r="E26" i="445" s="1"/>
  <c r="D25" i="445"/>
  <c r="E25" i="445" s="1"/>
  <c r="P18" i="445"/>
  <c r="O18" i="445"/>
  <c r="N18" i="445"/>
  <c r="L18" i="445"/>
  <c r="K18" i="445"/>
  <c r="J18" i="445"/>
  <c r="H18" i="445"/>
  <c r="G18" i="445"/>
  <c r="F18" i="445"/>
  <c r="P17" i="445"/>
  <c r="M16" i="445"/>
  <c r="I16" i="445"/>
  <c r="P15" i="445"/>
  <c r="Q14" i="445"/>
  <c r="M14" i="445"/>
  <c r="I14" i="445"/>
  <c r="P13" i="445"/>
  <c r="Q12" i="445"/>
  <c r="M12" i="445"/>
  <c r="I12" i="445"/>
  <c r="P11" i="445"/>
  <c r="Q10" i="445"/>
  <c r="M10" i="445"/>
  <c r="I10" i="445"/>
  <c r="P9" i="445"/>
  <c r="M8" i="445"/>
  <c r="I8" i="445"/>
  <c r="P7" i="445"/>
  <c r="Q6" i="445"/>
  <c r="M6" i="445"/>
  <c r="I6" i="445"/>
  <c r="C3" i="445"/>
  <c r="E33" i="444"/>
  <c r="D33" i="444"/>
  <c r="D32" i="444"/>
  <c r="E32" i="444" s="1"/>
  <c r="D31" i="444"/>
  <c r="E31" i="444" s="1"/>
  <c r="E30" i="444"/>
  <c r="D30" i="444"/>
  <c r="D29" i="444"/>
  <c r="E29" i="444" s="1"/>
  <c r="D28" i="444"/>
  <c r="E28" i="444" s="1"/>
  <c r="D27" i="444"/>
  <c r="E27" i="444" s="1"/>
  <c r="D26" i="444"/>
  <c r="E26" i="444" s="1"/>
  <c r="E25" i="444"/>
  <c r="D25" i="444"/>
  <c r="P18" i="444"/>
  <c r="O18" i="444"/>
  <c r="N18" i="444"/>
  <c r="L18" i="444"/>
  <c r="K18" i="444"/>
  <c r="J18" i="444"/>
  <c r="H18" i="444"/>
  <c r="G18" i="444"/>
  <c r="F18" i="444"/>
  <c r="P17" i="444"/>
  <c r="M16" i="444"/>
  <c r="I16" i="444"/>
  <c r="P15" i="444"/>
  <c r="Q14" i="444"/>
  <c r="M14" i="444"/>
  <c r="I14" i="444"/>
  <c r="P13" i="444"/>
  <c r="Q12" i="444"/>
  <c r="M12" i="444"/>
  <c r="I12" i="444"/>
  <c r="P11" i="444"/>
  <c r="Q10" i="444"/>
  <c r="M10" i="444"/>
  <c r="I10" i="444"/>
  <c r="P9" i="444"/>
  <c r="M8" i="444"/>
  <c r="I8" i="444"/>
  <c r="I18" i="444" s="1"/>
  <c r="P7" i="444"/>
  <c r="Q6" i="444"/>
  <c r="M6" i="444"/>
  <c r="I6" i="444"/>
  <c r="C3" i="444"/>
  <c r="E33" i="443"/>
  <c r="D33" i="443"/>
  <c r="E32" i="443"/>
  <c r="D32" i="443"/>
  <c r="D31" i="443"/>
  <c r="E31" i="443" s="1"/>
  <c r="D30" i="443"/>
  <c r="E30" i="443" s="1"/>
  <c r="D29" i="443"/>
  <c r="E29" i="443" s="1"/>
  <c r="E28" i="443"/>
  <c r="D28" i="443"/>
  <c r="D27" i="443"/>
  <c r="E27" i="443" s="1"/>
  <c r="D26" i="443"/>
  <c r="E26" i="443" s="1"/>
  <c r="E25" i="443"/>
  <c r="D25" i="443"/>
  <c r="P18" i="443"/>
  <c r="O18" i="443"/>
  <c r="N18" i="443"/>
  <c r="L18" i="443"/>
  <c r="K18" i="443"/>
  <c r="J18" i="443"/>
  <c r="H18" i="443"/>
  <c r="G18" i="443"/>
  <c r="F18" i="443"/>
  <c r="P17" i="443"/>
  <c r="M16" i="443"/>
  <c r="I16" i="443"/>
  <c r="P15" i="443"/>
  <c r="Q14" i="443"/>
  <c r="M14" i="443"/>
  <c r="I14" i="443"/>
  <c r="P13" i="443"/>
  <c r="Q12" i="443"/>
  <c r="M12" i="443"/>
  <c r="I12" i="443"/>
  <c r="P11" i="443"/>
  <c r="Q10" i="443"/>
  <c r="M10" i="443"/>
  <c r="I10" i="443"/>
  <c r="P9" i="443"/>
  <c r="M8" i="443"/>
  <c r="I8" i="443"/>
  <c r="P7" i="443"/>
  <c r="Q6" i="443"/>
  <c r="M6" i="443"/>
  <c r="I6" i="443"/>
  <c r="C3" i="443"/>
  <c r="D33" i="442"/>
  <c r="E33" i="442" s="1"/>
  <c r="D32" i="442"/>
  <c r="E32" i="442" s="1"/>
  <c r="D31" i="442"/>
  <c r="E31" i="442" s="1"/>
  <c r="D30" i="442"/>
  <c r="E30" i="442" s="1"/>
  <c r="D29" i="442"/>
  <c r="E29" i="442" s="1"/>
  <c r="D28" i="442"/>
  <c r="E28" i="442" s="1"/>
  <c r="D27" i="442"/>
  <c r="E27" i="442" s="1"/>
  <c r="D26" i="442"/>
  <c r="E26" i="442" s="1"/>
  <c r="D25" i="442"/>
  <c r="E25" i="442" s="1"/>
  <c r="P18" i="442"/>
  <c r="O18" i="442"/>
  <c r="N18" i="442"/>
  <c r="L18" i="442"/>
  <c r="K18" i="442"/>
  <c r="J18" i="442"/>
  <c r="H18" i="442"/>
  <c r="G18" i="442"/>
  <c r="F18" i="442"/>
  <c r="P17" i="442"/>
  <c r="M16" i="442"/>
  <c r="I16" i="442"/>
  <c r="P15" i="442"/>
  <c r="Q14" i="442"/>
  <c r="M14" i="442"/>
  <c r="I14" i="442"/>
  <c r="P13" i="442"/>
  <c r="Q12" i="442"/>
  <c r="M12" i="442"/>
  <c r="I12" i="442"/>
  <c r="P11" i="442"/>
  <c r="Q10" i="442"/>
  <c r="M10" i="442"/>
  <c r="I10" i="442"/>
  <c r="P9" i="442"/>
  <c r="M8" i="442"/>
  <c r="M18" i="442" s="1"/>
  <c r="I8" i="442"/>
  <c r="P7" i="442"/>
  <c r="Q6" i="442"/>
  <c r="M6" i="442"/>
  <c r="I6" i="442"/>
  <c r="C3" i="442"/>
  <c r="D33" i="441"/>
  <c r="E33" i="441" s="1"/>
  <c r="D32" i="441"/>
  <c r="E32" i="441" s="1"/>
  <c r="D31" i="441"/>
  <c r="E31" i="441" s="1"/>
  <c r="D30" i="441"/>
  <c r="E30" i="441" s="1"/>
  <c r="D29" i="441"/>
  <c r="E29" i="441" s="1"/>
  <c r="E27" i="441"/>
  <c r="D27" i="441"/>
  <c r="E26" i="441"/>
  <c r="D26" i="441"/>
  <c r="D25" i="441"/>
  <c r="E25" i="441" s="1"/>
  <c r="P18" i="441"/>
  <c r="O18" i="441"/>
  <c r="N18" i="441"/>
  <c r="L18" i="441"/>
  <c r="K18" i="441"/>
  <c r="J18" i="441"/>
  <c r="H18" i="441"/>
  <c r="G18" i="441"/>
  <c r="F18" i="441"/>
  <c r="P17" i="441"/>
  <c r="M16" i="441"/>
  <c r="I16" i="441"/>
  <c r="P15" i="441"/>
  <c r="P19" i="441" s="1"/>
  <c r="P20" i="441" s="1"/>
  <c r="C15" i="441"/>
  <c r="D28" i="441" s="1"/>
  <c r="E28" i="441" s="1"/>
  <c r="Q14" i="441"/>
  <c r="M14" i="441"/>
  <c r="I14" i="441"/>
  <c r="P13" i="441"/>
  <c r="Q12" i="441"/>
  <c r="M12" i="441"/>
  <c r="I12" i="441"/>
  <c r="P11" i="441"/>
  <c r="Q10" i="441"/>
  <c r="M10" i="441"/>
  <c r="I10" i="441"/>
  <c r="P9" i="441"/>
  <c r="M8" i="441"/>
  <c r="I8" i="441"/>
  <c r="I18" i="441" s="1"/>
  <c r="P7" i="441"/>
  <c r="Q6" i="441"/>
  <c r="M6" i="441"/>
  <c r="I6" i="441"/>
  <c r="C3" i="441"/>
  <c r="D33" i="440"/>
  <c r="E33" i="440" s="1"/>
  <c r="E32" i="440"/>
  <c r="D32" i="440"/>
  <c r="D31" i="440"/>
  <c r="E31" i="440" s="1"/>
  <c r="D30" i="440"/>
  <c r="E30" i="440" s="1"/>
  <c r="D29" i="440"/>
  <c r="E29" i="440" s="1"/>
  <c r="D27" i="440"/>
  <c r="E27" i="440" s="1"/>
  <c r="D26" i="440"/>
  <c r="E26" i="440" s="1"/>
  <c r="D25" i="440"/>
  <c r="E25" i="440" s="1"/>
  <c r="P18" i="440"/>
  <c r="O18" i="440"/>
  <c r="N18" i="440"/>
  <c r="L18" i="440"/>
  <c r="K18" i="440"/>
  <c r="J18" i="440"/>
  <c r="H18" i="440"/>
  <c r="G18" i="440"/>
  <c r="F18" i="440"/>
  <c r="P17" i="440"/>
  <c r="M16" i="440"/>
  <c r="I16" i="440"/>
  <c r="P15" i="440"/>
  <c r="C15" i="440"/>
  <c r="D28" i="440" s="1"/>
  <c r="E28" i="440" s="1"/>
  <c r="Q14" i="440"/>
  <c r="M14" i="440"/>
  <c r="I14" i="440"/>
  <c r="P13" i="440"/>
  <c r="Q12" i="440"/>
  <c r="M12" i="440"/>
  <c r="I12" i="440"/>
  <c r="P11" i="440"/>
  <c r="Q10" i="440"/>
  <c r="M10" i="440"/>
  <c r="I10" i="440"/>
  <c r="P9" i="440"/>
  <c r="M8" i="440"/>
  <c r="I8" i="440"/>
  <c r="P7" i="440"/>
  <c r="Q6" i="440"/>
  <c r="M6" i="440"/>
  <c r="M18" i="440" s="1"/>
  <c r="I6" i="440"/>
  <c r="C3" i="440"/>
  <c r="E33" i="439"/>
  <c r="D33" i="439"/>
  <c r="D32" i="439"/>
  <c r="E32" i="439" s="1"/>
  <c r="D31" i="439"/>
  <c r="E31" i="439" s="1"/>
  <c r="D30" i="439"/>
  <c r="E30" i="439" s="1"/>
  <c r="E29" i="439"/>
  <c r="D29" i="439"/>
  <c r="D28" i="439"/>
  <c r="E28" i="439" s="1"/>
  <c r="D27" i="439"/>
  <c r="E27" i="439" s="1"/>
  <c r="D26" i="439"/>
  <c r="E26" i="439" s="1"/>
  <c r="D25" i="439"/>
  <c r="E25" i="439" s="1"/>
  <c r="P18" i="439"/>
  <c r="O18" i="439"/>
  <c r="N18" i="439"/>
  <c r="L18" i="439"/>
  <c r="K18" i="439"/>
  <c r="J18" i="439"/>
  <c r="H18" i="439"/>
  <c r="G18" i="439"/>
  <c r="F18" i="439"/>
  <c r="P17" i="439"/>
  <c r="M16" i="439"/>
  <c r="I16" i="439"/>
  <c r="P15" i="439"/>
  <c r="Q14" i="439"/>
  <c r="M14" i="439"/>
  <c r="I14" i="439"/>
  <c r="P13" i="439"/>
  <c r="P19" i="439" s="1"/>
  <c r="P20" i="439" s="1"/>
  <c r="Q12" i="439"/>
  <c r="M12" i="439"/>
  <c r="I12" i="439"/>
  <c r="P11" i="439"/>
  <c r="Q10" i="439"/>
  <c r="M10" i="439"/>
  <c r="I10" i="439"/>
  <c r="P9" i="439"/>
  <c r="M8" i="439"/>
  <c r="I8" i="439"/>
  <c r="P7" i="439"/>
  <c r="Q6" i="439"/>
  <c r="M6" i="439"/>
  <c r="I6" i="439"/>
  <c r="C3" i="439"/>
  <c r="D33" i="438"/>
  <c r="E33" i="438" s="1"/>
  <c r="D32" i="438"/>
  <c r="E32" i="438" s="1"/>
  <c r="D31" i="438"/>
  <c r="E31" i="438" s="1"/>
  <c r="D30" i="438"/>
  <c r="E30" i="438" s="1"/>
  <c r="E29" i="438"/>
  <c r="D29" i="438"/>
  <c r="D27" i="438"/>
  <c r="E27" i="438" s="1"/>
  <c r="D26" i="438"/>
  <c r="E26" i="438" s="1"/>
  <c r="D25" i="438"/>
  <c r="E25" i="438" s="1"/>
  <c r="P18" i="438"/>
  <c r="O18" i="438"/>
  <c r="N18" i="438"/>
  <c r="L18" i="438"/>
  <c r="K18" i="438"/>
  <c r="J18" i="438"/>
  <c r="H18" i="438"/>
  <c r="G18" i="438"/>
  <c r="F18" i="438"/>
  <c r="P17" i="438"/>
  <c r="M16" i="438"/>
  <c r="I16" i="438"/>
  <c r="P15" i="438"/>
  <c r="C15" i="438"/>
  <c r="D28" i="438" s="1"/>
  <c r="E28" i="438" s="1"/>
  <c r="Q14" i="438"/>
  <c r="M14" i="438"/>
  <c r="I14" i="438"/>
  <c r="P13" i="438"/>
  <c r="Q12" i="438"/>
  <c r="M12" i="438"/>
  <c r="I12" i="438"/>
  <c r="P11" i="438"/>
  <c r="Q10" i="438"/>
  <c r="M10" i="438"/>
  <c r="I10" i="438"/>
  <c r="P9" i="438"/>
  <c r="M8" i="438"/>
  <c r="M18" i="438" s="1"/>
  <c r="I8" i="438"/>
  <c r="P7" i="438"/>
  <c r="Q6" i="438"/>
  <c r="M6" i="438"/>
  <c r="I6" i="438"/>
  <c r="C3" i="438"/>
  <c r="D33" i="437"/>
  <c r="E33" i="437" s="1"/>
  <c r="D32" i="437"/>
  <c r="E32" i="437" s="1"/>
  <c r="D31" i="437"/>
  <c r="E31" i="437" s="1"/>
  <c r="D30" i="437"/>
  <c r="E30" i="437" s="1"/>
  <c r="D29" i="437"/>
  <c r="E29" i="437" s="1"/>
  <c r="D27" i="437"/>
  <c r="E27" i="437" s="1"/>
  <c r="D26" i="437"/>
  <c r="E26" i="437" s="1"/>
  <c r="E25" i="437"/>
  <c r="D25" i="437"/>
  <c r="P18" i="437"/>
  <c r="O18" i="437"/>
  <c r="N18" i="437"/>
  <c r="L18" i="437"/>
  <c r="K18" i="437"/>
  <c r="J18" i="437"/>
  <c r="H18" i="437"/>
  <c r="G18" i="437"/>
  <c r="F18" i="437"/>
  <c r="P17" i="437"/>
  <c r="M16" i="437"/>
  <c r="I16" i="437"/>
  <c r="P15" i="437"/>
  <c r="C15" i="437"/>
  <c r="D28" i="437" s="1"/>
  <c r="E28" i="437" s="1"/>
  <c r="M14" i="437"/>
  <c r="I14" i="437"/>
  <c r="P13" i="437"/>
  <c r="M12" i="437"/>
  <c r="I12" i="437"/>
  <c r="P11" i="437"/>
  <c r="M10" i="437"/>
  <c r="I10" i="437"/>
  <c r="P9" i="437"/>
  <c r="M8" i="437"/>
  <c r="I8" i="437"/>
  <c r="P7" i="437"/>
  <c r="M6" i="437"/>
  <c r="I6" i="437"/>
  <c r="C3" i="437"/>
  <c r="E33" i="436"/>
  <c r="D33" i="436"/>
  <c r="D32" i="436"/>
  <c r="E32" i="436" s="1"/>
  <c r="D31" i="436"/>
  <c r="E31" i="436" s="1"/>
  <c r="D30" i="436"/>
  <c r="E30" i="436" s="1"/>
  <c r="E29" i="436"/>
  <c r="D29" i="436"/>
  <c r="D28" i="436"/>
  <c r="E28" i="436" s="1"/>
  <c r="D27" i="436"/>
  <c r="E27" i="436" s="1"/>
  <c r="D26" i="436"/>
  <c r="E26" i="436" s="1"/>
  <c r="E25" i="436"/>
  <c r="D25" i="436"/>
  <c r="P18" i="436"/>
  <c r="O18" i="436"/>
  <c r="N18" i="436"/>
  <c r="L18" i="436"/>
  <c r="K18" i="436"/>
  <c r="J18" i="436"/>
  <c r="H18" i="436"/>
  <c r="G18" i="436"/>
  <c r="F18" i="436"/>
  <c r="P17" i="436"/>
  <c r="M16" i="436"/>
  <c r="I16" i="436"/>
  <c r="P15" i="436"/>
  <c r="M14" i="436"/>
  <c r="I14" i="436"/>
  <c r="P13" i="436"/>
  <c r="M12" i="436"/>
  <c r="I12" i="436"/>
  <c r="P11" i="436"/>
  <c r="M10" i="436"/>
  <c r="I10" i="436"/>
  <c r="P9" i="436"/>
  <c r="M8" i="436"/>
  <c r="I8" i="436"/>
  <c r="P7" i="436"/>
  <c r="M6" i="436"/>
  <c r="I6" i="436"/>
  <c r="C3" i="436"/>
  <c r="D33" i="435"/>
  <c r="E33" i="435" s="1"/>
  <c r="D32" i="435"/>
  <c r="E32" i="435" s="1"/>
  <c r="D31" i="435"/>
  <c r="E31" i="435" s="1"/>
  <c r="E30" i="435"/>
  <c r="D30" i="435"/>
  <c r="D29" i="435"/>
  <c r="E29" i="435" s="1"/>
  <c r="D28" i="435"/>
  <c r="E28" i="435" s="1"/>
  <c r="D27" i="435"/>
  <c r="E27" i="435" s="1"/>
  <c r="D26" i="435"/>
  <c r="E26" i="435" s="1"/>
  <c r="D25" i="435"/>
  <c r="E25" i="435" s="1"/>
  <c r="P18" i="435"/>
  <c r="O18" i="435"/>
  <c r="N18" i="435"/>
  <c r="L18" i="435"/>
  <c r="K18" i="435"/>
  <c r="J18" i="435"/>
  <c r="H18" i="435"/>
  <c r="G18" i="435"/>
  <c r="F18" i="435"/>
  <c r="P17" i="435"/>
  <c r="M16" i="435"/>
  <c r="I16" i="435"/>
  <c r="P15" i="435"/>
  <c r="M14" i="435"/>
  <c r="I14" i="435"/>
  <c r="P13" i="435"/>
  <c r="M12" i="435"/>
  <c r="I12" i="435"/>
  <c r="P11" i="435"/>
  <c r="M10" i="435"/>
  <c r="I10" i="435"/>
  <c r="P9" i="435"/>
  <c r="M8" i="435"/>
  <c r="I8" i="435"/>
  <c r="P7" i="435"/>
  <c r="M6" i="435"/>
  <c r="I6" i="435"/>
  <c r="C3" i="435"/>
  <c r="D33" i="434"/>
  <c r="E33" i="434" s="1"/>
  <c r="D32" i="434"/>
  <c r="E32" i="434" s="1"/>
  <c r="E31" i="434"/>
  <c r="D31" i="434"/>
  <c r="D30" i="434"/>
  <c r="E30" i="434" s="1"/>
  <c r="D29" i="434"/>
  <c r="E29" i="434" s="1"/>
  <c r="D27" i="434"/>
  <c r="E27" i="434" s="1"/>
  <c r="D26" i="434"/>
  <c r="E26" i="434" s="1"/>
  <c r="D25" i="434"/>
  <c r="E25" i="434" s="1"/>
  <c r="P18" i="434"/>
  <c r="O18" i="434"/>
  <c r="N18" i="434"/>
  <c r="L18" i="434"/>
  <c r="K18" i="434"/>
  <c r="J18" i="434"/>
  <c r="H18" i="434"/>
  <c r="G18" i="434"/>
  <c r="F18" i="434"/>
  <c r="P17" i="434"/>
  <c r="M16" i="434"/>
  <c r="I16" i="434"/>
  <c r="P15" i="434"/>
  <c r="C15" i="434"/>
  <c r="D28" i="434" s="1"/>
  <c r="E28" i="434" s="1"/>
  <c r="M14" i="434"/>
  <c r="I14" i="434"/>
  <c r="P13" i="434"/>
  <c r="M12" i="434"/>
  <c r="M18" i="434" s="1"/>
  <c r="I12" i="434"/>
  <c r="P11" i="434"/>
  <c r="M10" i="434"/>
  <c r="I10" i="434"/>
  <c r="P9" i="434"/>
  <c r="M8" i="434"/>
  <c r="I8" i="434"/>
  <c r="P7" i="434"/>
  <c r="M6" i="434"/>
  <c r="I6" i="434"/>
  <c r="I18" i="434" s="1"/>
  <c r="C3" i="434"/>
  <c r="D33" i="433"/>
  <c r="E33" i="433" s="1"/>
  <c r="D32" i="433"/>
  <c r="E32" i="433" s="1"/>
  <c r="D31" i="433"/>
  <c r="E31" i="433" s="1"/>
  <c r="D30" i="433"/>
  <c r="E30" i="433" s="1"/>
  <c r="E29" i="433"/>
  <c r="D29" i="433"/>
  <c r="E27" i="433"/>
  <c r="D27" i="433"/>
  <c r="E26" i="433"/>
  <c r="D26" i="433"/>
  <c r="D25" i="433"/>
  <c r="E25" i="433" s="1"/>
  <c r="P18" i="433"/>
  <c r="O18" i="433"/>
  <c r="N18" i="433"/>
  <c r="L18" i="433"/>
  <c r="K18" i="433"/>
  <c r="J18" i="433"/>
  <c r="H18" i="433"/>
  <c r="G18" i="433"/>
  <c r="F18" i="433"/>
  <c r="P17" i="433"/>
  <c r="M16" i="433"/>
  <c r="I16" i="433"/>
  <c r="P15" i="433"/>
  <c r="C15" i="433"/>
  <c r="D28" i="433" s="1"/>
  <c r="E28" i="433" s="1"/>
  <c r="M14" i="433"/>
  <c r="I14" i="433"/>
  <c r="P13" i="433"/>
  <c r="M12" i="433"/>
  <c r="I12" i="433"/>
  <c r="F12" i="433"/>
  <c r="P11" i="433"/>
  <c r="M10" i="433"/>
  <c r="I10" i="433"/>
  <c r="P9" i="433"/>
  <c r="M8" i="433"/>
  <c r="M18" i="433" s="1"/>
  <c r="I8" i="433"/>
  <c r="P7" i="433"/>
  <c r="M6" i="433"/>
  <c r="I6" i="433"/>
  <c r="C3" i="433"/>
  <c r="D33" i="432"/>
  <c r="E33" i="432" s="1"/>
  <c r="E32" i="432"/>
  <c r="D32" i="432"/>
  <c r="E31" i="432"/>
  <c r="D31" i="432"/>
  <c r="D30" i="432"/>
  <c r="E30" i="432" s="1"/>
  <c r="E29" i="432"/>
  <c r="D29" i="432"/>
  <c r="E27" i="432"/>
  <c r="D27" i="432"/>
  <c r="D26" i="432"/>
  <c r="E26" i="432" s="1"/>
  <c r="E25" i="432"/>
  <c r="D25" i="432"/>
  <c r="P18" i="432"/>
  <c r="O18" i="432"/>
  <c r="N18" i="432"/>
  <c r="L18" i="432"/>
  <c r="K18" i="432"/>
  <c r="J18" i="432"/>
  <c r="H18" i="432"/>
  <c r="G18" i="432"/>
  <c r="F18" i="432"/>
  <c r="P17" i="432"/>
  <c r="M16" i="432"/>
  <c r="I16" i="432"/>
  <c r="P15" i="432"/>
  <c r="C15" i="432"/>
  <c r="D28" i="432" s="1"/>
  <c r="E28" i="432" s="1"/>
  <c r="M14" i="432"/>
  <c r="I14" i="432"/>
  <c r="P13" i="432"/>
  <c r="M12" i="432"/>
  <c r="I12" i="432"/>
  <c r="P11" i="432"/>
  <c r="M10" i="432"/>
  <c r="I10" i="432"/>
  <c r="P9" i="432"/>
  <c r="M8" i="432"/>
  <c r="I8" i="432"/>
  <c r="P7" i="432"/>
  <c r="M6" i="432"/>
  <c r="I6" i="432"/>
  <c r="I18" i="432" s="1"/>
  <c r="C3" i="432"/>
  <c r="D33" i="431"/>
  <c r="E33" i="431" s="1"/>
  <c r="D32" i="431"/>
  <c r="E32" i="431" s="1"/>
  <c r="D31" i="431"/>
  <c r="E31" i="431" s="1"/>
  <c r="D30" i="431"/>
  <c r="E30" i="431" s="1"/>
  <c r="D29" i="431"/>
  <c r="E29" i="431" s="1"/>
  <c r="D28" i="431"/>
  <c r="E28" i="431" s="1"/>
  <c r="D27" i="431"/>
  <c r="E27" i="431" s="1"/>
  <c r="D26" i="431"/>
  <c r="E26" i="431" s="1"/>
  <c r="D25" i="431"/>
  <c r="E25" i="431" s="1"/>
  <c r="P18" i="431"/>
  <c r="O18" i="431"/>
  <c r="N18" i="431"/>
  <c r="L18" i="431"/>
  <c r="K18" i="431"/>
  <c r="J18" i="431"/>
  <c r="H18" i="431"/>
  <c r="G18" i="431"/>
  <c r="F18" i="431"/>
  <c r="P17" i="431"/>
  <c r="M16" i="431"/>
  <c r="I16" i="431"/>
  <c r="P15" i="431"/>
  <c r="M14" i="431"/>
  <c r="I14" i="431"/>
  <c r="P13" i="431"/>
  <c r="M12" i="431"/>
  <c r="I12" i="431"/>
  <c r="P11" i="431"/>
  <c r="M10" i="431"/>
  <c r="I10" i="431"/>
  <c r="P9" i="431"/>
  <c r="M8" i="431"/>
  <c r="I8" i="431"/>
  <c r="P7" i="431"/>
  <c r="M6" i="431"/>
  <c r="I6" i="431"/>
  <c r="C3" i="431"/>
  <c r="D33" i="430"/>
  <c r="E33" i="430" s="1"/>
  <c r="D32" i="430"/>
  <c r="E32" i="430" s="1"/>
  <c r="D31" i="430"/>
  <c r="E31" i="430" s="1"/>
  <c r="D30" i="430"/>
  <c r="E30" i="430" s="1"/>
  <c r="D29" i="430"/>
  <c r="E29" i="430" s="1"/>
  <c r="D27" i="430"/>
  <c r="E27" i="430" s="1"/>
  <c r="D26" i="430"/>
  <c r="E26" i="430" s="1"/>
  <c r="D25" i="430"/>
  <c r="E25" i="430" s="1"/>
  <c r="P18" i="430"/>
  <c r="O18" i="430"/>
  <c r="N18" i="430"/>
  <c r="L18" i="430"/>
  <c r="K18" i="430"/>
  <c r="J18" i="430"/>
  <c r="H18" i="430"/>
  <c r="G18" i="430"/>
  <c r="F18" i="430"/>
  <c r="P17" i="430"/>
  <c r="M16" i="430"/>
  <c r="I16" i="430"/>
  <c r="P15" i="430"/>
  <c r="C15" i="430"/>
  <c r="D28" i="430" s="1"/>
  <c r="E28" i="430" s="1"/>
  <c r="M14" i="430"/>
  <c r="I14" i="430"/>
  <c r="P13" i="430"/>
  <c r="P19" i="430" s="1"/>
  <c r="P20" i="430" s="1"/>
  <c r="M12" i="430"/>
  <c r="I12" i="430"/>
  <c r="P11" i="430"/>
  <c r="M10" i="430"/>
  <c r="I10" i="430"/>
  <c r="P9" i="430"/>
  <c r="M8" i="430"/>
  <c r="I8" i="430"/>
  <c r="P7" i="430"/>
  <c r="M6" i="430"/>
  <c r="I6" i="430"/>
  <c r="C3" i="430"/>
  <c r="E33" i="429"/>
  <c r="D33" i="429"/>
  <c r="D32" i="429"/>
  <c r="E32" i="429" s="1"/>
  <c r="E31" i="429"/>
  <c r="D31" i="429"/>
  <c r="D30" i="429"/>
  <c r="E30" i="429" s="1"/>
  <c r="D29" i="429"/>
  <c r="E29" i="429" s="1"/>
  <c r="D28" i="429"/>
  <c r="E28" i="429" s="1"/>
  <c r="E27" i="429"/>
  <c r="D27" i="429"/>
  <c r="D26" i="429"/>
  <c r="E26" i="429" s="1"/>
  <c r="E25" i="429"/>
  <c r="D25" i="429"/>
  <c r="P18" i="429"/>
  <c r="O18" i="429"/>
  <c r="N18" i="429"/>
  <c r="L18" i="429"/>
  <c r="K18" i="429"/>
  <c r="J18" i="429"/>
  <c r="H18" i="429"/>
  <c r="G18" i="429"/>
  <c r="F18" i="429"/>
  <c r="P17" i="429"/>
  <c r="M16" i="429"/>
  <c r="I16" i="429"/>
  <c r="P15" i="429"/>
  <c r="M14" i="429"/>
  <c r="I14" i="429"/>
  <c r="P13" i="429"/>
  <c r="M12" i="429"/>
  <c r="I12" i="429"/>
  <c r="P11" i="429"/>
  <c r="M10" i="429"/>
  <c r="I10" i="429"/>
  <c r="P9" i="429"/>
  <c r="M8" i="429"/>
  <c r="I8" i="429"/>
  <c r="P7" i="429"/>
  <c r="M6" i="429"/>
  <c r="I6" i="429"/>
  <c r="C3" i="429"/>
  <c r="E33" i="428"/>
  <c r="D33" i="428"/>
  <c r="E32" i="428"/>
  <c r="D32" i="428"/>
  <c r="D31" i="428"/>
  <c r="E31" i="428" s="1"/>
  <c r="E30" i="428"/>
  <c r="D30" i="428"/>
  <c r="E29" i="428"/>
  <c r="D29" i="428"/>
  <c r="D28" i="428"/>
  <c r="E28" i="428" s="1"/>
  <c r="D27" i="428"/>
  <c r="E27" i="428" s="1"/>
  <c r="D26" i="428"/>
  <c r="E26" i="428" s="1"/>
  <c r="D25" i="428"/>
  <c r="E25" i="428" s="1"/>
  <c r="P18" i="428"/>
  <c r="O18" i="428"/>
  <c r="N18" i="428"/>
  <c r="L18" i="428"/>
  <c r="K18" i="428"/>
  <c r="J18" i="428"/>
  <c r="H18" i="428"/>
  <c r="G18" i="428"/>
  <c r="F18" i="428"/>
  <c r="P17" i="428"/>
  <c r="M16" i="428"/>
  <c r="I16" i="428"/>
  <c r="P15" i="428"/>
  <c r="M14" i="428"/>
  <c r="I14" i="428"/>
  <c r="P13" i="428"/>
  <c r="M12" i="428"/>
  <c r="I12" i="428"/>
  <c r="P11" i="428"/>
  <c r="M10" i="428"/>
  <c r="I10" i="428"/>
  <c r="P9" i="428"/>
  <c r="M8" i="428"/>
  <c r="I8" i="428"/>
  <c r="P7" i="428"/>
  <c r="M6" i="428"/>
  <c r="I6" i="428"/>
  <c r="C3" i="428"/>
  <c r="D33" i="427"/>
  <c r="E33" i="427" s="1"/>
  <c r="D32" i="427"/>
  <c r="E32" i="427" s="1"/>
  <c r="E31" i="427"/>
  <c r="D31" i="427"/>
  <c r="D30" i="427"/>
  <c r="E30" i="427" s="1"/>
  <c r="D29" i="427"/>
  <c r="E29" i="427" s="1"/>
  <c r="E27" i="427"/>
  <c r="D27" i="427"/>
  <c r="E26" i="427"/>
  <c r="D26" i="427"/>
  <c r="D25" i="427"/>
  <c r="E25" i="427" s="1"/>
  <c r="P18" i="427"/>
  <c r="O18" i="427"/>
  <c r="N18" i="427"/>
  <c r="L18" i="427"/>
  <c r="K18" i="427"/>
  <c r="J18" i="427"/>
  <c r="H18" i="427"/>
  <c r="G18" i="427"/>
  <c r="F18" i="427"/>
  <c r="P17" i="427"/>
  <c r="M16" i="427"/>
  <c r="I16" i="427"/>
  <c r="P15" i="427"/>
  <c r="C15" i="427"/>
  <c r="D28" i="427" s="1"/>
  <c r="E28" i="427" s="1"/>
  <c r="M14" i="427"/>
  <c r="I14" i="427"/>
  <c r="P13" i="427"/>
  <c r="M12" i="427"/>
  <c r="I12" i="427"/>
  <c r="P11" i="427"/>
  <c r="M10" i="427"/>
  <c r="I10" i="427"/>
  <c r="P9" i="427"/>
  <c r="M8" i="427"/>
  <c r="I8" i="427"/>
  <c r="P7" i="427"/>
  <c r="M6" i="427"/>
  <c r="I6" i="427"/>
  <c r="C3" i="427"/>
  <c r="D33" i="426"/>
  <c r="E33" i="426" s="1"/>
  <c r="D32" i="426"/>
  <c r="E32" i="426" s="1"/>
  <c r="D31" i="426"/>
  <c r="E31" i="426" s="1"/>
  <c r="D30" i="426"/>
  <c r="E30" i="426" s="1"/>
  <c r="D29" i="426"/>
  <c r="E29" i="426" s="1"/>
  <c r="D27" i="426"/>
  <c r="E27" i="426" s="1"/>
  <c r="D26" i="426"/>
  <c r="E26" i="426" s="1"/>
  <c r="D25" i="426"/>
  <c r="E25" i="426" s="1"/>
  <c r="P18" i="426"/>
  <c r="O18" i="426"/>
  <c r="N18" i="426"/>
  <c r="L18" i="426"/>
  <c r="K18" i="426"/>
  <c r="J18" i="426"/>
  <c r="H18" i="426"/>
  <c r="G18" i="426"/>
  <c r="F18" i="426"/>
  <c r="P17" i="426"/>
  <c r="M16" i="426"/>
  <c r="I16" i="426"/>
  <c r="P15" i="426"/>
  <c r="C15" i="426"/>
  <c r="D28" i="426" s="1"/>
  <c r="E28" i="426" s="1"/>
  <c r="M14" i="426"/>
  <c r="I14" i="426"/>
  <c r="P13" i="426"/>
  <c r="P19" i="426" s="1"/>
  <c r="P20" i="426" s="1"/>
  <c r="M12" i="426"/>
  <c r="I12" i="426"/>
  <c r="P11" i="426"/>
  <c r="M10" i="426"/>
  <c r="I10" i="426"/>
  <c r="I18" i="426" s="1"/>
  <c r="P9" i="426"/>
  <c r="M8" i="426"/>
  <c r="I8" i="426"/>
  <c r="P7" i="426"/>
  <c r="M6" i="426"/>
  <c r="I6" i="426"/>
  <c r="C3" i="426"/>
  <c r="E33" i="425"/>
  <c r="D33" i="425"/>
  <c r="D32" i="425"/>
  <c r="E32" i="425" s="1"/>
  <c r="D31" i="425"/>
  <c r="E31" i="425" s="1"/>
  <c r="D30" i="425"/>
  <c r="E30" i="425" s="1"/>
  <c r="D29" i="425"/>
  <c r="E29" i="425" s="1"/>
  <c r="D27" i="425"/>
  <c r="E27" i="425" s="1"/>
  <c r="D26" i="425"/>
  <c r="E26" i="425" s="1"/>
  <c r="E25" i="425"/>
  <c r="D25" i="425"/>
  <c r="P18" i="425"/>
  <c r="O18" i="425"/>
  <c r="N18" i="425"/>
  <c r="L18" i="425"/>
  <c r="K18" i="425"/>
  <c r="J18" i="425"/>
  <c r="H18" i="425"/>
  <c r="G18" i="425"/>
  <c r="F18" i="425"/>
  <c r="P17" i="425"/>
  <c r="M16" i="425"/>
  <c r="I16" i="425"/>
  <c r="P15" i="425"/>
  <c r="C15" i="425"/>
  <c r="D28" i="425" s="1"/>
  <c r="E28" i="425" s="1"/>
  <c r="M14" i="425"/>
  <c r="I14" i="425"/>
  <c r="P13" i="425"/>
  <c r="M12" i="425"/>
  <c r="I12" i="425"/>
  <c r="P11" i="425"/>
  <c r="M10" i="425"/>
  <c r="I10" i="425"/>
  <c r="P9" i="425"/>
  <c r="M8" i="425"/>
  <c r="I8" i="425"/>
  <c r="P7" i="425"/>
  <c r="M6" i="425"/>
  <c r="M18" i="425" s="1"/>
  <c r="I6" i="425"/>
  <c r="C3" i="425"/>
  <c r="D33" i="424"/>
  <c r="E33" i="424" s="1"/>
  <c r="D32" i="424"/>
  <c r="E32" i="424" s="1"/>
  <c r="D31" i="424"/>
  <c r="E31" i="424" s="1"/>
  <c r="D30" i="424"/>
  <c r="E30" i="424" s="1"/>
  <c r="D29" i="424"/>
  <c r="E29" i="424" s="1"/>
  <c r="D27" i="424"/>
  <c r="E27" i="424" s="1"/>
  <c r="D26" i="424"/>
  <c r="E26" i="424" s="1"/>
  <c r="D25" i="424"/>
  <c r="E25" i="424" s="1"/>
  <c r="P18" i="424"/>
  <c r="O18" i="424"/>
  <c r="N18" i="424"/>
  <c r="L18" i="424"/>
  <c r="K18" i="424"/>
  <c r="J18" i="424"/>
  <c r="H18" i="424"/>
  <c r="G18" i="424"/>
  <c r="F18" i="424"/>
  <c r="P17" i="424"/>
  <c r="M16" i="424"/>
  <c r="I16" i="424"/>
  <c r="P15" i="424"/>
  <c r="C15" i="424"/>
  <c r="D28" i="424" s="1"/>
  <c r="E28" i="424" s="1"/>
  <c r="M14" i="424"/>
  <c r="I14" i="424"/>
  <c r="P13" i="424"/>
  <c r="M12" i="424"/>
  <c r="I12" i="424"/>
  <c r="P11" i="424"/>
  <c r="M10" i="424"/>
  <c r="I10" i="424"/>
  <c r="I18" i="424" s="1"/>
  <c r="P9" i="424"/>
  <c r="M8" i="424"/>
  <c r="I8" i="424"/>
  <c r="P7" i="424"/>
  <c r="M6" i="424"/>
  <c r="I6" i="424"/>
  <c r="C3" i="424"/>
  <c r="E33" i="423"/>
  <c r="D33" i="423"/>
  <c r="D32" i="423"/>
  <c r="E32" i="423" s="1"/>
  <c r="D31" i="423"/>
  <c r="E31" i="423" s="1"/>
  <c r="D30" i="423"/>
  <c r="E30" i="423" s="1"/>
  <c r="D29" i="423"/>
  <c r="E29" i="423" s="1"/>
  <c r="E27" i="423"/>
  <c r="D27" i="423"/>
  <c r="D26" i="423"/>
  <c r="E26" i="423" s="1"/>
  <c r="D25" i="423"/>
  <c r="E25" i="423" s="1"/>
  <c r="P18" i="423"/>
  <c r="O18" i="423"/>
  <c r="N18" i="423"/>
  <c r="L18" i="423"/>
  <c r="K18" i="423"/>
  <c r="J18" i="423"/>
  <c r="H18" i="423"/>
  <c r="G18" i="423"/>
  <c r="F18" i="423"/>
  <c r="P17" i="423"/>
  <c r="M16" i="423"/>
  <c r="I16" i="423"/>
  <c r="P15" i="423"/>
  <c r="C15" i="423"/>
  <c r="D28" i="423" s="1"/>
  <c r="E28" i="423" s="1"/>
  <c r="M14" i="423"/>
  <c r="I14" i="423"/>
  <c r="P13" i="423"/>
  <c r="M12" i="423"/>
  <c r="I12" i="423"/>
  <c r="P11" i="423"/>
  <c r="M10" i="423"/>
  <c r="I10" i="423"/>
  <c r="P9" i="423"/>
  <c r="M8" i="423"/>
  <c r="I8" i="423"/>
  <c r="P7" i="423"/>
  <c r="M6" i="423"/>
  <c r="I6" i="423"/>
  <c r="C3" i="423"/>
  <c r="D33" i="422"/>
  <c r="E33" i="422" s="1"/>
  <c r="D32" i="422"/>
  <c r="E32" i="422" s="1"/>
  <c r="D31" i="422"/>
  <c r="E31" i="422" s="1"/>
  <c r="D30" i="422"/>
  <c r="E30" i="422" s="1"/>
  <c r="D29" i="422"/>
  <c r="E29" i="422" s="1"/>
  <c r="D28" i="422"/>
  <c r="E28" i="422" s="1"/>
  <c r="D27" i="422"/>
  <c r="E27" i="422" s="1"/>
  <c r="D26" i="422"/>
  <c r="E26" i="422" s="1"/>
  <c r="D25" i="422"/>
  <c r="E25" i="422" s="1"/>
  <c r="P18" i="422"/>
  <c r="O18" i="422"/>
  <c r="N18" i="422"/>
  <c r="L18" i="422"/>
  <c r="K18" i="422"/>
  <c r="J18" i="422"/>
  <c r="H18" i="422"/>
  <c r="G18" i="422"/>
  <c r="F18" i="422"/>
  <c r="P17" i="422"/>
  <c r="M16" i="422"/>
  <c r="I16" i="422"/>
  <c r="P15" i="422"/>
  <c r="M14" i="422"/>
  <c r="I14" i="422"/>
  <c r="P13" i="422"/>
  <c r="M12" i="422"/>
  <c r="I12" i="422"/>
  <c r="P11" i="422"/>
  <c r="M10" i="422"/>
  <c r="I10" i="422"/>
  <c r="P9" i="422"/>
  <c r="M8" i="422"/>
  <c r="I8" i="422"/>
  <c r="P7" i="422"/>
  <c r="M6" i="422"/>
  <c r="I6" i="422"/>
  <c r="C3" i="422"/>
  <c r="D33" i="421"/>
  <c r="E33" i="421" s="1"/>
  <c r="D32" i="421"/>
  <c r="E32" i="421" s="1"/>
  <c r="D31" i="421"/>
  <c r="E31" i="421" s="1"/>
  <c r="D30" i="421"/>
  <c r="E30" i="421" s="1"/>
  <c r="D29" i="421"/>
  <c r="E29" i="421" s="1"/>
  <c r="D28" i="421"/>
  <c r="E28" i="421" s="1"/>
  <c r="D27" i="421"/>
  <c r="E27" i="421" s="1"/>
  <c r="D26" i="421"/>
  <c r="E26" i="421" s="1"/>
  <c r="D25" i="421"/>
  <c r="E25" i="421" s="1"/>
  <c r="P18" i="421"/>
  <c r="O18" i="421"/>
  <c r="N18" i="421"/>
  <c r="L18" i="421"/>
  <c r="K18" i="421"/>
  <c r="J18" i="421"/>
  <c r="H18" i="421"/>
  <c r="G18" i="421"/>
  <c r="F18" i="421"/>
  <c r="P17" i="421"/>
  <c r="M16" i="421"/>
  <c r="I16" i="421"/>
  <c r="P15" i="421"/>
  <c r="M14" i="421"/>
  <c r="I14" i="421"/>
  <c r="P13" i="421"/>
  <c r="P19" i="421" s="1"/>
  <c r="M12" i="421"/>
  <c r="I12" i="421"/>
  <c r="P11" i="421"/>
  <c r="M10" i="421"/>
  <c r="I10" i="421"/>
  <c r="P9" i="421"/>
  <c r="M8" i="421"/>
  <c r="I8" i="421"/>
  <c r="I18" i="421" s="1"/>
  <c r="P7" i="421"/>
  <c r="M6" i="421"/>
  <c r="I6" i="421"/>
  <c r="C3" i="421"/>
  <c r="D33" i="420"/>
  <c r="E33" i="420" s="1"/>
  <c r="D32" i="420"/>
  <c r="E32" i="420" s="1"/>
  <c r="D31" i="420"/>
  <c r="E31" i="420" s="1"/>
  <c r="D30" i="420"/>
  <c r="E30" i="420" s="1"/>
  <c r="D29" i="420"/>
  <c r="E29" i="420" s="1"/>
  <c r="D28" i="420"/>
  <c r="E28" i="420" s="1"/>
  <c r="D27" i="420"/>
  <c r="E27" i="420" s="1"/>
  <c r="D26" i="420"/>
  <c r="E26" i="420" s="1"/>
  <c r="D25" i="420"/>
  <c r="E25" i="420" s="1"/>
  <c r="P18" i="420"/>
  <c r="O18" i="420"/>
  <c r="N18" i="420"/>
  <c r="L18" i="420"/>
  <c r="K18" i="420"/>
  <c r="J18" i="420"/>
  <c r="H18" i="420"/>
  <c r="G18" i="420"/>
  <c r="F18" i="420"/>
  <c r="P17" i="420"/>
  <c r="M16" i="420"/>
  <c r="I16" i="420"/>
  <c r="P15" i="420"/>
  <c r="C15" i="420"/>
  <c r="M14" i="420"/>
  <c r="I14" i="420"/>
  <c r="P13" i="420"/>
  <c r="M12" i="420"/>
  <c r="I12" i="420"/>
  <c r="P11" i="420"/>
  <c r="M10" i="420"/>
  <c r="I10" i="420"/>
  <c r="P9" i="420"/>
  <c r="M8" i="420"/>
  <c r="I8" i="420"/>
  <c r="P7" i="420"/>
  <c r="P19" i="420" s="1"/>
  <c r="P20" i="420" s="1"/>
  <c r="M6" i="420"/>
  <c r="I6" i="420"/>
  <c r="C3" i="420"/>
  <c r="D33" i="419"/>
  <c r="E33" i="419" s="1"/>
  <c r="E32" i="419"/>
  <c r="D32" i="419"/>
  <c r="D31" i="419"/>
  <c r="E31" i="419" s="1"/>
  <c r="E30" i="419"/>
  <c r="D30" i="419"/>
  <c r="E29" i="419"/>
  <c r="D29" i="419"/>
  <c r="D27" i="419"/>
  <c r="E27" i="419" s="1"/>
  <c r="E26" i="419"/>
  <c r="D26" i="419"/>
  <c r="E25" i="419"/>
  <c r="D25" i="419"/>
  <c r="P18" i="419"/>
  <c r="O18" i="419"/>
  <c r="N18" i="419"/>
  <c r="L18" i="419"/>
  <c r="K18" i="419"/>
  <c r="J18" i="419"/>
  <c r="H18" i="419"/>
  <c r="G18" i="419"/>
  <c r="F18" i="419"/>
  <c r="P17" i="419"/>
  <c r="M16" i="419"/>
  <c r="I16" i="419"/>
  <c r="P15" i="419"/>
  <c r="C15" i="419"/>
  <c r="D28" i="419" s="1"/>
  <c r="E28" i="419" s="1"/>
  <c r="M14" i="419"/>
  <c r="I14" i="419"/>
  <c r="P13" i="419"/>
  <c r="M12" i="419"/>
  <c r="I12" i="419"/>
  <c r="P11" i="419"/>
  <c r="M10" i="419"/>
  <c r="I10" i="419"/>
  <c r="P9" i="419"/>
  <c r="M8" i="419"/>
  <c r="I8" i="419"/>
  <c r="P7" i="419"/>
  <c r="M6" i="419"/>
  <c r="I6" i="419"/>
  <c r="C3" i="419"/>
  <c r="D33" i="418"/>
  <c r="E33" i="418" s="1"/>
  <c r="D32" i="418"/>
  <c r="E32" i="418" s="1"/>
  <c r="D31" i="418"/>
  <c r="E31" i="418" s="1"/>
  <c r="D30" i="418"/>
  <c r="E30" i="418" s="1"/>
  <c r="D29" i="418"/>
  <c r="E29" i="418" s="1"/>
  <c r="D27" i="418"/>
  <c r="E27" i="418" s="1"/>
  <c r="D26" i="418"/>
  <c r="E26" i="418" s="1"/>
  <c r="D25" i="418"/>
  <c r="E25" i="418" s="1"/>
  <c r="P18" i="418"/>
  <c r="O18" i="418"/>
  <c r="N18" i="418"/>
  <c r="L18" i="418"/>
  <c r="K18" i="418"/>
  <c r="J18" i="418"/>
  <c r="H18" i="418"/>
  <c r="G18" i="418"/>
  <c r="F18" i="418"/>
  <c r="P17" i="418"/>
  <c r="M16" i="418"/>
  <c r="I16" i="418"/>
  <c r="P15" i="418"/>
  <c r="C15" i="418"/>
  <c r="D28" i="418" s="1"/>
  <c r="E28" i="418" s="1"/>
  <c r="M14" i="418"/>
  <c r="I14" i="418"/>
  <c r="P13" i="418"/>
  <c r="P19" i="418" s="1"/>
  <c r="M12" i="418"/>
  <c r="I12" i="418"/>
  <c r="P11" i="418"/>
  <c r="M10" i="418"/>
  <c r="I10" i="418"/>
  <c r="P9" i="418"/>
  <c r="M8" i="418"/>
  <c r="I8" i="418"/>
  <c r="P7" i="418"/>
  <c r="M6" i="418"/>
  <c r="I6" i="418"/>
  <c r="C3" i="418"/>
  <c r="D33" i="417"/>
  <c r="E33" i="417" s="1"/>
  <c r="D32" i="417"/>
  <c r="E32" i="417" s="1"/>
  <c r="D31" i="417"/>
  <c r="E31" i="417" s="1"/>
  <c r="D30" i="417"/>
  <c r="E30" i="417" s="1"/>
  <c r="D29" i="417"/>
  <c r="E29" i="417" s="1"/>
  <c r="E28" i="417"/>
  <c r="D28" i="417"/>
  <c r="E27" i="417"/>
  <c r="D27" i="417"/>
  <c r="D26" i="417"/>
  <c r="E26" i="417" s="1"/>
  <c r="E25" i="417"/>
  <c r="D25" i="417"/>
  <c r="P18" i="417"/>
  <c r="O18" i="417"/>
  <c r="N18" i="417"/>
  <c r="L18" i="417"/>
  <c r="K18" i="417"/>
  <c r="J18" i="417"/>
  <c r="H18" i="417"/>
  <c r="G18" i="417"/>
  <c r="F18" i="417"/>
  <c r="P17" i="417"/>
  <c r="M16" i="417"/>
  <c r="I16" i="417"/>
  <c r="P15" i="417"/>
  <c r="M14" i="417"/>
  <c r="I14" i="417"/>
  <c r="P13" i="417"/>
  <c r="M12" i="417"/>
  <c r="I12" i="417"/>
  <c r="P11" i="417"/>
  <c r="M10" i="417"/>
  <c r="I10" i="417"/>
  <c r="P9" i="417"/>
  <c r="M8" i="417"/>
  <c r="I8" i="417"/>
  <c r="P7" i="417"/>
  <c r="M6" i="417"/>
  <c r="I6" i="417"/>
  <c r="C3" i="417"/>
  <c r="E33" i="416"/>
  <c r="D33" i="416"/>
  <c r="E32" i="416"/>
  <c r="D32" i="416"/>
  <c r="D31" i="416"/>
  <c r="E31" i="416" s="1"/>
  <c r="E30" i="416"/>
  <c r="D30" i="416"/>
  <c r="E29" i="416"/>
  <c r="D29" i="416"/>
  <c r="D27" i="416"/>
  <c r="E27" i="416" s="1"/>
  <c r="E26" i="416"/>
  <c r="D26" i="416"/>
  <c r="D25" i="416"/>
  <c r="E25" i="416" s="1"/>
  <c r="P18" i="416"/>
  <c r="O18" i="416"/>
  <c r="N18" i="416"/>
  <c r="L18" i="416"/>
  <c r="K18" i="416"/>
  <c r="J18" i="416"/>
  <c r="H18" i="416"/>
  <c r="G18" i="416"/>
  <c r="F18" i="416"/>
  <c r="P17" i="416"/>
  <c r="M16" i="416"/>
  <c r="I16" i="416"/>
  <c r="P15" i="416"/>
  <c r="C15" i="416"/>
  <c r="D28" i="416" s="1"/>
  <c r="E28" i="416" s="1"/>
  <c r="M14" i="416"/>
  <c r="I14" i="416"/>
  <c r="P13" i="416"/>
  <c r="M12" i="416"/>
  <c r="I12" i="416"/>
  <c r="P11" i="416"/>
  <c r="M10" i="416"/>
  <c r="I10" i="416"/>
  <c r="P9" i="416"/>
  <c r="M8" i="416"/>
  <c r="I8" i="416"/>
  <c r="P7" i="416"/>
  <c r="M6" i="416"/>
  <c r="I6" i="416"/>
  <c r="C3" i="416"/>
  <c r="D33" i="415"/>
  <c r="E33" i="415" s="1"/>
  <c r="D32" i="415"/>
  <c r="E32" i="415" s="1"/>
  <c r="D31" i="415"/>
  <c r="E31" i="415" s="1"/>
  <c r="D30" i="415"/>
  <c r="E30" i="415" s="1"/>
  <c r="D29" i="415"/>
  <c r="E29" i="415" s="1"/>
  <c r="D28" i="415"/>
  <c r="E28" i="415" s="1"/>
  <c r="D27" i="415"/>
  <c r="E27" i="415" s="1"/>
  <c r="D26" i="415"/>
  <c r="E26" i="415" s="1"/>
  <c r="D25" i="415"/>
  <c r="E25" i="415" s="1"/>
  <c r="P18" i="415"/>
  <c r="O18" i="415"/>
  <c r="N18" i="415"/>
  <c r="L18" i="415"/>
  <c r="K18" i="415"/>
  <c r="J18" i="415"/>
  <c r="H18" i="415"/>
  <c r="G18" i="415"/>
  <c r="F18" i="415"/>
  <c r="P17" i="415"/>
  <c r="M16" i="415"/>
  <c r="I16" i="415"/>
  <c r="P15" i="415"/>
  <c r="M14" i="415"/>
  <c r="I14" i="415"/>
  <c r="P13" i="415"/>
  <c r="M12" i="415"/>
  <c r="I12" i="415"/>
  <c r="P11" i="415"/>
  <c r="M10" i="415"/>
  <c r="I10" i="415"/>
  <c r="P9" i="415"/>
  <c r="M8" i="415"/>
  <c r="I8" i="415"/>
  <c r="P7" i="415"/>
  <c r="M6" i="415"/>
  <c r="I6" i="415"/>
  <c r="C3" i="415"/>
  <c r="D33" i="414"/>
  <c r="E33" i="414" s="1"/>
  <c r="D32" i="414"/>
  <c r="E32" i="414" s="1"/>
  <c r="D31" i="414"/>
  <c r="E31" i="414" s="1"/>
  <c r="D30" i="414"/>
  <c r="E30" i="414" s="1"/>
  <c r="D29" i="414"/>
  <c r="E29" i="414" s="1"/>
  <c r="D28" i="414"/>
  <c r="E28" i="414" s="1"/>
  <c r="D27" i="414"/>
  <c r="E27" i="414" s="1"/>
  <c r="D26" i="414"/>
  <c r="E26" i="414" s="1"/>
  <c r="D25" i="414"/>
  <c r="E25" i="414" s="1"/>
  <c r="P18" i="414"/>
  <c r="O18" i="414"/>
  <c r="N18" i="414"/>
  <c r="L18" i="414"/>
  <c r="K18" i="414"/>
  <c r="J18" i="414"/>
  <c r="H18" i="414"/>
  <c r="G18" i="414"/>
  <c r="F18" i="414"/>
  <c r="P17" i="414"/>
  <c r="M16" i="414"/>
  <c r="I16" i="414"/>
  <c r="P15" i="414"/>
  <c r="P19" i="414" s="1"/>
  <c r="P20" i="414" s="1"/>
  <c r="M14" i="414"/>
  <c r="I14" i="414"/>
  <c r="P13" i="414"/>
  <c r="M12" i="414"/>
  <c r="I12" i="414"/>
  <c r="P11" i="414"/>
  <c r="M10" i="414"/>
  <c r="I10" i="414"/>
  <c r="P9" i="414"/>
  <c r="M8" i="414"/>
  <c r="I8" i="414"/>
  <c r="P7" i="414"/>
  <c r="M6" i="414"/>
  <c r="I6" i="414"/>
  <c r="I18" i="414" s="1"/>
  <c r="C3" i="414"/>
  <c r="D33" i="413"/>
  <c r="E33" i="413" s="1"/>
  <c r="D32" i="413"/>
  <c r="E32" i="413" s="1"/>
  <c r="D31" i="413"/>
  <c r="E31" i="413" s="1"/>
  <c r="D30" i="413"/>
  <c r="E30" i="413" s="1"/>
  <c r="D29" i="413"/>
  <c r="E29" i="413" s="1"/>
  <c r="D27" i="413"/>
  <c r="E27" i="413" s="1"/>
  <c r="D26" i="413"/>
  <c r="E26" i="413" s="1"/>
  <c r="D25" i="413"/>
  <c r="E25" i="413" s="1"/>
  <c r="P18" i="413"/>
  <c r="O18" i="413"/>
  <c r="N18" i="413"/>
  <c r="L18" i="413"/>
  <c r="K18" i="413"/>
  <c r="J18" i="413"/>
  <c r="H18" i="413"/>
  <c r="G18" i="413"/>
  <c r="F18" i="413"/>
  <c r="P17" i="413"/>
  <c r="M16" i="413"/>
  <c r="I16" i="413"/>
  <c r="P15" i="413"/>
  <c r="C15" i="413"/>
  <c r="D28" i="413" s="1"/>
  <c r="E28" i="413" s="1"/>
  <c r="M14" i="413"/>
  <c r="I14" i="413"/>
  <c r="P13" i="413"/>
  <c r="M12" i="413"/>
  <c r="I12" i="413"/>
  <c r="P11" i="413"/>
  <c r="M10" i="413"/>
  <c r="I10" i="413"/>
  <c r="P9" i="413"/>
  <c r="M8" i="413"/>
  <c r="I8" i="413"/>
  <c r="P7" i="413"/>
  <c r="M6" i="413"/>
  <c r="I6" i="413"/>
  <c r="C3" i="413"/>
  <c r="D33" i="412"/>
  <c r="E33" i="412" s="1"/>
  <c r="D32" i="412"/>
  <c r="E32" i="412" s="1"/>
  <c r="E31" i="412"/>
  <c r="D31" i="412"/>
  <c r="E30" i="412"/>
  <c r="D30" i="412"/>
  <c r="D29" i="412"/>
  <c r="E29" i="412" s="1"/>
  <c r="E27" i="412"/>
  <c r="D27" i="412"/>
  <c r="E26" i="412"/>
  <c r="D26" i="412"/>
  <c r="E25" i="412"/>
  <c r="D25" i="412"/>
  <c r="P18" i="412"/>
  <c r="O18" i="412"/>
  <c r="N18" i="412"/>
  <c r="L18" i="412"/>
  <c r="K18" i="412"/>
  <c r="J18" i="412"/>
  <c r="H18" i="412"/>
  <c r="G18" i="412"/>
  <c r="F18" i="412"/>
  <c r="P17" i="412"/>
  <c r="M16" i="412"/>
  <c r="I16" i="412"/>
  <c r="P15" i="412"/>
  <c r="C15" i="412"/>
  <c r="D28" i="412" s="1"/>
  <c r="E28" i="412" s="1"/>
  <c r="M14" i="412"/>
  <c r="I14" i="412"/>
  <c r="P13" i="412"/>
  <c r="M12" i="412"/>
  <c r="I12" i="412"/>
  <c r="P11" i="412"/>
  <c r="M10" i="412"/>
  <c r="I10" i="412"/>
  <c r="P9" i="412"/>
  <c r="M8" i="412"/>
  <c r="I8" i="412"/>
  <c r="P7" i="412"/>
  <c r="M6" i="412"/>
  <c r="I6" i="412"/>
  <c r="C3" i="412"/>
  <c r="D33" i="411"/>
  <c r="E33" i="411" s="1"/>
  <c r="D32" i="411"/>
  <c r="E32" i="411" s="1"/>
  <c r="D31" i="411"/>
  <c r="E31" i="411" s="1"/>
  <c r="D30" i="411"/>
  <c r="E30" i="411" s="1"/>
  <c r="D29" i="411"/>
  <c r="E29" i="411" s="1"/>
  <c r="D27" i="411"/>
  <c r="E27" i="411" s="1"/>
  <c r="D26" i="411"/>
  <c r="E26" i="411" s="1"/>
  <c r="D25" i="411"/>
  <c r="E25" i="411" s="1"/>
  <c r="P18" i="411"/>
  <c r="O18" i="411"/>
  <c r="N18" i="411"/>
  <c r="L18" i="411"/>
  <c r="K18" i="411"/>
  <c r="J18" i="411"/>
  <c r="H18" i="411"/>
  <c r="G18" i="411"/>
  <c r="F18" i="411"/>
  <c r="P17" i="411"/>
  <c r="M16" i="411"/>
  <c r="I16" i="411"/>
  <c r="P15" i="411"/>
  <c r="C15" i="411"/>
  <c r="D28" i="411" s="1"/>
  <c r="E28" i="411" s="1"/>
  <c r="M14" i="411"/>
  <c r="I14" i="411"/>
  <c r="P13" i="411"/>
  <c r="M12" i="411"/>
  <c r="I12" i="411"/>
  <c r="P11" i="411"/>
  <c r="M10" i="411"/>
  <c r="I10" i="411"/>
  <c r="P9" i="411"/>
  <c r="M8" i="411"/>
  <c r="I8" i="411"/>
  <c r="P7" i="411"/>
  <c r="M6" i="411"/>
  <c r="I6" i="411"/>
  <c r="C3" i="411"/>
  <c r="D33" i="410"/>
  <c r="E33" i="410" s="1"/>
  <c r="E32" i="410"/>
  <c r="D32" i="410"/>
  <c r="D31" i="410"/>
  <c r="E31" i="410" s="1"/>
  <c r="E30" i="410"/>
  <c r="D30" i="410"/>
  <c r="E29" i="410"/>
  <c r="D29" i="410"/>
  <c r="E28" i="410"/>
  <c r="D28" i="410"/>
  <c r="D27" i="410"/>
  <c r="E27" i="410" s="1"/>
  <c r="D26" i="410"/>
  <c r="E26" i="410" s="1"/>
  <c r="D25" i="410"/>
  <c r="E25" i="410" s="1"/>
  <c r="P18" i="410"/>
  <c r="O18" i="410"/>
  <c r="N18" i="410"/>
  <c r="L18" i="410"/>
  <c r="K18" i="410"/>
  <c r="J18" i="410"/>
  <c r="H18" i="410"/>
  <c r="G18" i="410"/>
  <c r="F18" i="410"/>
  <c r="P17" i="410"/>
  <c r="M16" i="410"/>
  <c r="I16" i="410"/>
  <c r="P15" i="410"/>
  <c r="M14" i="410"/>
  <c r="I14" i="410"/>
  <c r="P13" i="410"/>
  <c r="M12" i="410"/>
  <c r="I12" i="410"/>
  <c r="P11" i="410"/>
  <c r="M10" i="410"/>
  <c r="I10" i="410"/>
  <c r="P9" i="410"/>
  <c r="M8" i="410"/>
  <c r="I8" i="410"/>
  <c r="P7" i="410"/>
  <c r="M6" i="410"/>
  <c r="M18" i="410" s="1"/>
  <c r="I6" i="410"/>
  <c r="C3" i="410"/>
  <c r="D33" i="409"/>
  <c r="E33" i="409" s="1"/>
  <c r="D32" i="409"/>
  <c r="E32" i="409" s="1"/>
  <c r="E31" i="409"/>
  <c r="D31" i="409"/>
  <c r="E30" i="409"/>
  <c r="D30" i="409"/>
  <c r="E29" i="409"/>
  <c r="D29" i="409"/>
  <c r="E27" i="409"/>
  <c r="D27" i="409"/>
  <c r="E26" i="409"/>
  <c r="D26" i="409"/>
  <c r="E25" i="409"/>
  <c r="D25" i="409"/>
  <c r="P18" i="409"/>
  <c r="O18" i="409"/>
  <c r="N18" i="409"/>
  <c r="L18" i="409"/>
  <c r="K18" i="409"/>
  <c r="J18" i="409"/>
  <c r="H18" i="409"/>
  <c r="G18" i="409"/>
  <c r="F18" i="409"/>
  <c r="P17" i="409"/>
  <c r="M16" i="409"/>
  <c r="I16" i="409"/>
  <c r="P15" i="409"/>
  <c r="C15" i="409"/>
  <c r="D28" i="409" s="1"/>
  <c r="E28" i="409" s="1"/>
  <c r="M14" i="409"/>
  <c r="I14" i="409"/>
  <c r="P13" i="409"/>
  <c r="M12" i="409"/>
  <c r="I12" i="409"/>
  <c r="P11" i="409"/>
  <c r="M10" i="409"/>
  <c r="I10" i="409"/>
  <c r="P9" i="409"/>
  <c r="M8" i="409"/>
  <c r="I8" i="409"/>
  <c r="I18" i="409" s="1"/>
  <c r="P7" i="409"/>
  <c r="M6" i="409"/>
  <c r="I6" i="409"/>
  <c r="C3" i="409"/>
  <c r="D33" i="408"/>
  <c r="E33" i="408" s="1"/>
  <c r="D32" i="408"/>
  <c r="E32" i="408" s="1"/>
  <c r="D31" i="408"/>
  <c r="E31" i="408" s="1"/>
  <c r="E30" i="408"/>
  <c r="D30" i="408"/>
  <c r="D29" i="408"/>
  <c r="E29" i="408" s="1"/>
  <c r="D28" i="408"/>
  <c r="E28" i="408" s="1"/>
  <c r="D27" i="408"/>
  <c r="E27" i="408" s="1"/>
  <c r="D26" i="408"/>
  <c r="E26" i="408" s="1"/>
  <c r="D25" i="408"/>
  <c r="E25" i="408" s="1"/>
  <c r="P18" i="408"/>
  <c r="O18" i="408"/>
  <c r="N18" i="408"/>
  <c r="L18" i="408"/>
  <c r="K18" i="408"/>
  <c r="J18" i="408"/>
  <c r="H18" i="408"/>
  <c r="G18" i="408"/>
  <c r="F18" i="408"/>
  <c r="P17" i="408"/>
  <c r="M16" i="408"/>
  <c r="I16" i="408"/>
  <c r="I18" i="408" s="1"/>
  <c r="P15" i="408"/>
  <c r="M14" i="408"/>
  <c r="I14" i="408"/>
  <c r="P13" i="408"/>
  <c r="M12" i="408"/>
  <c r="I12" i="408"/>
  <c r="P11" i="408"/>
  <c r="M10" i="408"/>
  <c r="I10" i="408"/>
  <c r="P9" i="408"/>
  <c r="M8" i="408"/>
  <c r="I8" i="408"/>
  <c r="P7" i="408"/>
  <c r="M6" i="408"/>
  <c r="I6" i="408"/>
  <c r="C3" i="408"/>
  <c r="D33" i="407"/>
  <c r="E33" i="407" s="1"/>
  <c r="D32" i="407"/>
  <c r="E32" i="407" s="1"/>
  <c r="E31" i="407"/>
  <c r="D31" i="407"/>
  <c r="D30" i="407"/>
  <c r="E30" i="407" s="1"/>
  <c r="D29" i="407"/>
  <c r="E29" i="407" s="1"/>
  <c r="D28" i="407"/>
  <c r="E28" i="407" s="1"/>
  <c r="E27" i="407"/>
  <c r="D27" i="407"/>
  <c r="D26" i="407"/>
  <c r="E26" i="407" s="1"/>
  <c r="D25" i="407"/>
  <c r="E25" i="407" s="1"/>
  <c r="P18" i="407"/>
  <c r="O18" i="407"/>
  <c r="N18" i="407"/>
  <c r="L18" i="407"/>
  <c r="K18" i="407"/>
  <c r="J18" i="407"/>
  <c r="H18" i="407"/>
  <c r="G18" i="407"/>
  <c r="F18" i="407"/>
  <c r="P17" i="407"/>
  <c r="M16" i="407"/>
  <c r="I16" i="407"/>
  <c r="P15" i="407"/>
  <c r="M14" i="407"/>
  <c r="I14" i="407"/>
  <c r="P13" i="407"/>
  <c r="M12" i="407"/>
  <c r="I12" i="407"/>
  <c r="P11" i="407"/>
  <c r="M10" i="407"/>
  <c r="I10" i="407"/>
  <c r="P9" i="407"/>
  <c r="M8" i="407"/>
  <c r="I8" i="407"/>
  <c r="P7" i="407"/>
  <c r="M6" i="407"/>
  <c r="I6" i="407"/>
  <c r="C3" i="407"/>
  <c r="D33" i="406"/>
  <c r="E33" i="406" s="1"/>
  <c r="D32" i="406"/>
  <c r="E32" i="406" s="1"/>
  <c r="D31" i="406"/>
  <c r="E31" i="406" s="1"/>
  <c r="D30" i="406"/>
  <c r="E30" i="406" s="1"/>
  <c r="D29" i="406"/>
  <c r="E29" i="406" s="1"/>
  <c r="D27" i="406"/>
  <c r="E27" i="406" s="1"/>
  <c r="D26" i="406"/>
  <c r="E26" i="406" s="1"/>
  <c r="D25" i="406"/>
  <c r="E25" i="406" s="1"/>
  <c r="P18" i="406"/>
  <c r="O18" i="406"/>
  <c r="N18" i="406"/>
  <c r="L18" i="406"/>
  <c r="K18" i="406"/>
  <c r="J18" i="406"/>
  <c r="H18" i="406"/>
  <c r="G18" i="406"/>
  <c r="F18" i="406"/>
  <c r="P17" i="406"/>
  <c r="M16" i="406"/>
  <c r="I16" i="406"/>
  <c r="P15" i="406"/>
  <c r="C15" i="406"/>
  <c r="D28" i="406" s="1"/>
  <c r="E28" i="406" s="1"/>
  <c r="M14" i="406"/>
  <c r="I14" i="406"/>
  <c r="P13" i="406"/>
  <c r="M12" i="406"/>
  <c r="I12" i="406"/>
  <c r="P11" i="406"/>
  <c r="M10" i="406"/>
  <c r="I10" i="406"/>
  <c r="P9" i="406"/>
  <c r="M8" i="406"/>
  <c r="I8" i="406"/>
  <c r="P7" i="406"/>
  <c r="M6" i="406"/>
  <c r="I6" i="406"/>
  <c r="C3" i="406"/>
  <c r="D33" i="405"/>
  <c r="E33" i="405" s="1"/>
  <c r="D32" i="405"/>
  <c r="E32" i="405" s="1"/>
  <c r="E31" i="405"/>
  <c r="D31" i="405"/>
  <c r="E30" i="405"/>
  <c r="D30" i="405"/>
  <c r="D29" i="405"/>
  <c r="E29" i="405" s="1"/>
  <c r="E27" i="405"/>
  <c r="D27" i="405"/>
  <c r="D26" i="405"/>
  <c r="E26" i="405" s="1"/>
  <c r="D25" i="405"/>
  <c r="E25" i="405" s="1"/>
  <c r="P18" i="405"/>
  <c r="O18" i="405"/>
  <c r="N18" i="405"/>
  <c r="L18" i="405"/>
  <c r="K18" i="405"/>
  <c r="J18" i="405"/>
  <c r="H18" i="405"/>
  <c r="G18" i="405"/>
  <c r="F18" i="405"/>
  <c r="P17" i="405"/>
  <c r="M16" i="405"/>
  <c r="I16" i="405"/>
  <c r="P15" i="405"/>
  <c r="C15" i="405"/>
  <c r="D28" i="405" s="1"/>
  <c r="E28" i="405" s="1"/>
  <c r="M14" i="405"/>
  <c r="I14" i="405"/>
  <c r="P13" i="405"/>
  <c r="P19" i="405" s="1"/>
  <c r="P20" i="405" s="1"/>
  <c r="M12" i="405"/>
  <c r="I12" i="405"/>
  <c r="P11" i="405"/>
  <c r="M10" i="405"/>
  <c r="I10" i="405"/>
  <c r="P9" i="405"/>
  <c r="M8" i="405"/>
  <c r="I8" i="405"/>
  <c r="I18" i="405" s="1"/>
  <c r="P7" i="405"/>
  <c r="M6" i="405"/>
  <c r="I6" i="405"/>
  <c r="C3" i="405"/>
  <c r="D33" i="404"/>
  <c r="E33" i="404" s="1"/>
  <c r="D32" i="404"/>
  <c r="E32" i="404" s="1"/>
  <c r="D31" i="404"/>
  <c r="E31" i="404" s="1"/>
  <c r="D30" i="404"/>
  <c r="E30" i="404" s="1"/>
  <c r="D29" i="404"/>
  <c r="E29" i="404" s="1"/>
  <c r="D27" i="404"/>
  <c r="E27" i="404" s="1"/>
  <c r="D26" i="404"/>
  <c r="E26" i="404" s="1"/>
  <c r="D25" i="404"/>
  <c r="E25" i="404" s="1"/>
  <c r="P18" i="404"/>
  <c r="O18" i="404"/>
  <c r="N18" i="404"/>
  <c r="L18" i="404"/>
  <c r="K18" i="404"/>
  <c r="J18" i="404"/>
  <c r="H18" i="404"/>
  <c r="G18" i="404"/>
  <c r="F18" i="404"/>
  <c r="P17" i="404"/>
  <c r="M16" i="404"/>
  <c r="I16" i="404"/>
  <c r="P15" i="404"/>
  <c r="C15" i="404"/>
  <c r="D28" i="404" s="1"/>
  <c r="E28" i="404" s="1"/>
  <c r="M14" i="404"/>
  <c r="I14" i="404"/>
  <c r="P13" i="404"/>
  <c r="M12" i="404"/>
  <c r="I12" i="404"/>
  <c r="P11" i="404"/>
  <c r="M10" i="404"/>
  <c r="I10" i="404"/>
  <c r="P9" i="404"/>
  <c r="M8" i="404"/>
  <c r="I8" i="404"/>
  <c r="P7" i="404"/>
  <c r="M6" i="404"/>
  <c r="M18" i="404" s="1"/>
  <c r="I6" i="404"/>
  <c r="C3" i="404"/>
  <c r="E33" i="403"/>
  <c r="D33" i="403"/>
  <c r="D32" i="403"/>
  <c r="E32" i="403" s="1"/>
  <c r="D31" i="403"/>
  <c r="E31" i="403" s="1"/>
  <c r="D30" i="403"/>
  <c r="E30" i="403" s="1"/>
  <c r="E29" i="403"/>
  <c r="D29" i="403"/>
  <c r="E27" i="403"/>
  <c r="D27" i="403"/>
  <c r="D26" i="403"/>
  <c r="E26" i="403" s="1"/>
  <c r="D25" i="403"/>
  <c r="E25" i="403" s="1"/>
  <c r="P18" i="403"/>
  <c r="O18" i="403"/>
  <c r="N18" i="403"/>
  <c r="L18" i="403"/>
  <c r="K18" i="403"/>
  <c r="J18" i="403"/>
  <c r="H18" i="403"/>
  <c r="G18" i="403"/>
  <c r="F18" i="403"/>
  <c r="P17" i="403"/>
  <c r="M16" i="403"/>
  <c r="I16" i="403"/>
  <c r="P15" i="403"/>
  <c r="C15" i="403"/>
  <c r="D28" i="403" s="1"/>
  <c r="E28" i="403" s="1"/>
  <c r="M14" i="403"/>
  <c r="I14" i="403"/>
  <c r="P13" i="403"/>
  <c r="P19" i="403" s="1"/>
  <c r="P20" i="403" s="1"/>
  <c r="M12" i="403"/>
  <c r="I12" i="403"/>
  <c r="P11" i="403"/>
  <c r="M10" i="403"/>
  <c r="I10" i="403"/>
  <c r="P9" i="403"/>
  <c r="M8" i="403"/>
  <c r="I8" i="403"/>
  <c r="P7" i="403"/>
  <c r="M6" i="403"/>
  <c r="I6" i="403"/>
  <c r="C3" i="403"/>
  <c r="E33" i="402"/>
  <c r="D33" i="402"/>
  <c r="D32" i="402"/>
  <c r="E32" i="402" s="1"/>
  <c r="D31" i="402"/>
  <c r="E31" i="402" s="1"/>
  <c r="D30" i="402"/>
  <c r="E30" i="402" s="1"/>
  <c r="E29" i="402"/>
  <c r="D29" i="402"/>
  <c r="D27" i="402"/>
  <c r="E27" i="402" s="1"/>
  <c r="D26" i="402"/>
  <c r="E26" i="402" s="1"/>
  <c r="D25" i="402"/>
  <c r="E25" i="402" s="1"/>
  <c r="P18" i="402"/>
  <c r="O18" i="402"/>
  <c r="N18" i="402"/>
  <c r="L18" i="402"/>
  <c r="K18" i="402"/>
  <c r="J18" i="402"/>
  <c r="H18" i="402"/>
  <c r="G18" i="402"/>
  <c r="F18" i="402"/>
  <c r="P17" i="402"/>
  <c r="M16" i="402"/>
  <c r="I16" i="402"/>
  <c r="P15" i="402"/>
  <c r="C15" i="402"/>
  <c r="D28" i="402" s="1"/>
  <c r="E28" i="402" s="1"/>
  <c r="M14" i="402"/>
  <c r="I14" i="402"/>
  <c r="P13" i="402"/>
  <c r="M12" i="402"/>
  <c r="I12" i="402"/>
  <c r="P11" i="402"/>
  <c r="M10" i="402"/>
  <c r="I10" i="402"/>
  <c r="P9" i="402"/>
  <c r="M8" i="402"/>
  <c r="I8" i="402"/>
  <c r="P7" i="402"/>
  <c r="M6" i="402"/>
  <c r="I6" i="402"/>
  <c r="C3" i="402"/>
  <c r="E33" i="401"/>
  <c r="E32" i="401"/>
  <c r="D32" i="401"/>
  <c r="D31" i="401"/>
  <c r="E31" i="401" s="1"/>
  <c r="D30" i="401"/>
  <c r="E30" i="401" s="1"/>
  <c r="E29" i="401"/>
  <c r="D29" i="401"/>
  <c r="D28" i="401"/>
  <c r="E28" i="401" s="1"/>
  <c r="D27" i="401"/>
  <c r="E27" i="401" s="1"/>
  <c r="D26" i="401"/>
  <c r="E26" i="401" s="1"/>
  <c r="E25" i="401"/>
  <c r="D25" i="401"/>
  <c r="P18" i="401"/>
  <c r="O18" i="401"/>
  <c r="N18" i="401"/>
  <c r="L18" i="401"/>
  <c r="K18" i="401"/>
  <c r="J18" i="401"/>
  <c r="H18" i="401"/>
  <c r="G18" i="401"/>
  <c r="F18" i="401"/>
  <c r="P17" i="401"/>
  <c r="M16" i="401"/>
  <c r="I16" i="401"/>
  <c r="P15" i="401"/>
  <c r="P19" i="401" s="1"/>
  <c r="P20" i="401" s="1"/>
  <c r="M14" i="401"/>
  <c r="I14" i="401"/>
  <c r="P13" i="401"/>
  <c r="M12" i="401"/>
  <c r="I12" i="401"/>
  <c r="P11" i="401"/>
  <c r="M10" i="401"/>
  <c r="I10" i="401"/>
  <c r="P9" i="401"/>
  <c r="M8" i="401"/>
  <c r="I8" i="401"/>
  <c r="P7" i="401"/>
  <c r="M6" i="401"/>
  <c r="I6" i="401"/>
  <c r="C3" i="401"/>
  <c r="E32" i="400"/>
  <c r="D32" i="400"/>
  <c r="D31" i="400"/>
  <c r="E31" i="400" s="1"/>
  <c r="D30" i="400"/>
  <c r="E30" i="400" s="1"/>
  <c r="E29" i="400"/>
  <c r="D29" i="400"/>
  <c r="D28" i="400"/>
  <c r="E28" i="400" s="1"/>
  <c r="D27" i="400"/>
  <c r="E27" i="400" s="1"/>
  <c r="D26" i="400"/>
  <c r="E26" i="400" s="1"/>
  <c r="E25" i="400"/>
  <c r="D25" i="400"/>
  <c r="P18" i="400"/>
  <c r="O18" i="400"/>
  <c r="N18" i="400"/>
  <c r="L18" i="400"/>
  <c r="K18" i="400"/>
  <c r="J18" i="400"/>
  <c r="H18" i="400"/>
  <c r="G18" i="400"/>
  <c r="F18" i="400"/>
  <c r="P17" i="400"/>
  <c r="M16" i="400"/>
  <c r="I16" i="400"/>
  <c r="P15" i="400"/>
  <c r="P19" i="400" s="1"/>
  <c r="P20" i="400" s="1"/>
  <c r="M14" i="400"/>
  <c r="I14" i="400"/>
  <c r="P13" i="400"/>
  <c r="M12" i="400"/>
  <c r="I12" i="400"/>
  <c r="P11" i="400"/>
  <c r="M10" i="400"/>
  <c r="I10" i="400"/>
  <c r="P9" i="400"/>
  <c r="M8" i="400"/>
  <c r="I8" i="400"/>
  <c r="P7" i="400"/>
  <c r="M6" i="400"/>
  <c r="I6" i="400"/>
  <c r="C3" i="400"/>
  <c r="E32" i="399"/>
  <c r="D32" i="399"/>
  <c r="D31" i="399"/>
  <c r="E31" i="399" s="1"/>
  <c r="D30" i="399"/>
  <c r="E30" i="399" s="1"/>
  <c r="E29" i="399"/>
  <c r="D29" i="399"/>
  <c r="D27" i="399"/>
  <c r="E27" i="399" s="1"/>
  <c r="D26" i="399"/>
  <c r="E26" i="399" s="1"/>
  <c r="E25" i="399"/>
  <c r="D25" i="399"/>
  <c r="P18" i="399"/>
  <c r="O18" i="399"/>
  <c r="N18" i="399"/>
  <c r="L18" i="399"/>
  <c r="K18" i="399"/>
  <c r="J18" i="399"/>
  <c r="H18" i="399"/>
  <c r="G18" i="399"/>
  <c r="F18" i="399"/>
  <c r="P17" i="399"/>
  <c r="M16" i="399"/>
  <c r="I16" i="399"/>
  <c r="P15" i="399"/>
  <c r="C15" i="399"/>
  <c r="D28" i="399" s="1"/>
  <c r="E28" i="399" s="1"/>
  <c r="M14" i="399"/>
  <c r="I14" i="399"/>
  <c r="P13" i="399"/>
  <c r="M12" i="399"/>
  <c r="I12" i="399"/>
  <c r="P11" i="399"/>
  <c r="M10" i="399"/>
  <c r="I10" i="399"/>
  <c r="P9" i="399"/>
  <c r="M8" i="399"/>
  <c r="I8" i="399"/>
  <c r="P7" i="399"/>
  <c r="M6" i="399"/>
  <c r="I6" i="399"/>
  <c r="C3" i="399"/>
  <c r="D32" i="398"/>
  <c r="E32" i="398" s="1"/>
  <c r="D31" i="398"/>
  <c r="E31" i="398" s="1"/>
  <c r="D30" i="398"/>
  <c r="E30" i="398" s="1"/>
  <c r="D29" i="398"/>
  <c r="E29" i="398" s="1"/>
  <c r="D27" i="398"/>
  <c r="E27" i="398" s="1"/>
  <c r="D26" i="398"/>
  <c r="E26" i="398" s="1"/>
  <c r="D25" i="398"/>
  <c r="E25" i="398" s="1"/>
  <c r="P18" i="398"/>
  <c r="O18" i="398"/>
  <c r="N18" i="398"/>
  <c r="L18" i="398"/>
  <c r="K18" i="398"/>
  <c r="J18" i="398"/>
  <c r="H18" i="398"/>
  <c r="G18" i="398"/>
  <c r="F18" i="398"/>
  <c r="P17" i="398"/>
  <c r="M16" i="398"/>
  <c r="I16" i="398"/>
  <c r="P15" i="398"/>
  <c r="C15" i="398"/>
  <c r="D28" i="398" s="1"/>
  <c r="E28" i="398" s="1"/>
  <c r="M14" i="398"/>
  <c r="I14" i="398"/>
  <c r="P13" i="398"/>
  <c r="M12" i="398"/>
  <c r="M18" i="398" s="1"/>
  <c r="I12" i="398"/>
  <c r="P11" i="398"/>
  <c r="M10" i="398"/>
  <c r="I10" i="398"/>
  <c r="P9" i="398"/>
  <c r="M8" i="398"/>
  <c r="I8" i="398"/>
  <c r="P7" i="398"/>
  <c r="M6" i="398"/>
  <c r="I6" i="398"/>
  <c r="C3" i="398"/>
  <c r="D32" i="397"/>
  <c r="E32" i="397" s="1"/>
  <c r="D31" i="397"/>
  <c r="E31" i="397" s="1"/>
  <c r="E30" i="397"/>
  <c r="D30" i="397"/>
  <c r="E29" i="397"/>
  <c r="D29" i="397"/>
  <c r="D27" i="397"/>
  <c r="E27" i="397" s="1"/>
  <c r="D26" i="397"/>
  <c r="E26" i="397" s="1"/>
  <c r="D25" i="397"/>
  <c r="E25" i="397" s="1"/>
  <c r="P18" i="397"/>
  <c r="O18" i="397"/>
  <c r="N18" i="397"/>
  <c r="L18" i="397"/>
  <c r="K18" i="397"/>
  <c r="J18" i="397"/>
  <c r="H18" i="397"/>
  <c r="G18" i="397"/>
  <c r="F18" i="397"/>
  <c r="P17" i="397"/>
  <c r="M16" i="397"/>
  <c r="I16" i="397"/>
  <c r="P15" i="397"/>
  <c r="P19" i="397" s="1"/>
  <c r="P20" i="397" s="1"/>
  <c r="C15" i="397"/>
  <c r="D28" i="397" s="1"/>
  <c r="E28" i="397" s="1"/>
  <c r="M14" i="397"/>
  <c r="I14" i="397"/>
  <c r="P13" i="397"/>
  <c r="M12" i="397"/>
  <c r="I12" i="397"/>
  <c r="P11" i="397"/>
  <c r="M10" i="397"/>
  <c r="I10" i="397"/>
  <c r="P9" i="397"/>
  <c r="M8" i="397"/>
  <c r="I8" i="397"/>
  <c r="P7" i="397"/>
  <c r="M6" i="397"/>
  <c r="I6" i="397"/>
  <c r="C3" i="397"/>
  <c r="D32" i="396"/>
  <c r="E32" i="396" s="1"/>
  <c r="D31" i="396"/>
  <c r="E31" i="396" s="1"/>
  <c r="D30" i="396"/>
  <c r="E30" i="396" s="1"/>
  <c r="E29" i="396"/>
  <c r="D29" i="396"/>
  <c r="D27" i="396"/>
  <c r="E27" i="396" s="1"/>
  <c r="D26" i="396"/>
  <c r="E26" i="396" s="1"/>
  <c r="D25" i="396"/>
  <c r="E25" i="396" s="1"/>
  <c r="P18" i="396"/>
  <c r="O18" i="396"/>
  <c r="N18" i="396"/>
  <c r="L18" i="396"/>
  <c r="K18" i="396"/>
  <c r="J18" i="396"/>
  <c r="H18" i="396"/>
  <c r="G18" i="396"/>
  <c r="F18" i="396"/>
  <c r="P17" i="396"/>
  <c r="M16" i="396"/>
  <c r="I16" i="396"/>
  <c r="P15" i="396"/>
  <c r="C15" i="396"/>
  <c r="D28" i="396" s="1"/>
  <c r="E28" i="396" s="1"/>
  <c r="M14" i="396"/>
  <c r="I14" i="396"/>
  <c r="P13" i="396"/>
  <c r="M12" i="396"/>
  <c r="I12" i="396"/>
  <c r="P11" i="396"/>
  <c r="M10" i="396"/>
  <c r="I10" i="396"/>
  <c r="P9" i="396"/>
  <c r="M8" i="396"/>
  <c r="I8" i="396"/>
  <c r="P7" i="396"/>
  <c r="M6" i="396"/>
  <c r="I6" i="396"/>
  <c r="C3" i="396"/>
  <c r="D32" i="395"/>
  <c r="E32" i="395" s="1"/>
  <c r="D31" i="395"/>
  <c r="E31" i="395" s="1"/>
  <c r="D30" i="395"/>
  <c r="E30" i="395" s="1"/>
  <c r="D29" i="395"/>
  <c r="E29" i="395" s="1"/>
  <c r="E27" i="395"/>
  <c r="D27" i="395"/>
  <c r="E26" i="395"/>
  <c r="D26" i="395"/>
  <c r="D25" i="395"/>
  <c r="E25" i="395" s="1"/>
  <c r="P18" i="395"/>
  <c r="O18" i="395"/>
  <c r="N18" i="395"/>
  <c r="L18" i="395"/>
  <c r="K18" i="395"/>
  <c r="J18" i="395"/>
  <c r="H18" i="395"/>
  <c r="G18" i="395"/>
  <c r="F18" i="395"/>
  <c r="P17" i="395"/>
  <c r="M16" i="395"/>
  <c r="I16" i="395"/>
  <c r="P15" i="395"/>
  <c r="C15" i="395"/>
  <c r="D28" i="395" s="1"/>
  <c r="E28" i="395" s="1"/>
  <c r="M14" i="395"/>
  <c r="I14" i="395"/>
  <c r="P13" i="395"/>
  <c r="M12" i="395"/>
  <c r="I12" i="395"/>
  <c r="P11" i="395"/>
  <c r="M10" i="395"/>
  <c r="I10" i="395"/>
  <c r="P9" i="395"/>
  <c r="M8" i="395"/>
  <c r="I8" i="395"/>
  <c r="P7" i="395"/>
  <c r="M6" i="395"/>
  <c r="I6" i="395"/>
  <c r="C3" i="395"/>
  <c r="D32" i="394"/>
  <c r="E32" i="394" s="1"/>
  <c r="D31" i="394"/>
  <c r="E31" i="394" s="1"/>
  <c r="E30" i="394"/>
  <c r="D30" i="394"/>
  <c r="E29" i="394"/>
  <c r="D29" i="394"/>
  <c r="D28" i="394"/>
  <c r="E28" i="394" s="1"/>
  <c r="D27" i="394"/>
  <c r="E27" i="394" s="1"/>
  <c r="D26" i="394"/>
  <c r="E26" i="394" s="1"/>
  <c r="E25" i="394"/>
  <c r="D25" i="394"/>
  <c r="P18" i="394"/>
  <c r="O18" i="394"/>
  <c r="N18" i="394"/>
  <c r="L18" i="394"/>
  <c r="K18" i="394"/>
  <c r="J18" i="394"/>
  <c r="H18" i="394"/>
  <c r="G18" i="394"/>
  <c r="F18" i="394"/>
  <c r="P17" i="394"/>
  <c r="M16" i="394"/>
  <c r="I16" i="394"/>
  <c r="P15" i="394"/>
  <c r="M14" i="394"/>
  <c r="I14" i="394"/>
  <c r="P13" i="394"/>
  <c r="M12" i="394"/>
  <c r="I12" i="394"/>
  <c r="P11" i="394"/>
  <c r="M10" i="394"/>
  <c r="I10" i="394"/>
  <c r="P9" i="394"/>
  <c r="M8" i="394"/>
  <c r="I8" i="394"/>
  <c r="P7" i="394"/>
  <c r="M6" i="394"/>
  <c r="I6" i="394"/>
  <c r="C3" i="394"/>
  <c r="D32" i="393"/>
  <c r="E32" i="393" s="1"/>
  <c r="D31" i="393"/>
  <c r="E31" i="393" s="1"/>
  <c r="E30" i="393"/>
  <c r="D30" i="393"/>
  <c r="E29" i="393"/>
  <c r="D29" i="393"/>
  <c r="D28" i="393"/>
  <c r="E28" i="393" s="1"/>
  <c r="D27" i="393"/>
  <c r="E27" i="393" s="1"/>
  <c r="D26" i="393"/>
  <c r="E26" i="393" s="1"/>
  <c r="E25" i="393"/>
  <c r="D25" i="393"/>
  <c r="P18" i="393"/>
  <c r="O18" i="393"/>
  <c r="N18" i="393"/>
  <c r="L18" i="393"/>
  <c r="K18" i="393"/>
  <c r="J18" i="393"/>
  <c r="H18" i="393"/>
  <c r="G18" i="393"/>
  <c r="F18" i="393"/>
  <c r="P17" i="393"/>
  <c r="M16" i="393"/>
  <c r="I16" i="393"/>
  <c r="P15" i="393"/>
  <c r="M14" i="393"/>
  <c r="I14" i="393"/>
  <c r="P13" i="393"/>
  <c r="M12" i="393"/>
  <c r="I12" i="393"/>
  <c r="P11" i="393"/>
  <c r="M10" i="393"/>
  <c r="I10" i="393"/>
  <c r="P9" i="393"/>
  <c r="M8" i="393"/>
  <c r="I8" i="393"/>
  <c r="P7" i="393"/>
  <c r="M6" i="393"/>
  <c r="I6" i="393"/>
  <c r="C3" i="393"/>
  <c r="D32" i="392"/>
  <c r="E32" i="392" s="1"/>
  <c r="D31" i="392"/>
  <c r="E31" i="392" s="1"/>
  <c r="E30" i="392"/>
  <c r="D30" i="392"/>
  <c r="E29" i="392"/>
  <c r="D29" i="392"/>
  <c r="D27" i="392"/>
  <c r="E27" i="392" s="1"/>
  <c r="D26" i="392"/>
  <c r="E26" i="392" s="1"/>
  <c r="D25" i="392"/>
  <c r="E25" i="392" s="1"/>
  <c r="P18" i="392"/>
  <c r="O18" i="392"/>
  <c r="N18" i="392"/>
  <c r="L18" i="392"/>
  <c r="K18" i="392"/>
  <c r="J18" i="392"/>
  <c r="H18" i="392"/>
  <c r="G18" i="392"/>
  <c r="F18" i="392"/>
  <c r="P17" i="392"/>
  <c r="M16" i="392"/>
  <c r="I16" i="392"/>
  <c r="P15" i="392"/>
  <c r="P19" i="392" s="1"/>
  <c r="P20" i="392" s="1"/>
  <c r="C15" i="392"/>
  <c r="D28" i="392" s="1"/>
  <c r="E28" i="392" s="1"/>
  <c r="M14" i="392"/>
  <c r="I14" i="392"/>
  <c r="P13" i="392"/>
  <c r="M12" i="392"/>
  <c r="I12" i="392"/>
  <c r="P11" i="392"/>
  <c r="M10" i="392"/>
  <c r="I10" i="392"/>
  <c r="P9" i="392"/>
  <c r="M8" i="392"/>
  <c r="I8" i="392"/>
  <c r="P7" i="392"/>
  <c r="M6" i="392"/>
  <c r="M18" i="392" s="1"/>
  <c r="I6" i="392"/>
  <c r="C3" i="392"/>
  <c r="D32" i="391"/>
  <c r="E32" i="391" s="1"/>
  <c r="D31" i="391"/>
  <c r="E31" i="391" s="1"/>
  <c r="D30" i="391"/>
  <c r="E30" i="391" s="1"/>
  <c r="D29" i="391"/>
  <c r="E29" i="391" s="1"/>
  <c r="D27" i="391"/>
  <c r="E27" i="391" s="1"/>
  <c r="D26" i="391"/>
  <c r="E26" i="391" s="1"/>
  <c r="D25" i="391"/>
  <c r="E25" i="391" s="1"/>
  <c r="P18" i="391"/>
  <c r="O18" i="391"/>
  <c r="N18" i="391"/>
  <c r="L18" i="391"/>
  <c r="K18" i="391"/>
  <c r="J18" i="391"/>
  <c r="H18" i="391"/>
  <c r="G18" i="391"/>
  <c r="F18" i="391"/>
  <c r="P17" i="391"/>
  <c r="M16" i="391"/>
  <c r="I16" i="391"/>
  <c r="P15" i="391"/>
  <c r="C15" i="391"/>
  <c r="D28" i="391" s="1"/>
  <c r="E28" i="391" s="1"/>
  <c r="M14" i="391"/>
  <c r="I14" i="391"/>
  <c r="P13" i="391"/>
  <c r="M12" i="391"/>
  <c r="M18" i="391" s="1"/>
  <c r="I12" i="391"/>
  <c r="P11" i="391"/>
  <c r="M10" i="391"/>
  <c r="I10" i="391"/>
  <c r="P9" i="391"/>
  <c r="M8" i="391"/>
  <c r="I8" i="391"/>
  <c r="P7" i="391"/>
  <c r="M6" i="391"/>
  <c r="I6" i="391"/>
  <c r="I18" i="391" s="1"/>
  <c r="C3" i="391"/>
  <c r="D32" i="390"/>
  <c r="E32" i="390" s="1"/>
  <c r="D31" i="390"/>
  <c r="E31" i="390" s="1"/>
  <c r="D30" i="390"/>
  <c r="E30" i="390" s="1"/>
  <c r="D29" i="390"/>
  <c r="E29" i="390" s="1"/>
  <c r="E27" i="390"/>
  <c r="D27" i="390"/>
  <c r="D26" i="390"/>
  <c r="E26" i="390" s="1"/>
  <c r="D25" i="390"/>
  <c r="E25" i="390" s="1"/>
  <c r="P18" i="390"/>
  <c r="O18" i="390"/>
  <c r="N18" i="390"/>
  <c r="L18" i="390"/>
  <c r="K18" i="390"/>
  <c r="J18" i="390"/>
  <c r="H18" i="390"/>
  <c r="G18" i="390"/>
  <c r="F18" i="390"/>
  <c r="P17" i="390"/>
  <c r="M16" i="390"/>
  <c r="I16" i="390"/>
  <c r="P15" i="390"/>
  <c r="C15" i="390"/>
  <c r="D28" i="390" s="1"/>
  <c r="E28" i="390" s="1"/>
  <c r="M14" i="390"/>
  <c r="I14" i="390"/>
  <c r="P13" i="390"/>
  <c r="M12" i="390"/>
  <c r="I12" i="390"/>
  <c r="P11" i="390"/>
  <c r="M10" i="390"/>
  <c r="I10" i="390"/>
  <c r="P9" i="390"/>
  <c r="M8" i="390"/>
  <c r="I8" i="390"/>
  <c r="P7" i="390"/>
  <c r="M6" i="390"/>
  <c r="I6" i="390"/>
  <c r="I18" i="390" s="1"/>
  <c r="C3" i="390"/>
  <c r="E32" i="389"/>
  <c r="D32" i="389"/>
  <c r="D31" i="389"/>
  <c r="E31" i="389" s="1"/>
  <c r="D30" i="389"/>
  <c r="E30" i="389" s="1"/>
  <c r="E29" i="389"/>
  <c r="D29" i="389"/>
  <c r="D27" i="389"/>
  <c r="E27" i="389" s="1"/>
  <c r="D26" i="389"/>
  <c r="E26" i="389" s="1"/>
  <c r="E25" i="389"/>
  <c r="D25" i="389"/>
  <c r="P18" i="389"/>
  <c r="O18" i="389"/>
  <c r="N18" i="389"/>
  <c r="L18" i="389"/>
  <c r="K18" i="389"/>
  <c r="J18" i="389"/>
  <c r="H18" i="389"/>
  <c r="G18" i="389"/>
  <c r="F18" i="389"/>
  <c r="P17" i="389"/>
  <c r="M16" i="389"/>
  <c r="I16" i="389"/>
  <c r="P15" i="389"/>
  <c r="C15" i="389"/>
  <c r="D28" i="389" s="1"/>
  <c r="E28" i="389" s="1"/>
  <c r="M14" i="389"/>
  <c r="I14" i="389"/>
  <c r="P13" i="389"/>
  <c r="M12" i="389"/>
  <c r="I12" i="389"/>
  <c r="P11" i="389"/>
  <c r="M10" i="389"/>
  <c r="I10" i="389"/>
  <c r="P9" i="389"/>
  <c r="M8" i="389"/>
  <c r="I8" i="389"/>
  <c r="P7" i="389"/>
  <c r="M6" i="389"/>
  <c r="M18" i="389" s="1"/>
  <c r="I6" i="389"/>
  <c r="C3" i="389"/>
  <c r="E32" i="388"/>
  <c r="D32" i="388"/>
  <c r="D31" i="388"/>
  <c r="E31" i="388" s="1"/>
  <c r="D30" i="388"/>
  <c r="E30" i="388" s="1"/>
  <c r="D29" i="388"/>
  <c r="E29" i="388" s="1"/>
  <c r="D27" i="388"/>
  <c r="E27" i="388" s="1"/>
  <c r="D26" i="388"/>
  <c r="E26" i="388" s="1"/>
  <c r="D25" i="388"/>
  <c r="E25" i="388" s="1"/>
  <c r="P18" i="388"/>
  <c r="O18" i="388"/>
  <c r="N18" i="388"/>
  <c r="L18" i="388"/>
  <c r="K18" i="388"/>
  <c r="J18" i="388"/>
  <c r="H18" i="388"/>
  <c r="G18" i="388"/>
  <c r="F18" i="388"/>
  <c r="P17" i="388"/>
  <c r="M16" i="388"/>
  <c r="I16" i="388"/>
  <c r="P15" i="388"/>
  <c r="C15" i="388"/>
  <c r="D28" i="388" s="1"/>
  <c r="E28" i="388" s="1"/>
  <c r="M14" i="388"/>
  <c r="I14" i="388"/>
  <c r="P13" i="388"/>
  <c r="M12" i="388"/>
  <c r="I12" i="388"/>
  <c r="P11" i="388"/>
  <c r="M10" i="388"/>
  <c r="I10" i="388"/>
  <c r="P9" i="388"/>
  <c r="M8" i="388"/>
  <c r="I8" i="388"/>
  <c r="P7" i="388"/>
  <c r="M6" i="388"/>
  <c r="I6" i="388"/>
  <c r="I18" i="388" s="1"/>
  <c r="C3" i="388"/>
  <c r="D32" i="387"/>
  <c r="E32" i="387" s="1"/>
  <c r="E31" i="387"/>
  <c r="D31" i="387"/>
  <c r="D30" i="387"/>
  <c r="E30" i="387" s="1"/>
  <c r="D29" i="387"/>
  <c r="E29" i="387" s="1"/>
  <c r="D28" i="387"/>
  <c r="E28" i="387" s="1"/>
  <c r="D27" i="387"/>
  <c r="E27" i="387" s="1"/>
  <c r="E26" i="387"/>
  <c r="D26" i="387"/>
  <c r="D25" i="387"/>
  <c r="E25" i="387" s="1"/>
  <c r="P18" i="387"/>
  <c r="O18" i="387"/>
  <c r="N18" i="387"/>
  <c r="L18" i="387"/>
  <c r="K18" i="387"/>
  <c r="J18" i="387"/>
  <c r="H18" i="387"/>
  <c r="G18" i="387"/>
  <c r="F18" i="387"/>
  <c r="P17" i="387"/>
  <c r="M16" i="387"/>
  <c r="I16" i="387"/>
  <c r="P15" i="387"/>
  <c r="M14" i="387"/>
  <c r="I14" i="387"/>
  <c r="P13" i="387"/>
  <c r="M12" i="387"/>
  <c r="I12" i="387"/>
  <c r="P11" i="387"/>
  <c r="M10" i="387"/>
  <c r="I10" i="387"/>
  <c r="P9" i="387"/>
  <c r="M8" i="387"/>
  <c r="I8" i="387"/>
  <c r="P7" i="387"/>
  <c r="M6" i="387"/>
  <c r="I6" i="387"/>
  <c r="I18" i="387" s="1"/>
  <c r="C3" i="387"/>
  <c r="D32" i="386"/>
  <c r="E32" i="386" s="1"/>
  <c r="D31" i="386"/>
  <c r="E31" i="386" s="1"/>
  <c r="D30" i="386"/>
  <c r="E30" i="386" s="1"/>
  <c r="E29" i="386"/>
  <c r="D29" i="386"/>
  <c r="D28" i="386"/>
  <c r="E28" i="386" s="1"/>
  <c r="D27" i="386"/>
  <c r="E27" i="386" s="1"/>
  <c r="E26" i="386"/>
  <c r="D26" i="386"/>
  <c r="E25" i="386"/>
  <c r="D25" i="386"/>
  <c r="P18" i="386"/>
  <c r="O18" i="386"/>
  <c r="N18" i="386"/>
  <c r="L18" i="386"/>
  <c r="K18" i="386"/>
  <c r="J18" i="386"/>
  <c r="I18" i="386"/>
  <c r="H18" i="386"/>
  <c r="G18" i="386"/>
  <c r="F18" i="386"/>
  <c r="P17" i="386"/>
  <c r="M16" i="386"/>
  <c r="I16" i="386"/>
  <c r="P15" i="386"/>
  <c r="M14" i="386"/>
  <c r="I14" i="386"/>
  <c r="P13" i="386"/>
  <c r="M12" i="386"/>
  <c r="I12" i="386"/>
  <c r="P11" i="386"/>
  <c r="M10" i="386"/>
  <c r="I10" i="386"/>
  <c r="P9" i="386"/>
  <c r="P19" i="386" s="1"/>
  <c r="P20" i="386" s="1"/>
  <c r="M8" i="386"/>
  <c r="I8" i="386"/>
  <c r="P7" i="386"/>
  <c r="M6" i="386"/>
  <c r="I6" i="386"/>
  <c r="C3" i="386"/>
  <c r="D32" i="385"/>
  <c r="E32" i="385" s="1"/>
  <c r="D31" i="385"/>
  <c r="E31" i="385" s="1"/>
  <c r="E30" i="385"/>
  <c r="D30" i="385"/>
  <c r="E29" i="385"/>
  <c r="D29" i="385"/>
  <c r="D27" i="385"/>
  <c r="E27" i="385" s="1"/>
  <c r="E26" i="385"/>
  <c r="D26" i="385"/>
  <c r="E25" i="385"/>
  <c r="D25" i="385"/>
  <c r="P18" i="385"/>
  <c r="O18" i="385"/>
  <c r="N18" i="385"/>
  <c r="L18" i="385"/>
  <c r="K18" i="385"/>
  <c r="J18" i="385"/>
  <c r="H18" i="385"/>
  <c r="G18" i="385"/>
  <c r="F18" i="385"/>
  <c r="P17" i="385"/>
  <c r="M16" i="385"/>
  <c r="I16" i="385"/>
  <c r="P15" i="385"/>
  <c r="C15" i="385"/>
  <c r="D28" i="385" s="1"/>
  <c r="E28" i="385" s="1"/>
  <c r="M14" i="385"/>
  <c r="I14" i="385"/>
  <c r="P13" i="385"/>
  <c r="P19" i="385" s="1"/>
  <c r="P20" i="385" s="1"/>
  <c r="M12" i="385"/>
  <c r="I12" i="385"/>
  <c r="P11" i="385"/>
  <c r="M10" i="385"/>
  <c r="I10" i="385"/>
  <c r="I18" i="385" s="1"/>
  <c r="P9" i="385"/>
  <c r="M8" i="385"/>
  <c r="I8" i="385"/>
  <c r="P7" i="385"/>
  <c r="M6" i="385"/>
  <c r="I6" i="385"/>
  <c r="C3" i="385"/>
  <c r="E32" i="384"/>
  <c r="D32" i="384"/>
  <c r="D31" i="384"/>
  <c r="E31" i="384" s="1"/>
  <c r="D30" i="384"/>
  <c r="E30" i="384" s="1"/>
  <c r="D29" i="384"/>
  <c r="E29" i="384" s="1"/>
  <c r="D27" i="384"/>
  <c r="E27" i="384" s="1"/>
  <c r="D26" i="384"/>
  <c r="E26" i="384" s="1"/>
  <c r="E25" i="384"/>
  <c r="D25" i="384"/>
  <c r="P18" i="384"/>
  <c r="O18" i="384"/>
  <c r="N18" i="384"/>
  <c r="L18" i="384"/>
  <c r="K18" i="384"/>
  <c r="J18" i="384"/>
  <c r="H18" i="384"/>
  <c r="G18" i="384"/>
  <c r="F18" i="384"/>
  <c r="P17" i="384"/>
  <c r="M16" i="384"/>
  <c r="I16" i="384"/>
  <c r="P15" i="384"/>
  <c r="C15" i="384"/>
  <c r="D28" i="384" s="1"/>
  <c r="E28" i="384" s="1"/>
  <c r="M14" i="384"/>
  <c r="I14" i="384"/>
  <c r="P13" i="384"/>
  <c r="M12" i="384"/>
  <c r="I12" i="384"/>
  <c r="P11" i="384"/>
  <c r="M10" i="384"/>
  <c r="I10" i="384"/>
  <c r="P9" i="384"/>
  <c r="M8" i="384"/>
  <c r="I8" i="384"/>
  <c r="P7" i="384"/>
  <c r="M6" i="384"/>
  <c r="I6" i="384"/>
  <c r="C3" i="384"/>
  <c r="D32" i="383"/>
  <c r="E32" i="383" s="1"/>
  <c r="E31" i="383"/>
  <c r="D31" i="383"/>
  <c r="E30" i="383"/>
  <c r="D30" i="383"/>
  <c r="D29" i="383"/>
  <c r="E29" i="383" s="1"/>
  <c r="D27" i="383"/>
  <c r="E27" i="383" s="1"/>
  <c r="D26" i="383"/>
  <c r="E26" i="383" s="1"/>
  <c r="D25" i="383"/>
  <c r="E25" i="383" s="1"/>
  <c r="P18" i="383"/>
  <c r="O18" i="383"/>
  <c r="N18" i="383"/>
  <c r="L18" i="383"/>
  <c r="K18" i="383"/>
  <c r="J18" i="383"/>
  <c r="H18" i="383"/>
  <c r="G18" i="383"/>
  <c r="F18" i="383"/>
  <c r="P17" i="383"/>
  <c r="M16" i="383"/>
  <c r="I16" i="383"/>
  <c r="P15" i="383"/>
  <c r="C15" i="383"/>
  <c r="D28" i="383" s="1"/>
  <c r="E28" i="383" s="1"/>
  <c r="M14" i="383"/>
  <c r="I14" i="383"/>
  <c r="P13" i="383"/>
  <c r="M12" i="383"/>
  <c r="I12" i="383"/>
  <c r="P11" i="383"/>
  <c r="M10" i="383"/>
  <c r="I10" i="383"/>
  <c r="P9" i="383"/>
  <c r="M8" i="383"/>
  <c r="I8" i="383"/>
  <c r="P7" i="383"/>
  <c r="M6" i="383"/>
  <c r="I6" i="383"/>
  <c r="C3" i="383"/>
  <c r="D32" i="382"/>
  <c r="E32" i="382" s="1"/>
  <c r="D31" i="382"/>
  <c r="E31" i="382" s="1"/>
  <c r="E30" i="382"/>
  <c r="D30" i="382"/>
  <c r="D29" i="382"/>
  <c r="E29" i="382" s="1"/>
  <c r="D27" i="382"/>
  <c r="E27" i="382" s="1"/>
  <c r="D26" i="382"/>
  <c r="E26" i="382" s="1"/>
  <c r="E25" i="382"/>
  <c r="D25" i="382"/>
  <c r="P18" i="382"/>
  <c r="O18" i="382"/>
  <c r="N18" i="382"/>
  <c r="L18" i="382"/>
  <c r="K18" i="382"/>
  <c r="J18" i="382"/>
  <c r="H18" i="382"/>
  <c r="G18" i="382"/>
  <c r="F18" i="382"/>
  <c r="P17" i="382"/>
  <c r="M16" i="382"/>
  <c r="I16" i="382"/>
  <c r="P15" i="382"/>
  <c r="P19" i="382" s="1"/>
  <c r="P20" i="382" s="1"/>
  <c r="C15" i="382"/>
  <c r="D28" i="382" s="1"/>
  <c r="E28" i="382" s="1"/>
  <c r="M14" i="382"/>
  <c r="I14" i="382"/>
  <c r="P13" i="382"/>
  <c r="M12" i="382"/>
  <c r="I12" i="382"/>
  <c r="P11" i="382"/>
  <c r="M10" i="382"/>
  <c r="I10" i="382"/>
  <c r="I18" i="382" s="1"/>
  <c r="P9" i="382"/>
  <c r="M8" i="382"/>
  <c r="I8" i="382"/>
  <c r="P7" i="382"/>
  <c r="M6" i="382"/>
  <c r="M18" i="382" s="1"/>
  <c r="I6" i="382"/>
  <c r="C3" i="382"/>
  <c r="E32" i="381"/>
  <c r="D32" i="381"/>
  <c r="D31" i="381"/>
  <c r="E31" i="381" s="1"/>
  <c r="D30" i="381"/>
  <c r="E30" i="381" s="1"/>
  <c r="D29" i="381"/>
  <c r="E29" i="381" s="1"/>
  <c r="D27" i="381"/>
  <c r="E27" i="381" s="1"/>
  <c r="D26" i="381"/>
  <c r="E26" i="381" s="1"/>
  <c r="D25" i="381"/>
  <c r="E25" i="381" s="1"/>
  <c r="P18" i="381"/>
  <c r="O18" i="381"/>
  <c r="N18" i="381"/>
  <c r="L18" i="381"/>
  <c r="K18" i="381"/>
  <c r="J18" i="381"/>
  <c r="H18" i="381"/>
  <c r="G18" i="381"/>
  <c r="F18" i="381"/>
  <c r="P17" i="381"/>
  <c r="M16" i="381"/>
  <c r="I16" i="381"/>
  <c r="P15" i="381"/>
  <c r="C15" i="381"/>
  <c r="D28" i="381" s="1"/>
  <c r="E28" i="381" s="1"/>
  <c r="M14" i="381"/>
  <c r="I14" i="381"/>
  <c r="P13" i="381"/>
  <c r="M12" i="381"/>
  <c r="I12" i="381"/>
  <c r="P11" i="381"/>
  <c r="M10" i="381"/>
  <c r="I10" i="381"/>
  <c r="P9" i="381"/>
  <c r="M8" i="381"/>
  <c r="I8" i="381"/>
  <c r="P7" i="381"/>
  <c r="M6" i="381"/>
  <c r="I6" i="381"/>
  <c r="C3" i="381"/>
  <c r="D32" i="380"/>
  <c r="E32" i="380" s="1"/>
  <c r="E31" i="380"/>
  <c r="D31" i="380"/>
  <c r="D30" i="380"/>
  <c r="E30" i="380" s="1"/>
  <c r="D29" i="380"/>
  <c r="E29" i="380" s="1"/>
  <c r="D28" i="380"/>
  <c r="E28" i="380" s="1"/>
  <c r="D27" i="380"/>
  <c r="E27" i="380" s="1"/>
  <c r="E26" i="380"/>
  <c r="D26" i="380"/>
  <c r="D25" i="380"/>
  <c r="E25" i="380" s="1"/>
  <c r="P18" i="380"/>
  <c r="O18" i="380"/>
  <c r="N18" i="380"/>
  <c r="L18" i="380"/>
  <c r="K18" i="380"/>
  <c r="J18" i="380"/>
  <c r="H18" i="380"/>
  <c r="G18" i="380"/>
  <c r="F18" i="380"/>
  <c r="P17" i="380"/>
  <c r="M16" i="380"/>
  <c r="I16" i="380"/>
  <c r="P15" i="380"/>
  <c r="M14" i="380"/>
  <c r="I14" i="380"/>
  <c r="P13" i="380"/>
  <c r="M12" i="380"/>
  <c r="I12" i="380"/>
  <c r="P11" i="380"/>
  <c r="M10" i="380"/>
  <c r="I10" i="380"/>
  <c r="P9" i="380"/>
  <c r="P19" i="380" s="1"/>
  <c r="P20" i="380" s="1"/>
  <c r="M8" i="380"/>
  <c r="I8" i="380"/>
  <c r="P7" i="380"/>
  <c r="M6" i="380"/>
  <c r="I6" i="380"/>
  <c r="C3" i="380"/>
  <c r="D32" i="379"/>
  <c r="E32" i="379" s="1"/>
  <c r="E31" i="379"/>
  <c r="D31" i="379"/>
  <c r="D30" i="379"/>
  <c r="E30" i="379" s="1"/>
  <c r="D29" i="379"/>
  <c r="E29" i="379" s="1"/>
  <c r="D28" i="379"/>
  <c r="E28" i="379" s="1"/>
  <c r="D27" i="379"/>
  <c r="E27" i="379" s="1"/>
  <c r="E26" i="379"/>
  <c r="D26" i="379"/>
  <c r="D25" i="379"/>
  <c r="E25" i="379" s="1"/>
  <c r="P18" i="379"/>
  <c r="O18" i="379"/>
  <c r="N18" i="379"/>
  <c r="L18" i="379"/>
  <c r="K18" i="379"/>
  <c r="J18" i="379"/>
  <c r="H18" i="379"/>
  <c r="G18" i="379"/>
  <c r="F18" i="379"/>
  <c r="P17" i="379"/>
  <c r="M16" i="379"/>
  <c r="I16" i="379"/>
  <c r="P15" i="379"/>
  <c r="M14" i="379"/>
  <c r="I14" i="379"/>
  <c r="P13" i="379"/>
  <c r="M12" i="379"/>
  <c r="I12" i="379"/>
  <c r="P11" i="379"/>
  <c r="M10" i="379"/>
  <c r="I10" i="379"/>
  <c r="P9" i="379"/>
  <c r="P19" i="379" s="1"/>
  <c r="P20" i="379" s="1"/>
  <c r="M8" i="379"/>
  <c r="I8" i="379"/>
  <c r="P7" i="379"/>
  <c r="M6" i="379"/>
  <c r="I6" i="379"/>
  <c r="C3" i="379"/>
  <c r="D32" i="378"/>
  <c r="E32" i="378" s="1"/>
  <c r="E31" i="378"/>
  <c r="D31" i="378"/>
  <c r="D30" i="378"/>
  <c r="E30" i="378" s="1"/>
  <c r="D29" i="378"/>
  <c r="E29" i="378" s="1"/>
  <c r="E27" i="378"/>
  <c r="D27" i="378"/>
  <c r="D26" i="378"/>
  <c r="E26" i="378" s="1"/>
  <c r="D25" i="378"/>
  <c r="E25" i="378" s="1"/>
  <c r="P18" i="378"/>
  <c r="O18" i="378"/>
  <c r="N18" i="378"/>
  <c r="L18" i="378"/>
  <c r="K18" i="378"/>
  <c r="J18" i="378"/>
  <c r="H18" i="378"/>
  <c r="G18" i="378"/>
  <c r="F18" i="378"/>
  <c r="P17" i="378"/>
  <c r="M16" i="378"/>
  <c r="I16" i="378"/>
  <c r="P15" i="378"/>
  <c r="C15" i="378"/>
  <c r="D28" i="378" s="1"/>
  <c r="E28" i="378" s="1"/>
  <c r="M14" i="378"/>
  <c r="I14" i="378"/>
  <c r="P13" i="378"/>
  <c r="M12" i="378"/>
  <c r="I12" i="378"/>
  <c r="P11" i="378"/>
  <c r="M10" i="378"/>
  <c r="I10" i="378"/>
  <c r="P9" i="378"/>
  <c r="M8" i="378"/>
  <c r="I8" i="378"/>
  <c r="P7" i="378"/>
  <c r="M6" i="378"/>
  <c r="I6" i="378"/>
  <c r="C3" i="378"/>
  <c r="D32" i="377"/>
  <c r="E32" i="377" s="1"/>
  <c r="D31" i="377"/>
  <c r="E31" i="377" s="1"/>
  <c r="D30" i="377"/>
  <c r="E30" i="377" s="1"/>
  <c r="D29" i="377"/>
  <c r="E29" i="377" s="1"/>
  <c r="D27" i="377"/>
  <c r="E27" i="377" s="1"/>
  <c r="D26" i="377"/>
  <c r="E26" i="377" s="1"/>
  <c r="D25" i="377"/>
  <c r="E25" i="377" s="1"/>
  <c r="P18" i="377"/>
  <c r="O18" i="377"/>
  <c r="N18" i="377"/>
  <c r="L18" i="377"/>
  <c r="K18" i="377"/>
  <c r="J18" i="377"/>
  <c r="H18" i="377"/>
  <c r="G18" i="377"/>
  <c r="F18" i="377"/>
  <c r="P17" i="377"/>
  <c r="M16" i="377"/>
  <c r="I16" i="377"/>
  <c r="P15" i="377"/>
  <c r="C15" i="377"/>
  <c r="D28" i="377" s="1"/>
  <c r="E28" i="377" s="1"/>
  <c r="M14" i="377"/>
  <c r="I14" i="377"/>
  <c r="P13" i="377"/>
  <c r="M12" i="377"/>
  <c r="I12" i="377"/>
  <c r="P11" i="377"/>
  <c r="M10" i="377"/>
  <c r="I10" i="377"/>
  <c r="P9" i="377"/>
  <c r="M8" i="377"/>
  <c r="I8" i="377"/>
  <c r="P7" i="377"/>
  <c r="M6" i="377"/>
  <c r="I6" i="377"/>
  <c r="C3" i="377"/>
  <c r="D32" i="376"/>
  <c r="E32" i="376" s="1"/>
  <c r="E31" i="376"/>
  <c r="D31" i="376"/>
  <c r="D30" i="376"/>
  <c r="E30" i="376" s="1"/>
  <c r="D29" i="376"/>
  <c r="E29" i="376" s="1"/>
  <c r="D28" i="376"/>
  <c r="E28" i="376" s="1"/>
  <c r="D27" i="376"/>
  <c r="E27" i="376" s="1"/>
  <c r="D26" i="376"/>
  <c r="E26" i="376" s="1"/>
  <c r="D25" i="376"/>
  <c r="E25" i="376" s="1"/>
  <c r="P18" i="376"/>
  <c r="O18" i="376"/>
  <c r="N18" i="376"/>
  <c r="L18" i="376"/>
  <c r="K18" i="376"/>
  <c r="J18" i="376"/>
  <c r="H18" i="376"/>
  <c r="G18" i="376"/>
  <c r="F18" i="376"/>
  <c r="P17" i="376"/>
  <c r="M16" i="376"/>
  <c r="I16" i="376"/>
  <c r="P15" i="376"/>
  <c r="M14" i="376"/>
  <c r="I14" i="376"/>
  <c r="P13" i="376"/>
  <c r="M12" i="376"/>
  <c r="I12" i="376"/>
  <c r="P11" i="376"/>
  <c r="M10" i="376"/>
  <c r="I10" i="376"/>
  <c r="P9" i="376"/>
  <c r="M8" i="376"/>
  <c r="I8" i="376"/>
  <c r="P7" i="376"/>
  <c r="M6" i="376"/>
  <c r="I6" i="376"/>
  <c r="C3" i="376"/>
  <c r="D32" i="375"/>
  <c r="E32" i="375" s="1"/>
  <c r="E31" i="375"/>
  <c r="D31" i="375"/>
  <c r="D30" i="375"/>
  <c r="E30" i="375" s="1"/>
  <c r="D29" i="375"/>
  <c r="E29" i="375" s="1"/>
  <c r="D28" i="375"/>
  <c r="E28" i="375" s="1"/>
  <c r="D27" i="375"/>
  <c r="E27" i="375" s="1"/>
  <c r="D26" i="375"/>
  <c r="E26" i="375" s="1"/>
  <c r="D25" i="375"/>
  <c r="E25" i="375" s="1"/>
  <c r="P18" i="375"/>
  <c r="O18" i="375"/>
  <c r="N18" i="375"/>
  <c r="L18" i="375"/>
  <c r="K18" i="375"/>
  <c r="J18" i="375"/>
  <c r="H18" i="375"/>
  <c r="G18" i="375"/>
  <c r="F18" i="375"/>
  <c r="P17" i="375"/>
  <c r="M16" i="375"/>
  <c r="I16" i="375"/>
  <c r="P15" i="375"/>
  <c r="M14" i="375"/>
  <c r="I14" i="375"/>
  <c r="P13" i="375"/>
  <c r="M12" i="375"/>
  <c r="I12" i="375"/>
  <c r="P11" i="375"/>
  <c r="M10" i="375"/>
  <c r="I10" i="375"/>
  <c r="P9" i="375"/>
  <c r="M8" i="375"/>
  <c r="I8" i="375"/>
  <c r="P7" i="375"/>
  <c r="M6" i="375"/>
  <c r="I6" i="375"/>
  <c r="C3" i="375"/>
  <c r="D32" i="374"/>
  <c r="E32" i="374" s="1"/>
  <c r="D31" i="374"/>
  <c r="E31" i="374" s="1"/>
  <c r="D30" i="374"/>
  <c r="E30" i="374" s="1"/>
  <c r="D29" i="374"/>
  <c r="E29" i="374" s="1"/>
  <c r="D27" i="374"/>
  <c r="E27" i="374" s="1"/>
  <c r="D26" i="374"/>
  <c r="E26" i="374" s="1"/>
  <c r="D25" i="374"/>
  <c r="E25" i="374" s="1"/>
  <c r="P18" i="374"/>
  <c r="O18" i="374"/>
  <c r="N18" i="374"/>
  <c r="L18" i="374"/>
  <c r="K18" i="374"/>
  <c r="J18" i="374"/>
  <c r="H18" i="374"/>
  <c r="G18" i="374"/>
  <c r="F18" i="374"/>
  <c r="P17" i="374"/>
  <c r="M16" i="374"/>
  <c r="I16" i="374"/>
  <c r="P15" i="374"/>
  <c r="C15" i="374"/>
  <c r="D28" i="374" s="1"/>
  <c r="E28" i="374" s="1"/>
  <c r="M14" i="374"/>
  <c r="I14" i="374"/>
  <c r="P13" i="374"/>
  <c r="M12" i="374"/>
  <c r="I12" i="374"/>
  <c r="P11" i="374"/>
  <c r="M10" i="374"/>
  <c r="I10" i="374"/>
  <c r="P9" i="374"/>
  <c r="M8" i="374"/>
  <c r="I8" i="374"/>
  <c r="P7" i="374"/>
  <c r="M6" i="374"/>
  <c r="I6" i="374"/>
  <c r="C3" i="374"/>
  <c r="D32" i="373"/>
  <c r="E32" i="373" s="1"/>
  <c r="D31" i="373"/>
  <c r="E31" i="373" s="1"/>
  <c r="E30" i="373"/>
  <c r="D30" i="373"/>
  <c r="D29" i="373"/>
  <c r="E29" i="373" s="1"/>
  <c r="D28" i="373"/>
  <c r="E28" i="373" s="1"/>
  <c r="D27" i="373"/>
  <c r="E27" i="373" s="1"/>
  <c r="D26" i="373"/>
  <c r="E26" i="373" s="1"/>
  <c r="D25" i="373"/>
  <c r="E25" i="373" s="1"/>
  <c r="P18" i="373"/>
  <c r="O18" i="373"/>
  <c r="N18" i="373"/>
  <c r="L18" i="373"/>
  <c r="K18" i="373"/>
  <c r="J18" i="373"/>
  <c r="H18" i="373"/>
  <c r="G18" i="373"/>
  <c r="F18" i="373"/>
  <c r="P17" i="373"/>
  <c r="M16" i="373"/>
  <c r="I16" i="373"/>
  <c r="P15" i="373"/>
  <c r="M14" i="373"/>
  <c r="I14" i="373"/>
  <c r="P13" i="373"/>
  <c r="P19" i="373" s="1"/>
  <c r="P20" i="373" s="1"/>
  <c r="M12" i="373"/>
  <c r="I12" i="373"/>
  <c r="P11" i="373"/>
  <c r="M10" i="373"/>
  <c r="I10" i="373"/>
  <c r="P9" i="373"/>
  <c r="M8" i="373"/>
  <c r="I8" i="373"/>
  <c r="P7" i="373"/>
  <c r="M6" i="373"/>
  <c r="I6" i="373"/>
  <c r="C3" i="373"/>
  <c r="D32" i="372"/>
  <c r="E32" i="372" s="1"/>
  <c r="D31" i="372"/>
  <c r="E31" i="372" s="1"/>
  <c r="E30" i="372"/>
  <c r="D30" i="372"/>
  <c r="D29" i="372"/>
  <c r="E29" i="372" s="1"/>
  <c r="D28" i="372"/>
  <c r="E28" i="372" s="1"/>
  <c r="D27" i="372"/>
  <c r="E27" i="372" s="1"/>
  <c r="E26" i="372"/>
  <c r="D26" i="372"/>
  <c r="D25" i="372"/>
  <c r="E25" i="372" s="1"/>
  <c r="P18" i="372"/>
  <c r="O18" i="372"/>
  <c r="N18" i="372"/>
  <c r="L18" i="372"/>
  <c r="K18" i="372"/>
  <c r="J18" i="372"/>
  <c r="H18" i="372"/>
  <c r="G18" i="372"/>
  <c r="F18" i="372"/>
  <c r="P17" i="372"/>
  <c r="M16" i="372"/>
  <c r="I16" i="372"/>
  <c r="P15" i="372"/>
  <c r="M14" i="372"/>
  <c r="I14" i="372"/>
  <c r="P13" i="372"/>
  <c r="P19" i="372" s="1"/>
  <c r="P20" i="372" s="1"/>
  <c r="M12" i="372"/>
  <c r="I12" i="372"/>
  <c r="P11" i="372"/>
  <c r="M10" i="372"/>
  <c r="I10" i="372"/>
  <c r="P9" i="372"/>
  <c r="M8" i="372"/>
  <c r="I8" i="372"/>
  <c r="P7" i="372"/>
  <c r="M6" i="372"/>
  <c r="I6" i="372"/>
  <c r="C3" i="372"/>
  <c r="D32" i="371"/>
  <c r="E32" i="371" s="1"/>
  <c r="D31" i="371"/>
  <c r="E31" i="371" s="1"/>
  <c r="D30" i="371"/>
  <c r="E30" i="371" s="1"/>
  <c r="D29" i="371"/>
  <c r="E29" i="371" s="1"/>
  <c r="D27" i="371"/>
  <c r="E27" i="371" s="1"/>
  <c r="E26" i="371"/>
  <c r="D26" i="371"/>
  <c r="D25" i="371"/>
  <c r="E25" i="371" s="1"/>
  <c r="P18" i="371"/>
  <c r="O18" i="371"/>
  <c r="N18" i="371"/>
  <c r="L18" i="371"/>
  <c r="K18" i="371"/>
  <c r="J18" i="371"/>
  <c r="H18" i="371"/>
  <c r="G18" i="371"/>
  <c r="F18" i="371"/>
  <c r="P17" i="371"/>
  <c r="M16" i="371"/>
  <c r="I16" i="371"/>
  <c r="P15" i="371"/>
  <c r="C15" i="371"/>
  <c r="D28" i="371" s="1"/>
  <c r="E28" i="371" s="1"/>
  <c r="M14" i="371"/>
  <c r="I14" i="371"/>
  <c r="P13" i="371"/>
  <c r="M12" i="371"/>
  <c r="I12" i="371"/>
  <c r="P11" i="371"/>
  <c r="P19" i="371" s="1"/>
  <c r="P20" i="371" s="1"/>
  <c r="M10" i="371"/>
  <c r="I10" i="371"/>
  <c r="P9" i="371"/>
  <c r="M8" i="371"/>
  <c r="I8" i="371"/>
  <c r="P7" i="371"/>
  <c r="M6" i="371"/>
  <c r="M18" i="371" s="1"/>
  <c r="I6" i="371"/>
  <c r="C3" i="371"/>
  <c r="E32" i="370"/>
  <c r="D32" i="370"/>
  <c r="D31" i="370"/>
  <c r="E31" i="370" s="1"/>
  <c r="D30" i="370"/>
  <c r="E30" i="370" s="1"/>
  <c r="D29" i="370"/>
  <c r="E29" i="370" s="1"/>
  <c r="E28" i="370"/>
  <c r="D27" i="370"/>
  <c r="E27" i="370" s="1"/>
  <c r="D26" i="370"/>
  <c r="E26" i="370" s="1"/>
  <c r="D25" i="370"/>
  <c r="E25" i="370" s="1"/>
  <c r="P18" i="370"/>
  <c r="O18" i="370"/>
  <c r="N18" i="370"/>
  <c r="L18" i="370"/>
  <c r="K18" i="370"/>
  <c r="J18" i="370"/>
  <c r="H18" i="370"/>
  <c r="G18" i="370"/>
  <c r="F18" i="370"/>
  <c r="P17" i="370"/>
  <c r="M16" i="370"/>
  <c r="I16" i="370"/>
  <c r="P15" i="370"/>
  <c r="C15" i="370"/>
  <c r="D28" i="370" s="1"/>
  <c r="M14" i="370"/>
  <c r="I14" i="370"/>
  <c r="P13" i="370"/>
  <c r="M12" i="370"/>
  <c r="I12" i="370"/>
  <c r="P11" i="370"/>
  <c r="M10" i="370"/>
  <c r="I10" i="370"/>
  <c r="P9" i="370"/>
  <c r="M8" i="370"/>
  <c r="I8" i="370"/>
  <c r="P7" i="370"/>
  <c r="M6" i="370"/>
  <c r="M18" i="370" s="1"/>
  <c r="I6" i="370"/>
  <c r="C3" i="370"/>
  <c r="D32" i="369"/>
  <c r="E32" i="369" s="1"/>
  <c r="D31" i="369"/>
  <c r="E31" i="369" s="1"/>
  <c r="D30" i="369"/>
  <c r="E30" i="369" s="1"/>
  <c r="D29" i="369"/>
  <c r="E29" i="369" s="1"/>
  <c r="E27" i="369"/>
  <c r="D27" i="369"/>
  <c r="D26" i="369"/>
  <c r="E26" i="369" s="1"/>
  <c r="D25" i="369"/>
  <c r="E25" i="369" s="1"/>
  <c r="P18" i="369"/>
  <c r="O18" i="369"/>
  <c r="N18" i="369"/>
  <c r="L18" i="369"/>
  <c r="K18" i="369"/>
  <c r="J18" i="369"/>
  <c r="H18" i="369"/>
  <c r="G18" i="369"/>
  <c r="F18" i="369"/>
  <c r="P17" i="369"/>
  <c r="M16" i="369"/>
  <c r="I16" i="369"/>
  <c r="P15" i="369"/>
  <c r="C15" i="369"/>
  <c r="D28" i="369" s="1"/>
  <c r="E28" i="369" s="1"/>
  <c r="M14" i="369"/>
  <c r="I14" i="369"/>
  <c r="P13" i="369"/>
  <c r="M12" i="369"/>
  <c r="I12" i="369"/>
  <c r="P11" i="369"/>
  <c r="M10" i="369"/>
  <c r="I10" i="369"/>
  <c r="P9" i="369"/>
  <c r="M8" i="369"/>
  <c r="I8" i="369"/>
  <c r="P7" i="369"/>
  <c r="M6" i="369"/>
  <c r="I6" i="369"/>
  <c r="C3" i="369"/>
  <c r="D32" i="368"/>
  <c r="E32" i="368" s="1"/>
  <c r="D31" i="368"/>
  <c r="E31" i="368" s="1"/>
  <c r="E30" i="368"/>
  <c r="D30" i="368"/>
  <c r="D29" i="368"/>
  <c r="E29" i="368" s="1"/>
  <c r="D27" i="368"/>
  <c r="E27" i="368" s="1"/>
  <c r="E26" i="368"/>
  <c r="D26" i="368"/>
  <c r="D25" i="368"/>
  <c r="E25" i="368" s="1"/>
  <c r="P18" i="368"/>
  <c r="O18" i="368"/>
  <c r="N18" i="368"/>
  <c r="L18" i="368"/>
  <c r="K18" i="368"/>
  <c r="J18" i="368"/>
  <c r="H18" i="368"/>
  <c r="G18" i="368"/>
  <c r="F18" i="368"/>
  <c r="P17" i="368"/>
  <c r="M16" i="368"/>
  <c r="I16" i="368"/>
  <c r="P15" i="368"/>
  <c r="C15" i="368"/>
  <c r="D28" i="368" s="1"/>
  <c r="E28" i="368" s="1"/>
  <c r="M14" i="368"/>
  <c r="I14" i="368"/>
  <c r="P13" i="368"/>
  <c r="M12" i="368"/>
  <c r="I12" i="368"/>
  <c r="P11" i="368"/>
  <c r="M10" i="368"/>
  <c r="I10" i="368"/>
  <c r="P9" i="368"/>
  <c r="M8" i="368"/>
  <c r="I8" i="368"/>
  <c r="P7" i="368"/>
  <c r="M6" i="368"/>
  <c r="I6" i="368"/>
  <c r="C3" i="368"/>
  <c r="E32" i="367"/>
  <c r="D32" i="367"/>
  <c r="D31" i="367"/>
  <c r="E31" i="367" s="1"/>
  <c r="D30" i="367"/>
  <c r="E30" i="367" s="1"/>
  <c r="D29" i="367"/>
  <c r="E29" i="367" s="1"/>
  <c r="D27" i="367"/>
  <c r="E27" i="367" s="1"/>
  <c r="D26" i="367"/>
  <c r="E26" i="367" s="1"/>
  <c r="D25" i="367"/>
  <c r="E25" i="367" s="1"/>
  <c r="P18" i="367"/>
  <c r="O18" i="367"/>
  <c r="N18" i="367"/>
  <c r="L18" i="367"/>
  <c r="K18" i="367"/>
  <c r="J18" i="367"/>
  <c r="H18" i="367"/>
  <c r="G18" i="367"/>
  <c r="F18" i="367"/>
  <c r="P17" i="367"/>
  <c r="M16" i="367"/>
  <c r="I16" i="367"/>
  <c r="P15" i="367"/>
  <c r="C15" i="367"/>
  <c r="D28" i="367" s="1"/>
  <c r="E28" i="367" s="1"/>
  <c r="M14" i="367"/>
  <c r="I14" i="367"/>
  <c r="P13" i="367"/>
  <c r="M12" i="367"/>
  <c r="I12" i="367"/>
  <c r="P11" i="367"/>
  <c r="M10" i="367"/>
  <c r="I10" i="367"/>
  <c r="P9" i="367"/>
  <c r="M8" i="367"/>
  <c r="M18" i="367" s="1"/>
  <c r="I8" i="367"/>
  <c r="P7" i="367"/>
  <c r="M6" i="367"/>
  <c r="I6" i="367"/>
  <c r="C3" i="367"/>
  <c r="D32" i="366"/>
  <c r="E32" i="366" s="1"/>
  <c r="D31" i="366"/>
  <c r="E31" i="366" s="1"/>
  <c r="E30" i="366"/>
  <c r="D30" i="366"/>
  <c r="D29" i="366"/>
  <c r="E29" i="366" s="1"/>
  <c r="D28" i="366"/>
  <c r="E28" i="366" s="1"/>
  <c r="D27" i="366"/>
  <c r="E27" i="366" s="1"/>
  <c r="D26" i="366"/>
  <c r="E26" i="366" s="1"/>
  <c r="D25" i="366"/>
  <c r="E25" i="366" s="1"/>
  <c r="P18" i="366"/>
  <c r="O18" i="366"/>
  <c r="N18" i="366"/>
  <c r="L18" i="366"/>
  <c r="K18" i="366"/>
  <c r="J18" i="366"/>
  <c r="H18" i="366"/>
  <c r="G18" i="366"/>
  <c r="F18" i="366"/>
  <c r="P17" i="366"/>
  <c r="M16" i="366"/>
  <c r="I16" i="366"/>
  <c r="P15" i="366"/>
  <c r="M14" i="366"/>
  <c r="I14" i="366"/>
  <c r="P13" i="366"/>
  <c r="M12" i="366"/>
  <c r="I12" i="366"/>
  <c r="P11" i="366"/>
  <c r="M10" i="366"/>
  <c r="I10" i="366"/>
  <c r="P9" i="366"/>
  <c r="M8" i="366"/>
  <c r="I8" i="366"/>
  <c r="P7" i="366"/>
  <c r="M6" i="366"/>
  <c r="I6" i="366"/>
  <c r="C3" i="366"/>
  <c r="D32" i="365"/>
  <c r="E32" i="365" s="1"/>
  <c r="D31" i="365"/>
  <c r="E31" i="365" s="1"/>
  <c r="E30" i="365"/>
  <c r="D30" i="365"/>
  <c r="D29" i="365"/>
  <c r="E29" i="365" s="1"/>
  <c r="D28" i="365"/>
  <c r="E28" i="365" s="1"/>
  <c r="D27" i="365"/>
  <c r="E27" i="365" s="1"/>
  <c r="D26" i="365"/>
  <c r="E26" i="365" s="1"/>
  <c r="D25" i="365"/>
  <c r="E25" i="365" s="1"/>
  <c r="P18" i="365"/>
  <c r="O18" i="365"/>
  <c r="N18" i="365"/>
  <c r="L18" i="365"/>
  <c r="K18" i="365"/>
  <c r="J18" i="365"/>
  <c r="H18" i="365"/>
  <c r="G18" i="365"/>
  <c r="F18" i="365"/>
  <c r="P17" i="365"/>
  <c r="M16" i="365"/>
  <c r="I16" i="365"/>
  <c r="P15" i="365"/>
  <c r="M14" i="365"/>
  <c r="I14" i="365"/>
  <c r="I18" i="365" s="1"/>
  <c r="P13" i="365"/>
  <c r="M12" i="365"/>
  <c r="I12" i="365"/>
  <c r="P11" i="365"/>
  <c r="M10" i="365"/>
  <c r="I10" i="365"/>
  <c r="P9" i="365"/>
  <c r="M8" i="365"/>
  <c r="I8" i="365"/>
  <c r="P7" i="365"/>
  <c r="M6" i="365"/>
  <c r="I6" i="365"/>
  <c r="C3" i="365"/>
  <c r="D32" i="364"/>
  <c r="E32" i="364" s="1"/>
  <c r="D31" i="364"/>
  <c r="E31" i="364" s="1"/>
  <c r="E30" i="364"/>
  <c r="D30" i="364"/>
  <c r="D29" i="364"/>
  <c r="E29" i="364" s="1"/>
  <c r="E27" i="364"/>
  <c r="D27" i="364"/>
  <c r="D26" i="364"/>
  <c r="E26" i="364" s="1"/>
  <c r="D25" i="364"/>
  <c r="E25" i="364" s="1"/>
  <c r="P18" i="364"/>
  <c r="O18" i="364"/>
  <c r="N18" i="364"/>
  <c r="L18" i="364"/>
  <c r="K18" i="364"/>
  <c r="J18" i="364"/>
  <c r="H18" i="364"/>
  <c r="G18" i="364"/>
  <c r="F18" i="364"/>
  <c r="P17" i="364"/>
  <c r="M16" i="364"/>
  <c r="I16" i="364"/>
  <c r="P15" i="364"/>
  <c r="C15" i="364"/>
  <c r="D28" i="364" s="1"/>
  <c r="E28" i="364" s="1"/>
  <c r="M14" i="364"/>
  <c r="I14" i="364"/>
  <c r="P13" i="364"/>
  <c r="P19" i="364" s="1"/>
  <c r="P20" i="364" s="1"/>
  <c r="M12" i="364"/>
  <c r="I12" i="364"/>
  <c r="P11" i="364"/>
  <c r="M10" i="364"/>
  <c r="I10" i="364"/>
  <c r="P9" i="364"/>
  <c r="M8" i="364"/>
  <c r="I8" i="364"/>
  <c r="P7" i="364"/>
  <c r="M6" i="364"/>
  <c r="I6" i="364"/>
  <c r="C3" i="364"/>
  <c r="E32" i="363"/>
  <c r="D32" i="363"/>
  <c r="D31" i="363"/>
  <c r="E31" i="363" s="1"/>
  <c r="D30" i="363"/>
  <c r="E30" i="363" s="1"/>
  <c r="D29" i="363"/>
  <c r="E29" i="363" s="1"/>
  <c r="D27" i="363"/>
  <c r="E27" i="363" s="1"/>
  <c r="D26" i="363"/>
  <c r="E26" i="363" s="1"/>
  <c r="E25" i="363"/>
  <c r="D25" i="363"/>
  <c r="P19" i="363"/>
  <c r="P20" i="363" s="1"/>
  <c r="P18" i="363"/>
  <c r="O18" i="363"/>
  <c r="N18" i="363"/>
  <c r="L18" i="363"/>
  <c r="K18" i="363"/>
  <c r="J18" i="363"/>
  <c r="H18" i="363"/>
  <c r="G18" i="363"/>
  <c r="F18" i="363"/>
  <c r="P17" i="363"/>
  <c r="M16" i="363"/>
  <c r="I16" i="363"/>
  <c r="P15" i="363"/>
  <c r="C15" i="363"/>
  <c r="D28" i="363" s="1"/>
  <c r="E28" i="363" s="1"/>
  <c r="M14" i="363"/>
  <c r="I14" i="363"/>
  <c r="P13" i="363"/>
  <c r="M12" i="363"/>
  <c r="I12" i="363"/>
  <c r="P11" i="363"/>
  <c r="M10" i="363"/>
  <c r="I10" i="363"/>
  <c r="P9" i="363"/>
  <c r="M8" i="363"/>
  <c r="I8" i="363"/>
  <c r="P7" i="363"/>
  <c r="M6" i="363"/>
  <c r="I6" i="363"/>
  <c r="C3" i="363"/>
  <c r="E32" i="362"/>
  <c r="D32" i="362"/>
  <c r="E31" i="362"/>
  <c r="D31" i="362"/>
  <c r="D30" i="362"/>
  <c r="E30" i="362" s="1"/>
  <c r="D29" i="362"/>
  <c r="E29" i="362" s="1"/>
  <c r="D28" i="362"/>
  <c r="E28" i="362" s="1"/>
  <c r="E27" i="362"/>
  <c r="D27" i="362"/>
  <c r="E26" i="362"/>
  <c r="D26" i="362"/>
  <c r="D25" i="362"/>
  <c r="E25" i="362" s="1"/>
  <c r="P18" i="362"/>
  <c r="O18" i="362"/>
  <c r="N18" i="362"/>
  <c r="L18" i="362"/>
  <c r="K18" i="362"/>
  <c r="J18" i="362"/>
  <c r="H18" i="362"/>
  <c r="G18" i="362"/>
  <c r="F18" i="362"/>
  <c r="P17" i="362"/>
  <c r="M16" i="362"/>
  <c r="I16" i="362"/>
  <c r="P15" i="362"/>
  <c r="M14" i="362"/>
  <c r="I14" i="362"/>
  <c r="P13" i="362"/>
  <c r="M12" i="362"/>
  <c r="I12" i="362"/>
  <c r="P11" i="362"/>
  <c r="M10" i="362"/>
  <c r="I10" i="362"/>
  <c r="P9" i="362"/>
  <c r="M8" i="362"/>
  <c r="I8" i="362"/>
  <c r="P7" i="362"/>
  <c r="M6" i="362"/>
  <c r="I6" i="362"/>
  <c r="C3" i="362"/>
  <c r="D32" i="361"/>
  <c r="E32" i="361" s="1"/>
  <c r="E31" i="361"/>
  <c r="D31" i="361"/>
  <c r="E30" i="361"/>
  <c r="D30" i="361"/>
  <c r="D29" i="361"/>
  <c r="E29" i="361" s="1"/>
  <c r="D27" i="361"/>
  <c r="E27" i="361" s="1"/>
  <c r="D26" i="361"/>
  <c r="E26" i="361" s="1"/>
  <c r="D25" i="361"/>
  <c r="E25" i="361" s="1"/>
  <c r="P18" i="361"/>
  <c r="O18" i="361"/>
  <c r="N18" i="361"/>
  <c r="L18" i="361"/>
  <c r="K18" i="361"/>
  <c r="J18" i="361"/>
  <c r="H18" i="361"/>
  <c r="G18" i="361"/>
  <c r="F18" i="361"/>
  <c r="P17" i="361"/>
  <c r="M16" i="361"/>
  <c r="I16" i="361"/>
  <c r="P15" i="361"/>
  <c r="C15" i="361"/>
  <c r="D28" i="361" s="1"/>
  <c r="E28" i="361" s="1"/>
  <c r="M14" i="361"/>
  <c r="I14" i="361"/>
  <c r="P13" i="361"/>
  <c r="M12" i="361"/>
  <c r="I12" i="361"/>
  <c r="P11" i="361"/>
  <c r="M10" i="361"/>
  <c r="I10" i="361"/>
  <c r="P9" i="361"/>
  <c r="M8" i="361"/>
  <c r="I8" i="361"/>
  <c r="P7" i="361"/>
  <c r="M6" i="361"/>
  <c r="I6" i="361"/>
  <c r="C3" i="361"/>
  <c r="D32" i="360"/>
  <c r="E32" i="360" s="1"/>
  <c r="D31" i="360"/>
  <c r="E31" i="360" s="1"/>
  <c r="E30" i="360"/>
  <c r="D30" i="360"/>
  <c r="D29" i="360"/>
  <c r="E29" i="360" s="1"/>
  <c r="D27" i="360"/>
  <c r="E27" i="360" s="1"/>
  <c r="E26" i="360"/>
  <c r="D26" i="360"/>
  <c r="D25" i="360"/>
  <c r="E25" i="360" s="1"/>
  <c r="P18" i="360"/>
  <c r="O18" i="360"/>
  <c r="N18" i="360"/>
  <c r="L18" i="360"/>
  <c r="K18" i="360"/>
  <c r="J18" i="360"/>
  <c r="H18" i="360"/>
  <c r="G18" i="360"/>
  <c r="F18" i="360"/>
  <c r="P17" i="360"/>
  <c r="M16" i="360"/>
  <c r="I16" i="360"/>
  <c r="P15" i="360"/>
  <c r="C15" i="360"/>
  <c r="D28" i="360" s="1"/>
  <c r="E28" i="360" s="1"/>
  <c r="M14" i="360"/>
  <c r="I14" i="360"/>
  <c r="P13" i="360"/>
  <c r="M12" i="360"/>
  <c r="I12" i="360"/>
  <c r="P11" i="360"/>
  <c r="M10" i="360"/>
  <c r="I10" i="360"/>
  <c r="P9" i="360"/>
  <c r="M8" i="360"/>
  <c r="I8" i="360"/>
  <c r="P7" i="360"/>
  <c r="M6" i="360"/>
  <c r="I6" i="360"/>
  <c r="C3" i="360"/>
  <c r="E32" i="359"/>
  <c r="D32" i="359"/>
  <c r="E31" i="359"/>
  <c r="D31" i="359"/>
  <c r="D30" i="359"/>
  <c r="E30" i="359" s="1"/>
  <c r="D29" i="359"/>
  <c r="E29" i="359" s="1"/>
  <c r="D28" i="359"/>
  <c r="E28" i="359" s="1"/>
  <c r="D27" i="359"/>
  <c r="E27" i="359" s="1"/>
  <c r="E26" i="359"/>
  <c r="D26" i="359"/>
  <c r="D25" i="359"/>
  <c r="E25" i="359" s="1"/>
  <c r="P18" i="359"/>
  <c r="O18" i="359"/>
  <c r="N18" i="359"/>
  <c r="L18" i="359"/>
  <c r="K18" i="359"/>
  <c r="J18" i="359"/>
  <c r="H18" i="359"/>
  <c r="G18" i="359"/>
  <c r="F18" i="359"/>
  <c r="P17" i="359"/>
  <c r="M16" i="359"/>
  <c r="I16" i="359"/>
  <c r="P15" i="359"/>
  <c r="P19" i="359" s="1"/>
  <c r="P20" i="359" s="1"/>
  <c r="M14" i="359"/>
  <c r="I14" i="359"/>
  <c r="P13" i="359"/>
  <c r="M12" i="359"/>
  <c r="I12" i="359"/>
  <c r="P11" i="359"/>
  <c r="M10" i="359"/>
  <c r="I10" i="359"/>
  <c r="I18" i="359" s="1"/>
  <c r="P9" i="359"/>
  <c r="M8" i="359"/>
  <c r="I8" i="359"/>
  <c r="P7" i="359"/>
  <c r="M6" i="359"/>
  <c r="I6" i="359"/>
  <c r="C3" i="359"/>
  <c r="E32" i="358"/>
  <c r="D32" i="358"/>
  <c r="D31" i="358"/>
  <c r="E31" i="358" s="1"/>
  <c r="D30" i="358"/>
  <c r="E30" i="358" s="1"/>
  <c r="D29" i="358"/>
  <c r="E29" i="358" s="1"/>
  <c r="D28" i="358"/>
  <c r="E28" i="358" s="1"/>
  <c r="E27" i="358"/>
  <c r="D27" i="358"/>
  <c r="E26" i="358"/>
  <c r="D26" i="358"/>
  <c r="D25" i="358"/>
  <c r="E25" i="358" s="1"/>
  <c r="P18" i="358"/>
  <c r="O18" i="358"/>
  <c r="N18" i="358"/>
  <c r="L18" i="358"/>
  <c r="K18" i="358"/>
  <c r="J18" i="358"/>
  <c r="H18" i="358"/>
  <c r="G18" i="358"/>
  <c r="F18" i="358"/>
  <c r="P17" i="358"/>
  <c r="M16" i="358"/>
  <c r="I16" i="358"/>
  <c r="P15" i="358"/>
  <c r="M14" i="358"/>
  <c r="I14" i="358"/>
  <c r="P13" i="358"/>
  <c r="M12" i="358"/>
  <c r="I12" i="358"/>
  <c r="P11" i="358"/>
  <c r="M10" i="358"/>
  <c r="I10" i="358"/>
  <c r="P9" i="358"/>
  <c r="M8" i="358"/>
  <c r="I8" i="358"/>
  <c r="P7" i="358"/>
  <c r="M6" i="358"/>
  <c r="I6" i="358"/>
  <c r="C3" i="358"/>
  <c r="D32" i="357"/>
  <c r="E32" i="357" s="1"/>
  <c r="D31" i="357"/>
  <c r="E31" i="357" s="1"/>
  <c r="E30" i="357"/>
  <c r="D30" i="357"/>
  <c r="E29" i="357"/>
  <c r="D29" i="357"/>
  <c r="D27" i="357"/>
  <c r="E27" i="357" s="1"/>
  <c r="D26" i="357"/>
  <c r="E26" i="357" s="1"/>
  <c r="E25" i="357"/>
  <c r="D25" i="357"/>
  <c r="P18" i="357"/>
  <c r="O18" i="357"/>
  <c r="N18" i="357"/>
  <c r="L18" i="357"/>
  <c r="K18" i="357"/>
  <c r="J18" i="357"/>
  <c r="H18" i="357"/>
  <c r="G18" i="357"/>
  <c r="F18" i="357"/>
  <c r="P17" i="357"/>
  <c r="M16" i="357"/>
  <c r="I16" i="357"/>
  <c r="P15" i="357"/>
  <c r="C15" i="357"/>
  <c r="D28" i="357" s="1"/>
  <c r="E28" i="357" s="1"/>
  <c r="M14" i="357"/>
  <c r="I14" i="357"/>
  <c r="P13" i="357"/>
  <c r="M12" i="357"/>
  <c r="I12" i="357"/>
  <c r="P11" i="357"/>
  <c r="M10" i="357"/>
  <c r="I10" i="357"/>
  <c r="P9" i="357"/>
  <c r="M8" i="357"/>
  <c r="I8" i="357"/>
  <c r="P7" i="357"/>
  <c r="M6" i="357"/>
  <c r="I6" i="357"/>
  <c r="C3" i="357"/>
  <c r="D32" i="356"/>
  <c r="E32" i="356" s="1"/>
  <c r="D31" i="356"/>
  <c r="E31" i="356" s="1"/>
  <c r="D30" i="356"/>
  <c r="E30" i="356" s="1"/>
  <c r="D29" i="356"/>
  <c r="E29" i="356" s="1"/>
  <c r="D27" i="356"/>
  <c r="E27" i="356" s="1"/>
  <c r="D26" i="356"/>
  <c r="E26" i="356" s="1"/>
  <c r="D25" i="356"/>
  <c r="E25" i="356" s="1"/>
  <c r="P18" i="356"/>
  <c r="O18" i="356"/>
  <c r="N18" i="356"/>
  <c r="L18" i="356"/>
  <c r="K18" i="356"/>
  <c r="J18" i="356"/>
  <c r="H18" i="356"/>
  <c r="G18" i="356"/>
  <c r="F18" i="356"/>
  <c r="P17" i="356"/>
  <c r="M16" i="356"/>
  <c r="I16" i="356"/>
  <c r="P15" i="356"/>
  <c r="C15" i="356"/>
  <c r="D28" i="356" s="1"/>
  <c r="E28" i="356" s="1"/>
  <c r="M14" i="356"/>
  <c r="I14" i="356"/>
  <c r="P13" i="356"/>
  <c r="M12" i="356"/>
  <c r="M18" i="356" s="1"/>
  <c r="I12" i="356"/>
  <c r="P11" i="356"/>
  <c r="M10" i="356"/>
  <c r="I10" i="356"/>
  <c r="P9" i="356"/>
  <c r="M8" i="356"/>
  <c r="I8" i="356"/>
  <c r="P7" i="356"/>
  <c r="P19" i="356" s="1"/>
  <c r="P20" i="356" s="1"/>
  <c r="M6" i="356"/>
  <c r="I6" i="356"/>
  <c r="C3" i="356"/>
  <c r="D32" i="355"/>
  <c r="E32" i="355" s="1"/>
  <c r="E31" i="355"/>
  <c r="D31" i="355"/>
  <c r="D30" i="355"/>
  <c r="E30" i="355" s="1"/>
  <c r="D29" i="355"/>
  <c r="E29" i="355" s="1"/>
  <c r="D27" i="355"/>
  <c r="E27" i="355" s="1"/>
  <c r="E26" i="355"/>
  <c r="D26" i="355"/>
  <c r="E25" i="355"/>
  <c r="D25" i="355"/>
  <c r="P18" i="355"/>
  <c r="O18" i="355"/>
  <c r="N18" i="355"/>
  <c r="L18" i="355"/>
  <c r="K18" i="355"/>
  <c r="J18" i="355"/>
  <c r="H18" i="355"/>
  <c r="G18" i="355"/>
  <c r="F18" i="355"/>
  <c r="P17" i="355"/>
  <c r="M16" i="355"/>
  <c r="I16" i="355"/>
  <c r="P15" i="355"/>
  <c r="C15" i="355"/>
  <c r="D28" i="355" s="1"/>
  <c r="E28" i="355" s="1"/>
  <c r="M14" i="355"/>
  <c r="I14" i="355"/>
  <c r="P13" i="355"/>
  <c r="M12" i="355"/>
  <c r="I12" i="355"/>
  <c r="P11" i="355"/>
  <c r="M10" i="355"/>
  <c r="I10" i="355"/>
  <c r="P9" i="355"/>
  <c r="M8" i="355"/>
  <c r="I8" i="355"/>
  <c r="P7" i="355"/>
  <c r="M6" i="355"/>
  <c r="I6" i="355"/>
  <c r="C3" i="355"/>
  <c r="D32" i="354"/>
  <c r="E32" i="354" s="1"/>
  <c r="D31" i="354"/>
  <c r="E31" i="354" s="1"/>
  <c r="D30" i="354"/>
  <c r="E30" i="354" s="1"/>
  <c r="D29" i="354"/>
  <c r="E29" i="354" s="1"/>
  <c r="D28" i="354"/>
  <c r="E28" i="354" s="1"/>
  <c r="D27" i="354"/>
  <c r="E27" i="354" s="1"/>
  <c r="D26" i="354"/>
  <c r="E26" i="354" s="1"/>
  <c r="D25" i="354"/>
  <c r="E25" i="354" s="1"/>
  <c r="P18" i="354"/>
  <c r="O18" i="354"/>
  <c r="N18" i="354"/>
  <c r="L18" i="354"/>
  <c r="K18" i="354"/>
  <c r="J18" i="354"/>
  <c r="H18" i="354"/>
  <c r="G18" i="354"/>
  <c r="F18" i="354"/>
  <c r="P17" i="354"/>
  <c r="M16" i="354"/>
  <c r="I16" i="354"/>
  <c r="P15" i="354"/>
  <c r="M14" i="354"/>
  <c r="I14" i="354"/>
  <c r="P13" i="354"/>
  <c r="M12" i="354"/>
  <c r="I12" i="354"/>
  <c r="P11" i="354"/>
  <c r="M10" i="354"/>
  <c r="I10" i="354"/>
  <c r="P9" i="354"/>
  <c r="M8" i="354"/>
  <c r="I8" i="354"/>
  <c r="P7" i="354"/>
  <c r="M6" i="354"/>
  <c r="M18" i="354" s="1"/>
  <c r="I6" i="354"/>
  <c r="C3" i="354"/>
  <c r="D32" i="353"/>
  <c r="E32" i="353" s="1"/>
  <c r="D31" i="353"/>
  <c r="E31" i="353" s="1"/>
  <c r="D30" i="353"/>
  <c r="E30" i="353" s="1"/>
  <c r="D29" i="353"/>
  <c r="E29" i="353" s="1"/>
  <c r="D28" i="353"/>
  <c r="E28" i="353" s="1"/>
  <c r="D27" i="353"/>
  <c r="E27" i="353" s="1"/>
  <c r="D26" i="353"/>
  <c r="E26" i="353" s="1"/>
  <c r="D25" i="353"/>
  <c r="E25" i="353" s="1"/>
  <c r="P18" i="353"/>
  <c r="O18" i="353"/>
  <c r="N18" i="353"/>
  <c r="L18" i="353"/>
  <c r="K18" i="353"/>
  <c r="J18" i="353"/>
  <c r="H18" i="353"/>
  <c r="G18" i="353"/>
  <c r="F18" i="353"/>
  <c r="P17" i="353"/>
  <c r="M16" i="353"/>
  <c r="I16" i="353"/>
  <c r="P15" i="353"/>
  <c r="M14" i="353"/>
  <c r="I14" i="353"/>
  <c r="P13" i="353"/>
  <c r="M12" i="353"/>
  <c r="I12" i="353"/>
  <c r="P11" i="353"/>
  <c r="M10" i="353"/>
  <c r="I10" i="353"/>
  <c r="P9" i="353"/>
  <c r="M8" i="353"/>
  <c r="I8" i="353"/>
  <c r="P7" i="353"/>
  <c r="M6" i="353"/>
  <c r="I6" i="353"/>
  <c r="C3" i="353"/>
  <c r="D32" i="352"/>
  <c r="E32" i="352" s="1"/>
  <c r="D31" i="352"/>
  <c r="E31" i="352" s="1"/>
  <c r="D30" i="352"/>
  <c r="E30" i="352" s="1"/>
  <c r="D29" i="352"/>
  <c r="E29" i="352" s="1"/>
  <c r="D28" i="352"/>
  <c r="E28" i="352" s="1"/>
  <c r="D27" i="352"/>
  <c r="E27" i="352" s="1"/>
  <c r="D26" i="352"/>
  <c r="E26" i="352" s="1"/>
  <c r="D25" i="352"/>
  <c r="E25" i="352" s="1"/>
  <c r="P18" i="352"/>
  <c r="O18" i="352"/>
  <c r="N18" i="352"/>
  <c r="L18" i="352"/>
  <c r="K18" i="352"/>
  <c r="J18" i="352"/>
  <c r="H18" i="352"/>
  <c r="G18" i="352"/>
  <c r="F18" i="352"/>
  <c r="P17" i="352"/>
  <c r="M16" i="352"/>
  <c r="I16" i="352"/>
  <c r="P15" i="352"/>
  <c r="M14" i="352"/>
  <c r="I14" i="352"/>
  <c r="P13" i="352"/>
  <c r="M12" i="352"/>
  <c r="I12" i="352"/>
  <c r="P11" i="352"/>
  <c r="M10" i="352"/>
  <c r="I10" i="352"/>
  <c r="P9" i="352"/>
  <c r="M8" i="352"/>
  <c r="I8" i="352"/>
  <c r="P7" i="352"/>
  <c r="M6" i="352"/>
  <c r="M18" i="352" s="1"/>
  <c r="I6" i="352"/>
  <c r="C3" i="352"/>
  <c r="D32" i="351"/>
  <c r="E32" i="351" s="1"/>
  <c r="D31" i="351"/>
  <c r="E31" i="351" s="1"/>
  <c r="D30" i="351"/>
  <c r="E30" i="351" s="1"/>
  <c r="D29" i="351"/>
  <c r="E29" i="351" s="1"/>
  <c r="D28" i="351"/>
  <c r="E28" i="351" s="1"/>
  <c r="D27" i="351"/>
  <c r="E27" i="351" s="1"/>
  <c r="D26" i="351"/>
  <c r="E26" i="351" s="1"/>
  <c r="D25" i="351"/>
  <c r="E25" i="351" s="1"/>
  <c r="P18" i="351"/>
  <c r="O18" i="351"/>
  <c r="N18" i="351"/>
  <c r="L18" i="351"/>
  <c r="K18" i="351"/>
  <c r="J18" i="351"/>
  <c r="H18" i="351"/>
  <c r="G18" i="351"/>
  <c r="F18" i="351"/>
  <c r="P17" i="351"/>
  <c r="M16" i="351"/>
  <c r="I16" i="351"/>
  <c r="P15" i="351"/>
  <c r="M14" i="351"/>
  <c r="I14" i="351"/>
  <c r="P13" i="351"/>
  <c r="M12" i="351"/>
  <c r="I12" i="351"/>
  <c r="P11" i="351"/>
  <c r="M10" i="351"/>
  <c r="I10" i="351"/>
  <c r="P9" i="351"/>
  <c r="M8" i="351"/>
  <c r="I8" i="351"/>
  <c r="P7" i="351"/>
  <c r="M6" i="351"/>
  <c r="I6" i="351"/>
  <c r="C3" i="351"/>
  <c r="D32" i="350"/>
  <c r="E32" i="350" s="1"/>
  <c r="D31" i="350"/>
  <c r="E31" i="350" s="1"/>
  <c r="D30" i="350"/>
  <c r="E30" i="350" s="1"/>
  <c r="D29" i="350"/>
  <c r="E29" i="350" s="1"/>
  <c r="D27" i="350"/>
  <c r="E27" i="350" s="1"/>
  <c r="D26" i="350"/>
  <c r="E26" i="350" s="1"/>
  <c r="D25" i="350"/>
  <c r="E25" i="350" s="1"/>
  <c r="P18" i="350"/>
  <c r="O18" i="350"/>
  <c r="N18" i="350"/>
  <c r="L18" i="350"/>
  <c r="K18" i="350"/>
  <c r="J18" i="350"/>
  <c r="H18" i="350"/>
  <c r="G18" i="350"/>
  <c r="F18" i="350"/>
  <c r="P17" i="350"/>
  <c r="M16" i="350"/>
  <c r="I16" i="350"/>
  <c r="P15" i="350"/>
  <c r="C15" i="350"/>
  <c r="D28" i="350" s="1"/>
  <c r="E28" i="350" s="1"/>
  <c r="M14" i="350"/>
  <c r="I14" i="350"/>
  <c r="P13" i="350"/>
  <c r="M12" i="350"/>
  <c r="I12" i="350"/>
  <c r="P11" i="350"/>
  <c r="P19" i="350" s="1"/>
  <c r="P20" i="350" s="1"/>
  <c r="M10" i="350"/>
  <c r="I10" i="350"/>
  <c r="P9" i="350"/>
  <c r="M8" i="350"/>
  <c r="I8" i="350"/>
  <c r="P7" i="350"/>
  <c r="M6" i="350"/>
  <c r="I6" i="350"/>
  <c r="C3" i="350"/>
  <c r="E32" i="349"/>
  <c r="D32" i="349"/>
  <c r="D31" i="349"/>
  <c r="E31" i="349" s="1"/>
  <c r="D30" i="349"/>
  <c r="E30" i="349" s="1"/>
  <c r="E29" i="349"/>
  <c r="D29" i="349"/>
  <c r="E27" i="349"/>
  <c r="D27" i="349"/>
  <c r="D26" i="349"/>
  <c r="E26" i="349" s="1"/>
  <c r="D25" i="349"/>
  <c r="E25" i="349" s="1"/>
  <c r="P18" i="349"/>
  <c r="O18" i="349"/>
  <c r="N18" i="349"/>
  <c r="L18" i="349"/>
  <c r="K18" i="349"/>
  <c r="J18" i="349"/>
  <c r="H18" i="349"/>
  <c r="G18" i="349"/>
  <c r="F18" i="349"/>
  <c r="P17" i="349"/>
  <c r="M16" i="349"/>
  <c r="I16" i="349"/>
  <c r="P15" i="349"/>
  <c r="C15" i="349"/>
  <c r="D28" i="349" s="1"/>
  <c r="E28" i="349" s="1"/>
  <c r="M14" i="349"/>
  <c r="I14" i="349"/>
  <c r="P13" i="349"/>
  <c r="M12" i="349"/>
  <c r="I12" i="349"/>
  <c r="P11" i="349"/>
  <c r="M10" i="349"/>
  <c r="I10" i="349"/>
  <c r="P9" i="349"/>
  <c r="M8" i="349"/>
  <c r="I8" i="349"/>
  <c r="I18" i="349" s="1"/>
  <c r="P7" i="349"/>
  <c r="M6" i="349"/>
  <c r="I6" i="349"/>
  <c r="C3" i="349"/>
  <c r="D32" i="348"/>
  <c r="E32" i="348" s="1"/>
  <c r="D31" i="348"/>
  <c r="E31" i="348" s="1"/>
  <c r="D30" i="348"/>
  <c r="E30" i="348" s="1"/>
  <c r="D29" i="348"/>
  <c r="E29" i="348" s="1"/>
  <c r="D27" i="348"/>
  <c r="E27" i="348" s="1"/>
  <c r="D26" i="348"/>
  <c r="E26" i="348" s="1"/>
  <c r="D25" i="348"/>
  <c r="E25" i="348" s="1"/>
  <c r="P18" i="348"/>
  <c r="O18" i="348"/>
  <c r="N18" i="348"/>
  <c r="L18" i="348"/>
  <c r="K18" i="348"/>
  <c r="J18" i="348"/>
  <c r="H18" i="348"/>
  <c r="G18" i="348"/>
  <c r="F18" i="348"/>
  <c r="P17" i="348"/>
  <c r="M16" i="348"/>
  <c r="I16" i="348"/>
  <c r="P15" i="348"/>
  <c r="C15" i="348"/>
  <c r="D28" i="348" s="1"/>
  <c r="E28" i="348" s="1"/>
  <c r="M14" i="348"/>
  <c r="I14" i="348"/>
  <c r="P13" i="348"/>
  <c r="P19" i="348" s="1"/>
  <c r="P20" i="348" s="1"/>
  <c r="M12" i="348"/>
  <c r="I12" i="348"/>
  <c r="P11" i="348"/>
  <c r="M10" i="348"/>
  <c r="I10" i="348"/>
  <c r="P9" i="348"/>
  <c r="M8" i="348"/>
  <c r="I8" i="348"/>
  <c r="P7" i="348"/>
  <c r="M6" i="348"/>
  <c r="I6" i="348"/>
  <c r="C3" i="348"/>
  <c r="E32" i="347"/>
  <c r="D32" i="347"/>
  <c r="D31" i="347"/>
  <c r="E31" i="347" s="1"/>
  <c r="D30" i="347"/>
  <c r="E30" i="347" s="1"/>
  <c r="E29" i="347"/>
  <c r="D29" i="347"/>
  <c r="E28" i="347"/>
  <c r="D28" i="347"/>
  <c r="D27" i="347"/>
  <c r="E27" i="347" s="1"/>
  <c r="D26" i="347"/>
  <c r="E26" i="347" s="1"/>
  <c r="E25" i="347"/>
  <c r="D25" i="347"/>
  <c r="P18" i="347"/>
  <c r="O18" i="347"/>
  <c r="N18" i="347"/>
  <c r="L18" i="347"/>
  <c r="K18" i="347"/>
  <c r="J18" i="347"/>
  <c r="H18" i="347"/>
  <c r="G18" i="347"/>
  <c r="F18" i="347"/>
  <c r="P17" i="347"/>
  <c r="M16" i="347"/>
  <c r="I16" i="347"/>
  <c r="P15" i="347"/>
  <c r="M14" i="347"/>
  <c r="I14" i="347"/>
  <c r="P13" i="347"/>
  <c r="M12" i="347"/>
  <c r="I12" i="347"/>
  <c r="P11" i="347"/>
  <c r="M10" i="347"/>
  <c r="I10" i="347"/>
  <c r="P9" i="347"/>
  <c r="M8" i="347"/>
  <c r="I8" i="347"/>
  <c r="P7" i="347"/>
  <c r="M6" i="347"/>
  <c r="I6" i="347"/>
  <c r="C3" i="347"/>
  <c r="D32" i="346"/>
  <c r="E32" i="346" s="1"/>
  <c r="E31" i="346"/>
  <c r="D31" i="346"/>
  <c r="E30" i="346"/>
  <c r="D30" i="346"/>
  <c r="D29" i="346"/>
  <c r="E29" i="346" s="1"/>
  <c r="D27" i="346"/>
  <c r="E27" i="346" s="1"/>
  <c r="E26" i="346"/>
  <c r="D26" i="346"/>
  <c r="E25" i="346"/>
  <c r="D25" i="346"/>
  <c r="P18" i="346"/>
  <c r="O18" i="346"/>
  <c r="N18" i="346"/>
  <c r="L18" i="346"/>
  <c r="K18" i="346"/>
  <c r="J18" i="346"/>
  <c r="H18" i="346"/>
  <c r="G18" i="346"/>
  <c r="F18" i="346"/>
  <c r="P17" i="346"/>
  <c r="M16" i="346"/>
  <c r="I16" i="346"/>
  <c r="P15" i="346"/>
  <c r="P19" i="346" s="1"/>
  <c r="P20" i="346" s="1"/>
  <c r="C15" i="346"/>
  <c r="D28" i="346" s="1"/>
  <c r="E28" i="346" s="1"/>
  <c r="M14" i="346"/>
  <c r="I14" i="346"/>
  <c r="P13" i="346"/>
  <c r="M12" i="346"/>
  <c r="I12" i="346"/>
  <c r="P11" i="346"/>
  <c r="M10" i="346"/>
  <c r="I10" i="346"/>
  <c r="P9" i="346"/>
  <c r="M8" i="346"/>
  <c r="I8" i="346"/>
  <c r="P7" i="346"/>
  <c r="M6" i="346"/>
  <c r="I6" i="346"/>
  <c r="I18" i="346" s="1"/>
  <c r="C3" i="346"/>
  <c r="D32" i="345"/>
  <c r="E32" i="345" s="1"/>
  <c r="D31" i="345"/>
  <c r="E31" i="345" s="1"/>
  <c r="D30" i="345"/>
  <c r="E30" i="345" s="1"/>
  <c r="D29" i="345"/>
  <c r="E29" i="345" s="1"/>
  <c r="D28" i="345"/>
  <c r="E28" i="345" s="1"/>
  <c r="D27" i="345"/>
  <c r="E27" i="345" s="1"/>
  <c r="D26" i="345"/>
  <c r="E26" i="345" s="1"/>
  <c r="D25" i="345"/>
  <c r="E25" i="345" s="1"/>
  <c r="P18" i="345"/>
  <c r="O18" i="345"/>
  <c r="N18" i="345"/>
  <c r="L18" i="345"/>
  <c r="K18" i="345"/>
  <c r="J18" i="345"/>
  <c r="H18" i="345"/>
  <c r="G18" i="345"/>
  <c r="F18" i="345"/>
  <c r="P17" i="345"/>
  <c r="M16" i="345"/>
  <c r="I16" i="345"/>
  <c r="P15" i="345"/>
  <c r="M14" i="345"/>
  <c r="I14" i="345"/>
  <c r="P13" i="345"/>
  <c r="M12" i="345"/>
  <c r="I12" i="345"/>
  <c r="P11" i="345"/>
  <c r="M10" i="345"/>
  <c r="I10" i="345"/>
  <c r="P9" i="345"/>
  <c r="M8" i="345"/>
  <c r="I8" i="345"/>
  <c r="P7" i="345"/>
  <c r="M6" i="345"/>
  <c r="I6" i="345"/>
  <c r="C3" i="345"/>
  <c r="D32" i="344"/>
  <c r="E32" i="344" s="1"/>
  <c r="D31" i="344"/>
  <c r="E31" i="344" s="1"/>
  <c r="D30" i="344"/>
  <c r="E30" i="344" s="1"/>
  <c r="D29" i="344"/>
  <c r="E29" i="344" s="1"/>
  <c r="D28" i="344"/>
  <c r="E28" i="344" s="1"/>
  <c r="D27" i="344"/>
  <c r="E27" i="344" s="1"/>
  <c r="D26" i="344"/>
  <c r="E26" i="344" s="1"/>
  <c r="D25" i="344"/>
  <c r="E25" i="344" s="1"/>
  <c r="P18" i="344"/>
  <c r="O18" i="344"/>
  <c r="N18" i="344"/>
  <c r="L18" i="344"/>
  <c r="K18" i="344"/>
  <c r="J18" i="344"/>
  <c r="H18" i="344"/>
  <c r="G18" i="344"/>
  <c r="F18" i="344"/>
  <c r="P17" i="344"/>
  <c r="M16" i="344"/>
  <c r="I16" i="344"/>
  <c r="I18" i="344" s="1"/>
  <c r="P15" i="344"/>
  <c r="M14" i="344"/>
  <c r="I14" i="344"/>
  <c r="P13" i="344"/>
  <c r="M12" i="344"/>
  <c r="I12" i="344"/>
  <c r="P11" i="344"/>
  <c r="M10" i="344"/>
  <c r="I10" i="344"/>
  <c r="P9" i="344"/>
  <c r="M8" i="344"/>
  <c r="I8" i="344"/>
  <c r="P7" i="344"/>
  <c r="M6" i="344"/>
  <c r="I6" i="344"/>
  <c r="C3" i="344"/>
  <c r="D32" i="343"/>
  <c r="E32" i="343" s="1"/>
  <c r="D31" i="343"/>
  <c r="E31" i="343" s="1"/>
  <c r="D30" i="343"/>
  <c r="E30" i="343" s="1"/>
  <c r="D29" i="343"/>
  <c r="E29" i="343" s="1"/>
  <c r="D28" i="343"/>
  <c r="E28" i="343" s="1"/>
  <c r="D27" i="343"/>
  <c r="E27" i="343" s="1"/>
  <c r="D26" i="343"/>
  <c r="E26" i="343" s="1"/>
  <c r="D25" i="343"/>
  <c r="E25" i="343" s="1"/>
  <c r="P18" i="343"/>
  <c r="O18" i="343"/>
  <c r="N18" i="343"/>
  <c r="L18" i="343"/>
  <c r="K18" i="343"/>
  <c r="J18" i="343"/>
  <c r="H18" i="343"/>
  <c r="G18" i="343"/>
  <c r="F18" i="343"/>
  <c r="P17" i="343"/>
  <c r="M16" i="343"/>
  <c r="I16" i="343"/>
  <c r="P15" i="343"/>
  <c r="M14" i="343"/>
  <c r="I14" i="343"/>
  <c r="P13" i="343"/>
  <c r="M12" i="343"/>
  <c r="I12" i="343"/>
  <c r="P11" i="343"/>
  <c r="M10" i="343"/>
  <c r="I10" i="343"/>
  <c r="P9" i="343"/>
  <c r="M8" i="343"/>
  <c r="I8" i="343"/>
  <c r="P7" i="343"/>
  <c r="M6" i="343"/>
  <c r="I6" i="343"/>
  <c r="C3" i="343"/>
  <c r="D32" i="342"/>
  <c r="E32" i="342" s="1"/>
  <c r="D31" i="342"/>
  <c r="E31" i="342" s="1"/>
  <c r="D30" i="342"/>
  <c r="E30" i="342" s="1"/>
  <c r="D29" i="342"/>
  <c r="E29" i="342" s="1"/>
  <c r="D28" i="342"/>
  <c r="E28" i="342" s="1"/>
  <c r="D27" i="342"/>
  <c r="E27" i="342" s="1"/>
  <c r="D26" i="342"/>
  <c r="E26" i="342" s="1"/>
  <c r="D25" i="342"/>
  <c r="E25" i="342" s="1"/>
  <c r="P18" i="342"/>
  <c r="O18" i="342"/>
  <c r="N18" i="342"/>
  <c r="L18" i="342"/>
  <c r="K18" i="342"/>
  <c r="J18" i="342"/>
  <c r="H18" i="342"/>
  <c r="G18" i="342"/>
  <c r="F18" i="342"/>
  <c r="P17" i="342"/>
  <c r="M16" i="342"/>
  <c r="I16" i="342"/>
  <c r="I18" i="342" s="1"/>
  <c r="P15" i="342"/>
  <c r="M14" i="342"/>
  <c r="I14" i="342"/>
  <c r="P13" i="342"/>
  <c r="M12" i="342"/>
  <c r="I12" i="342"/>
  <c r="P11" i="342"/>
  <c r="M10" i="342"/>
  <c r="I10" i="342"/>
  <c r="P9" i="342"/>
  <c r="M8" i="342"/>
  <c r="I8" i="342"/>
  <c r="P7" i="342"/>
  <c r="M6" i="342"/>
  <c r="I6" i="342"/>
  <c r="C3" i="342"/>
  <c r="D32" i="341"/>
  <c r="E32" i="341" s="1"/>
  <c r="D31" i="341"/>
  <c r="E31" i="341" s="1"/>
  <c r="D30" i="341"/>
  <c r="E30" i="341" s="1"/>
  <c r="D29" i="341"/>
  <c r="E29" i="341" s="1"/>
  <c r="D28" i="341"/>
  <c r="E28" i="341" s="1"/>
  <c r="D27" i="341"/>
  <c r="E27" i="341" s="1"/>
  <c r="D26" i="341"/>
  <c r="E26" i="341" s="1"/>
  <c r="D25" i="341"/>
  <c r="E25" i="341" s="1"/>
  <c r="P18" i="341"/>
  <c r="O18" i="341"/>
  <c r="N18" i="341"/>
  <c r="L18" i="341"/>
  <c r="K18" i="341"/>
  <c r="J18" i="341"/>
  <c r="H18" i="341"/>
  <c r="G18" i="341"/>
  <c r="F18" i="341"/>
  <c r="P17" i="341"/>
  <c r="M16" i="341"/>
  <c r="I16" i="341"/>
  <c r="P15" i="341"/>
  <c r="M14" i="341"/>
  <c r="I14" i="341"/>
  <c r="P13" i="341"/>
  <c r="P19" i="341" s="1"/>
  <c r="P20" i="341" s="1"/>
  <c r="M12" i="341"/>
  <c r="I12" i="341"/>
  <c r="P11" i="341"/>
  <c r="M10" i="341"/>
  <c r="I10" i="341"/>
  <c r="P9" i="341"/>
  <c r="M8" i="341"/>
  <c r="I8" i="341"/>
  <c r="I18" i="341" s="1"/>
  <c r="P7" i="341"/>
  <c r="M6" i="341"/>
  <c r="I6" i="341"/>
  <c r="C3" i="341"/>
  <c r="D32" i="340"/>
  <c r="E32" i="340" s="1"/>
  <c r="D31" i="340"/>
  <c r="E31" i="340" s="1"/>
  <c r="D30" i="340"/>
  <c r="E30" i="340" s="1"/>
  <c r="D29" i="340"/>
  <c r="E29" i="340" s="1"/>
  <c r="D28" i="340"/>
  <c r="E28" i="340" s="1"/>
  <c r="D27" i="340"/>
  <c r="E27" i="340" s="1"/>
  <c r="D26" i="340"/>
  <c r="E26" i="340" s="1"/>
  <c r="D25" i="340"/>
  <c r="E25" i="340" s="1"/>
  <c r="P18" i="340"/>
  <c r="O18" i="340"/>
  <c r="N18" i="340"/>
  <c r="L18" i="340"/>
  <c r="K18" i="340"/>
  <c r="J18" i="340"/>
  <c r="H18" i="340"/>
  <c r="G18" i="340"/>
  <c r="F18" i="340"/>
  <c r="P17" i="340"/>
  <c r="M16" i="340"/>
  <c r="I16" i="340"/>
  <c r="P15" i="340"/>
  <c r="M14" i="340"/>
  <c r="I14" i="340"/>
  <c r="P13" i="340"/>
  <c r="M12" i="340"/>
  <c r="I12" i="340"/>
  <c r="P11" i="340"/>
  <c r="M10" i="340"/>
  <c r="I10" i="340"/>
  <c r="P9" i="340"/>
  <c r="M8" i="340"/>
  <c r="I8" i="340"/>
  <c r="P7" i="340"/>
  <c r="M6" i="340"/>
  <c r="I6" i="340"/>
  <c r="C3" i="340"/>
  <c r="D32" i="339"/>
  <c r="E32" i="339" s="1"/>
  <c r="D31" i="339"/>
  <c r="E31" i="339" s="1"/>
  <c r="D30" i="339"/>
  <c r="E30" i="339" s="1"/>
  <c r="D29" i="339"/>
  <c r="E29" i="339" s="1"/>
  <c r="D28" i="339"/>
  <c r="E28" i="339" s="1"/>
  <c r="D27" i="339"/>
  <c r="E27" i="339" s="1"/>
  <c r="D26" i="339"/>
  <c r="E26" i="339" s="1"/>
  <c r="D25" i="339"/>
  <c r="E25" i="339" s="1"/>
  <c r="P18" i="339"/>
  <c r="O18" i="339"/>
  <c r="N18" i="339"/>
  <c r="L18" i="339"/>
  <c r="K18" i="339"/>
  <c r="J18" i="339"/>
  <c r="H18" i="339"/>
  <c r="G18" i="339"/>
  <c r="F18" i="339"/>
  <c r="P17" i="339"/>
  <c r="M16" i="339"/>
  <c r="I16" i="339"/>
  <c r="P15" i="339"/>
  <c r="M14" i="339"/>
  <c r="I14" i="339"/>
  <c r="P13" i="339"/>
  <c r="P19" i="339" s="1"/>
  <c r="P20" i="339" s="1"/>
  <c r="M12" i="339"/>
  <c r="I12" i="339"/>
  <c r="P11" i="339"/>
  <c r="M10" i="339"/>
  <c r="I10" i="339"/>
  <c r="P9" i="339"/>
  <c r="M8" i="339"/>
  <c r="I8" i="339"/>
  <c r="I18" i="339" s="1"/>
  <c r="P7" i="339"/>
  <c r="M6" i="339"/>
  <c r="I6" i="339"/>
  <c r="C3" i="339"/>
  <c r="D32" i="338"/>
  <c r="E32" i="338" s="1"/>
  <c r="D31" i="338"/>
  <c r="E31" i="338" s="1"/>
  <c r="D30" i="338"/>
  <c r="E30" i="338" s="1"/>
  <c r="D29" i="338"/>
  <c r="E29" i="338" s="1"/>
  <c r="D28" i="338"/>
  <c r="E28" i="338" s="1"/>
  <c r="D27" i="338"/>
  <c r="E27" i="338" s="1"/>
  <c r="D26" i="338"/>
  <c r="E26" i="338" s="1"/>
  <c r="D25" i="338"/>
  <c r="E25" i="338" s="1"/>
  <c r="P18" i="338"/>
  <c r="O18" i="338"/>
  <c r="N18" i="338"/>
  <c r="L18" i="338"/>
  <c r="K18" i="338"/>
  <c r="J18" i="338"/>
  <c r="H18" i="338"/>
  <c r="G18" i="338"/>
  <c r="F18" i="338"/>
  <c r="P17" i="338"/>
  <c r="M16" i="338"/>
  <c r="I16" i="338"/>
  <c r="P15" i="338"/>
  <c r="M14" i="338"/>
  <c r="I14" i="338"/>
  <c r="P13" i="338"/>
  <c r="M12" i="338"/>
  <c r="I12" i="338"/>
  <c r="P11" i="338"/>
  <c r="M10" i="338"/>
  <c r="I10" i="338"/>
  <c r="P9" i="338"/>
  <c r="M8" i="338"/>
  <c r="I8" i="338"/>
  <c r="P7" i="338"/>
  <c r="M6" i="338"/>
  <c r="I6" i="338"/>
  <c r="C3" i="338"/>
  <c r="D32" i="337"/>
  <c r="E32" i="337" s="1"/>
  <c r="D31" i="337"/>
  <c r="E31" i="337" s="1"/>
  <c r="D30" i="337"/>
  <c r="E30" i="337" s="1"/>
  <c r="D29" i="337"/>
  <c r="E29" i="337" s="1"/>
  <c r="D28" i="337"/>
  <c r="E28" i="337" s="1"/>
  <c r="D27" i="337"/>
  <c r="E27" i="337" s="1"/>
  <c r="D26" i="337"/>
  <c r="E26" i="337" s="1"/>
  <c r="D25" i="337"/>
  <c r="E25" i="337" s="1"/>
  <c r="P18" i="337"/>
  <c r="O18" i="337"/>
  <c r="N18" i="337"/>
  <c r="L18" i="337"/>
  <c r="K18" i="337"/>
  <c r="J18" i="337"/>
  <c r="H18" i="337"/>
  <c r="G18" i="337"/>
  <c r="F18" i="337"/>
  <c r="P17" i="337"/>
  <c r="M16" i="337"/>
  <c r="I16" i="337"/>
  <c r="P15" i="337"/>
  <c r="M14" i="337"/>
  <c r="I14" i="337"/>
  <c r="P13" i="337"/>
  <c r="P19" i="337" s="1"/>
  <c r="P20" i="337" s="1"/>
  <c r="M12" i="337"/>
  <c r="I12" i="337"/>
  <c r="P11" i="337"/>
  <c r="M10" i="337"/>
  <c r="I10" i="337"/>
  <c r="P9" i="337"/>
  <c r="M8" i="337"/>
  <c r="I8" i="337"/>
  <c r="I18" i="337" s="1"/>
  <c r="P7" i="337"/>
  <c r="M6" i="337"/>
  <c r="I6" i="337"/>
  <c r="C3" i="337"/>
  <c r="D32" i="336"/>
  <c r="E32" i="336" s="1"/>
  <c r="D31" i="336"/>
  <c r="E31" i="336" s="1"/>
  <c r="D30" i="336"/>
  <c r="E30" i="336" s="1"/>
  <c r="D29" i="336"/>
  <c r="E29" i="336" s="1"/>
  <c r="D28" i="336"/>
  <c r="E28" i="336" s="1"/>
  <c r="D27" i="336"/>
  <c r="E27" i="336" s="1"/>
  <c r="D26" i="336"/>
  <c r="E26" i="336" s="1"/>
  <c r="D25" i="336"/>
  <c r="E25" i="336" s="1"/>
  <c r="P18" i="336"/>
  <c r="O18" i="336"/>
  <c r="N18" i="336"/>
  <c r="L18" i="336"/>
  <c r="K18" i="336"/>
  <c r="J18" i="336"/>
  <c r="H18" i="336"/>
  <c r="G18" i="336"/>
  <c r="F18" i="336"/>
  <c r="P17" i="336"/>
  <c r="M16" i="336"/>
  <c r="I16" i="336"/>
  <c r="P15" i="336"/>
  <c r="M14" i="336"/>
  <c r="I14" i="336"/>
  <c r="P13" i="336"/>
  <c r="M12" i="336"/>
  <c r="I12" i="336"/>
  <c r="P11" i="336"/>
  <c r="M10" i="336"/>
  <c r="I10" i="336"/>
  <c r="P9" i="336"/>
  <c r="M8" i="336"/>
  <c r="I8" i="336"/>
  <c r="P7" i="336"/>
  <c r="M6" i="336"/>
  <c r="I6" i="336"/>
  <c r="C3" i="336"/>
  <c r="D32" i="335"/>
  <c r="E32" i="335" s="1"/>
  <c r="D31" i="335"/>
  <c r="E31" i="335" s="1"/>
  <c r="D30" i="335"/>
  <c r="E30" i="335" s="1"/>
  <c r="D29" i="335"/>
  <c r="E29" i="335" s="1"/>
  <c r="D28" i="335"/>
  <c r="E28" i="335" s="1"/>
  <c r="D27" i="335"/>
  <c r="E27" i="335" s="1"/>
  <c r="D26" i="335"/>
  <c r="E26" i="335" s="1"/>
  <c r="D25" i="335"/>
  <c r="E25" i="335" s="1"/>
  <c r="P18" i="335"/>
  <c r="O18" i="335"/>
  <c r="N18" i="335"/>
  <c r="L18" i="335"/>
  <c r="K18" i="335"/>
  <c r="J18" i="335"/>
  <c r="H18" i="335"/>
  <c r="G18" i="335"/>
  <c r="F18" i="335"/>
  <c r="P17" i="335"/>
  <c r="M16" i="335"/>
  <c r="I16" i="335"/>
  <c r="P15" i="335"/>
  <c r="M14" i="335"/>
  <c r="I14" i="335"/>
  <c r="P13" i="335"/>
  <c r="P19" i="335" s="1"/>
  <c r="P20" i="335" s="1"/>
  <c r="M12" i="335"/>
  <c r="I12" i="335"/>
  <c r="P11" i="335"/>
  <c r="M10" i="335"/>
  <c r="I10" i="335"/>
  <c r="P9" i="335"/>
  <c r="M8" i="335"/>
  <c r="I8" i="335"/>
  <c r="I18" i="335" s="1"/>
  <c r="P7" i="335"/>
  <c r="M6" i="335"/>
  <c r="I6" i="335"/>
  <c r="C3" i="335"/>
  <c r="D32" i="334"/>
  <c r="E32" i="334" s="1"/>
  <c r="D31" i="334"/>
  <c r="E31" i="334" s="1"/>
  <c r="D30" i="334"/>
  <c r="E30" i="334" s="1"/>
  <c r="D29" i="334"/>
  <c r="E29" i="334" s="1"/>
  <c r="D28" i="334"/>
  <c r="E28" i="334" s="1"/>
  <c r="D27" i="334"/>
  <c r="E27" i="334" s="1"/>
  <c r="D26" i="334"/>
  <c r="E26" i="334" s="1"/>
  <c r="D25" i="334"/>
  <c r="E25" i="334" s="1"/>
  <c r="P18" i="334"/>
  <c r="O18" i="334"/>
  <c r="N18" i="334"/>
  <c r="L18" i="334"/>
  <c r="K18" i="334"/>
  <c r="J18" i="334"/>
  <c r="H18" i="334"/>
  <c r="G18" i="334"/>
  <c r="F18" i="334"/>
  <c r="P17" i="334"/>
  <c r="M16" i="334"/>
  <c r="I16" i="334"/>
  <c r="P15" i="334"/>
  <c r="M14" i="334"/>
  <c r="I14" i="334"/>
  <c r="P13" i="334"/>
  <c r="M12" i="334"/>
  <c r="I12" i="334"/>
  <c r="P11" i="334"/>
  <c r="M10" i="334"/>
  <c r="I10" i="334"/>
  <c r="P9" i="334"/>
  <c r="M8" i="334"/>
  <c r="I8" i="334"/>
  <c r="P7" i="334"/>
  <c r="M6" i="334"/>
  <c r="I6" i="334"/>
  <c r="C3" i="334"/>
  <c r="D32" i="333"/>
  <c r="E32" i="333" s="1"/>
  <c r="D31" i="333"/>
  <c r="E31" i="333" s="1"/>
  <c r="D30" i="333"/>
  <c r="E30" i="333" s="1"/>
  <c r="D29" i="333"/>
  <c r="E29" i="333" s="1"/>
  <c r="D28" i="333"/>
  <c r="E28" i="333" s="1"/>
  <c r="D27" i="333"/>
  <c r="E27" i="333" s="1"/>
  <c r="D26" i="333"/>
  <c r="E26" i="333" s="1"/>
  <c r="D25" i="333"/>
  <c r="E25" i="333" s="1"/>
  <c r="P18" i="333"/>
  <c r="O18" i="333"/>
  <c r="N18" i="333"/>
  <c r="L18" i="333"/>
  <c r="K18" i="333"/>
  <c r="J18" i="333"/>
  <c r="H18" i="333"/>
  <c r="G18" i="333"/>
  <c r="F18" i="333"/>
  <c r="P17" i="333"/>
  <c r="M16" i="333"/>
  <c r="I16" i="333"/>
  <c r="P15" i="333"/>
  <c r="M14" i="333"/>
  <c r="I14" i="333"/>
  <c r="P13" i="333"/>
  <c r="P19" i="333" s="1"/>
  <c r="P20" i="333" s="1"/>
  <c r="M12" i="333"/>
  <c r="I12" i="333"/>
  <c r="P11" i="333"/>
  <c r="M10" i="333"/>
  <c r="I10" i="333"/>
  <c r="P9" i="333"/>
  <c r="M8" i="333"/>
  <c r="I8" i="333"/>
  <c r="I18" i="333" s="1"/>
  <c r="P7" i="333"/>
  <c r="M6" i="333"/>
  <c r="I6" i="333"/>
  <c r="C3" i="333"/>
  <c r="D32" i="332"/>
  <c r="E32" i="332" s="1"/>
  <c r="D31" i="332"/>
  <c r="E31" i="332" s="1"/>
  <c r="D30" i="332"/>
  <c r="E30" i="332" s="1"/>
  <c r="D29" i="332"/>
  <c r="E29" i="332" s="1"/>
  <c r="D28" i="332"/>
  <c r="E28" i="332" s="1"/>
  <c r="D27" i="332"/>
  <c r="E27" i="332" s="1"/>
  <c r="D26" i="332"/>
  <c r="E26" i="332" s="1"/>
  <c r="D25" i="332"/>
  <c r="E25" i="332" s="1"/>
  <c r="P18" i="332"/>
  <c r="O18" i="332"/>
  <c r="N18" i="332"/>
  <c r="L18" i="332"/>
  <c r="K18" i="332"/>
  <c r="J18" i="332"/>
  <c r="H18" i="332"/>
  <c r="G18" i="332"/>
  <c r="F18" i="332"/>
  <c r="P17" i="332"/>
  <c r="M16" i="332"/>
  <c r="I16" i="332"/>
  <c r="P15" i="332"/>
  <c r="M14" i="332"/>
  <c r="I14" i="332"/>
  <c r="P13" i="332"/>
  <c r="M12" i="332"/>
  <c r="I12" i="332"/>
  <c r="P11" i="332"/>
  <c r="M10" i="332"/>
  <c r="I10" i="332"/>
  <c r="P9" i="332"/>
  <c r="M8" i="332"/>
  <c r="I8" i="332"/>
  <c r="P7" i="332"/>
  <c r="M6" i="332"/>
  <c r="I6" i="332"/>
  <c r="C3" i="332"/>
  <c r="D32" i="331"/>
  <c r="E32" i="331" s="1"/>
  <c r="D31" i="331"/>
  <c r="E31" i="331" s="1"/>
  <c r="D30" i="331"/>
  <c r="E30" i="331" s="1"/>
  <c r="D29" i="331"/>
  <c r="E29" i="331" s="1"/>
  <c r="D28" i="331"/>
  <c r="E28" i="331" s="1"/>
  <c r="D27" i="331"/>
  <c r="E27" i="331" s="1"/>
  <c r="D26" i="331"/>
  <c r="E26" i="331" s="1"/>
  <c r="D25" i="331"/>
  <c r="E25" i="331" s="1"/>
  <c r="P18" i="331"/>
  <c r="O18" i="331"/>
  <c r="N18" i="331"/>
  <c r="L18" i="331"/>
  <c r="K18" i="331"/>
  <c r="J18" i="331"/>
  <c r="H18" i="331"/>
  <c r="G18" i="331"/>
  <c r="F18" i="331"/>
  <c r="P17" i="331"/>
  <c r="M16" i="331"/>
  <c r="I16" i="331"/>
  <c r="P15" i="331"/>
  <c r="M14" i="331"/>
  <c r="I14" i="331"/>
  <c r="P13" i="331"/>
  <c r="P19" i="331" s="1"/>
  <c r="P20" i="331" s="1"/>
  <c r="M12" i="331"/>
  <c r="I12" i="331"/>
  <c r="P11" i="331"/>
  <c r="M10" i="331"/>
  <c r="I10" i="331"/>
  <c r="P9" i="331"/>
  <c r="M8" i="331"/>
  <c r="I8" i="331"/>
  <c r="I18" i="331" s="1"/>
  <c r="P7" i="331"/>
  <c r="M6" i="331"/>
  <c r="I6" i="331"/>
  <c r="C3" i="331"/>
  <c r="D32" i="330"/>
  <c r="E32" i="330" s="1"/>
  <c r="D31" i="330"/>
  <c r="E31" i="330" s="1"/>
  <c r="D30" i="330"/>
  <c r="E30" i="330" s="1"/>
  <c r="D29" i="330"/>
  <c r="E29" i="330" s="1"/>
  <c r="D28" i="330"/>
  <c r="E28" i="330" s="1"/>
  <c r="D27" i="330"/>
  <c r="E27" i="330" s="1"/>
  <c r="D26" i="330"/>
  <c r="E26" i="330" s="1"/>
  <c r="D25" i="330"/>
  <c r="E25" i="330" s="1"/>
  <c r="P18" i="330"/>
  <c r="O18" i="330"/>
  <c r="N18" i="330"/>
  <c r="L18" i="330"/>
  <c r="K18" i="330"/>
  <c r="J18" i="330"/>
  <c r="H18" i="330"/>
  <c r="G18" i="330"/>
  <c r="F18" i="330"/>
  <c r="P17" i="330"/>
  <c r="M16" i="330"/>
  <c r="I16" i="330"/>
  <c r="P15" i="330"/>
  <c r="M14" i="330"/>
  <c r="I14" i="330"/>
  <c r="P13" i="330"/>
  <c r="M12" i="330"/>
  <c r="I12" i="330"/>
  <c r="P11" i="330"/>
  <c r="M10" i="330"/>
  <c r="I10" i="330"/>
  <c r="P9" i="330"/>
  <c r="M8" i="330"/>
  <c r="I8" i="330"/>
  <c r="P7" i="330"/>
  <c r="M6" i="330"/>
  <c r="I6" i="330"/>
  <c r="C3" i="330"/>
  <c r="D32" i="329"/>
  <c r="E32" i="329" s="1"/>
  <c r="D31" i="329"/>
  <c r="E31" i="329" s="1"/>
  <c r="D30" i="329"/>
  <c r="E30" i="329" s="1"/>
  <c r="D29" i="329"/>
  <c r="E29" i="329" s="1"/>
  <c r="D28" i="329"/>
  <c r="E28" i="329" s="1"/>
  <c r="D27" i="329"/>
  <c r="E27" i="329" s="1"/>
  <c r="D26" i="329"/>
  <c r="E26" i="329" s="1"/>
  <c r="D25" i="329"/>
  <c r="E25" i="329" s="1"/>
  <c r="P18" i="329"/>
  <c r="O18" i="329"/>
  <c r="N18" i="329"/>
  <c r="L18" i="329"/>
  <c r="K18" i="329"/>
  <c r="J18" i="329"/>
  <c r="H18" i="329"/>
  <c r="G18" i="329"/>
  <c r="F18" i="329"/>
  <c r="P17" i="329"/>
  <c r="M16" i="329"/>
  <c r="I16" i="329"/>
  <c r="P15" i="329"/>
  <c r="M14" i="329"/>
  <c r="I14" i="329"/>
  <c r="P13" i="329"/>
  <c r="P19" i="329" s="1"/>
  <c r="P20" i="329" s="1"/>
  <c r="M12" i="329"/>
  <c r="I12" i="329"/>
  <c r="P11" i="329"/>
  <c r="M10" i="329"/>
  <c r="I10" i="329"/>
  <c r="P9" i="329"/>
  <c r="M8" i="329"/>
  <c r="I8" i="329"/>
  <c r="I18" i="329" s="1"/>
  <c r="P7" i="329"/>
  <c r="M6" i="329"/>
  <c r="I6" i="329"/>
  <c r="C3" i="329"/>
  <c r="D32" i="328"/>
  <c r="E32" i="328" s="1"/>
  <c r="D31" i="328"/>
  <c r="E31" i="328" s="1"/>
  <c r="D30" i="328"/>
  <c r="E30" i="328" s="1"/>
  <c r="D29" i="328"/>
  <c r="E29" i="328" s="1"/>
  <c r="D28" i="328"/>
  <c r="E28" i="328" s="1"/>
  <c r="D27" i="328"/>
  <c r="E27" i="328" s="1"/>
  <c r="D26" i="328"/>
  <c r="E26" i="328" s="1"/>
  <c r="D25" i="328"/>
  <c r="E25" i="328" s="1"/>
  <c r="P18" i="328"/>
  <c r="O18" i="328"/>
  <c r="N18" i="328"/>
  <c r="L18" i="328"/>
  <c r="K18" i="328"/>
  <c r="J18" i="328"/>
  <c r="H18" i="328"/>
  <c r="G18" i="328"/>
  <c r="F18" i="328"/>
  <c r="P17" i="328"/>
  <c r="M16" i="328"/>
  <c r="I16" i="328"/>
  <c r="P15" i="328"/>
  <c r="M14" i="328"/>
  <c r="I14" i="328"/>
  <c r="P13" i="328"/>
  <c r="M12" i="328"/>
  <c r="I12" i="328"/>
  <c r="P11" i="328"/>
  <c r="M10" i="328"/>
  <c r="I10" i="328"/>
  <c r="P9" i="328"/>
  <c r="M8" i="328"/>
  <c r="I8" i="328"/>
  <c r="P7" i="328"/>
  <c r="M6" i="328"/>
  <c r="I6" i="328"/>
  <c r="C3" i="328"/>
  <c r="D32" i="327"/>
  <c r="E32" i="327" s="1"/>
  <c r="D31" i="327"/>
  <c r="E31" i="327" s="1"/>
  <c r="D30" i="327"/>
  <c r="E30" i="327" s="1"/>
  <c r="D29" i="327"/>
  <c r="E29" i="327" s="1"/>
  <c r="D28" i="327"/>
  <c r="E28" i="327" s="1"/>
  <c r="D27" i="327"/>
  <c r="E27" i="327" s="1"/>
  <c r="D26" i="327"/>
  <c r="E26" i="327" s="1"/>
  <c r="D25" i="327"/>
  <c r="E25" i="327" s="1"/>
  <c r="P18" i="327"/>
  <c r="O18" i="327"/>
  <c r="N18" i="327"/>
  <c r="L18" i="327"/>
  <c r="K18" i="327"/>
  <c r="J18" i="327"/>
  <c r="H18" i="327"/>
  <c r="G18" i="327"/>
  <c r="F18" i="327"/>
  <c r="P17" i="327"/>
  <c r="M16" i="327"/>
  <c r="I16" i="327"/>
  <c r="P15" i="327"/>
  <c r="M14" i="327"/>
  <c r="I14" i="327"/>
  <c r="P13" i="327"/>
  <c r="P19" i="327" s="1"/>
  <c r="P20" i="327" s="1"/>
  <c r="M12" i="327"/>
  <c r="I12" i="327"/>
  <c r="P11" i="327"/>
  <c r="M10" i="327"/>
  <c r="I10" i="327"/>
  <c r="P9" i="327"/>
  <c r="M8" i="327"/>
  <c r="I8" i="327"/>
  <c r="I18" i="327" s="1"/>
  <c r="P7" i="327"/>
  <c r="M6" i="327"/>
  <c r="I6" i="327"/>
  <c r="C3" i="327"/>
  <c r="D32" i="326"/>
  <c r="E32" i="326" s="1"/>
  <c r="D31" i="326"/>
  <c r="E31" i="326" s="1"/>
  <c r="D30" i="326"/>
  <c r="E30" i="326" s="1"/>
  <c r="D29" i="326"/>
  <c r="E29" i="326" s="1"/>
  <c r="D28" i="326"/>
  <c r="E28" i="326" s="1"/>
  <c r="D27" i="326"/>
  <c r="E27" i="326" s="1"/>
  <c r="D26" i="326"/>
  <c r="E26" i="326" s="1"/>
  <c r="D25" i="326"/>
  <c r="E25" i="326" s="1"/>
  <c r="P18" i="326"/>
  <c r="O18" i="326"/>
  <c r="N18" i="326"/>
  <c r="L18" i="326"/>
  <c r="K18" i="326"/>
  <c r="J18" i="326"/>
  <c r="H18" i="326"/>
  <c r="G18" i="326"/>
  <c r="F18" i="326"/>
  <c r="P17" i="326"/>
  <c r="M16" i="326"/>
  <c r="I16" i="326"/>
  <c r="P15" i="326"/>
  <c r="M14" i="326"/>
  <c r="I14" i="326"/>
  <c r="P13" i="326"/>
  <c r="M12" i="326"/>
  <c r="I12" i="326"/>
  <c r="P11" i="326"/>
  <c r="M10" i="326"/>
  <c r="I10" i="326"/>
  <c r="P9" i="326"/>
  <c r="M8" i="326"/>
  <c r="I8" i="326"/>
  <c r="P7" i="326"/>
  <c r="M6" i="326"/>
  <c r="I6" i="326"/>
  <c r="C3" i="326"/>
  <c r="D32" i="325"/>
  <c r="E32" i="325" s="1"/>
  <c r="D31" i="325"/>
  <c r="E31" i="325" s="1"/>
  <c r="D30" i="325"/>
  <c r="E30" i="325" s="1"/>
  <c r="D29" i="325"/>
  <c r="E29" i="325" s="1"/>
  <c r="D28" i="325"/>
  <c r="E28" i="325" s="1"/>
  <c r="D27" i="325"/>
  <c r="E27" i="325" s="1"/>
  <c r="D26" i="325"/>
  <c r="E26" i="325" s="1"/>
  <c r="D25" i="325"/>
  <c r="E25" i="325" s="1"/>
  <c r="P18" i="325"/>
  <c r="O18" i="325"/>
  <c r="N18" i="325"/>
  <c r="L18" i="325"/>
  <c r="K18" i="325"/>
  <c r="J18" i="325"/>
  <c r="H18" i="325"/>
  <c r="G18" i="325"/>
  <c r="F18" i="325"/>
  <c r="P17" i="325"/>
  <c r="M16" i="325"/>
  <c r="I16" i="325"/>
  <c r="P15" i="325"/>
  <c r="M14" i="325"/>
  <c r="I14" i="325"/>
  <c r="P13" i="325"/>
  <c r="P19" i="325" s="1"/>
  <c r="P20" i="325" s="1"/>
  <c r="M12" i="325"/>
  <c r="I12" i="325"/>
  <c r="P11" i="325"/>
  <c r="M10" i="325"/>
  <c r="I10" i="325"/>
  <c r="P9" i="325"/>
  <c r="M8" i="325"/>
  <c r="I8" i="325"/>
  <c r="I18" i="325" s="1"/>
  <c r="P7" i="325"/>
  <c r="M6" i="325"/>
  <c r="I6" i="325"/>
  <c r="C3" i="325"/>
  <c r="D32" i="324"/>
  <c r="E32" i="324" s="1"/>
  <c r="D31" i="324"/>
  <c r="E31" i="324" s="1"/>
  <c r="D30" i="324"/>
  <c r="E30" i="324" s="1"/>
  <c r="D29" i="324"/>
  <c r="E29" i="324" s="1"/>
  <c r="D28" i="324"/>
  <c r="E28" i="324" s="1"/>
  <c r="D27" i="324"/>
  <c r="E27" i="324" s="1"/>
  <c r="D26" i="324"/>
  <c r="E26" i="324" s="1"/>
  <c r="D25" i="324"/>
  <c r="E25" i="324" s="1"/>
  <c r="P18" i="324"/>
  <c r="O18" i="324"/>
  <c r="N18" i="324"/>
  <c r="L18" i="324"/>
  <c r="K18" i="324"/>
  <c r="J18" i="324"/>
  <c r="H18" i="324"/>
  <c r="G18" i="324"/>
  <c r="F18" i="324"/>
  <c r="P17" i="324"/>
  <c r="M16" i="324"/>
  <c r="I16" i="324"/>
  <c r="P15" i="324"/>
  <c r="M14" i="324"/>
  <c r="I14" i="324"/>
  <c r="P13" i="324"/>
  <c r="M12" i="324"/>
  <c r="I12" i="324"/>
  <c r="P11" i="324"/>
  <c r="M10" i="324"/>
  <c r="I10" i="324"/>
  <c r="P9" i="324"/>
  <c r="M8" i="324"/>
  <c r="I8" i="324"/>
  <c r="P7" i="324"/>
  <c r="M6" i="324"/>
  <c r="I6" i="324"/>
  <c r="C3" i="324"/>
  <c r="D32" i="323"/>
  <c r="E32" i="323" s="1"/>
  <c r="D31" i="323"/>
  <c r="E31" i="323" s="1"/>
  <c r="D30" i="323"/>
  <c r="E30" i="323" s="1"/>
  <c r="D29" i="323"/>
  <c r="E29" i="323" s="1"/>
  <c r="D28" i="323"/>
  <c r="E28" i="323" s="1"/>
  <c r="D27" i="323"/>
  <c r="E27" i="323" s="1"/>
  <c r="D26" i="323"/>
  <c r="E26" i="323" s="1"/>
  <c r="D25" i="323"/>
  <c r="E25" i="323" s="1"/>
  <c r="P18" i="323"/>
  <c r="O18" i="323"/>
  <c r="N18" i="323"/>
  <c r="L18" i="323"/>
  <c r="K18" i="323"/>
  <c r="J18" i="323"/>
  <c r="H18" i="323"/>
  <c r="G18" i="323"/>
  <c r="F18" i="323"/>
  <c r="P17" i="323"/>
  <c r="M16" i="323"/>
  <c r="I16" i="323"/>
  <c r="P15" i="323"/>
  <c r="M14" i="323"/>
  <c r="I14" i="323"/>
  <c r="P13" i="323"/>
  <c r="P19" i="323" s="1"/>
  <c r="P20" i="323" s="1"/>
  <c r="M12" i="323"/>
  <c r="I12" i="323"/>
  <c r="P11" i="323"/>
  <c r="M10" i="323"/>
  <c r="I10" i="323"/>
  <c r="P9" i="323"/>
  <c r="M8" i="323"/>
  <c r="I8" i="323"/>
  <c r="I18" i="323" s="1"/>
  <c r="P7" i="323"/>
  <c r="M6" i="323"/>
  <c r="I6" i="323"/>
  <c r="C3" i="323"/>
  <c r="D32" i="322"/>
  <c r="E32" i="322" s="1"/>
  <c r="D31" i="322"/>
  <c r="E31" i="322" s="1"/>
  <c r="D30" i="322"/>
  <c r="E30" i="322" s="1"/>
  <c r="D29" i="322"/>
  <c r="E29" i="322" s="1"/>
  <c r="D27" i="322"/>
  <c r="E27" i="322" s="1"/>
  <c r="D26" i="322"/>
  <c r="E26" i="322" s="1"/>
  <c r="D25" i="322"/>
  <c r="E25" i="322" s="1"/>
  <c r="P18" i="322"/>
  <c r="O18" i="322"/>
  <c r="N18" i="322"/>
  <c r="L18" i="322"/>
  <c r="K18" i="322"/>
  <c r="J18" i="322"/>
  <c r="H18" i="322"/>
  <c r="G18" i="322"/>
  <c r="F18" i="322"/>
  <c r="P17" i="322"/>
  <c r="M16" i="322"/>
  <c r="I16" i="322"/>
  <c r="P15" i="322"/>
  <c r="C15" i="322"/>
  <c r="D28" i="322" s="1"/>
  <c r="E28" i="322" s="1"/>
  <c r="M14" i="322"/>
  <c r="I14" i="322"/>
  <c r="P13" i="322"/>
  <c r="M12" i="322"/>
  <c r="I12" i="322"/>
  <c r="P11" i="322"/>
  <c r="M10" i="322"/>
  <c r="I10" i="322"/>
  <c r="P9" i="322"/>
  <c r="M8" i="322"/>
  <c r="I8" i="322"/>
  <c r="P7" i="322"/>
  <c r="M6" i="322"/>
  <c r="I6" i="322"/>
  <c r="I18" i="322" s="1"/>
  <c r="C3" i="322"/>
  <c r="E32" i="321"/>
  <c r="D32" i="321"/>
  <c r="D31" i="321"/>
  <c r="E31" i="321" s="1"/>
  <c r="E30" i="321"/>
  <c r="D30" i="321"/>
  <c r="E29" i="321"/>
  <c r="D29" i="321"/>
  <c r="E27" i="321"/>
  <c r="D27" i="321"/>
  <c r="D26" i="321"/>
  <c r="E26" i="321" s="1"/>
  <c r="E25" i="321"/>
  <c r="D25" i="321"/>
  <c r="P18" i="321"/>
  <c r="O18" i="321"/>
  <c r="N18" i="321"/>
  <c r="L18" i="321"/>
  <c r="K18" i="321"/>
  <c r="J18" i="321"/>
  <c r="H18" i="321"/>
  <c r="G18" i="321"/>
  <c r="F18" i="321"/>
  <c r="P17" i="321"/>
  <c r="M16" i="321"/>
  <c r="I16" i="321"/>
  <c r="P15" i="321"/>
  <c r="C15" i="321"/>
  <c r="D28" i="321" s="1"/>
  <c r="E28" i="321" s="1"/>
  <c r="M14" i="321"/>
  <c r="I14" i="321"/>
  <c r="P13" i="321"/>
  <c r="M12" i="321"/>
  <c r="I12" i="321"/>
  <c r="P11" i="321"/>
  <c r="M10" i="321"/>
  <c r="I10" i="321"/>
  <c r="P9" i="321"/>
  <c r="M8" i="321"/>
  <c r="I8" i="321"/>
  <c r="P7" i="321"/>
  <c r="M6" i="321"/>
  <c r="I6" i="321"/>
  <c r="C3" i="321"/>
  <c r="D32" i="320"/>
  <c r="E32" i="320" s="1"/>
  <c r="D31" i="320"/>
  <c r="E31" i="320" s="1"/>
  <c r="D30" i="320"/>
  <c r="E30" i="320" s="1"/>
  <c r="D29" i="320"/>
  <c r="E29" i="320" s="1"/>
  <c r="D27" i="320"/>
  <c r="E27" i="320" s="1"/>
  <c r="D26" i="320"/>
  <c r="E26" i="320" s="1"/>
  <c r="D25" i="320"/>
  <c r="E25" i="320" s="1"/>
  <c r="P18" i="320"/>
  <c r="O18" i="320"/>
  <c r="N18" i="320"/>
  <c r="L18" i="320"/>
  <c r="K18" i="320"/>
  <c r="J18" i="320"/>
  <c r="H18" i="320"/>
  <c r="G18" i="320"/>
  <c r="F18" i="320"/>
  <c r="P17" i="320"/>
  <c r="M16" i="320"/>
  <c r="I16" i="320"/>
  <c r="P15" i="320"/>
  <c r="C15" i="320"/>
  <c r="D28" i="320" s="1"/>
  <c r="E28" i="320" s="1"/>
  <c r="M14" i="320"/>
  <c r="I14" i="320"/>
  <c r="P13" i="320"/>
  <c r="M12" i="320"/>
  <c r="I12" i="320"/>
  <c r="P11" i="320"/>
  <c r="M10" i="320"/>
  <c r="I10" i="320"/>
  <c r="I18" i="320" s="1"/>
  <c r="P9" i="320"/>
  <c r="M8" i="320"/>
  <c r="I8" i="320"/>
  <c r="P7" i="320"/>
  <c r="M6" i="320"/>
  <c r="I6" i="320"/>
  <c r="C3" i="320"/>
  <c r="E35" i="319"/>
  <c r="D35" i="319"/>
  <c r="E34" i="319"/>
  <c r="D34" i="319"/>
  <c r="D33" i="319"/>
  <c r="E33" i="319" s="1"/>
  <c r="D32" i="319"/>
  <c r="E32" i="319" s="1"/>
  <c r="E31" i="319"/>
  <c r="D30" i="319"/>
  <c r="E30" i="319" s="1"/>
  <c r="D29" i="319"/>
  <c r="E29" i="319" s="1"/>
  <c r="E28" i="319"/>
  <c r="D28" i="319"/>
  <c r="P18" i="319"/>
  <c r="O18" i="319"/>
  <c r="N18" i="319"/>
  <c r="L18" i="319"/>
  <c r="K18" i="319"/>
  <c r="J18" i="319"/>
  <c r="H18" i="319"/>
  <c r="G18" i="319"/>
  <c r="F18" i="319"/>
  <c r="P17" i="319"/>
  <c r="M16" i="319"/>
  <c r="I16" i="319"/>
  <c r="P15" i="319"/>
  <c r="C15" i="319"/>
  <c r="D31" i="319" s="1"/>
  <c r="M14" i="319"/>
  <c r="I14" i="319"/>
  <c r="P13" i="319"/>
  <c r="M12" i="319"/>
  <c r="I12" i="319"/>
  <c r="P11" i="319"/>
  <c r="M10" i="319"/>
  <c r="I10" i="319"/>
  <c r="P9" i="319"/>
  <c r="M8" i="319"/>
  <c r="I8" i="319"/>
  <c r="I18" i="319" s="1"/>
  <c r="P7" i="319"/>
  <c r="M6" i="319"/>
  <c r="I6" i="319"/>
  <c r="C3" i="319"/>
  <c r="D35" i="318"/>
  <c r="E35" i="318" s="1"/>
  <c r="D34" i="318"/>
  <c r="E34" i="318" s="1"/>
  <c r="D33" i="318"/>
  <c r="E33" i="318" s="1"/>
  <c r="D32" i="318"/>
  <c r="E32" i="318" s="1"/>
  <c r="D31" i="318"/>
  <c r="E31" i="318" s="1"/>
  <c r="D30" i="318"/>
  <c r="E30" i="318" s="1"/>
  <c r="D29" i="318"/>
  <c r="E29" i="318" s="1"/>
  <c r="D28" i="318"/>
  <c r="E28" i="318" s="1"/>
  <c r="P18" i="318"/>
  <c r="O18" i="318"/>
  <c r="N18" i="318"/>
  <c r="L18" i="318"/>
  <c r="K18" i="318"/>
  <c r="J18" i="318"/>
  <c r="H18" i="318"/>
  <c r="G18" i="318"/>
  <c r="F18" i="318"/>
  <c r="P17" i="318"/>
  <c r="M16" i="318"/>
  <c r="I16" i="318"/>
  <c r="P15" i="318"/>
  <c r="C15" i="318"/>
  <c r="M14" i="318"/>
  <c r="I14" i="318"/>
  <c r="P13" i="318"/>
  <c r="M12" i="318"/>
  <c r="I12" i="318"/>
  <c r="P11" i="318"/>
  <c r="M10" i="318"/>
  <c r="I10" i="318"/>
  <c r="P9" i="318"/>
  <c r="M8" i="318"/>
  <c r="I8" i="318"/>
  <c r="P7" i="318"/>
  <c r="M6" i="318"/>
  <c r="I6" i="318"/>
  <c r="I18" i="318" s="1"/>
  <c r="C3" i="318"/>
  <c r="D35" i="317"/>
  <c r="E35" i="317" s="1"/>
  <c r="D34" i="317"/>
  <c r="E34" i="317" s="1"/>
  <c r="E33" i="317"/>
  <c r="D33" i="317"/>
  <c r="D32" i="317"/>
  <c r="E32" i="317" s="1"/>
  <c r="D31" i="317"/>
  <c r="E31" i="317" s="1"/>
  <c r="D30" i="317"/>
  <c r="E30" i="317" s="1"/>
  <c r="E29" i="317"/>
  <c r="D29" i="317"/>
  <c r="D28" i="317"/>
  <c r="E28" i="317" s="1"/>
  <c r="P18" i="317"/>
  <c r="O18" i="317"/>
  <c r="N18" i="317"/>
  <c r="L18" i="317"/>
  <c r="K18" i="317"/>
  <c r="J18" i="317"/>
  <c r="H18" i="317"/>
  <c r="G18" i="317"/>
  <c r="F18" i="317"/>
  <c r="P17" i="317"/>
  <c r="M16" i="317"/>
  <c r="I16" i="317"/>
  <c r="P15" i="317"/>
  <c r="M14" i="317"/>
  <c r="I14" i="317"/>
  <c r="P13" i="317"/>
  <c r="M12" i="317"/>
  <c r="I12" i="317"/>
  <c r="P11" i="317"/>
  <c r="M10" i="317"/>
  <c r="I10" i="317"/>
  <c r="P9" i="317"/>
  <c r="M8" i="317"/>
  <c r="I8" i="317"/>
  <c r="P7" i="317"/>
  <c r="M6" i="317"/>
  <c r="I6" i="317"/>
  <c r="C3" i="317"/>
  <c r="E35" i="316"/>
  <c r="D35" i="316"/>
  <c r="D34" i="316"/>
  <c r="E34" i="316" s="1"/>
  <c r="D33" i="316"/>
  <c r="E33" i="316" s="1"/>
  <c r="D32" i="316"/>
  <c r="E32" i="316" s="1"/>
  <c r="E31" i="316"/>
  <c r="D31" i="316"/>
  <c r="E30" i="316"/>
  <c r="D30" i="316"/>
  <c r="D29" i="316"/>
  <c r="E29" i="316" s="1"/>
  <c r="D28" i="316"/>
  <c r="E28" i="316" s="1"/>
  <c r="P18" i="316"/>
  <c r="O18" i="316"/>
  <c r="N18" i="316"/>
  <c r="L18" i="316"/>
  <c r="K18" i="316"/>
  <c r="J18" i="316"/>
  <c r="H18" i="316"/>
  <c r="G18" i="316"/>
  <c r="F18" i="316"/>
  <c r="P17" i="316"/>
  <c r="M16" i="316"/>
  <c r="I16" i="316"/>
  <c r="P15" i="316"/>
  <c r="M14" i="316"/>
  <c r="I14" i="316"/>
  <c r="P13" i="316"/>
  <c r="M12" i="316"/>
  <c r="I12" i="316"/>
  <c r="P11" i="316"/>
  <c r="M10" i="316"/>
  <c r="I10" i="316"/>
  <c r="P9" i="316"/>
  <c r="M8" i="316"/>
  <c r="I8" i="316"/>
  <c r="P7" i="316"/>
  <c r="M6" i="316"/>
  <c r="I6" i="316"/>
  <c r="C3" i="316"/>
  <c r="D35" i="315"/>
  <c r="E35" i="315" s="1"/>
  <c r="D34" i="315"/>
  <c r="E34" i="315" s="1"/>
  <c r="E33" i="315"/>
  <c r="D33" i="315"/>
  <c r="D32" i="315"/>
  <c r="E32" i="315" s="1"/>
  <c r="E30" i="315"/>
  <c r="D30" i="315"/>
  <c r="D29" i="315"/>
  <c r="E29" i="315" s="1"/>
  <c r="D28" i="315"/>
  <c r="E28" i="315" s="1"/>
  <c r="P18" i="315"/>
  <c r="O18" i="315"/>
  <c r="N18" i="315"/>
  <c r="L18" i="315"/>
  <c r="K18" i="315"/>
  <c r="J18" i="315"/>
  <c r="H18" i="315"/>
  <c r="G18" i="315"/>
  <c r="F18" i="315"/>
  <c r="P17" i="315"/>
  <c r="M16" i="315"/>
  <c r="I16" i="315"/>
  <c r="P15" i="315"/>
  <c r="C15" i="315"/>
  <c r="D31" i="315" s="1"/>
  <c r="E31" i="315" s="1"/>
  <c r="M14" i="315"/>
  <c r="I14" i="315"/>
  <c r="P13" i="315"/>
  <c r="P19" i="315" s="1"/>
  <c r="P20" i="315" s="1"/>
  <c r="M12" i="315"/>
  <c r="I12" i="315"/>
  <c r="P11" i="315"/>
  <c r="M10" i="315"/>
  <c r="I10" i="315"/>
  <c r="P9" i="315"/>
  <c r="M8" i="315"/>
  <c r="I8" i="315"/>
  <c r="P7" i="315"/>
  <c r="M6" i="315"/>
  <c r="I6" i="315"/>
  <c r="C3" i="315"/>
  <c r="D35" i="314"/>
  <c r="E35" i="314" s="1"/>
  <c r="D34" i="314"/>
  <c r="E34" i="314" s="1"/>
  <c r="D33" i="314"/>
  <c r="E33" i="314" s="1"/>
  <c r="E32" i="314"/>
  <c r="D32" i="314"/>
  <c r="D30" i="314"/>
  <c r="E30" i="314" s="1"/>
  <c r="D29" i="314"/>
  <c r="E29" i="314" s="1"/>
  <c r="D28" i="314"/>
  <c r="E28" i="314" s="1"/>
  <c r="P18" i="314"/>
  <c r="O18" i="314"/>
  <c r="N18" i="314"/>
  <c r="L18" i="314"/>
  <c r="K18" i="314"/>
  <c r="J18" i="314"/>
  <c r="H18" i="314"/>
  <c r="G18" i="314"/>
  <c r="F18" i="314"/>
  <c r="P17" i="314"/>
  <c r="M16" i="314"/>
  <c r="I16" i="314"/>
  <c r="P15" i="314"/>
  <c r="C15" i="314"/>
  <c r="D31" i="314" s="1"/>
  <c r="E31" i="314" s="1"/>
  <c r="M14" i="314"/>
  <c r="I14" i="314"/>
  <c r="P13" i="314"/>
  <c r="M12" i="314"/>
  <c r="I12" i="314"/>
  <c r="P11" i="314"/>
  <c r="M10" i="314"/>
  <c r="I10" i="314"/>
  <c r="P9" i="314"/>
  <c r="M8" i="314"/>
  <c r="I8" i="314"/>
  <c r="P7" i="314"/>
  <c r="M6" i="314"/>
  <c r="I6" i="314"/>
  <c r="C3" i="314"/>
  <c r="D35" i="313"/>
  <c r="E35" i="313" s="1"/>
  <c r="D34" i="313"/>
  <c r="E34" i="313" s="1"/>
  <c r="D33" i="313"/>
  <c r="E33" i="313" s="1"/>
  <c r="D32" i="313"/>
  <c r="E32" i="313" s="1"/>
  <c r="D31" i="313"/>
  <c r="E31" i="313" s="1"/>
  <c r="D30" i="313"/>
  <c r="E30" i="313" s="1"/>
  <c r="D29" i="313"/>
  <c r="E29" i="313" s="1"/>
  <c r="E28" i="313"/>
  <c r="D28" i="313"/>
  <c r="P18" i="313"/>
  <c r="O18" i="313"/>
  <c r="N18" i="313"/>
  <c r="L18" i="313"/>
  <c r="K18" i="313"/>
  <c r="J18" i="313"/>
  <c r="H18" i="313"/>
  <c r="G18" i="313"/>
  <c r="F18" i="313"/>
  <c r="P17" i="313"/>
  <c r="M16" i="313"/>
  <c r="I16" i="313"/>
  <c r="P15" i="313"/>
  <c r="M14" i="313"/>
  <c r="I14" i="313"/>
  <c r="P13" i="313"/>
  <c r="M12" i="313"/>
  <c r="I12" i="313"/>
  <c r="P11" i="313"/>
  <c r="M10" i="313"/>
  <c r="I10" i="313"/>
  <c r="P9" i="313"/>
  <c r="M8" i="313"/>
  <c r="I8" i="313"/>
  <c r="P7" i="313"/>
  <c r="M6" i="313"/>
  <c r="M18" i="313" s="1"/>
  <c r="I6" i="313"/>
  <c r="C3" i="313"/>
  <c r="D35" i="312"/>
  <c r="E35" i="312" s="1"/>
  <c r="D34" i="312"/>
  <c r="E34" i="312" s="1"/>
  <c r="D33" i="312"/>
  <c r="E33" i="312" s="1"/>
  <c r="E32" i="312"/>
  <c r="D32" i="312"/>
  <c r="D31" i="312"/>
  <c r="E31" i="312" s="1"/>
  <c r="D30" i="312"/>
  <c r="E30" i="312" s="1"/>
  <c r="E29" i="312"/>
  <c r="D29" i="312"/>
  <c r="E28" i="312"/>
  <c r="D28" i="312"/>
  <c r="P18" i="312"/>
  <c r="O18" i="312"/>
  <c r="N18" i="312"/>
  <c r="L18" i="312"/>
  <c r="K18" i="312"/>
  <c r="J18" i="312"/>
  <c r="H18" i="312"/>
  <c r="G18" i="312"/>
  <c r="F18" i="312"/>
  <c r="P17" i="312"/>
  <c r="M16" i="312"/>
  <c r="I16" i="312"/>
  <c r="P15" i="312"/>
  <c r="M14" i="312"/>
  <c r="I14" i="312"/>
  <c r="P13" i="312"/>
  <c r="M12" i="312"/>
  <c r="I12" i="312"/>
  <c r="P11" i="312"/>
  <c r="M10" i="312"/>
  <c r="I10" i="312"/>
  <c r="P9" i="312"/>
  <c r="M8" i="312"/>
  <c r="I8" i="312"/>
  <c r="P7" i="312"/>
  <c r="M6" i="312"/>
  <c r="I6" i="312"/>
  <c r="C3" i="312"/>
  <c r="D35" i="311"/>
  <c r="E35" i="311" s="1"/>
  <c r="D34" i="311"/>
  <c r="E34" i="311" s="1"/>
  <c r="E33" i="311"/>
  <c r="D33" i="311"/>
  <c r="E32" i="311"/>
  <c r="D32" i="311"/>
  <c r="D31" i="311"/>
  <c r="E31" i="311" s="1"/>
  <c r="E30" i="311"/>
  <c r="D30" i="311"/>
  <c r="D29" i="311"/>
  <c r="E29" i="311" s="1"/>
  <c r="D28" i="311"/>
  <c r="E28" i="311" s="1"/>
  <c r="P18" i="311"/>
  <c r="O18" i="311"/>
  <c r="N18" i="311"/>
  <c r="L18" i="311"/>
  <c r="K18" i="311"/>
  <c r="J18" i="311"/>
  <c r="H18" i="311"/>
  <c r="G18" i="311"/>
  <c r="F18" i="311"/>
  <c r="P17" i="311"/>
  <c r="M16" i="311"/>
  <c r="I16" i="311"/>
  <c r="P15" i="311"/>
  <c r="M14" i="311"/>
  <c r="I14" i="311"/>
  <c r="P13" i="311"/>
  <c r="M12" i="311"/>
  <c r="I12" i="311"/>
  <c r="P11" i="311"/>
  <c r="M10" i="311"/>
  <c r="I10" i="311"/>
  <c r="I18" i="311" s="1"/>
  <c r="P9" i="311"/>
  <c r="M8" i="311"/>
  <c r="I8" i="311"/>
  <c r="P7" i="311"/>
  <c r="M6" i="311"/>
  <c r="I6" i="311"/>
  <c r="C3" i="311"/>
  <c r="D35" i="310"/>
  <c r="E35" i="310" s="1"/>
  <c r="D34" i="310"/>
  <c r="E34" i="310" s="1"/>
  <c r="D33" i="310"/>
  <c r="E33" i="310" s="1"/>
  <c r="E32" i="310"/>
  <c r="D32" i="310"/>
  <c r="D31" i="310"/>
  <c r="E31" i="310" s="1"/>
  <c r="E30" i="310"/>
  <c r="D30" i="310"/>
  <c r="D29" i="310"/>
  <c r="E29" i="310" s="1"/>
  <c r="D28" i="310"/>
  <c r="E28" i="310" s="1"/>
  <c r="P18" i="310"/>
  <c r="O18" i="310"/>
  <c r="N18" i="310"/>
  <c r="L18" i="310"/>
  <c r="K18" i="310"/>
  <c r="J18" i="310"/>
  <c r="H18" i="310"/>
  <c r="G18" i="310"/>
  <c r="F18" i="310"/>
  <c r="P17" i="310"/>
  <c r="M16" i="310"/>
  <c r="I16" i="310"/>
  <c r="P15" i="310"/>
  <c r="M14" i="310"/>
  <c r="I14" i="310"/>
  <c r="P13" i="310"/>
  <c r="M12" i="310"/>
  <c r="I12" i="310"/>
  <c r="P11" i="310"/>
  <c r="M10" i="310"/>
  <c r="I10" i="310"/>
  <c r="P9" i="310"/>
  <c r="M8" i="310"/>
  <c r="I8" i="310"/>
  <c r="P7" i="310"/>
  <c r="M6" i="310"/>
  <c r="M18" i="310" s="1"/>
  <c r="I6" i="310"/>
  <c r="C3" i="310"/>
  <c r="D35" i="309"/>
  <c r="E35" i="309" s="1"/>
  <c r="D34" i="309"/>
  <c r="E34" i="309" s="1"/>
  <c r="E33" i="309"/>
  <c r="D33" i="309"/>
  <c r="D32" i="309"/>
  <c r="E32" i="309" s="1"/>
  <c r="D31" i="309"/>
  <c r="E31" i="309" s="1"/>
  <c r="E30" i="309"/>
  <c r="D30" i="309"/>
  <c r="D29" i="309"/>
  <c r="E29" i="309" s="1"/>
  <c r="D28" i="309"/>
  <c r="E28" i="309" s="1"/>
  <c r="P18" i="309"/>
  <c r="O18" i="309"/>
  <c r="N18" i="309"/>
  <c r="L18" i="309"/>
  <c r="K18" i="309"/>
  <c r="J18" i="309"/>
  <c r="H18" i="309"/>
  <c r="G18" i="309"/>
  <c r="F18" i="309"/>
  <c r="P17" i="309"/>
  <c r="M16" i="309"/>
  <c r="I16" i="309"/>
  <c r="P15" i="309"/>
  <c r="M14" i="309"/>
  <c r="I14" i="309"/>
  <c r="P13" i="309"/>
  <c r="M12" i="309"/>
  <c r="I12" i="309"/>
  <c r="P11" i="309"/>
  <c r="M10" i="309"/>
  <c r="I10" i="309"/>
  <c r="P9" i="309"/>
  <c r="M8" i="309"/>
  <c r="I8" i="309"/>
  <c r="P7" i="309"/>
  <c r="M6" i="309"/>
  <c r="I6" i="309"/>
  <c r="C3" i="309"/>
  <c r="D35" i="308"/>
  <c r="E35" i="308" s="1"/>
  <c r="E34" i="308"/>
  <c r="D34" i="308"/>
  <c r="D33" i="308"/>
  <c r="E33" i="308" s="1"/>
  <c r="D32" i="308"/>
  <c r="E32" i="308" s="1"/>
  <c r="D30" i="308"/>
  <c r="E30" i="308" s="1"/>
  <c r="E29" i="308"/>
  <c r="D29" i="308"/>
  <c r="E28" i="308"/>
  <c r="D28" i="308"/>
  <c r="P18" i="308"/>
  <c r="O18" i="308"/>
  <c r="N18" i="308"/>
  <c r="L18" i="308"/>
  <c r="K18" i="308"/>
  <c r="J18" i="308"/>
  <c r="H18" i="308"/>
  <c r="G18" i="308"/>
  <c r="F18" i="308"/>
  <c r="P17" i="308"/>
  <c r="M16" i="308"/>
  <c r="I16" i="308"/>
  <c r="P15" i="308"/>
  <c r="C15" i="308"/>
  <c r="D31" i="308" s="1"/>
  <c r="E31" i="308" s="1"/>
  <c r="M14" i="308"/>
  <c r="I14" i="308"/>
  <c r="P13" i="308"/>
  <c r="M12" i="308"/>
  <c r="I12" i="308"/>
  <c r="P11" i="308"/>
  <c r="M10" i="308"/>
  <c r="I10" i="308"/>
  <c r="P9" i="308"/>
  <c r="M8" i="308"/>
  <c r="I8" i="308"/>
  <c r="P7" i="308"/>
  <c r="M6" i="308"/>
  <c r="I6" i="308"/>
  <c r="C3" i="308"/>
  <c r="D35" i="307"/>
  <c r="E35" i="307" s="1"/>
  <c r="D34" i="307"/>
  <c r="E34" i="307" s="1"/>
  <c r="E33" i="307"/>
  <c r="D33" i="307"/>
  <c r="D32" i="307"/>
  <c r="E32" i="307" s="1"/>
  <c r="D31" i="307"/>
  <c r="E31" i="307" s="1"/>
  <c r="D30" i="307"/>
  <c r="E30" i="307" s="1"/>
  <c r="E29" i="307"/>
  <c r="D29" i="307"/>
  <c r="D28" i="307"/>
  <c r="E28" i="307" s="1"/>
  <c r="P18" i="307"/>
  <c r="O18" i="307"/>
  <c r="N18" i="307"/>
  <c r="L18" i="307"/>
  <c r="K18" i="307"/>
  <c r="J18" i="307"/>
  <c r="H18" i="307"/>
  <c r="G18" i="307"/>
  <c r="F18" i="307"/>
  <c r="P17" i="307"/>
  <c r="M16" i="307"/>
  <c r="I16" i="307"/>
  <c r="P15" i="307"/>
  <c r="M14" i="307"/>
  <c r="I14" i="307"/>
  <c r="P13" i="307"/>
  <c r="M12" i="307"/>
  <c r="I12" i="307"/>
  <c r="P11" i="307"/>
  <c r="M10" i="307"/>
  <c r="I10" i="307"/>
  <c r="P9" i="307"/>
  <c r="M8" i="307"/>
  <c r="I8" i="307"/>
  <c r="P7" i="307"/>
  <c r="M6" i="307"/>
  <c r="I6" i="307"/>
  <c r="C3" i="307"/>
  <c r="D35" i="306"/>
  <c r="E35" i="306" s="1"/>
  <c r="D34" i="306"/>
  <c r="E34" i="306" s="1"/>
  <c r="D33" i="306"/>
  <c r="E33" i="306" s="1"/>
  <c r="D32" i="306"/>
  <c r="E32" i="306" s="1"/>
  <c r="D30" i="306"/>
  <c r="E30" i="306" s="1"/>
  <c r="D29" i="306"/>
  <c r="E29" i="306" s="1"/>
  <c r="D28" i="306"/>
  <c r="E28" i="306" s="1"/>
  <c r="P18" i="306"/>
  <c r="O18" i="306"/>
  <c r="N18" i="306"/>
  <c r="L18" i="306"/>
  <c r="K18" i="306"/>
  <c r="J18" i="306"/>
  <c r="H18" i="306"/>
  <c r="G18" i="306"/>
  <c r="F18" i="306"/>
  <c r="P17" i="306"/>
  <c r="M16" i="306"/>
  <c r="I16" i="306"/>
  <c r="P15" i="306"/>
  <c r="C15" i="306"/>
  <c r="D31" i="306" s="1"/>
  <c r="E31" i="306" s="1"/>
  <c r="M14" i="306"/>
  <c r="I14" i="306"/>
  <c r="P13" i="306"/>
  <c r="P19" i="306" s="1"/>
  <c r="P20" i="306" s="1"/>
  <c r="M12" i="306"/>
  <c r="I12" i="306"/>
  <c r="P11" i="306"/>
  <c r="M10" i="306"/>
  <c r="I10" i="306"/>
  <c r="P9" i="306"/>
  <c r="M8" i="306"/>
  <c r="I8" i="306"/>
  <c r="P7" i="306"/>
  <c r="M6" i="306"/>
  <c r="I6" i="306"/>
  <c r="C3" i="306"/>
  <c r="D35" i="305"/>
  <c r="E35" i="305" s="1"/>
  <c r="D34" i="305"/>
  <c r="E34" i="305" s="1"/>
  <c r="E33" i="305"/>
  <c r="D33" i="305"/>
  <c r="E32" i="305"/>
  <c r="D32" i="305"/>
  <c r="D30" i="305"/>
  <c r="E30" i="305" s="1"/>
  <c r="D29" i="305"/>
  <c r="E29" i="305" s="1"/>
  <c r="E28" i="305"/>
  <c r="D28" i="305"/>
  <c r="P18" i="305"/>
  <c r="O18" i="305"/>
  <c r="N18" i="305"/>
  <c r="L18" i="305"/>
  <c r="K18" i="305"/>
  <c r="J18" i="305"/>
  <c r="H18" i="305"/>
  <c r="G18" i="305"/>
  <c r="F18" i="305"/>
  <c r="P17" i="305"/>
  <c r="M16" i="305"/>
  <c r="I16" i="305"/>
  <c r="P15" i="305"/>
  <c r="C15" i="305"/>
  <c r="D31" i="305" s="1"/>
  <c r="E31" i="305" s="1"/>
  <c r="M14" i="305"/>
  <c r="I14" i="305"/>
  <c r="P13" i="305"/>
  <c r="M12" i="305"/>
  <c r="I12" i="305"/>
  <c r="P11" i="305"/>
  <c r="M10" i="305"/>
  <c r="I10" i="305"/>
  <c r="P9" i="305"/>
  <c r="M8" i="305"/>
  <c r="I8" i="305"/>
  <c r="P7" i="305"/>
  <c r="M6" i="305"/>
  <c r="I6" i="305"/>
  <c r="C3" i="305"/>
  <c r="D35" i="304"/>
  <c r="E35" i="304" s="1"/>
  <c r="E34" i="304"/>
  <c r="D34" i="304"/>
  <c r="D33" i="304"/>
  <c r="E33" i="304" s="1"/>
  <c r="D32" i="304"/>
  <c r="E32" i="304" s="1"/>
  <c r="D31" i="304"/>
  <c r="E31" i="304" s="1"/>
  <c r="E30" i="304"/>
  <c r="D30" i="304"/>
  <c r="D29" i="304"/>
  <c r="E29" i="304" s="1"/>
  <c r="D28" i="304"/>
  <c r="E28" i="304" s="1"/>
  <c r="P18" i="304"/>
  <c r="O18" i="304"/>
  <c r="N18" i="304"/>
  <c r="L18" i="304"/>
  <c r="K18" i="304"/>
  <c r="J18" i="304"/>
  <c r="H18" i="304"/>
  <c r="G18" i="304"/>
  <c r="F18" i="304"/>
  <c r="P17" i="304"/>
  <c r="M16" i="304"/>
  <c r="I16" i="304"/>
  <c r="P15" i="304"/>
  <c r="M14" i="304"/>
  <c r="I14" i="304"/>
  <c r="P13" i="304"/>
  <c r="M12" i="304"/>
  <c r="I12" i="304"/>
  <c r="P11" i="304"/>
  <c r="M10" i="304"/>
  <c r="I10" i="304"/>
  <c r="P9" i="304"/>
  <c r="M8" i="304"/>
  <c r="I8" i="304"/>
  <c r="P7" i="304"/>
  <c r="M6" i="304"/>
  <c r="I6" i="304"/>
  <c r="C3" i="304"/>
  <c r="D35" i="303"/>
  <c r="E35" i="303" s="1"/>
  <c r="D34" i="303"/>
  <c r="E34" i="303" s="1"/>
  <c r="D33" i="303"/>
  <c r="E33" i="303" s="1"/>
  <c r="D32" i="303"/>
  <c r="E32" i="303" s="1"/>
  <c r="D31" i="303"/>
  <c r="E31" i="303" s="1"/>
  <c r="D30" i="303"/>
  <c r="E30" i="303" s="1"/>
  <c r="D29" i="303"/>
  <c r="E29" i="303" s="1"/>
  <c r="D28" i="303"/>
  <c r="E28" i="303" s="1"/>
  <c r="P18" i="303"/>
  <c r="O18" i="303"/>
  <c r="N18" i="303"/>
  <c r="L18" i="303"/>
  <c r="K18" i="303"/>
  <c r="J18" i="303"/>
  <c r="H18" i="303"/>
  <c r="G18" i="303"/>
  <c r="F18" i="303"/>
  <c r="P17" i="303"/>
  <c r="M16" i="303"/>
  <c r="I16" i="303"/>
  <c r="P15" i="303"/>
  <c r="M14" i="303"/>
  <c r="I14" i="303"/>
  <c r="P13" i="303"/>
  <c r="M12" i="303"/>
  <c r="I12" i="303"/>
  <c r="P11" i="303"/>
  <c r="M10" i="303"/>
  <c r="I10" i="303"/>
  <c r="P9" i="303"/>
  <c r="M8" i="303"/>
  <c r="I8" i="303"/>
  <c r="P7" i="303"/>
  <c r="M6" i="303"/>
  <c r="M18" i="303" s="1"/>
  <c r="I6" i="303"/>
  <c r="C3" i="303"/>
  <c r="D35" i="302"/>
  <c r="E35" i="302" s="1"/>
  <c r="E34" i="302"/>
  <c r="D34" i="302"/>
  <c r="D33" i="302"/>
  <c r="E33" i="302" s="1"/>
  <c r="D32" i="302"/>
  <c r="E32" i="302" s="1"/>
  <c r="D31" i="302"/>
  <c r="E31" i="302" s="1"/>
  <c r="D30" i="302"/>
  <c r="E30" i="302" s="1"/>
  <c r="D29" i="302"/>
  <c r="E29" i="302" s="1"/>
  <c r="D28" i="302"/>
  <c r="E28" i="302" s="1"/>
  <c r="P18" i="302"/>
  <c r="O18" i="302"/>
  <c r="N18" i="302"/>
  <c r="L18" i="302"/>
  <c r="K18" i="302"/>
  <c r="J18" i="302"/>
  <c r="H18" i="302"/>
  <c r="G18" i="302"/>
  <c r="F18" i="302"/>
  <c r="P17" i="302"/>
  <c r="M16" i="302"/>
  <c r="I16" i="302"/>
  <c r="I18" i="302" s="1"/>
  <c r="P15" i="302"/>
  <c r="M14" i="302"/>
  <c r="I14" i="302"/>
  <c r="P13" i="302"/>
  <c r="M12" i="302"/>
  <c r="I12" i="302"/>
  <c r="P11" i="302"/>
  <c r="M10" i="302"/>
  <c r="I10" i="302"/>
  <c r="P9" i="302"/>
  <c r="M8" i="302"/>
  <c r="I8" i="302"/>
  <c r="P7" i="302"/>
  <c r="M6" i="302"/>
  <c r="I6" i="302"/>
  <c r="C3" i="302"/>
  <c r="D35" i="301"/>
  <c r="E35" i="301" s="1"/>
  <c r="E34" i="301"/>
  <c r="D34" i="301"/>
  <c r="D33" i="301"/>
  <c r="E33" i="301" s="1"/>
  <c r="D32" i="301"/>
  <c r="E32" i="301" s="1"/>
  <c r="D30" i="301"/>
  <c r="E30" i="301" s="1"/>
  <c r="D29" i="301"/>
  <c r="E29" i="301" s="1"/>
  <c r="D28" i="301"/>
  <c r="E28" i="301" s="1"/>
  <c r="P18" i="301"/>
  <c r="O18" i="301"/>
  <c r="N18" i="301"/>
  <c r="L18" i="301"/>
  <c r="K18" i="301"/>
  <c r="J18" i="301"/>
  <c r="H18" i="301"/>
  <c r="G18" i="301"/>
  <c r="F18" i="301"/>
  <c r="P17" i="301"/>
  <c r="M16" i="301"/>
  <c r="I16" i="301"/>
  <c r="P15" i="301"/>
  <c r="C15" i="301"/>
  <c r="D31" i="301" s="1"/>
  <c r="E31" i="301" s="1"/>
  <c r="M14" i="301"/>
  <c r="I14" i="301"/>
  <c r="P13" i="301"/>
  <c r="M12" i="301"/>
  <c r="I12" i="301"/>
  <c r="P11" i="301"/>
  <c r="M10" i="301"/>
  <c r="I10" i="301"/>
  <c r="P9" i="301"/>
  <c r="M8" i="301"/>
  <c r="I8" i="301"/>
  <c r="P7" i="301"/>
  <c r="M6" i="301"/>
  <c r="I6" i="301"/>
  <c r="C3" i="301"/>
  <c r="E35" i="300"/>
  <c r="D35" i="300"/>
  <c r="D34" i="300"/>
  <c r="E34" i="300" s="1"/>
  <c r="D33" i="300"/>
  <c r="E33" i="300" s="1"/>
  <c r="E32" i="300"/>
  <c r="D32" i="300"/>
  <c r="E30" i="300"/>
  <c r="D30" i="300"/>
  <c r="D29" i="300"/>
  <c r="E29" i="300" s="1"/>
  <c r="D28" i="300"/>
  <c r="E28" i="300" s="1"/>
  <c r="P18" i="300"/>
  <c r="O18" i="300"/>
  <c r="N18" i="300"/>
  <c r="L18" i="300"/>
  <c r="K18" i="300"/>
  <c r="J18" i="300"/>
  <c r="H18" i="300"/>
  <c r="G18" i="300"/>
  <c r="F18" i="300"/>
  <c r="P17" i="300"/>
  <c r="M16" i="300"/>
  <c r="I16" i="300"/>
  <c r="P15" i="300"/>
  <c r="C15" i="300"/>
  <c r="D31" i="300" s="1"/>
  <c r="E31" i="300" s="1"/>
  <c r="M14" i="300"/>
  <c r="I14" i="300"/>
  <c r="P13" i="300"/>
  <c r="M12" i="300"/>
  <c r="I12" i="300"/>
  <c r="P11" i="300"/>
  <c r="M10" i="300"/>
  <c r="I10" i="300"/>
  <c r="P9" i="300"/>
  <c r="M8" i="300"/>
  <c r="I8" i="300"/>
  <c r="P7" i="300"/>
  <c r="M6" i="300"/>
  <c r="M18" i="300" s="1"/>
  <c r="I6" i="300"/>
  <c r="C3" i="300"/>
  <c r="E35" i="299"/>
  <c r="D35" i="299"/>
  <c r="D34" i="299"/>
  <c r="E34" i="299" s="1"/>
  <c r="D33" i="299"/>
  <c r="E33" i="299" s="1"/>
  <c r="D32" i="299"/>
  <c r="E32" i="299" s="1"/>
  <c r="D30" i="299"/>
  <c r="E30" i="299" s="1"/>
  <c r="D29" i="299"/>
  <c r="E29" i="299" s="1"/>
  <c r="D28" i="299"/>
  <c r="E28" i="299" s="1"/>
  <c r="P18" i="299"/>
  <c r="O18" i="299"/>
  <c r="N18" i="299"/>
  <c r="L18" i="299"/>
  <c r="K18" i="299"/>
  <c r="J18" i="299"/>
  <c r="H18" i="299"/>
  <c r="G18" i="299"/>
  <c r="F18" i="299"/>
  <c r="P17" i="299"/>
  <c r="M16" i="299"/>
  <c r="I16" i="299"/>
  <c r="P15" i="299"/>
  <c r="C15" i="299"/>
  <c r="D31" i="299" s="1"/>
  <c r="E31" i="299" s="1"/>
  <c r="M14" i="299"/>
  <c r="I14" i="299"/>
  <c r="P13" i="299"/>
  <c r="M12" i="299"/>
  <c r="I12" i="299"/>
  <c r="P11" i="299"/>
  <c r="M10" i="299"/>
  <c r="I10" i="299"/>
  <c r="P9" i="299"/>
  <c r="M8" i="299"/>
  <c r="I8" i="299"/>
  <c r="P7" i="299"/>
  <c r="M6" i="299"/>
  <c r="I6" i="299"/>
  <c r="C3" i="299"/>
  <c r="D35" i="298"/>
  <c r="E35" i="298" s="1"/>
  <c r="D34" i="298"/>
  <c r="E34" i="298" s="1"/>
  <c r="D33" i="298"/>
  <c r="E33" i="298" s="1"/>
  <c r="E32" i="298"/>
  <c r="D32" i="298"/>
  <c r="D30" i="298"/>
  <c r="E30" i="298" s="1"/>
  <c r="D29" i="298"/>
  <c r="E29" i="298" s="1"/>
  <c r="D28" i="298"/>
  <c r="E28" i="298" s="1"/>
  <c r="P18" i="298"/>
  <c r="O18" i="298"/>
  <c r="N18" i="298"/>
  <c r="L18" i="298"/>
  <c r="K18" i="298"/>
  <c r="J18" i="298"/>
  <c r="H18" i="298"/>
  <c r="G18" i="298"/>
  <c r="F18" i="298"/>
  <c r="P17" i="298"/>
  <c r="M16" i="298"/>
  <c r="I16" i="298"/>
  <c r="P15" i="298"/>
  <c r="C15" i="298"/>
  <c r="D31" i="298" s="1"/>
  <c r="E31" i="298" s="1"/>
  <c r="M14" i="298"/>
  <c r="I14" i="298"/>
  <c r="P13" i="298"/>
  <c r="M12" i="298"/>
  <c r="I12" i="298"/>
  <c r="P11" i="298"/>
  <c r="M10" i="298"/>
  <c r="I10" i="298"/>
  <c r="P9" i="298"/>
  <c r="M8" i="298"/>
  <c r="I8" i="298"/>
  <c r="P7" i="298"/>
  <c r="M6" i="298"/>
  <c r="M18" i="298" s="1"/>
  <c r="I6" i="298"/>
  <c r="C3" i="298"/>
  <c r="D35" i="297"/>
  <c r="E35" i="297" s="1"/>
  <c r="D34" i="297"/>
  <c r="E34" i="297" s="1"/>
  <c r="D33" i="297"/>
  <c r="E33" i="297" s="1"/>
  <c r="E32" i="297"/>
  <c r="D32" i="297"/>
  <c r="D30" i="297"/>
  <c r="E30" i="297" s="1"/>
  <c r="D29" i="297"/>
  <c r="E29" i="297" s="1"/>
  <c r="D28" i="297"/>
  <c r="E28" i="297" s="1"/>
  <c r="P18" i="297"/>
  <c r="O18" i="297"/>
  <c r="N18" i="297"/>
  <c r="L18" i="297"/>
  <c r="K18" i="297"/>
  <c r="J18" i="297"/>
  <c r="H18" i="297"/>
  <c r="G18" i="297"/>
  <c r="F18" i="297"/>
  <c r="P17" i="297"/>
  <c r="M16" i="297"/>
  <c r="I16" i="297"/>
  <c r="P15" i="297"/>
  <c r="C15" i="297"/>
  <c r="D31" i="297" s="1"/>
  <c r="E31" i="297" s="1"/>
  <c r="M14" i="297"/>
  <c r="I14" i="297"/>
  <c r="P13" i="297"/>
  <c r="M12" i="297"/>
  <c r="I12" i="297"/>
  <c r="P11" i="297"/>
  <c r="M10" i="297"/>
  <c r="I10" i="297"/>
  <c r="I18" i="297" s="1"/>
  <c r="P9" i="297"/>
  <c r="M8" i="297"/>
  <c r="I8" i="297"/>
  <c r="P7" i="297"/>
  <c r="M6" i="297"/>
  <c r="I6" i="297"/>
  <c r="C3" i="297"/>
  <c r="E35" i="296"/>
  <c r="D35" i="296"/>
  <c r="D34" i="296"/>
  <c r="E34" i="296" s="1"/>
  <c r="E33" i="296"/>
  <c r="D33" i="296"/>
  <c r="D32" i="296"/>
  <c r="E32" i="296" s="1"/>
  <c r="E31" i="296"/>
  <c r="D31" i="296"/>
  <c r="D30" i="296"/>
  <c r="E30" i="296" s="1"/>
  <c r="E29" i="296"/>
  <c r="D29" i="296"/>
  <c r="D28" i="296"/>
  <c r="E28" i="296" s="1"/>
  <c r="P18" i="296"/>
  <c r="O18" i="296"/>
  <c r="N18" i="296"/>
  <c r="L18" i="296"/>
  <c r="K18" i="296"/>
  <c r="J18" i="296"/>
  <c r="H18" i="296"/>
  <c r="G18" i="296"/>
  <c r="F18" i="296"/>
  <c r="P17" i="296"/>
  <c r="M16" i="296"/>
  <c r="I16" i="296"/>
  <c r="P15" i="296"/>
  <c r="M14" i="296"/>
  <c r="I14" i="296"/>
  <c r="P13" i="296"/>
  <c r="M12" i="296"/>
  <c r="I12" i="296"/>
  <c r="P11" i="296"/>
  <c r="M10" i="296"/>
  <c r="I10" i="296"/>
  <c r="P9" i="296"/>
  <c r="M8" i="296"/>
  <c r="I8" i="296"/>
  <c r="P7" i="296"/>
  <c r="M6" i="296"/>
  <c r="I6" i="296"/>
  <c r="C3" i="296"/>
  <c r="E35" i="295"/>
  <c r="D35" i="295"/>
  <c r="D34" i="295"/>
  <c r="E34" i="295" s="1"/>
  <c r="E33" i="295"/>
  <c r="D33" i="295"/>
  <c r="E32" i="295"/>
  <c r="D32" i="295"/>
  <c r="E31" i="295"/>
  <c r="D31" i="295"/>
  <c r="D30" i="295"/>
  <c r="E30" i="295" s="1"/>
  <c r="E29" i="295"/>
  <c r="D29" i="295"/>
  <c r="E28" i="295"/>
  <c r="D28" i="295"/>
  <c r="P18" i="295"/>
  <c r="O18" i="295"/>
  <c r="N18" i="295"/>
  <c r="L18" i="295"/>
  <c r="K18" i="295"/>
  <c r="J18" i="295"/>
  <c r="H18" i="295"/>
  <c r="G18" i="295"/>
  <c r="F18" i="295"/>
  <c r="P17" i="295"/>
  <c r="M16" i="295"/>
  <c r="I16" i="295"/>
  <c r="P15" i="295"/>
  <c r="P19" i="295" s="1"/>
  <c r="P20" i="295" s="1"/>
  <c r="M14" i="295"/>
  <c r="I14" i="295"/>
  <c r="P13" i="295"/>
  <c r="M12" i="295"/>
  <c r="I12" i="295"/>
  <c r="P11" i="295"/>
  <c r="M10" i="295"/>
  <c r="I10" i="295"/>
  <c r="P9" i="295"/>
  <c r="M8" i="295"/>
  <c r="I8" i="295"/>
  <c r="P7" i="295"/>
  <c r="M6" i="295"/>
  <c r="I6" i="295"/>
  <c r="C3" i="295"/>
  <c r="E35" i="294"/>
  <c r="D35" i="294"/>
  <c r="D34" i="294"/>
  <c r="E34" i="294" s="1"/>
  <c r="E33" i="294"/>
  <c r="D33" i="294"/>
  <c r="D32" i="294"/>
  <c r="E32" i="294" s="1"/>
  <c r="E31" i="294"/>
  <c r="D31" i="294"/>
  <c r="E30" i="294"/>
  <c r="D30" i="294"/>
  <c r="E29" i="294"/>
  <c r="D29" i="294"/>
  <c r="D28" i="294"/>
  <c r="E28" i="294" s="1"/>
  <c r="P18" i="294"/>
  <c r="O18" i="294"/>
  <c r="N18" i="294"/>
  <c r="L18" i="294"/>
  <c r="K18" i="294"/>
  <c r="J18" i="294"/>
  <c r="H18" i="294"/>
  <c r="G18" i="294"/>
  <c r="F18" i="294"/>
  <c r="P17" i="294"/>
  <c r="M16" i="294"/>
  <c r="I16" i="294"/>
  <c r="P15" i="294"/>
  <c r="M14" i="294"/>
  <c r="I14" i="294"/>
  <c r="P13" i="294"/>
  <c r="M12" i="294"/>
  <c r="I12" i="294"/>
  <c r="P11" i="294"/>
  <c r="M10" i="294"/>
  <c r="I10" i="294"/>
  <c r="P9" i="294"/>
  <c r="M8" i="294"/>
  <c r="I8" i="294"/>
  <c r="P7" i="294"/>
  <c r="M6" i="294"/>
  <c r="I6" i="294"/>
  <c r="C3" i="294"/>
  <c r="E35" i="293"/>
  <c r="D35" i="293"/>
  <c r="D34" i="293"/>
  <c r="E34" i="293" s="1"/>
  <c r="E33" i="293"/>
  <c r="D33" i="293"/>
  <c r="E32" i="293"/>
  <c r="D32" i="293"/>
  <c r="E30" i="293"/>
  <c r="D30" i="293"/>
  <c r="D29" i="293"/>
  <c r="E29" i="293" s="1"/>
  <c r="E28" i="293"/>
  <c r="D28" i="293"/>
  <c r="P18" i="293"/>
  <c r="O18" i="293"/>
  <c r="N18" i="293"/>
  <c r="L18" i="293"/>
  <c r="K18" i="293"/>
  <c r="J18" i="293"/>
  <c r="H18" i="293"/>
  <c r="G18" i="293"/>
  <c r="F18" i="293"/>
  <c r="P17" i="293"/>
  <c r="M16" i="293"/>
  <c r="I16" i="293"/>
  <c r="P15" i="293"/>
  <c r="C15" i="293"/>
  <c r="D31" i="293" s="1"/>
  <c r="E31" i="293" s="1"/>
  <c r="M14" i="293"/>
  <c r="I14" i="293"/>
  <c r="P13" i="293"/>
  <c r="M12" i="293"/>
  <c r="I12" i="293"/>
  <c r="P11" i="293"/>
  <c r="M10" i="293"/>
  <c r="I10" i="293"/>
  <c r="P9" i="293"/>
  <c r="M8" i="293"/>
  <c r="I8" i="293"/>
  <c r="P7" i="293"/>
  <c r="M6" i="293"/>
  <c r="I6" i="293"/>
  <c r="C3" i="293"/>
  <c r="D35" i="292"/>
  <c r="E35" i="292" s="1"/>
  <c r="D34" i="292"/>
  <c r="E34" i="292" s="1"/>
  <c r="D33" i="292"/>
  <c r="E33" i="292" s="1"/>
  <c r="D32" i="292"/>
  <c r="E32" i="292" s="1"/>
  <c r="D31" i="292"/>
  <c r="E31" i="292" s="1"/>
  <c r="D30" i="292"/>
  <c r="E30" i="292" s="1"/>
  <c r="D29" i="292"/>
  <c r="E29" i="292" s="1"/>
  <c r="D28" i="292"/>
  <c r="E28" i="292" s="1"/>
  <c r="P18" i="292"/>
  <c r="O18" i="292"/>
  <c r="N18" i="292"/>
  <c r="L18" i="292"/>
  <c r="K18" i="292"/>
  <c r="J18" i="292"/>
  <c r="H18" i="292"/>
  <c r="G18" i="292"/>
  <c r="F18" i="292"/>
  <c r="P17" i="292"/>
  <c r="M16" i="292"/>
  <c r="I16" i="292"/>
  <c r="P15" i="292"/>
  <c r="M14" i="292"/>
  <c r="I14" i="292"/>
  <c r="P13" i="292"/>
  <c r="M12" i="292"/>
  <c r="I12" i="292"/>
  <c r="P11" i="292"/>
  <c r="M10" i="292"/>
  <c r="I10" i="292"/>
  <c r="P9" i="292"/>
  <c r="M8" i="292"/>
  <c r="I8" i="292"/>
  <c r="P7" i="292"/>
  <c r="M6" i="292"/>
  <c r="I6" i="292"/>
  <c r="C3" i="292"/>
  <c r="D35" i="291"/>
  <c r="E35" i="291" s="1"/>
  <c r="D34" i="291"/>
  <c r="E34" i="291" s="1"/>
  <c r="D33" i="291"/>
  <c r="E33" i="291" s="1"/>
  <c r="D32" i="291"/>
  <c r="E32" i="291" s="1"/>
  <c r="D30" i="291"/>
  <c r="E30" i="291" s="1"/>
  <c r="D29" i="291"/>
  <c r="E29" i="291" s="1"/>
  <c r="D28" i="291"/>
  <c r="E28" i="291" s="1"/>
  <c r="P18" i="291"/>
  <c r="O18" i="291"/>
  <c r="N18" i="291"/>
  <c r="L18" i="291"/>
  <c r="K18" i="291"/>
  <c r="J18" i="291"/>
  <c r="H18" i="291"/>
  <c r="G18" i="291"/>
  <c r="F18" i="291"/>
  <c r="P17" i="291"/>
  <c r="M16" i="291"/>
  <c r="I16" i="291"/>
  <c r="P15" i="291"/>
  <c r="C15" i="291"/>
  <c r="D31" i="291" s="1"/>
  <c r="E31" i="291" s="1"/>
  <c r="M14" i="291"/>
  <c r="I14" i="291"/>
  <c r="P13" i="291"/>
  <c r="M12" i="291"/>
  <c r="I12" i="291"/>
  <c r="P11" i="291"/>
  <c r="M10" i="291"/>
  <c r="I10" i="291"/>
  <c r="P9" i="291"/>
  <c r="M8" i="291"/>
  <c r="I8" i="291"/>
  <c r="P7" i="291"/>
  <c r="M6" i="291"/>
  <c r="I6" i="291"/>
  <c r="C3" i="291"/>
  <c r="D35" i="290"/>
  <c r="E35" i="290" s="1"/>
  <c r="E34" i="290"/>
  <c r="D34" i="290"/>
  <c r="E33" i="290"/>
  <c r="D33" i="290"/>
  <c r="E32" i="290"/>
  <c r="D32" i="290"/>
  <c r="D30" i="290"/>
  <c r="E30" i="290" s="1"/>
  <c r="E29" i="290"/>
  <c r="D29" i="290"/>
  <c r="D28" i="290"/>
  <c r="E28" i="290" s="1"/>
  <c r="P18" i="290"/>
  <c r="O18" i="290"/>
  <c r="N18" i="290"/>
  <c r="L18" i="290"/>
  <c r="K18" i="290"/>
  <c r="J18" i="290"/>
  <c r="H18" i="290"/>
  <c r="G18" i="290"/>
  <c r="F18" i="290"/>
  <c r="P17" i="290"/>
  <c r="M16" i="290"/>
  <c r="I16" i="290"/>
  <c r="P15" i="290"/>
  <c r="C15" i="290"/>
  <c r="D31" i="290" s="1"/>
  <c r="E31" i="290" s="1"/>
  <c r="M14" i="290"/>
  <c r="I14" i="290"/>
  <c r="P13" i="290"/>
  <c r="M12" i="290"/>
  <c r="I12" i="290"/>
  <c r="P11" i="290"/>
  <c r="M10" i="290"/>
  <c r="I10" i="290"/>
  <c r="P9" i="290"/>
  <c r="M8" i="290"/>
  <c r="I8" i="290"/>
  <c r="P7" i="290"/>
  <c r="M6" i="290"/>
  <c r="I6" i="290"/>
  <c r="C3" i="290"/>
  <c r="D35" i="289"/>
  <c r="E35" i="289" s="1"/>
  <c r="D34" i="289"/>
  <c r="E34" i="289" s="1"/>
  <c r="D33" i="289"/>
  <c r="E33" i="289" s="1"/>
  <c r="D32" i="289"/>
  <c r="E32" i="289" s="1"/>
  <c r="D31" i="289"/>
  <c r="E31" i="289" s="1"/>
  <c r="D30" i="289"/>
  <c r="E30" i="289" s="1"/>
  <c r="D29" i="289"/>
  <c r="E29" i="289" s="1"/>
  <c r="D28" i="289"/>
  <c r="E28" i="289" s="1"/>
  <c r="P18" i="289"/>
  <c r="O18" i="289"/>
  <c r="N18" i="289"/>
  <c r="L18" i="289"/>
  <c r="K18" i="289"/>
  <c r="J18" i="289"/>
  <c r="H18" i="289"/>
  <c r="G18" i="289"/>
  <c r="F18" i="289"/>
  <c r="P17" i="289"/>
  <c r="M16" i="289"/>
  <c r="I16" i="289"/>
  <c r="P15" i="289"/>
  <c r="M14" i="289"/>
  <c r="I14" i="289"/>
  <c r="P13" i="289"/>
  <c r="M12" i="289"/>
  <c r="I12" i="289"/>
  <c r="P11" i="289"/>
  <c r="M10" i="289"/>
  <c r="I10" i="289"/>
  <c r="P9" i="289"/>
  <c r="M8" i="289"/>
  <c r="I8" i="289"/>
  <c r="P7" i="289"/>
  <c r="M6" i="289"/>
  <c r="I6" i="289"/>
  <c r="C3" i="289"/>
  <c r="D35" i="288"/>
  <c r="E35" i="288" s="1"/>
  <c r="E34" i="288"/>
  <c r="D34" i="288"/>
  <c r="D33" i="288"/>
  <c r="E33" i="288" s="1"/>
  <c r="D32" i="288"/>
  <c r="E32" i="288" s="1"/>
  <c r="D31" i="288"/>
  <c r="E31" i="288" s="1"/>
  <c r="D30" i="288"/>
  <c r="E30" i="288" s="1"/>
  <c r="D29" i="288"/>
  <c r="E29" i="288" s="1"/>
  <c r="D28" i="288"/>
  <c r="E28" i="288" s="1"/>
  <c r="P18" i="288"/>
  <c r="O18" i="288"/>
  <c r="N18" i="288"/>
  <c r="L18" i="288"/>
  <c r="K18" i="288"/>
  <c r="J18" i="288"/>
  <c r="H18" i="288"/>
  <c r="G18" i="288"/>
  <c r="F18" i="288"/>
  <c r="P17" i="288"/>
  <c r="M16" i="288"/>
  <c r="I16" i="288"/>
  <c r="P15" i="288"/>
  <c r="M14" i="288"/>
  <c r="I14" i="288"/>
  <c r="P13" i="288"/>
  <c r="M12" i="288"/>
  <c r="I12" i="288"/>
  <c r="I18" i="288" s="1"/>
  <c r="P11" i="288"/>
  <c r="M10" i="288"/>
  <c r="I10" i="288"/>
  <c r="P9" i="288"/>
  <c r="M8" i="288"/>
  <c r="I8" i="288"/>
  <c r="P7" i="288"/>
  <c r="M6" i="288"/>
  <c r="M18" i="288" s="1"/>
  <c r="I6" i="288"/>
  <c r="C3" i="288"/>
  <c r="D35" i="287"/>
  <c r="E35" i="287" s="1"/>
  <c r="E34" i="287"/>
  <c r="D34" i="287"/>
  <c r="D33" i="287"/>
  <c r="E33" i="287" s="1"/>
  <c r="D32" i="287"/>
  <c r="E32" i="287" s="1"/>
  <c r="E30" i="287"/>
  <c r="D30" i="287"/>
  <c r="D29" i="287"/>
  <c r="E29" i="287" s="1"/>
  <c r="D28" i="287"/>
  <c r="E28" i="287" s="1"/>
  <c r="P18" i="287"/>
  <c r="O18" i="287"/>
  <c r="N18" i="287"/>
  <c r="L18" i="287"/>
  <c r="K18" i="287"/>
  <c r="J18" i="287"/>
  <c r="H18" i="287"/>
  <c r="G18" i="287"/>
  <c r="F18" i="287"/>
  <c r="P17" i="287"/>
  <c r="M16" i="287"/>
  <c r="I16" i="287"/>
  <c r="P15" i="287"/>
  <c r="C15" i="287"/>
  <c r="D31" i="287" s="1"/>
  <c r="E31" i="287" s="1"/>
  <c r="M14" i="287"/>
  <c r="I14" i="287"/>
  <c r="P13" i="287"/>
  <c r="M12" i="287"/>
  <c r="I12" i="287"/>
  <c r="P11" i="287"/>
  <c r="M10" i="287"/>
  <c r="I10" i="287"/>
  <c r="P9" i="287"/>
  <c r="M8" i="287"/>
  <c r="I8" i="287"/>
  <c r="P7" i="287"/>
  <c r="M6" i="287"/>
  <c r="I6" i="287"/>
  <c r="I18" i="287" s="1"/>
  <c r="C3" i="287"/>
  <c r="D35" i="286"/>
  <c r="E35" i="286" s="1"/>
  <c r="D34" i="286"/>
  <c r="E34" i="286" s="1"/>
  <c r="E33" i="286"/>
  <c r="D33" i="286"/>
  <c r="D32" i="286"/>
  <c r="E32" i="286" s="1"/>
  <c r="D30" i="286"/>
  <c r="E30" i="286" s="1"/>
  <c r="D29" i="286"/>
  <c r="E29" i="286" s="1"/>
  <c r="E28" i="286"/>
  <c r="D28" i="286"/>
  <c r="P18" i="286"/>
  <c r="O18" i="286"/>
  <c r="N18" i="286"/>
  <c r="L18" i="286"/>
  <c r="K18" i="286"/>
  <c r="J18" i="286"/>
  <c r="H18" i="286"/>
  <c r="G18" i="286"/>
  <c r="F18" i="286"/>
  <c r="P17" i="286"/>
  <c r="M16" i="286"/>
  <c r="I16" i="286"/>
  <c r="P15" i="286"/>
  <c r="C15" i="286"/>
  <c r="D31" i="286" s="1"/>
  <c r="E31" i="286" s="1"/>
  <c r="M14" i="286"/>
  <c r="I14" i="286"/>
  <c r="P13" i="286"/>
  <c r="M12" i="286"/>
  <c r="I12" i="286"/>
  <c r="P11" i="286"/>
  <c r="M10" i="286"/>
  <c r="I10" i="286"/>
  <c r="P9" i="286"/>
  <c r="M8" i="286"/>
  <c r="I8" i="286"/>
  <c r="I18" i="286" s="1"/>
  <c r="P7" i="286"/>
  <c r="M6" i="286"/>
  <c r="I6" i="286"/>
  <c r="C3" i="286"/>
  <c r="E35" i="285"/>
  <c r="D35" i="285"/>
  <c r="D34" i="285"/>
  <c r="E34" i="285" s="1"/>
  <c r="D33" i="285"/>
  <c r="E33" i="285" s="1"/>
  <c r="D32" i="285"/>
  <c r="E32" i="285" s="1"/>
  <c r="D31" i="285"/>
  <c r="E31" i="285" s="1"/>
  <c r="D30" i="285"/>
  <c r="E30" i="285" s="1"/>
  <c r="D29" i="285"/>
  <c r="E29" i="285" s="1"/>
  <c r="D28" i="285"/>
  <c r="E28" i="285" s="1"/>
  <c r="P18" i="285"/>
  <c r="O18" i="285"/>
  <c r="N18" i="285"/>
  <c r="L18" i="285"/>
  <c r="K18" i="285"/>
  <c r="J18" i="285"/>
  <c r="H18" i="285"/>
  <c r="G18" i="285"/>
  <c r="F18" i="285"/>
  <c r="P17" i="285"/>
  <c r="M16" i="285"/>
  <c r="I16" i="285"/>
  <c r="P15" i="285"/>
  <c r="M14" i="285"/>
  <c r="I14" i="285"/>
  <c r="P13" i="285"/>
  <c r="M12" i="285"/>
  <c r="I12" i="285"/>
  <c r="P11" i="285"/>
  <c r="M10" i="285"/>
  <c r="I10" i="285"/>
  <c r="P9" i="285"/>
  <c r="M8" i="285"/>
  <c r="I8" i="285"/>
  <c r="P7" i="285"/>
  <c r="M6" i="285"/>
  <c r="I6" i="285"/>
  <c r="C3" i="285"/>
  <c r="E35" i="284"/>
  <c r="D35" i="284"/>
  <c r="D34" i="284"/>
  <c r="E34" i="284" s="1"/>
  <c r="D33" i="284"/>
  <c r="E33" i="284" s="1"/>
  <c r="D32" i="284"/>
  <c r="E32" i="284" s="1"/>
  <c r="D31" i="284"/>
  <c r="E31" i="284" s="1"/>
  <c r="D30" i="284"/>
  <c r="E30" i="284" s="1"/>
  <c r="D29" i="284"/>
  <c r="E29" i="284" s="1"/>
  <c r="D28" i="284"/>
  <c r="E28" i="284" s="1"/>
  <c r="P18" i="284"/>
  <c r="O18" i="284"/>
  <c r="N18" i="284"/>
  <c r="L18" i="284"/>
  <c r="K18" i="284"/>
  <c r="J18" i="284"/>
  <c r="H18" i="284"/>
  <c r="G18" i="284"/>
  <c r="F18" i="284"/>
  <c r="P17" i="284"/>
  <c r="M16" i="284"/>
  <c r="I16" i="284"/>
  <c r="P15" i="284"/>
  <c r="M14" i="284"/>
  <c r="I14" i="284"/>
  <c r="P13" i="284"/>
  <c r="M12" i="284"/>
  <c r="I12" i="284"/>
  <c r="P11" i="284"/>
  <c r="M10" i="284"/>
  <c r="I10" i="284"/>
  <c r="P9" i="284"/>
  <c r="M8" i="284"/>
  <c r="I8" i="284"/>
  <c r="P7" i="284"/>
  <c r="M6" i="284"/>
  <c r="I6" i="284"/>
  <c r="C3" i="284"/>
  <c r="E35" i="283"/>
  <c r="D35" i="283"/>
  <c r="D34" i="283"/>
  <c r="E34" i="283" s="1"/>
  <c r="D33" i="283"/>
  <c r="E33" i="283" s="1"/>
  <c r="D32" i="283"/>
  <c r="E32" i="283" s="1"/>
  <c r="E31" i="283"/>
  <c r="D31" i="283"/>
  <c r="D30" i="283"/>
  <c r="E30" i="283" s="1"/>
  <c r="D29" i="283"/>
  <c r="E29" i="283" s="1"/>
  <c r="D28" i="283"/>
  <c r="E28" i="283" s="1"/>
  <c r="P18" i="283"/>
  <c r="O18" i="283"/>
  <c r="N18" i="283"/>
  <c r="L18" i="283"/>
  <c r="K18" i="283"/>
  <c r="J18" i="283"/>
  <c r="H18" i="283"/>
  <c r="G18" i="283"/>
  <c r="F18" i="283"/>
  <c r="P17" i="283"/>
  <c r="M16" i="283"/>
  <c r="I16" i="283"/>
  <c r="P15" i="283"/>
  <c r="M14" i="283"/>
  <c r="I14" i="283"/>
  <c r="P13" i="283"/>
  <c r="M12" i="283"/>
  <c r="I12" i="283"/>
  <c r="P11" i="283"/>
  <c r="M10" i="283"/>
  <c r="I10" i="283"/>
  <c r="P9" i="283"/>
  <c r="M8" i="283"/>
  <c r="I8" i="283"/>
  <c r="P7" i="283"/>
  <c r="M6" i="283"/>
  <c r="I6" i="283"/>
  <c r="C3" i="283"/>
  <c r="D35" i="282"/>
  <c r="E35" i="282" s="1"/>
  <c r="D34" i="282"/>
  <c r="E34" i="282" s="1"/>
  <c r="D33" i="282"/>
  <c r="E33" i="282" s="1"/>
  <c r="D32" i="282"/>
  <c r="E32" i="282" s="1"/>
  <c r="D31" i="282"/>
  <c r="E31" i="282" s="1"/>
  <c r="D30" i="282"/>
  <c r="E30" i="282" s="1"/>
  <c r="D29" i="282"/>
  <c r="E29" i="282" s="1"/>
  <c r="D28" i="282"/>
  <c r="E28" i="282" s="1"/>
  <c r="P18" i="282"/>
  <c r="O18" i="282"/>
  <c r="N18" i="282"/>
  <c r="L18" i="282"/>
  <c r="K18" i="282"/>
  <c r="J18" i="282"/>
  <c r="H18" i="282"/>
  <c r="G18" i="282"/>
  <c r="F18" i="282"/>
  <c r="P17" i="282"/>
  <c r="M16" i="282"/>
  <c r="I16" i="282"/>
  <c r="P15" i="282"/>
  <c r="M14" i="282"/>
  <c r="I14" i="282"/>
  <c r="P13" i="282"/>
  <c r="M12" i="282"/>
  <c r="I12" i="282"/>
  <c r="P11" i="282"/>
  <c r="M10" i="282"/>
  <c r="I10" i="282"/>
  <c r="P9" i="282"/>
  <c r="M8" i="282"/>
  <c r="I8" i="282"/>
  <c r="P7" i="282"/>
  <c r="M6" i="282"/>
  <c r="I6" i="282"/>
  <c r="C3" i="282"/>
  <c r="D35" i="281"/>
  <c r="E35" i="281" s="1"/>
  <c r="D34" i="281"/>
  <c r="E34" i="281" s="1"/>
  <c r="D33" i="281"/>
  <c r="E33" i="281" s="1"/>
  <c r="D32" i="281"/>
  <c r="E32" i="281" s="1"/>
  <c r="D31" i="281"/>
  <c r="E31" i="281" s="1"/>
  <c r="D30" i="281"/>
  <c r="E30" i="281" s="1"/>
  <c r="D29" i="281"/>
  <c r="E29" i="281" s="1"/>
  <c r="D28" i="281"/>
  <c r="E28" i="281" s="1"/>
  <c r="P18" i="281"/>
  <c r="O18" i="281"/>
  <c r="N18" i="281"/>
  <c r="L18" i="281"/>
  <c r="K18" i="281"/>
  <c r="J18" i="281"/>
  <c r="H18" i="281"/>
  <c r="G18" i="281"/>
  <c r="F18" i="281"/>
  <c r="P17" i="281"/>
  <c r="M16" i="281"/>
  <c r="I16" i="281"/>
  <c r="P15" i="281"/>
  <c r="M14" i="281"/>
  <c r="I14" i="281"/>
  <c r="P13" i="281"/>
  <c r="M12" i="281"/>
  <c r="I12" i="281"/>
  <c r="P11" i="281"/>
  <c r="M10" i="281"/>
  <c r="I10" i="281"/>
  <c r="P9" i="281"/>
  <c r="M8" i="281"/>
  <c r="I8" i="281"/>
  <c r="P7" i="281"/>
  <c r="M6" i="281"/>
  <c r="M18" i="281" s="1"/>
  <c r="I6" i="281"/>
  <c r="C3" i="281"/>
  <c r="D35" i="280"/>
  <c r="E35" i="280" s="1"/>
  <c r="D34" i="280"/>
  <c r="E34" i="280" s="1"/>
  <c r="D33" i="280"/>
  <c r="E33" i="280" s="1"/>
  <c r="D32" i="280"/>
  <c r="E32" i="280" s="1"/>
  <c r="E31" i="280"/>
  <c r="D31" i="280"/>
  <c r="D30" i="280"/>
  <c r="E30" i="280" s="1"/>
  <c r="D29" i="280"/>
  <c r="E29" i="280" s="1"/>
  <c r="D28" i="280"/>
  <c r="E28" i="280" s="1"/>
  <c r="P18" i="280"/>
  <c r="O18" i="280"/>
  <c r="N18" i="280"/>
  <c r="L18" i="280"/>
  <c r="K18" i="280"/>
  <c r="J18" i="280"/>
  <c r="H18" i="280"/>
  <c r="G18" i="280"/>
  <c r="F18" i="280"/>
  <c r="P17" i="280"/>
  <c r="M16" i="280"/>
  <c r="M18" i="280" s="1"/>
  <c r="I16" i="280"/>
  <c r="P15" i="280"/>
  <c r="M14" i="280"/>
  <c r="I14" i="280"/>
  <c r="P13" i="280"/>
  <c r="M12" i="280"/>
  <c r="I12" i="280"/>
  <c r="P11" i="280"/>
  <c r="M10" i="280"/>
  <c r="I10" i="280"/>
  <c r="P9" i="280"/>
  <c r="M8" i="280"/>
  <c r="I8" i="280"/>
  <c r="P7" i="280"/>
  <c r="M6" i="280"/>
  <c r="I6" i="280"/>
  <c r="C3" i="280"/>
  <c r="E35" i="279"/>
  <c r="D35" i="279"/>
  <c r="D34" i="279"/>
  <c r="E34" i="279" s="1"/>
  <c r="D33" i="279"/>
  <c r="E33" i="279" s="1"/>
  <c r="D32" i="279"/>
  <c r="E32" i="279" s="1"/>
  <c r="D31" i="279"/>
  <c r="E31" i="279" s="1"/>
  <c r="D30" i="279"/>
  <c r="E30" i="279" s="1"/>
  <c r="D29" i="279"/>
  <c r="E29" i="279" s="1"/>
  <c r="D28" i="279"/>
  <c r="E28" i="279" s="1"/>
  <c r="P18" i="279"/>
  <c r="O18" i="279"/>
  <c r="N18" i="279"/>
  <c r="L18" i="279"/>
  <c r="K18" i="279"/>
  <c r="J18" i="279"/>
  <c r="H18" i="279"/>
  <c r="G18" i="279"/>
  <c r="F18" i="279"/>
  <c r="P17" i="279"/>
  <c r="M16" i="279"/>
  <c r="I16" i="279"/>
  <c r="P15" i="279"/>
  <c r="M14" i="279"/>
  <c r="I14" i="279"/>
  <c r="P13" i="279"/>
  <c r="M12" i="279"/>
  <c r="I12" i="279"/>
  <c r="P11" i="279"/>
  <c r="M10" i="279"/>
  <c r="I10" i="279"/>
  <c r="P9" i="279"/>
  <c r="M8" i="279"/>
  <c r="I8" i="279"/>
  <c r="P7" i="279"/>
  <c r="M6" i="279"/>
  <c r="I6" i="279"/>
  <c r="C3" i="279"/>
  <c r="E35" i="278"/>
  <c r="D35" i="278"/>
  <c r="D34" i="278"/>
  <c r="E34" i="278" s="1"/>
  <c r="D33" i="278"/>
  <c r="E33" i="278" s="1"/>
  <c r="D32" i="278"/>
  <c r="E32" i="278" s="1"/>
  <c r="D31" i="278"/>
  <c r="E31" i="278" s="1"/>
  <c r="D30" i="278"/>
  <c r="E30" i="278" s="1"/>
  <c r="D29" i="278"/>
  <c r="E29" i="278" s="1"/>
  <c r="D28" i="278"/>
  <c r="E28" i="278" s="1"/>
  <c r="P18" i="278"/>
  <c r="O18" i="278"/>
  <c r="N18" i="278"/>
  <c r="L18" i="278"/>
  <c r="K18" i="278"/>
  <c r="J18" i="278"/>
  <c r="H18" i="278"/>
  <c r="G18" i="278"/>
  <c r="F18" i="278"/>
  <c r="P17" i="278"/>
  <c r="M16" i="278"/>
  <c r="I16" i="278"/>
  <c r="P15" i="278"/>
  <c r="M14" i="278"/>
  <c r="I14" i="278"/>
  <c r="P13" i="278"/>
  <c r="M12" i="278"/>
  <c r="I12" i="278"/>
  <c r="P11" i="278"/>
  <c r="M10" i="278"/>
  <c r="I10" i="278"/>
  <c r="P9" i="278"/>
  <c r="M8" i="278"/>
  <c r="I8" i="278"/>
  <c r="P7" i="278"/>
  <c r="M6" i="278"/>
  <c r="I6" i="278"/>
  <c r="C3" i="278"/>
  <c r="D35" i="277"/>
  <c r="E35" i="277" s="1"/>
  <c r="D34" i="277"/>
  <c r="E34" i="277" s="1"/>
  <c r="D33" i="277"/>
  <c r="E33" i="277" s="1"/>
  <c r="D32" i="277"/>
  <c r="E32" i="277" s="1"/>
  <c r="D31" i="277"/>
  <c r="E31" i="277" s="1"/>
  <c r="D30" i="277"/>
  <c r="E30" i="277" s="1"/>
  <c r="D29" i="277"/>
  <c r="E29" i="277" s="1"/>
  <c r="D28" i="277"/>
  <c r="E28" i="277" s="1"/>
  <c r="P18" i="277"/>
  <c r="O18" i="277"/>
  <c r="N18" i="277"/>
  <c r="L18" i="277"/>
  <c r="K18" i="277"/>
  <c r="J18" i="277"/>
  <c r="H18" i="277"/>
  <c r="G18" i="277"/>
  <c r="F18" i="277"/>
  <c r="P17" i="277"/>
  <c r="M16" i="277"/>
  <c r="I16" i="277"/>
  <c r="P15" i="277"/>
  <c r="M14" i="277"/>
  <c r="I14" i="277"/>
  <c r="P13" i="277"/>
  <c r="M12" i="277"/>
  <c r="I12" i="277"/>
  <c r="I18" i="277" s="1"/>
  <c r="P11" i="277"/>
  <c r="M10" i="277"/>
  <c r="I10" i="277"/>
  <c r="P9" i="277"/>
  <c r="M8" i="277"/>
  <c r="I8" i="277"/>
  <c r="P7" i="277"/>
  <c r="M6" i="277"/>
  <c r="I6" i="277"/>
  <c r="C3" i="277"/>
  <c r="D35" i="276"/>
  <c r="E35" i="276" s="1"/>
  <c r="D34" i="276"/>
  <c r="E34" i="276" s="1"/>
  <c r="D33" i="276"/>
  <c r="E33" i="276" s="1"/>
  <c r="D32" i="276"/>
  <c r="E32" i="276" s="1"/>
  <c r="D31" i="276"/>
  <c r="E31" i="276" s="1"/>
  <c r="D30" i="276"/>
  <c r="E30" i="276" s="1"/>
  <c r="D29" i="276"/>
  <c r="E29" i="276" s="1"/>
  <c r="D28" i="276"/>
  <c r="E28" i="276" s="1"/>
  <c r="P18" i="276"/>
  <c r="O18" i="276"/>
  <c r="N18" i="276"/>
  <c r="L18" i="276"/>
  <c r="K18" i="276"/>
  <c r="J18" i="276"/>
  <c r="H18" i="276"/>
  <c r="G18" i="276"/>
  <c r="F18" i="276"/>
  <c r="P17" i="276"/>
  <c r="M16" i="276"/>
  <c r="I16" i="276"/>
  <c r="P15" i="276"/>
  <c r="M14" i="276"/>
  <c r="I14" i="276"/>
  <c r="P13" i="276"/>
  <c r="M12" i="276"/>
  <c r="I12" i="276"/>
  <c r="P11" i="276"/>
  <c r="M10" i="276"/>
  <c r="I10" i="276"/>
  <c r="P9" i="276"/>
  <c r="P19" i="276" s="1"/>
  <c r="P20" i="276" s="1"/>
  <c r="M8" i="276"/>
  <c r="I8" i="276"/>
  <c r="P7" i="276"/>
  <c r="M6" i="276"/>
  <c r="I6" i="276"/>
  <c r="C3" i="276"/>
  <c r="D35" i="275"/>
  <c r="E35" i="275" s="1"/>
  <c r="D34" i="275"/>
  <c r="E34" i="275" s="1"/>
  <c r="D33" i="275"/>
  <c r="E33" i="275" s="1"/>
  <c r="D32" i="275"/>
  <c r="E32" i="275" s="1"/>
  <c r="D31" i="275"/>
  <c r="E31" i="275" s="1"/>
  <c r="D30" i="275"/>
  <c r="E30" i="275" s="1"/>
  <c r="D29" i="275"/>
  <c r="E29" i="275" s="1"/>
  <c r="D28" i="275"/>
  <c r="E28" i="275" s="1"/>
  <c r="P18" i="275"/>
  <c r="O18" i="275"/>
  <c r="N18" i="275"/>
  <c r="M18" i="275"/>
  <c r="L18" i="275"/>
  <c r="K18" i="275"/>
  <c r="J18" i="275"/>
  <c r="H18" i="275"/>
  <c r="G18" i="275"/>
  <c r="F18" i="275"/>
  <c r="P17" i="275"/>
  <c r="I16" i="275"/>
  <c r="P15" i="275"/>
  <c r="I14" i="275"/>
  <c r="P13" i="275"/>
  <c r="I12" i="275"/>
  <c r="P11" i="275"/>
  <c r="I10" i="275"/>
  <c r="P9" i="275"/>
  <c r="I8" i="275"/>
  <c r="P7" i="275"/>
  <c r="I6" i="275"/>
  <c r="C3" i="275"/>
  <c r="D35" i="274"/>
  <c r="E35" i="274" s="1"/>
  <c r="D34" i="274"/>
  <c r="E34" i="274" s="1"/>
  <c r="D33" i="274"/>
  <c r="E33" i="274" s="1"/>
  <c r="D32" i="274"/>
  <c r="E32" i="274" s="1"/>
  <c r="D31" i="274"/>
  <c r="E31" i="274" s="1"/>
  <c r="D30" i="274"/>
  <c r="E30" i="274" s="1"/>
  <c r="D29" i="274"/>
  <c r="E29" i="274" s="1"/>
  <c r="D28" i="274"/>
  <c r="E28" i="274" s="1"/>
  <c r="P18" i="274"/>
  <c r="O18" i="274"/>
  <c r="N18" i="274"/>
  <c r="M18" i="274"/>
  <c r="L18" i="274"/>
  <c r="K18" i="274"/>
  <c r="J18" i="274"/>
  <c r="H18" i="274"/>
  <c r="G18" i="274"/>
  <c r="F18" i="274"/>
  <c r="P17" i="274"/>
  <c r="I16" i="274"/>
  <c r="P15" i="274"/>
  <c r="I14" i="274"/>
  <c r="P13" i="274"/>
  <c r="I12" i="274"/>
  <c r="P11" i="274"/>
  <c r="I10" i="274"/>
  <c r="P9" i="274"/>
  <c r="I8" i="274"/>
  <c r="P7" i="274"/>
  <c r="I6" i="274"/>
  <c r="I18" i="274" s="1"/>
  <c r="C3" i="274"/>
  <c r="D35" i="273"/>
  <c r="E35" i="273" s="1"/>
  <c r="D34" i="273"/>
  <c r="E34" i="273" s="1"/>
  <c r="D33" i="273"/>
  <c r="E33" i="273" s="1"/>
  <c r="D32" i="273"/>
  <c r="E32" i="273" s="1"/>
  <c r="D31" i="273"/>
  <c r="E31" i="273" s="1"/>
  <c r="D30" i="273"/>
  <c r="E30" i="273" s="1"/>
  <c r="D29" i="273"/>
  <c r="E29" i="273" s="1"/>
  <c r="D28" i="273"/>
  <c r="E28" i="273" s="1"/>
  <c r="P18" i="273"/>
  <c r="O18" i="273"/>
  <c r="N18" i="273"/>
  <c r="L18" i="273"/>
  <c r="K18" i="273"/>
  <c r="J18" i="273"/>
  <c r="H18" i="273"/>
  <c r="G18" i="273"/>
  <c r="F18" i="273"/>
  <c r="P17" i="273"/>
  <c r="M16" i="273"/>
  <c r="I16" i="273"/>
  <c r="P15" i="273"/>
  <c r="M14" i="273"/>
  <c r="I14" i="273"/>
  <c r="P13" i="273"/>
  <c r="M12" i="273"/>
  <c r="I12" i="273"/>
  <c r="P11" i="273"/>
  <c r="M10" i="273"/>
  <c r="I10" i="273"/>
  <c r="P9" i="273"/>
  <c r="M8" i="273"/>
  <c r="M18" i="273" s="1"/>
  <c r="I8" i="273"/>
  <c r="P7" i="273"/>
  <c r="I6" i="273"/>
  <c r="C3" i="273"/>
  <c r="D35" i="272"/>
  <c r="E35" i="272" s="1"/>
  <c r="D34" i="272"/>
  <c r="E34" i="272" s="1"/>
  <c r="D33" i="272"/>
  <c r="E33" i="272" s="1"/>
  <c r="D32" i="272"/>
  <c r="E32" i="272" s="1"/>
  <c r="D31" i="272"/>
  <c r="E31" i="272" s="1"/>
  <c r="D30" i="272"/>
  <c r="E30" i="272" s="1"/>
  <c r="D29" i="272"/>
  <c r="E29" i="272" s="1"/>
  <c r="D28" i="272"/>
  <c r="E28" i="272" s="1"/>
  <c r="P18" i="272"/>
  <c r="O18" i="272"/>
  <c r="N18" i="272"/>
  <c r="L18" i="272"/>
  <c r="K18" i="272"/>
  <c r="J18" i="272"/>
  <c r="H18" i="272"/>
  <c r="G18" i="272"/>
  <c r="F18" i="272"/>
  <c r="P17" i="272"/>
  <c r="M16" i="272"/>
  <c r="I16" i="272"/>
  <c r="P15" i="272"/>
  <c r="M14" i="272"/>
  <c r="I14" i="272"/>
  <c r="P13" i="272"/>
  <c r="M12" i="272"/>
  <c r="I12" i="272"/>
  <c r="P11" i="272"/>
  <c r="M10" i="272"/>
  <c r="I10" i="272"/>
  <c r="P9" i="272"/>
  <c r="M8" i="272"/>
  <c r="I8" i="272"/>
  <c r="P7" i="272"/>
  <c r="I6" i="272"/>
  <c r="C3" i="272"/>
  <c r="D35" i="271"/>
  <c r="E35" i="271" s="1"/>
  <c r="D34" i="271"/>
  <c r="E34" i="271" s="1"/>
  <c r="D33" i="271"/>
  <c r="E33" i="271" s="1"/>
  <c r="D32" i="271"/>
  <c r="E32" i="271" s="1"/>
  <c r="D31" i="271"/>
  <c r="E31" i="271" s="1"/>
  <c r="D30" i="271"/>
  <c r="E30" i="271" s="1"/>
  <c r="D29" i="271"/>
  <c r="E29" i="271" s="1"/>
  <c r="E28" i="271"/>
  <c r="D28" i="271"/>
  <c r="P18" i="271"/>
  <c r="O18" i="271"/>
  <c r="N18" i="271"/>
  <c r="L18" i="271"/>
  <c r="K18" i="271"/>
  <c r="J18" i="271"/>
  <c r="H18" i="271"/>
  <c r="G18" i="271"/>
  <c r="F18" i="271"/>
  <c r="P17" i="271"/>
  <c r="M16" i="271"/>
  <c r="I16" i="271"/>
  <c r="P15" i="271"/>
  <c r="M14" i="271"/>
  <c r="I14" i="271"/>
  <c r="P13" i="271"/>
  <c r="M12" i="271"/>
  <c r="I12" i="271"/>
  <c r="P11" i="271"/>
  <c r="M10" i="271"/>
  <c r="I10" i="271"/>
  <c r="P9" i="271"/>
  <c r="M8" i="271"/>
  <c r="I8" i="271"/>
  <c r="I18" i="271" s="1"/>
  <c r="P7" i="271"/>
  <c r="I6" i="271"/>
  <c r="C3" i="271"/>
  <c r="D35" i="270"/>
  <c r="E35" i="270" s="1"/>
  <c r="E34" i="270"/>
  <c r="D34" i="270"/>
  <c r="D33" i="270"/>
  <c r="E33" i="270" s="1"/>
  <c r="D32" i="270"/>
  <c r="E32" i="270" s="1"/>
  <c r="D31" i="270"/>
  <c r="E31" i="270" s="1"/>
  <c r="E30" i="270"/>
  <c r="D30" i="270"/>
  <c r="D29" i="270"/>
  <c r="E29" i="270" s="1"/>
  <c r="D28" i="270"/>
  <c r="E28" i="270" s="1"/>
  <c r="P18" i="270"/>
  <c r="O18" i="270"/>
  <c r="N18" i="270"/>
  <c r="L18" i="270"/>
  <c r="K18" i="270"/>
  <c r="J18" i="270"/>
  <c r="H18" i="270"/>
  <c r="G18" i="270"/>
  <c r="F18" i="270"/>
  <c r="P17" i="270"/>
  <c r="M16" i="270"/>
  <c r="I16" i="270"/>
  <c r="P15" i="270"/>
  <c r="M14" i="270"/>
  <c r="I14" i="270"/>
  <c r="P13" i="270"/>
  <c r="M12" i="270"/>
  <c r="I12" i="270"/>
  <c r="P11" i="270"/>
  <c r="M10" i="270"/>
  <c r="I10" i="270"/>
  <c r="P9" i="270"/>
  <c r="M8" i="270"/>
  <c r="I8" i="270"/>
  <c r="P7" i="270"/>
  <c r="I6" i="270"/>
  <c r="C3" i="270"/>
  <c r="D35" i="269"/>
  <c r="E35" i="269" s="1"/>
  <c r="D34" i="269"/>
  <c r="E34" i="269" s="1"/>
  <c r="D33" i="269"/>
  <c r="E33" i="269" s="1"/>
  <c r="D32" i="269"/>
  <c r="E32" i="269" s="1"/>
  <c r="D31" i="269"/>
  <c r="E31" i="269" s="1"/>
  <c r="D30" i="269"/>
  <c r="E30" i="269" s="1"/>
  <c r="E29" i="269"/>
  <c r="D29" i="269"/>
  <c r="D28" i="269"/>
  <c r="E28" i="269" s="1"/>
  <c r="P18" i="269"/>
  <c r="O18" i="269"/>
  <c r="N18" i="269"/>
  <c r="L18" i="269"/>
  <c r="K18" i="269"/>
  <c r="J18" i="269"/>
  <c r="H18" i="269"/>
  <c r="G18" i="269"/>
  <c r="F18" i="269"/>
  <c r="P17" i="269"/>
  <c r="M16" i="269"/>
  <c r="I16" i="269"/>
  <c r="P15" i="269"/>
  <c r="M14" i="269"/>
  <c r="I14" i="269"/>
  <c r="P13" i="269"/>
  <c r="M12" i="269"/>
  <c r="I12" i="269"/>
  <c r="P11" i="269"/>
  <c r="M10" i="269"/>
  <c r="I10" i="269"/>
  <c r="P9" i="269"/>
  <c r="M8" i="269"/>
  <c r="M18" i="269" s="1"/>
  <c r="I8" i="269"/>
  <c r="P7" i="269"/>
  <c r="I6" i="269"/>
  <c r="C3" i="269"/>
  <c r="D35" i="268"/>
  <c r="E35" i="268" s="1"/>
  <c r="E34" i="268"/>
  <c r="D34" i="268"/>
  <c r="D33" i="268"/>
  <c r="E33" i="268" s="1"/>
  <c r="E32" i="268"/>
  <c r="D32" i="268"/>
  <c r="D31" i="268"/>
  <c r="E31" i="268" s="1"/>
  <c r="D30" i="268"/>
  <c r="E30" i="268" s="1"/>
  <c r="D29" i="268"/>
  <c r="E29" i="268" s="1"/>
  <c r="D28" i="268"/>
  <c r="E28" i="268" s="1"/>
  <c r="P18" i="268"/>
  <c r="O18" i="268"/>
  <c r="N18" i="268"/>
  <c r="L18" i="268"/>
  <c r="K18" i="268"/>
  <c r="J18" i="268"/>
  <c r="H18" i="268"/>
  <c r="G18" i="268"/>
  <c r="F18" i="268"/>
  <c r="P17" i="268"/>
  <c r="M16" i="268"/>
  <c r="I16" i="268"/>
  <c r="P15" i="268"/>
  <c r="M14" i="268"/>
  <c r="I14" i="268"/>
  <c r="P13" i="268"/>
  <c r="M12" i="268"/>
  <c r="I12" i="268"/>
  <c r="P11" i="268"/>
  <c r="M10" i="268"/>
  <c r="I10" i="268"/>
  <c r="P9" i="268"/>
  <c r="M8" i="268"/>
  <c r="I8" i="268"/>
  <c r="P7" i="268"/>
  <c r="I6" i="268"/>
  <c r="C3" i="268"/>
  <c r="D35" i="267"/>
  <c r="E35" i="267" s="1"/>
  <c r="D34" i="267"/>
  <c r="E34" i="267" s="1"/>
  <c r="D33" i="267"/>
  <c r="E33" i="267" s="1"/>
  <c r="D32" i="267"/>
  <c r="E32" i="267" s="1"/>
  <c r="D31" i="267"/>
  <c r="E31" i="267" s="1"/>
  <c r="D30" i="267"/>
  <c r="E30" i="267" s="1"/>
  <c r="D29" i="267"/>
  <c r="E29" i="267" s="1"/>
  <c r="D28" i="267"/>
  <c r="E28" i="267" s="1"/>
  <c r="P18" i="267"/>
  <c r="O18" i="267"/>
  <c r="N18" i="267"/>
  <c r="L18" i="267"/>
  <c r="K18" i="267"/>
  <c r="J18" i="267"/>
  <c r="H18" i="267"/>
  <c r="G18" i="267"/>
  <c r="F18" i="267"/>
  <c r="P17" i="267"/>
  <c r="M16" i="267"/>
  <c r="I16" i="267"/>
  <c r="P15" i="267"/>
  <c r="M14" i="267"/>
  <c r="I14" i="267"/>
  <c r="P13" i="267"/>
  <c r="M12" i="267"/>
  <c r="I12" i="267"/>
  <c r="P11" i="267"/>
  <c r="M10" i="267"/>
  <c r="I10" i="267"/>
  <c r="P9" i="267"/>
  <c r="M8" i="267"/>
  <c r="I8" i="267"/>
  <c r="P7" i="267"/>
  <c r="I6" i="267"/>
  <c r="I18" i="267" s="1"/>
  <c r="C3" i="267"/>
  <c r="E35" i="266"/>
  <c r="D35" i="266"/>
  <c r="E34" i="266"/>
  <c r="D34" i="266"/>
  <c r="D33" i="266"/>
  <c r="E33" i="266" s="1"/>
  <c r="D32" i="266"/>
  <c r="E32" i="266" s="1"/>
  <c r="D31" i="266"/>
  <c r="E31" i="266" s="1"/>
  <c r="D30" i="266"/>
  <c r="E30" i="266" s="1"/>
  <c r="E29" i="266"/>
  <c r="D29" i="266"/>
  <c r="D28" i="266"/>
  <c r="E28" i="266" s="1"/>
  <c r="P18" i="266"/>
  <c r="O18" i="266"/>
  <c r="N18" i="266"/>
  <c r="L18" i="266"/>
  <c r="K18" i="266"/>
  <c r="J18" i="266"/>
  <c r="H18" i="266"/>
  <c r="G18" i="266"/>
  <c r="F18" i="266"/>
  <c r="P17" i="266"/>
  <c r="M16" i="266"/>
  <c r="I16" i="266"/>
  <c r="P15" i="266"/>
  <c r="M14" i="266"/>
  <c r="I14" i="266"/>
  <c r="P13" i="266"/>
  <c r="M12" i="266"/>
  <c r="I12" i="266"/>
  <c r="P11" i="266"/>
  <c r="M10" i="266"/>
  <c r="I10" i="266"/>
  <c r="P9" i="266"/>
  <c r="M8" i="266"/>
  <c r="I8" i="266"/>
  <c r="P7" i="266"/>
  <c r="I6" i="266"/>
  <c r="C3" i="266"/>
  <c r="D35" i="265"/>
  <c r="E35" i="265" s="1"/>
  <c r="D34" i="265"/>
  <c r="E34" i="265" s="1"/>
  <c r="D33" i="265"/>
  <c r="E33" i="265" s="1"/>
  <c r="D32" i="265"/>
  <c r="E32" i="265" s="1"/>
  <c r="E31" i="265"/>
  <c r="D31" i="265"/>
  <c r="D30" i="265"/>
  <c r="E30" i="265" s="1"/>
  <c r="E29" i="265"/>
  <c r="D29" i="265"/>
  <c r="D28" i="265"/>
  <c r="E28" i="265" s="1"/>
  <c r="P18" i="265"/>
  <c r="O18" i="265"/>
  <c r="N18" i="265"/>
  <c r="L18" i="265"/>
  <c r="K18" i="265"/>
  <c r="J18" i="265"/>
  <c r="H18" i="265"/>
  <c r="G18" i="265"/>
  <c r="F18" i="265"/>
  <c r="P17" i="265"/>
  <c r="M16" i="265"/>
  <c r="M18" i="265" s="1"/>
  <c r="I16" i="265"/>
  <c r="P15" i="265"/>
  <c r="M14" i="265"/>
  <c r="I14" i="265"/>
  <c r="P13" i="265"/>
  <c r="M12" i="265"/>
  <c r="I12" i="265"/>
  <c r="P11" i="265"/>
  <c r="M10" i="265"/>
  <c r="I10" i="265"/>
  <c r="P9" i="265"/>
  <c r="M8" i="265"/>
  <c r="I8" i="265"/>
  <c r="P7" i="265"/>
  <c r="I6" i="265"/>
  <c r="I18" i="265" s="1"/>
  <c r="C3" i="265"/>
  <c r="D33" i="264"/>
  <c r="E33" i="264" s="1"/>
  <c r="E32" i="264"/>
  <c r="D32" i="264"/>
  <c r="D31" i="264"/>
  <c r="E31" i="264" s="1"/>
  <c r="E30" i="264"/>
  <c r="D30" i="264"/>
  <c r="D29" i="264"/>
  <c r="E29" i="264" s="1"/>
  <c r="E28" i="264"/>
  <c r="D28" i="264"/>
  <c r="D27" i="264"/>
  <c r="E27" i="264" s="1"/>
  <c r="P18" i="264"/>
  <c r="O18" i="264"/>
  <c r="N18" i="264"/>
  <c r="L18" i="264"/>
  <c r="K18" i="264"/>
  <c r="J18" i="264"/>
  <c r="H18" i="264"/>
  <c r="G18" i="264"/>
  <c r="F18" i="264"/>
  <c r="P17" i="264"/>
  <c r="M16" i="264"/>
  <c r="I16" i="264"/>
  <c r="P15" i="264"/>
  <c r="M14" i="264"/>
  <c r="I14" i="264"/>
  <c r="P13" i="264"/>
  <c r="M12" i="264"/>
  <c r="I12" i="264"/>
  <c r="P11" i="264"/>
  <c r="M10" i="264"/>
  <c r="I10" i="264"/>
  <c r="P9" i="264"/>
  <c r="M8" i="264"/>
  <c r="I8" i="264"/>
  <c r="P7" i="264"/>
  <c r="I6" i="264"/>
  <c r="C3" i="264"/>
  <c r="D33" i="263"/>
  <c r="E33" i="263" s="1"/>
  <c r="D32" i="263"/>
  <c r="E32" i="263" s="1"/>
  <c r="E31" i="263"/>
  <c r="D31" i="263"/>
  <c r="D30" i="263"/>
  <c r="E30" i="263" s="1"/>
  <c r="D29" i="263"/>
  <c r="E29" i="263" s="1"/>
  <c r="D28" i="263"/>
  <c r="E28" i="263" s="1"/>
  <c r="E27" i="263"/>
  <c r="D27" i="263"/>
  <c r="P18" i="263"/>
  <c r="O18" i="263"/>
  <c r="N18" i="263"/>
  <c r="L18" i="263"/>
  <c r="K18" i="263"/>
  <c r="J18" i="263"/>
  <c r="H18" i="263"/>
  <c r="G18" i="263"/>
  <c r="F18" i="263"/>
  <c r="P17" i="263"/>
  <c r="M16" i="263"/>
  <c r="I16" i="263"/>
  <c r="P15" i="263"/>
  <c r="M14" i="263"/>
  <c r="I14" i="263"/>
  <c r="P13" i="263"/>
  <c r="M12" i="263"/>
  <c r="I12" i="263"/>
  <c r="P11" i="263"/>
  <c r="M10" i="263"/>
  <c r="I10" i="263"/>
  <c r="P9" i="263"/>
  <c r="M8" i="263"/>
  <c r="I8" i="263"/>
  <c r="P7" i="263"/>
  <c r="I6" i="263"/>
  <c r="I18" i="263" s="1"/>
  <c r="C3" i="263"/>
  <c r="D33" i="262"/>
  <c r="E33" i="262" s="1"/>
  <c r="D32" i="262"/>
  <c r="E32" i="262" s="1"/>
  <c r="E31" i="262"/>
  <c r="D31" i="262"/>
  <c r="D30" i="262"/>
  <c r="E30" i="262" s="1"/>
  <c r="D29" i="262"/>
  <c r="E29" i="262" s="1"/>
  <c r="D28" i="262"/>
  <c r="E28" i="262" s="1"/>
  <c r="D27" i="262"/>
  <c r="E27" i="262" s="1"/>
  <c r="P18" i="262"/>
  <c r="O18" i="262"/>
  <c r="N18" i="262"/>
  <c r="L18" i="262"/>
  <c r="K18" i="262"/>
  <c r="J18" i="262"/>
  <c r="H18" i="262"/>
  <c r="G18" i="262"/>
  <c r="F18" i="262"/>
  <c r="P17" i="262"/>
  <c r="M16" i="262"/>
  <c r="I16" i="262"/>
  <c r="P15" i="262"/>
  <c r="M14" i="262"/>
  <c r="I14" i="262"/>
  <c r="P13" i="262"/>
  <c r="M12" i="262"/>
  <c r="I12" i="262"/>
  <c r="P11" i="262"/>
  <c r="P19" i="262" s="1"/>
  <c r="P20" i="262" s="1"/>
  <c r="M10" i="262"/>
  <c r="I10" i="262"/>
  <c r="P9" i="262"/>
  <c r="M8" i="262"/>
  <c r="I8" i="262"/>
  <c r="P7" i="262"/>
  <c r="I6" i="262"/>
  <c r="I18" i="262" s="1"/>
  <c r="C3" i="262"/>
  <c r="D33" i="261"/>
  <c r="E33" i="261" s="1"/>
  <c r="E32" i="261"/>
  <c r="D32" i="261"/>
  <c r="D31" i="261"/>
  <c r="E31" i="261" s="1"/>
  <c r="D30" i="261"/>
  <c r="E30" i="261" s="1"/>
  <c r="D29" i="261"/>
  <c r="E29" i="261" s="1"/>
  <c r="D28" i="261"/>
  <c r="E28" i="261" s="1"/>
  <c r="D27" i="261"/>
  <c r="E27" i="261" s="1"/>
  <c r="P18" i="261"/>
  <c r="O18" i="261"/>
  <c r="N18" i="261"/>
  <c r="L18" i="261"/>
  <c r="K18" i="261"/>
  <c r="J18" i="261"/>
  <c r="H18" i="261"/>
  <c r="G18" i="261"/>
  <c r="F18" i="261"/>
  <c r="P17" i="261"/>
  <c r="M16" i="261"/>
  <c r="I16" i="261"/>
  <c r="P15" i="261"/>
  <c r="P19" i="261" s="1"/>
  <c r="P20" i="261" s="1"/>
  <c r="M14" i="261"/>
  <c r="I14" i="261"/>
  <c r="P13" i="261"/>
  <c r="M12" i="261"/>
  <c r="I12" i="261"/>
  <c r="P11" i="261"/>
  <c r="M10" i="261"/>
  <c r="I10" i="261"/>
  <c r="P9" i="261"/>
  <c r="M8" i="261"/>
  <c r="I8" i="261"/>
  <c r="P7" i="261"/>
  <c r="I6" i="261"/>
  <c r="C3" i="261"/>
  <c r="E33" i="260"/>
  <c r="D33" i="260"/>
  <c r="D32" i="260"/>
  <c r="E32" i="260" s="1"/>
  <c r="D31" i="260"/>
  <c r="E31" i="260" s="1"/>
  <c r="D30" i="260"/>
  <c r="E30" i="260" s="1"/>
  <c r="E29" i="260"/>
  <c r="D29" i="260"/>
  <c r="D28" i="260"/>
  <c r="E28" i="260" s="1"/>
  <c r="D27" i="260"/>
  <c r="E27" i="260" s="1"/>
  <c r="P18" i="260"/>
  <c r="O18" i="260"/>
  <c r="N18" i="260"/>
  <c r="L18" i="260"/>
  <c r="K18" i="260"/>
  <c r="J18" i="260"/>
  <c r="H18" i="260"/>
  <c r="G18" i="260"/>
  <c r="F18" i="260"/>
  <c r="P17" i="260"/>
  <c r="M16" i="260"/>
  <c r="I16" i="260"/>
  <c r="P15" i="260"/>
  <c r="M14" i="260"/>
  <c r="I14" i="260"/>
  <c r="P13" i="260"/>
  <c r="M12" i="260"/>
  <c r="I12" i="260"/>
  <c r="P11" i="260"/>
  <c r="M10" i="260"/>
  <c r="I10" i="260"/>
  <c r="P9" i="260"/>
  <c r="M8" i="260"/>
  <c r="I8" i="260"/>
  <c r="P7" i="260"/>
  <c r="I6" i="260"/>
  <c r="C3" i="260"/>
  <c r="E33" i="259"/>
  <c r="D33" i="259"/>
  <c r="D32" i="259"/>
  <c r="E32" i="259" s="1"/>
  <c r="D31" i="259"/>
  <c r="E31" i="259" s="1"/>
  <c r="D30" i="259"/>
  <c r="E30" i="259" s="1"/>
  <c r="E29" i="259"/>
  <c r="D29" i="259"/>
  <c r="D28" i="259"/>
  <c r="E28" i="259" s="1"/>
  <c r="D27" i="259"/>
  <c r="E27" i="259" s="1"/>
  <c r="P18" i="259"/>
  <c r="O18" i="259"/>
  <c r="N18" i="259"/>
  <c r="L18" i="259"/>
  <c r="K18" i="259"/>
  <c r="J18" i="259"/>
  <c r="H18" i="259"/>
  <c r="G18" i="259"/>
  <c r="F18" i="259"/>
  <c r="P17" i="259"/>
  <c r="M16" i="259"/>
  <c r="I16" i="259"/>
  <c r="P15" i="259"/>
  <c r="M14" i="259"/>
  <c r="I14" i="259"/>
  <c r="P13" i="259"/>
  <c r="M12" i="259"/>
  <c r="I12" i="259"/>
  <c r="P11" i="259"/>
  <c r="M10" i="259"/>
  <c r="I10" i="259"/>
  <c r="P9" i="259"/>
  <c r="M8" i="259"/>
  <c r="I8" i="259"/>
  <c r="P7" i="259"/>
  <c r="I6" i="259"/>
  <c r="C3" i="259"/>
  <c r="D33" i="258"/>
  <c r="E33" i="258" s="1"/>
  <c r="D32" i="258"/>
  <c r="E32" i="258" s="1"/>
  <c r="D31" i="258"/>
  <c r="E31" i="258" s="1"/>
  <c r="D30" i="258"/>
  <c r="E30" i="258" s="1"/>
  <c r="E29" i="258"/>
  <c r="D29" i="258"/>
  <c r="D28" i="258"/>
  <c r="E28" i="258" s="1"/>
  <c r="D27" i="258"/>
  <c r="E27" i="258" s="1"/>
  <c r="P18" i="258"/>
  <c r="O18" i="258"/>
  <c r="N18" i="258"/>
  <c r="L18" i="258"/>
  <c r="K18" i="258"/>
  <c r="J18" i="258"/>
  <c r="H18" i="258"/>
  <c r="G18" i="258"/>
  <c r="F18" i="258"/>
  <c r="P17" i="258"/>
  <c r="M16" i="258"/>
  <c r="M18" i="258" s="1"/>
  <c r="I16" i="258"/>
  <c r="P15" i="258"/>
  <c r="M14" i="258"/>
  <c r="I14" i="258"/>
  <c r="P13" i="258"/>
  <c r="M12" i="258"/>
  <c r="I12" i="258"/>
  <c r="P11" i="258"/>
  <c r="M10" i="258"/>
  <c r="I10" i="258"/>
  <c r="P9" i="258"/>
  <c r="M8" i="258"/>
  <c r="I8" i="258"/>
  <c r="P7" i="258"/>
  <c r="I6" i="258"/>
  <c r="I18" i="258" s="1"/>
  <c r="C3" i="258"/>
  <c r="D33" i="257"/>
  <c r="E33" i="257" s="1"/>
  <c r="D32" i="257"/>
  <c r="E32" i="257" s="1"/>
  <c r="D31" i="257"/>
  <c r="E31" i="257" s="1"/>
  <c r="D30" i="257"/>
  <c r="E30" i="257" s="1"/>
  <c r="D29" i="257"/>
  <c r="E29" i="257" s="1"/>
  <c r="D28" i="257"/>
  <c r="E28" i="257" s="1"/>
  <c r="D27" i="257"/>
  <c r="E27" i="257" s="1"/>
  <c r="P18" i="257"/>
  <c r="O18" i="257"/>
  <c r="N18" i="257"/>
  <c r="L18" i="257"/>
  <c r="K18" i="257"/>
  <c r="J18" i="257"/>
  <c r="H18" i="257"/>
  <c r="G18" i="257"/>
  <c r="F18" i="257"/>
  <c r="P17" i="257"/>
  <c r="M16" i="257"/>
  <c r="I16" i="257"/>
  <c r="P15" i="257"/>
  <c r="M14" i="257"/>
  <c r="I14" i="257"/>
  <c r="P13" i="257"/>
  <c r="M12" i="257"/>
  <c r="I12" i="257"/>
  <c r="P11" i="257"/>
  <c r="M10" i="257"/>
  <c r="I10" i="257"/>
  <c r="P9" i="257"/>
  <c r="M8" i="257"/>
  <c r="M18" i="257" s="1"/>
  <c r="I8" i="257"/>
  <c r="P7" i="257"/>
  <c r="I6" i="257"/>
  <c r="C3" i="257"/>
  <c r="D33" i="256"/>
  <c r="E33" i="256" s="1"/>
  <c r="D32" i="256"/>
  <c r="E32" i="256" s="1"/>
  <c r="E31" i="256"/>
  <c r="D31" i="256"/>
  <c r="E30" i="256"/>
  <c r="D30" i="256"/>
  <c r="D29" i="256"/>
  <c r="E29" i="256" s="1"/>
  <c r="E28" i="256"/>
  <c r="D28" i="256"/>
  <c r="E27" i="256"/>
  <c r="D27" i="256"/>
  <c r="P18" i="256"/>
  <c r="O18" i="256"/>
  <c r="N18" i="256"/>
  <c r="L18" i="256"/>
  <c r="K18" i="256"/>
  <c r="J18" i="256"/>
  <c r="H18" i="256"/>
  <c r="G18" i="256"/>
  <c r="F18" i="256"/>
  <c r="P17" i="256"/>
  <c r="M16" i="256"/>
  <c r="I16" i="256"/>
  <c r="P15" i="256"/>
  <c r="M14" i="256"/>
  <c r="I14" i="256"/>
  <c r="P13" i="256"/>
  <c r="M12" i="256"/>
  <c r="I12" i="256"/>
  <c r="P11" i="256"/>
  <c r="M10" i="256"/>
  <c r="I10" i="256"/>
  <c r="P9" i="256"/>
  <c r="M8" i="256"/>
  <c r="M18" i="256" s="1"/>
  <c r="I8" i="256"/>
  <c r="P7" i="256"/>
  <c r="I6" i="256"/>
  <c r="C3" i="256"/>
  <c r="D33" i="255"/>
  <c r="E33" i="255" s="1"/>
  <c r="D32" i="255"/>
  <c r="E32" i="255" s="1"/>
  <c r="D31" i="255"/>
  <c r="E31" i="255" s="1"/>
  <c r="D30" i="255"/>
  <c r="E30" i="255" s="1"/>
  <c r="D29" i="255"/>
  <c r="E29" i="255" s="1"/>
  <c r="D28" i="255"/>
  <c r="E28" i="255" s="1"/>
  <c r="D27" i="255"/>
  <c r="E27" i="255" s="1"/>
  <c r="P18" i="255"/>
  <c r="O18" i="255"/>
  <c r="N18" i="255"/>
  <c r="L18" i="255"/>
  <c r="K18" i="255"/>
  <c r="J18" i="255"/>
  <c r="H18" i="255"/>
  <c r="G18" i="255"/>
  <c r="F18" i="255"/>
  <c r="P17" i="255"/>
  <c r="M16" i="255"/>
  <c r="M18" i="255" s="1"/>
  <c r="I16" i="255"/>
  <c r="P15" i="255"/>
  <c r="M14" i="255"/>
  <c r="I14" i="255"/>
  <c r="P13" i="255"/>
  <c r="M12" i="255"/>
  <c r="I12" i="255"/>
  <c r="P11" i="255"/>
  <c r="M10" i="255"/>
  <c r="I10" i="255"/>
  <c r="P9" i="255"/>
  <c r="M8" i="255"/>
  <c r="I8" i="255"/>
  <c r="P7" i="255"/>
  <c r="I6" i="255"/>
  <c r="C3" i="255"/>
  <c r="E33" i="254"/>
  <c r="D33" i="254"/>
  <c r="E32" i="254"/>
  <c r="D32" i="254"/>
  <c r="D31" i="254"/>
  <c r="E31" i="254" s="1"/>
  <c r="D30" i="254"/>
  <c r="E30" i="254" s="1"/>
  <c r="D29" i="254"/>
  <c r="E29" i="254" s="1"/>
  <c r="D28" i="254"/>
  <c r="E28" i="254" s="1"/>
  <c r="D27" i="254"/>
  <c r="E27" i="254" s="1"/>
  <c r="P18" i="254"/>
  <c r="O18" i="254"/>
  <c r="N18" i="254"/>
  <c r="L18" i="254"/>
  <c r="K18" i="254"/>
  <c r="J18" i="254"/>
  <c r="H18" i="254"/>
  <c r="G18" i="254"/>
  <c r="F18" i="254"/>
  <c r="P17" i="254"/>
  <c r="M16" i="254"/>
  <c r="I16" i="254"/>
  <c r="P15" i="254"/>
  <c r="M14" i="254"/>
  <c r="I14" i="254"/>
  <c r="P13" i="254"/>
  <c r="M12" i="254"/>
  <c r="I12" i="254"/>
  <c r="P11" i="254"/>
  <c r="M10" i="254"/>
  <c r="I10" i="254"/>
  <c r="P9" i="254"/>
  <c r="M8" i="254"/>
  <c r="I8" i="254"/>
  <c r="P7" i="254"/>
  <c r="I6" i="254"/>
  <c r="I18" i="254" s="1"/>
  <c r="C3" i="254"/>
  <c r="D33" i="253"/>
  <c r="E33" i="253" s="1"/>
  <c r="D32" i="253"/>
  <c r="E32" i="253" s="1"/>
  <c r="D31" i="253"/>
  <c r="E31" i="253" s="1"/>
  <c r="D30" i="253"/>
  <c r="E30" i="253" s="1"/>
  <c r="D29" i="253"/>
  <c r="E29" i="253" s="1"/>
  <c r="E28" i="253"/>
  <c r="D28" i="253"/>
  <c r="D27" i="253"/>
  <c r="E27" i="253" s="1"/>
  <c r="P18" i="253"/>
  <c r="O18" i="253"/>
  <c r="N18" i="253"/>
  <c r="L18" i="253"/>
  <c r="K18" i="253"/>
  <c r="J18" i="253"/>
  <c r="H18" i="253"/>
  <c r="G18" i="253"/>
  <c r="F18" i="253"/>
  <c r="P17" i="253"/>
  <c r="M16" i="253"/>
  <c r="I16" i="253"/>
  <c r="P15" i="253"/>
  <c r="M14" i="253"/>
  <c r="I14" i="253"/>
  <c r="P13" i="253"/>
  <c r="M12" i="253"/>
  <c r="I12" i="253"/>
  <c r="P11" i="253"/>
  <c r="M10" i="253"/>
  <c r="I10" i="253"/>
  <c r="P9" i="253"/>
  <c r="M8" i="253"/>
  <c r="I8" i="253"/>
  <c r="P7" i="253"/>
  <c r="I6" i="253"/>
  <c r="C3" i="253"/>
  <c r="D33" i="252"/>
  <c r="E33" i="252" s="1"/>
  <c r="D32" i="252"/>
  <c r="E32" i="252" s="1"/>
  <c r="D31" i="252"/>
  <c r="E31" i="252" s="1"/>
  <c r="D30" i="252"/>
  <c r="E30" i="252" s="1"/>
  <c r="D29" i="252"/>
  <c r="E29" i="252" s="1"/>
  <c r="D28" i="252"/>
  <c r="E28" i="252" s="1"/>
  <c r="D27" i="252"/>
  <c r="E27" i="252" s="1"/>
  <c r="P18" i="252"/>
  <c r="O18" i="252"/>
  <c r="N18" i="252"/>
  <c r="L18" i="252"/>
  <c r="K18" i="252"/>
  <c r="J18" i="252"/>
  <c r="H18" i="252"/>
  <c r="G18" i="252"/>
  <c r="F18" i="252"/>
  <c r="P17" i="252"/>
  <c r="M16" i="252"/>
  <c r="I16" i="252"/>
  <c r="P15" i="252"/>
  <c r="M14" i="252"/>
  <c r="I14" i="252"/>
  <c r="P13" i="252"/>
  <c r="M12" i="252"/>
  <c r="I12" i="252"/>
  <c r="P11" i="252"/>
  <c r="M10" i="252"/>
  <c r="I10" i="252"/>
  <c r="P9" i="252"/>
  <c r="M8" i="252"/>
  <c r="I8" i="252"/>
  <c r="P7" i="252"/>
  <c r="I6" i="252"/>
  <c r="C3" i="252"/>
  <c r="D33" i="251"/>
  <c r="E33" i="251" s="1"/>
  <c r="D32" i="251"/>
  <c r="E32" i="251" s="1"/>
  <c r="D31" i="251"/>
  <c r="E31" i="251" s="1"/>
  <c r="D30" i="251"/>
  <c r="E30" i="251" s="1"/>
  <c r="D29" i="251"/>
  <c r="E29" i="251" s="1"/>
  <c r="D28" i="251"/>
  <c r="E28" i="251" s="1"/>
  <c r="D27" i="251"/>
  <c r="E27" i="251" s="1"/>
  <c r="P18" i="251"/>
  <c r="O18" i="251"/>
  <c r="N18" i="251"/>
  <c r="L18" i="251"/>
  <c r="K18" i="251"/>
  <c r="J18" i="251"/>
  <c r="H18" i="251"/>
  <c r="G18" i="251"/>
  <c r="F18" i="251"/>
  <c r="P17" i="251"/>
  <c r="M16" i="251"/>
  <c r="I16" i="251"/>
  <c r="P15" i="251"/>
  <c r="M14" i="251"/>
  <c r="I14" i="251"/>
  <c r="P13" i="251"/>
  <c r="M12" i="251"/>
  <c r="I12" i="251"/>
  <c r="P11" i="251"/>
  <c r="M10" i="251"/>
  <c r="I10" i="251"/>
  <c r="P9" i="251"/>
  <c r="M8" i="251"/>
  <c r="I8" i="251"/>
  <c r="P7" i="251"/>
  <c r="I6" i="251"/>
  <c r="C3" i="251"/>
  <c r="E33" i="250"/>
  <c r="D33" i="250"/>
  <c r="D32" i="250"/>
  <c r="E32" i="250" s="1"/>
  <c r="D31" i="250"/>
  <c r="E31" i="250" s="1"/>
  <c r="D30" i="250"/>
  <c r="E30" i="250" s="1"/>
  <c r="D29" i="250"/>
  <c r="E29" i="250" s="1"/>
  <c r="D28" i="250"/>
  <c r="E28" i="250" s="1"/>
  <c r="D27" i="250"/>
  <c r="E27" i="250" s="1"/>
  <c r="P18" i="250"/>
  <c r="O18" i="250"/>
  <c r="N18" i="250"/>
  <c r="L18" i="250"/>
  <c r="K18" i="250"/>
  <c r="J18" i="250"/>
  <c r="H18" i="250"/>
  <c r="G18" i="250"/>
  <c r="F18" i="250"/>
  <c r="P17" i="250"/>
  <c r="M16" i="250"/>
  <c r="I16" i="250"/>
  <c r="P15" i="250"/>
  <c r="M14" i="250"/>
  <c r="I14" i="250"/>
  <c r="P13" i="250"/>
  <c r="M12" i="250"/>
  <c r="I12" i="250"/>
  <c r="P11" i="250"/>
  <c r="M10" i="250"/>
  <c r="M18" i="250" s="1"/>
  <c r="I10" i="250"/>
  <c r="P9" i="250"/>
  <c r="M8" i="250"/>
  <c r="I8" i="250"/>
  <c r="P7" i="250"/>
  <c r="I6" i="250"/>
  <c r="C3" i="250"/>
  <c r="D33" i="249"/>
  <c r="E33" i="249" s="1"/>
  <c r="D32" i="249"/>
  <c r="E32" i="249" s="1"/>
  <c r="D31" i="249"/>
  <c r="E31" i="249" s="1"/>
  <c r="E30" i="249"/>
  <c r="D30" i="249"/>
  <c r="D29" i="249"/>
  <c r="E29" i="249" s="1"/>
  <c r="D28" i="249"/>
  <c r="E28" i="249" s="1"/>
  <c r="D27" i="249"/>
  <c r="E27" i="249" s="1"/>
  <c r="P18" i="249"/>
  <c r="O18" i="249"/>
  <c r="N18" i="249"/>
  <c r="L18" i="249"/>
  <c r="K18" i="249"/>
  <c r="J18" i="249"/>
  <c r="H18" i="249"/>
  <c r="G18" i="249"/>
  <c r="F18" i="249"/>
  <c r="P17" i="249"/>
  <c r="M16" i="249"/>
  <c r="I16" i="249"/>
  <c r="P15" i="249"/>
  <c r="M14" i="249"/>
  <c r="I14" i="249"/>
  <c r="P13" i="249"/>
  <c r="M12" i="249"/>
  <c r="I12" i="249"/>
  <c r="P11" i="249"/>
  <c r="M10" i="249"/>
  <c r="I10" i="249"/>
  <c r="P9" i="249"/>
  <c r="M8" i="249"/>
  <c r="M18" i="249" s="1"/>
  <c r="I8" i="249"/>
  <c r="P7" i="249"/>
  <c r="I6" i="249"/>
  <c r="C3" i="249"/>
  <c r="D33" i="248"/>
  <c r="E33" i="248" s="1"/>
  <c r="E32" i="248"/>
  <c r="D32" i="248"/>
  <c r="E31" i="248"/>
  <c r="D31" i="248"/>
  <c r="D30" i="248"/>
  <c r="E30" i="248" s="1"/>
  <c r="D29" i="248"/>
  <c r="E29" i="248" s="1"/>
  <c r="D28" i="248"/>
  <c r="E28" i="248" s="1"/>
  <c r="D27" i="248"/>
  <c r="E27" i="248" s="1"/>
  <c r="P18" i="248"/>
  <c r="O18" i="248"/>
  <c r="N18" i="248"/>
  <c r="L18" i="248"/>
  <c r="K18" i="248"/>
  <c r="J18" i="248"/>
  <c r="H18" i="248"/>
  <c r="G18" i="248"/>
  <c r="F18" i="248"/>
  <c r="P17" i="248"/>
  <c r="M16" i="248"/>
  <c r="I16" i="248"/>
  <c r="P15" i="248"/>
  <c r="M14" i="248"/>
  <c r="I14" i="248"/>
  <c r="P13" i="248"/>
  <c r="M12" i="248"/>
  <c r="I12" i="248"/>
  <c r="P11" i="248"/>
  <c r="M10" i="248"/>
  <c r="I10" i="248"/>
  <c r="P9" i="248"/>
  <c r="M8" i="248"/>
  <c r="I8" i="248"/>
  <c r="P7" i="248"/>
  <c r="I6" i="248"/>
  <c r="C3" i="248"/>
  <c r="D33" i="247"/>
  <c r="E33" i="247" s="1"/>
  <c r="D32" i="247"/>
  <c r="E32" i="247" s="1"/>
  <c r="E31" i="247"/>
  <c r="D31" i="247"/>
  <c r="D30" i="247"/>
  <c r="E30" i="247" s="1"/>
  <c r="D29" i="247"/>
  <c r="E29" i="247" s="1"/>
  <c r="D28" i="247"/>
  <c r="E28" i="247" s="1"/>
  <c r="D27" i="247"/>
  <c r="E27" i="247" s="1"/>
  <c r="P18" i="247"/>
  <c r="O18" i="247"/>
  <c r="N18" i="247"/>
  <c r="M18" i="247"/>
  <c r="L18" i="247"/>
  <c r="K18" i="247"/>
  <c r="J18" i="247"/>
  <c r="H18" i="247"/>
  <c r="G18" i="247"/>
  <c r="F18" i="247"/>
  <c r="P17" i="247"/>
  <c r="I16" i="247"/>
  <c r="P15" i="247"/>
  <c r="I14" i="247"/>
  <c r="P13" i="247"/>
  <c r="I12" i="247"/>
  <c r="P11" i="247"/>
  <c r="I10" i="247"/>
  <c r="P9" i="247"/>
  <c r="I8" i="247"/>
  <c r="I18" i="247" s="1"/>
  <c r="P7" i="247"/>
  <c r="I6" i="247"/>
  <c r="C3" i="247"/>
  <c r="D33" i="246"/>
  <c r="E33" i="246" s="1"/>
  <c r="D32" i="246"/>
  <c r="E32" i="246" s="1"/>
  <c r="E31" i="246"/>
  <c r="D31" i="246"/>
  <c r="D30" i="246"/>
  <c r="E30" i="246" s="1"/>
  <c r="D29" i="246"/>
  <c r="E29" i="246" s="1"/>
  <c r="D28" i="246"/>
  <c r="E28" i="246" s="1"/>
  <c r="D27" i="246"/>
  <c r="E27" i="246" s="1"/>
  <c r="P18" i="246"/>
  <c r="O18" i="246"/>
  <c r="N18" i="246"/>
  <c r="L18" i="246"/>
  <c r="K18" i="246"/>
  <c r="J18" i="246"/>
  <c r="H18" i="246"/>
  <c r="G18" i="246"/>
  <c r="F18" i="246"/>
  <c r="P17" i="246"/>
  <c r="M16" i="246"/>
  <c r="I16" i="246"/>
  <c r="P15" i="246"/>
  <c r="M14" i="246"/>
  <c r="I14" i="246"/>
  <c r="P13" i="246"/>
  <c r="M12" i="246"/>
  <c r="I12" i="246"/>
  <c r="P11" i="246"/>
  <c r="M10" i="246"/>
  <c r="I10" i="246"/>
  <c r="P9" i="246"/>
  <c r="M8" i="246"/>
  <c r="I8" i="246"/>
  <c r="P7" i="246"/>
  <c r="M6" i="246"/>
  <c r="I6" i="246"/>
  <c r="C3" i="246"/>
  <c r="D33" i="245"/>
  <c r="E33" i="245" s="1"/>
  <c r="D32" i="245"/>
  <c r="E32" i="245" s="1"/>
  <c r="D31" i="245"/>
  <c r="E31" i="245" s="1"/>
  <c r="D30" i="245"/>
  <c r="E30" i="245" s="1"/>
  <c r="D29" i="245"/>
  <c r="E29" i="245" s="1"/>
  <c r="D28" i="245"/>
  <c r="E28" i="245" s="1"/>
  <c r="D27" i="245"/>
  <c r="E27" i="245" s="1"/>
  <c r="P18" i="245"/>
  <c r="O18" i="245"/>
  <c r="N18" i="245"/>
  <c r="L18" i="245"/>
  <c r="K18" i="245"/>
  <c r="J18" i="245"/>
  <c r="H18" i="245"/>
  <c r="G18" i="245"/>
  <c r="F18" i="245"/>
  <c r="P17" i="245"/>
  <c r="M16" i="245"/>
  <c r="I16" i="245"/>
  <c r="P15" i="245"/>
  <c r="M14" i="245"/>
  <c r="I14" i="245"/>
  <c r="P13" i="245"/>
  <c r="M12" i="245"/>
  <c r="I12" i="245"/>
  <c r="P11" i="245"/>
  <c r="M10" i="245"/>
  <c r="I10" i="245"/>
  <c r="P9" i="245"/>
  <c r="M8" i="245"/>
  <c r="I8" i="245"/>
  <c r="P7" i="245"/>
  <c r="M6" i="245"/>
  <c r="M18" i="245" s="1"/>
  <c r="I6" i="245"/>
  <c r="C3" i="245"/>
  <c r="E33" i="244"/>
  <c r="D33" i="244"/>
  <c r="D32" i="244"/>
  <c r="E32" i="244" s="1"/>
  <c r="D31" i="244"/>
  <c r="E31" i="244" s="1"/>
  <c r="D30" i="244"/>
  <c r="E30" i="244" s="1"/>
  <c r="E29" i="244"/>
  <c r="D29" i="244"/>
  <c r="D28" i="244"/>
  <c r="E28" i="244" s="1"/>
  <c r="D27" i="244"/>
  <c r="E27" i="244" s="1"/>
  <c r="P18" i="244"/>
  <c r="O18" i="244"/>
  <c r="N18" i="244"/>
  <c r="L18" i="244"/>
  <c r="K18" i="244"/>
  <c r="J18" i="244"/>
  <c r="H18" i="244"/>
  <c r="G18" i="244"/>
  <c r="F18" i="244"/>
  <c r="P17" i="244"/>
  <c r="M16" i="244"/>
  <c r="I16" i="244"/>
  <c r="P15" i="244"/>
  <c r="M14" i="244"/>
  <c r="I14" i="244"/>
  <c r="P13" i="244"/>
  <c r="M12" i="244"/>
  <c r="I12" i="244"/>
  <c r="P11" i="244"/>
  <c r="M10" i="244"/>
  <c r="I10" i="244"/>
  <c r="P9" i="244"/>
  <c r="M8" i="244"/>
  <c r="I8" i="244"/>
  <c r="P7" i="244"/>
  <c r="M6" i="244"/>
  <c r="I6" i="244"/>
  <c r="C3" i="244"/>
  <c r="D33" i="243"/>
  <c r="E33" i="243" s="1"/>
  <c r="D32" i="243"/>
  <c r="E32" i="243" s="1"/>
  <c r="D31" i="243"/>
  <c r="E31" i="243" s="1"/>
  <c r="D30" i="243"/>
  <c r="E30" i="243" s="1"/>
  <c r="D29" i="243"/>
  <c r="E29" i="243" s="1"/>
  <c r="E28" i="243"/>
  <c r="D28" i="243"/>
  <c r="D27" i="243"/>
  <c r="E27" i="243" s="1"/>
  <c r="P18" i="243"/>
  <c r="O18" i="243"/>
  <c r="N18" i="243"/>
  <c r="L18" i="243"/>
  <c r="K18" i="243"/>
  <c r="J18" i="243"/>
  <c r="H18" i="243"/>
  <c r="G18" i="243"/>
  <c r="F18" i="243"/>
  <c r="P17" i="243"/>
  <c r="M16" i="243"/>
  <c r="I16" i="243"/>
  <c r="P15" i="243"/>
  <c r="M14" i="243"/>
  <c r="I14" i="243"/>
  <c r="P13" i="243"/>
  <c r="M12" i="243"/>
  <c r="I12" i="243"/>
  <c r="P11" i="243"/>
  <c r="M10" i="243"/>
  <c r="I10" i="243"/>
  <c r="P9" i="243"/>
  <c r="M8" i="243"/>
  <c r="I8" i="243"/>
  <c r="P7" i="243"/>
  <c r="M6" i="243"/>
  <c r="I6" i="243"/>
  <c r="C3" i="243"/>
  <c r="D33" i="242"/>
  <c r="E33" i="242" s="1"/>
  <c r="D32" i="242"/>
  <c r="E32" i="242" s="1"/>
  <c r="E31" i="242"/>
  <c r="D31" i="242"/>
  <c r="D30" i="242"/>
  <c r="E30" i="242" s="1"/>
  <c r="D29" i="242"/>
  <c r="E29" i="242" s="1"/>
  <c r="D28" i="242"/>
  <c r="E28" i="242" s="1"/>
  <c r="D27" i="242"/>
  <c r="E27" i="242" s="1"/>
  <c r="P18" i="242"/>
  <c r="O18" i="242"/>
  <c r="N18" i="242"/>
  <c r="L18" i="242"/>
  <c r="K18" i="242"/>
  <c r="J18" i="242"/>
  <c r="H18" i="242"/>
  <c r="G18" i="242"/>
  <c r="F18" i="242"/>
  <c r="P17" i="242"/>
  <c r="M16" i="242"/>
  <c r="I16" i="242"/>
  <c r="P15" i="242"/>
  <c r="M14" i="242"/>
  <c r="I14" i="242"/>
  <c r="P13" i="242"/>
  <c r="M12" i="242"/>
  <c r="I12" i="242"/>
  <c r="P11" i="242"/>
  <c r="M10" i="242"/>
  <c r="I10" i="242"/>
  <c r="P9" i="242"/>
  <c r="M8" i="242"/>
  <c r="I8" i="242"/>
  <c r="P7" i="242"/>
  <c r="M6" i="242"/>
  <c r="I6" i="242"/>
  <c r="C3" i="242"/>
  <c r="D33" i="241"/>
  <c r="E33" i="241" s="1"/>
  <c r="D32" i="241"/>
  <c r="E32" i="241" s="1"/>
  <c r="D31" i="241"/>
  <c r="E31" i="241" s="1"/>
  <c r="E30" i="241"/>
  <c r="D30" i="241"/>
  <c r="D29" i="241"/>
  <c r="E29" i="241" s="1"/>
  <c r="D28" i="241"/>
  <c r="E28" i="241" s="1"/>
  <c r="D27" i="241"/>
  <c r="E27" i="241" s="1"/>
  <c r="P18" i="241"/>
  <c r="O18" i="241"/>
  <c r="N18" i="241"/>
  <c r="L18" i="241"/>
  <c r="K18" i="241"/>
  <c r="J18" i="241"/>
  <c r="H18" i="241"/>
  <c r="G18" i="241"/>
  <c r="F18" i="241"/>
  <c r="P17" i="241"/>
  <c r="M16" i="241"/>
  <c r="M18" i="241" s="1"/>
  <c r="I16" i="241"/>
  <c r="P15" i="241"/>
  <c r="M14" i="241"/>
  <c r="I14" i="241"/>
  <c r="P13" i="241"/>
  <c r="M12" i="241"/>
  <c r="I12" i="241"/>
  <c r="P11" i="241"/>
  <c r="M10" i="241"/>
  <c r="I10" i="241"/>
  <c r="P9" i="241"/>
  <c r="M8" i="241"/>
  <c r="I8" i="241"/>
  <c r="P7" i="241"/>
  <c r="M6" i="241"/>
  <c r="I6" i="241"/>
  <c r="C3" i="241"/>
  <c r="E33" i="240"/>
  <c r="D33" i="240"/>
  <c r="D32" i="240"/>
  <c r="E32" i="240" s="1"/>
  <c r="D31" i="240"/>
  <c r="E31" i="240" s="1"/>
  <c r="D30" i="240"/>
  <c r="E30" i="240" s="1"/>
  <c r="D29" i="240"/>
  <c r="E29" i="240" s="1"/>
  <c r="D28" i="240"/>
  <c r="E28" i="240" s="1"/>
  <c r="D27" i="240"/>
  <c r="E27" i="240" s="1"/>
  <c r="P18" i="240"/>
  <c r="O18" i="240"/>
  <c r="N18" i="240"/>
  <c r="L18" i="240"/>
  <c r="K18" i="240"/>
  <c r="J18" i="240"/>
  <c r="H18" i="240"/>
  <c r="G18" i="240"/>
  <c r="F18" i="240"/>
  <c r="P17" i="240"/>
  <c r="M16" i="240"/>
  <c r="I16" i="240"/>
  <c r="P15" i="240"/>
  <c r="M14" i="240"/>
  <c r="I14" i="240"/>
  <c r="P13" i="240"/>
  <c r="M12" i="240"/>
  <c r="I12" i="240"/>
  <c r="P11" i="240"/>
  <c r="M10" i="240"/>
  <c r="I10" i="240"/>
  <c r="P9" i="240"/>
  <c r="M8" i="240"/>
  <c r="I8" i="240"/>
  <c r="P7" i="240"/>
  <c r="M6" i="240"/>
  <c r="I6" i="240"/>
  <c r="C3" i="240"/>
  <c r="D33" i="239"/>
  <c r="E33" i="239" s="1"/>
  <c r="E32" i="239"/>
  <c r="D32" i="239"/>
  <c r="D31" i="239"/>
  <c r="E31" i="239" s="1"/>
  <c r="D30" i="239"/>
  <c r="E30" i="239" s="1"/>
  <c r="D29" i="239"/>
  <c r="E29" i="239" s="1"/>
  <c r="D28" i="239"/>
  <c r="E28" i="239" s="1"/>
  <c r="D27" i="239"/>
  <c r="E27" i="239" s="1"/>
  <c r="P18" i="239"/>
  <c r="O18" i="239"/>
  <c r="N18" i="239"/>
  <c r="L18" i="239"/>
  <c r="K18" i="239"/>
  <c r="J18" i="239"/>
  <c r="H18" i="239"/>
  <c r="G18" i="239"/>
  <c r="F18" i="239"/>
  <c r="P17" i="239"/>
  <c r="M16" i="239"/>
  <c r="I16" i="239"/>
  <c r="P15" i="239"/>
  <c r="P19" i="239" s="1"/>
  <c r="P20" i="239" s="1"/>
  <c r="M14" i="239"/>
  <c r="I14" i="239"/>
  <c r="P13" i="239"/>
  <c r="M12" i="239"/>
  <c r="I12" i="239"/>
  <c r="P11" i="239"/>
  <c r="M10" i="239"/>
  <c r="I10" i="239"/>
  <c r="I18" i="239" s="1"/>
  <c r="P9" i="239"/>
  <c r="M8" i="239"/>
  <c r="I8" i="239"/>
  <c r="P7" i="239"/>
  <c r="M6" i="239"/>
  <c r="I6" i="239"/>
  <c r="C3" i="239"/>
  <c r="D33" i="238"/>
  <c r="E33" i="238" s="1"/>
  <c r="D32" i="238"/>
  <c r="E32" i="238" s="1"/>
  <c r="E31" i="238"/>
  <c r="D31" i="238"/>
  <c r="D30" i="238"/>
  <c r="E30" i="238" s="1"/>
  <c r="D29" i="238"/>
  <c r="E29" i="238" s="1"/>
  <c r="D28" i="238"/>
  <c r="E28" i="238" s="1"/>
  <c r="D27" i="238"/>
  <c r="E27" i="238" s="1"/>
  <c r="P18" i="238"/>
  <c r="O18" i="238"/>
  <c r="N18" i="238"/>
  <c r="L18" i="238"/>
  <c r="K18" i="238"/>
  <c r="J18" i="238"/>
  <c r="H18" i="238"/>
  <c r="G18" i="238"/>
  <c r="F18" i="238"/>
  <c r="P17" i="238"/>
  <c r="M16" i="238"/>
  <c r="I16" i="238"/>
  <c r="P15" i="238"/>
  <c r="M14" i="238"/>
  <c r="I14" i="238"/>
  <c r="P13" i="238"/>
  <c r="M12" i="238"/>
  <c r="I12" i="238"/>
  <c r="P11" i="238"/>
  <c r="M10" i="238"/>
  <c r="I10" i="238"/>
  <c r="P9" i="238"/>
  <c r="M8" i="238"/>
  <c r="I8" i="238"/>
  <c r="P7" i="238"/>
  <c r="M6" i="238"/>
  <c r="I6" i="238"/>
  <c r="C3" i="238"/>
  <c r="D33" i="237"/>
  <c r="E33" i="237" s="1"/>
  <c r="D32" i="237"/>
  <c r="E32" i="237" s="1"/>
  <c r="D31" i="237"/>
  <c r="E31" i="237" s="1"/>
  <c r="D30" i="237"/>
  <c r="E30" i="237" s="1"/>
  <c r="D29" i="237"/>
  <c r="E29" i="237" s="1"/>
  <c r="D28" i="237"/>
  <c r="E28" i="237" s="1"/>
  <c r="D27" i="237"/>
  <c r="E27" i="237" s="1"/>
  <c r="P18" i="237"/>
  <c r="O18" i="237"/>
  <c r="N18" i="237"/>
  <c r="L18" i="237"/>
  <c r="K18" i="237"/>
  <c r="J18" i="237"/>
  <c r="H18" i="237"/>
  <c r="G18" i="237"/>
  <c r="F18" i="237"/>
  <c r="P17" i="237"/>
  <c r="M16" i="237"/>
  <c r="I16" i="237"/>
  <c r="P15" i="237"/>
  <c r="P19" i="237" s="1"/>
  <c r="P20" i="237" s="1"/>
  <c r="M14" i="237"/>
  <c r="I14" i="237"/>
  <c r="P13" i="237"/>
  <c r="M12" i="237"/>
  <c r="I12" i="237"/>
  <c r="P11" i="237"/>
  <c r="M10" i="237"/>
  <c r="I10" i="237"/>
  <c r="I18" i="237" s="1"/>
  <c r="P9" i="237"/>
  <c r="M8" i="237"/>
  <c r="I8" i="237"/>
  <c r="P7" i="237"/>
  <c r="M6" i="237"/>
  <c r="I6" i="237"/>
  <c r="C3" i="237"/>
  <c r="E33" i="236"/>
  <c r="D33" i="236"/>
  <c r="D32" i="236"/>
  <c r="E32" i="236" s="1"/>
  <c r="D31" i="236"/>
  <c r="E31" i="236" s="1"/>
  <c r="D30" i="236"/>
  <c r="E30" i="236" s="1"/>
  <c r="D29" i="236"/>
  <c r="E29" i="236" s="1"/>
  <c r="D28" i="236"/>
  <c r="E28" i="236" s="1"/>
  <c r="D27" i="236"/>
  <c r="E27" i="236" s="1"/>
  <c r="P18" i="236"/>
  <c r="O18" i="236"/>
  <c r="N18" i="236"/>
  <c r="L18" i="236"/>
  <c r="K18" i="236"/>
  <c r="J18" i="236"/>
  <c r="H18" i="236"/>
  <c r="G18" i="236"/>
  <c r="F18" i="236"/>
  <c r="P17" i="236"/>
  <c r="M16" i="236"/>
  <c r="I16" i="236"/>
  <c r="P15" i="236"/>
  <c r="M14" i="236"/>
  <c r="I14" i="236"/>
  <c r="P13" i="236"/>
  <c r="M12" i="236"/>
  <c r="I12" i="236"/>
  <c r="P11" i="236"/>
  <c r="M10" i="236"/>
  <c r="I10" i="236"/>
  <c r="P9" i="236"/>
  <c r="M8" i="236"/>
  <c r="I8" i="236"/>
  <c r="I18" i="236" s="1"/>
  <c r="P7" i="236"/>
  <c r="M6" i="236"/>
  <c r="I6" i="236"/>
  <c r="C3" i="236"/>
  <c r="D33" i="235"/>
  <c r="E33" i="235" s="1"/>
  <c r="E32" i="235"/>
  <c r="D32" i="235"/>
  <c r="D31" i="235"/>
  <c r="E31" i="235" s="1"/>
  <c r="D30" i="235"/>
  <c r="E30" i="235" s="1"/>
  <c r="D29" i="235"/>
  <c r="E29" i="235" s="1"/>
  <c r="D28" i="235"/>
  <c r="E28" i="235" s="1"/>
  <c r="D27" i="235"/>
  <c r="E27" i="235" s="1"/>
  <c r="P18" i="235"/>
  <c r="O18" i="235"/>
  <c r="N18" i="235"/>
  <c r="L18" i="235"/>
  <c r="K18" i="235"/>
  <c r="J18" i="235"/>
  <c r="H18" i="235"/>
  <c r="G18" i="235"/>
  <c r="F18" i="235"/>
  <c r="P17" i="235"/>
  <c r="M16" i="235"/>
  <c r="I16" i="235"/>
  <c r="P15" i="235"/>
  <c r="M14" i="235"/>
  <c r="I14" i="235"/>
  <c r="P13" i="235"/>
  <c r="M12" i="235"/>
  <c r="I12" i="235"/>
  <c r="P11" i="235"/>
  <c r="M10" i="235"/>
  <c r="I10" i="235"/>
  <c r="P9" i="235"/>
  <c r="M8" i="235"/>
  <c r="I8" i="235"/>
  <c r="P7" i="235"/>
  <c r="M6" i="235"/>
  <c r="I6" i="235"/>
  <c r="C3" i="235"/>
  <c r="E33" i="234"/>
  <c r="E32" i="234"/>
  <c r="D32" i="234"/>
  <c r="D31" i="234"/>
  <c r="E31" i="234" s="1"/>
  <c r="D30" i="234"/>
  <c r="E30" i="234" s="1"/>
  <c r="E29" i="234"/>
  <c r="D28" i="234"/>
  <c r="E28" i="234" s="1"/>
  <c r="D27" i="234"/>
  <c r="E27" i="234" s="1"/>
  <c r="P18" i="234"/>
  <c r="O18" i="234"/>
  <c r="N18" i="234"/>
  <c r="L18" i="234"/>
  <c r="K18" i="234"/>
  <c r="J18" i="234"/>
  <c r="H18" i="234"/>
  <c r="G18" i="234"/>
  <c r="F18" i="234"/>
  <c r="P17" i="234"/>
  <c r="M16" i="234"/>
  <c r="I16" i="234"/>
  <c r="P15" i="234"/>
  <c r="M14" i="234"/>
  <c r="I14" i="234"/>
  <c r="P13" i="234"/>
  <c r="M12" i="234"/>
  <c r="I12" i="234"/>
  <c r="P11" i="234"/>
  <c r="M10" i="234"/>
  <c r="I10" i="234"/>
  <c r="P9" i="234"/>
  <c r="M8" i="234"/>
  <c r="I8" i="234"/>
  <c r="P7" i="234"/>
  <c r="M6" i="234"/>
  <c r="I6" i="234"/>
  <c r="C3" i="234"/>
  <c r="E33" i="233"/>
  <c r="D32" i="233"/>
  <c r="E32" i="233" s="1"/>
  <c r="D31" i="233"/>
  <c r="E31" i="233" s="1"/>
  <c r="D30" i="233"/>
  <c r="E30" i="233" s="1"/>
  <c r="E29" i="233"/>
  <c r="E28" i="233"/>
  <c r="D28" i="233"/>
  <c r="D27" i="233"/>
  <c r="E27" i="233" s="1"/>
  <c r="P18" i="233"/>
  <c r="O18" i="233"/>
  <c r="N18" i="233"/>
  <c r="L18" i="233"/>
  <c r="K18" i="233"/>
  <c r="J18" i="233"/>
  <c r="P17" i="233"/>
  <c r="M16" i="233"/>
  <c r="I16" i="233"/>
  <c r="P15" i="233"/>
  <c r="M14" i="233"/>
  <c r="I14" i="233"/>
  <c r="P13" i="233"/>
  <c r="M12" i="233"/>
  <c r="I12" i="233"/>
  <c r="P11" i="233"/>
  <c r="M10" i="233"/>
  <c r="I10" i="233"/>
  <c r="P9" i="233"/>
  <c r="M8" i="233"/>
  <c r="I8" i="233"/>
  <c r="P7" i="233"/>
  <c r="P19" i="233" s="1"/>
  <c r="P20" i="233" s="1"/>
  <c r="M6" i="233"/>
  <c r="I6" i="233"/>
  <c r="C3" i="233"/>
  <c r="E33" i="232"/>
  <c r="D33" i="232"/>
  <c r="E32" i="232"/>
  <c r="D32" i="232"/>
  <c r="E31" i="232"/>
  <c r="D31" i="232"/>
  <c r="D30" i="232"/>
  <c r="E30" i="232" s="1"/>
  <c r="D29" i="232"/>
  <c r="E29" i="232" s="1"/>
  <c r="D28" i="232"/>
  <c r="E28" i="232" s="1"/>
  <c r="D27" i="232"/>
  <c r="E27" i="232" s="1"/>
  <c r="P18" i="232"/>
  <c r="O18" i="232"/>
  <c r="N18" i="232"/>
  <c r="L18" i="232"/>
  <c r="K18" i="232"/>
  <c r="J18" i="232"/>
  <c r="H18" i="232"/>
  <c r="G18" i="232"/>
  <c r="F18" i="232"/>
  <c r="P17" i="232"/>
  <c r="M16" i="232"/>
  <c r="I16" i="232"/>
  <c r="P15" i="232"/>
  <c r="M14" i="232"/>
  <c r="I14" i="232"/>
  <c r="P13" i="232"/>
  <c r="M12" i="232"/>
  <c r="I12" i="232"/>
  <c r="P11" i="232"/>
  <c r="M10" i="232"/>
  <c r="I10" i="232"/>
  <c r="P9" i="232"/>
  <c r="M8" i="232"/>
  <c r="I8" i="232"/>
  <c r="P7" i="232"/>
  <c r="M6" i="232"/>
  <c r="I6" i="232"/>
  <c r="C3" i="232"/>
  <c r="D33" i="231"/>
  <c r="E33" i="231" s="1"/>
  <c r="D32" i="231"/>
  <c r="E32" i="231" s="1"/>
  <c r="E31" i="231"/>
  <c r="D31" i="231"/>
  <c r="E30" i="231"/>
  <c r="D30" i="231"/>
  <c r="D29" i="231"/>
  <c r="E29" i="231" s="1"/>
  <c r="D28" i="231"/>
  <c r="E28" i="231" s="1"/>
  <c r="D27" i="231"/>
  <c r="E27" i="231" s="1"/>
  <c r="P18" i="231"/>
  <c r="O18" i="231"/>
  <c r="N18" i="231"/>
  <c r="L18" i="231"/>
  <c r="K18" i="231"/>
  <c r="J18" i="231"/>
  <c r="H18" i="231"/>
  <c r="G18" i="231"/>
  <c r="F18" i="231"/>
  <c r="P17" i="231"/>
  <c r="M16" i="231"/>
  <c r="I16" i="231"/>
  <c r="P15" i="231"/>
  <c r="M14" i="231"/>
  <c r="I14" i="231"/>
  <c r="P13" i="231"/>
  <c r="M12" i="231"/>
  <c r="I12" i="231"/>
  <c r="P11" i="231"/>
  <c r="M10" i="231"/>
  <c r="I10" i="231"/>
  <c r="P9" i="231"/>
  <c r="M8" i="231"/>
  <c r="I8" i="231"/>
  <c r="I18" i="231" s="1"/>
  <c r="P7" i="231"/>
  <c r="M6" i="231"/>
  <c r="I6" i="231"/>
  <c r="C3" i="231"/>
  <c r="D33" i="230"/>
  <c r="E33" i="230" s="1"/>
  <c r="D32" i="230"/>
  <c r="E32" i="230" s="1"/>
  <c r="E31" i="230"/>
  <c r="D31" i="230"/>
  <c r="E30" i="230"/>
  <c r="D30" i="230"/>
  <c r="E29" i="230"/>
  <c r="D29" i="230"/>
  <c r="D28" i="230"/>
  <c r="E28" i="230" s="1"/>
  <c r="E27" i="230"/>
  <c r="D27" i="230"/>
  <c r="P18" i="230"/>
  <c r="O18" i="230"/>
  <c r="N18" i="230"/>
  <c r="L18" i="230"/>
  <c r="K18" i="230"/>
  <c r="J18" i="230"/>
  <c r="H18" i="230"/>
  <c r="G18" i="230"/>
  <c r="F18" i="230"/>
  <c r="P17" i="230"/>
  <c r="M16" i="230"/>
  <c r="I16" i="230"/>
  <c r="P15" i="230"/>
  <c r="M14" i="230"/>
  <c r="I14" i="230"/>
  <c r="P13" i="230"/>
  <c r="M12" i="230"/>
  <c r="I12" i="230"/>
  <c r="P11" i="230"/>
  <c r="M10" i="230"/>
  <c r="I10" i="230"/>
  <c r="P9" i="230"/>
  <c r="M8" i="230"/>
  <c r="M18" i="230" s="1"/>
  <c r="I8" i="230"/>
  <c r="P7" i="230"/>
  <c r="M6" i="230"/>
  <c r="I6" i="230"/>
  <c r="C3" i="230"/>
  <c r="D33" i="229"/>
  <c r="E33" i="229" s="1"/>
  <c r="D32" i="229"/>
  <c r="E32" i="229" s="1"/>
  <c r="D31" i="229"/>
  <c r="E31" i="229" s="1"/>
  <c r="E30" i="229"/>
  <c r="D30" i="229"/>
  <c r="E29" i="229"/>
  <c r="D29" i="229"/>
  <c r="E28" i="229"/>
  <c r="D28" i="229"/>
  <c r="D27" i="229"/>
  <c r="E27" i="229" s="1"/>
  <c r="P18" i="229"/>
  <c r="O18" i="229"/>
  <c r="N18" i="229"/>
  <c r="L18" i="229"/>
  <c r="K18" i="229"/>
  <c r="J18" i="229"/>
  <c r="H18" i="229"/>
  <c r="G18" i="229"/>
  <c r="F18" i="229"/>
  <c r="P17" i="229"/>
  <c r="M16" i="229"/>
  <c r="I16" i="229"/>
  <c r="P15" i="229"/>
  <c r="M14" i="229"/>
  <c r="I14" i="229"/>
  <c r="P13" i="229"/>
  <c r="M12" i="229"/>
  <c r="I12" i="229"/>
  <c r="P11" i="229"/>
  <c r="M10" i="229"/>
  <c r="I10" i="229"/>
  <c r="P9" i="229"/>
  <c r="M8" i="229"/>
  <c r="I8" i="229"/>
  <c r="P7" i="229"/>
  <c r="M6" i="229"/>
  <c r="I6" i="229"/>
  <c r="C3" i="229"/>
  <c r="D33" i="228"/>
  <c r="E33" i="228" s="1"/>
  <c r="E32" i="228"/>
  <c r="D32" i="228"/>
  <c r="D31" i="228"/>
  <c r="E31" i="228" s="1"/>
  <c r="D30" i="228"/>
  <c r="E30" i="228" s="1"/>
  <c r="E29" i="228"/>
  <c r="D29" i="228"/>
  <c r="D28" i="228"/>
  <c r="E28" i="228" s="1"/>
  <c r="E27" i="228"/>
  <c r="D27" i="228"/>
  <c r="P18" i="228"/>
  <c r="O18" i="228"/>
  <c r="N18" i="228"/>
  <c r="L18" i="228"/>
  <c r="K18" i="228"/>
  <c r="J18" i="228"/>
  <c r="I18" i="228"/>
  <c r="H18" i="228"/>
  <c r="G18" i="228"/>
  <c r="F18" i="228"/>
  <c r="P17" i="228"/>
  <c r="M16" i="228"/>
  <c r="I16" i="228"/>
  <c r="P15" i="228"/>
  <c r="M14" i="228"/>
  <c r="I14" i="228"/>
  <c r="P13" i="228"/>
  <c r="M12" i="228"/>
  <c r="I12" i="228"/>
  <c r="P11" i="228"/>
  <c r="M10" i="228"/>
  <c r="I10" i="228"/>
  <c r="P9" i="228"/>
  <c r="M8" i="228"/>
  <c r="I8" i="228"/>
  <c r="P7" i="228"/>
  <c r="M6" i="228"/>
  <c r="I6" i="228"/>
  <c r="C3" i="228"/>
  <c r="D33" i="227"/>
  <c r="E33" i="227" s="1"/>
  <c r="E32" i="227"/>
  <c r="D32" i="227"/>
  <c r="E31" i="227"/>
  <c r="D31" i="227"/>
  <c r="E30" i="227"/>
  <c r="D30" i="227"/>
  <c r="D29" i="227"/>
  <c r="E29" i="227" s="1"/>
  <c r="D28" i="227"/>
  <c r="E28" i="227" s="1"/>
  <c r="D27" i="227"/>
  <c r="E27" i="227" s="1"/>
  <c r="P18" i="227"/>
  <c r="O18" i="227"/>
  <c r="N18" i="227"/>
  <c r="L18" i="227"/>
  <c r="K18" i="227"/>
  <c r="J18" i="227"/>
  <c r="H18" i="227"/>
  <c r="G18" i="227"/>
  <c r="F18" i="227"/>
  <c r="P17" i="227"/>
  <c r="M16" i="227"/>
  <c r="I16" i="227"/>
  <c r="P15" i="227"/>
  <c r="M14" i="227"/>
  <c r="I14" i="227"/>
  <c r="P13" i="227"/>
  <c r="M12" i="227"/>
  <c r="I12" i="227"/>
  <c r="P11" i="227"/>
  <c r="M10" i="227"/>
  <c r="I10" i="227"/>
  <c r="P9" i="227"/>
  <c r="M8" i="227"/>
  <c r="I8" i="227"/>
  <c r="P7" i="227"/>
  <c r="M6" i="227"/>
  <c r="I6" i="227"/>
  <c r="C3" i="227"/>
  <c r="D33" i="226"/>
  <c r="E33" i="226" s="1"/>
  <c r="D32" i="226"/>
  <c r="E32" i="226" s="1"/>
  <c r="D31" i="226"/>
  <c r="E31" i="226" s="1"/>
  <c r="D30" i="226"/>
  <c r="E30" i="226" s="1"/>
  <c r="E29" i="226"/>
  <c r="D28" i="226"/>
  <c r="E28" i="226" s="1"/>
  <c r="D27" i="226"/>
  <c r="E27" i="226" s="1"/>
  <c r="P18" i="226"/>
  <c r="O18" i="226"/>
  <c r="N18" i="226"/>
  <c r="L18" i="226"/>
  <c r="K18" i="226"/>
  <c r="J18" i="226"/>
  <c r="H18" i="226"/>
  <c r="G18" i="226"/>
  <c r="F18" i="226"/>
  <c r="P17" i="226"/>
  <c r="M16" i="226"/>
  <c r="I16" i="226"/>
  <c r="P15" i="226"/>
  <c r="M14" i="226"/>
  <c r="I14" i="226"/>
  <c r="P13" i="226"/>
  <c r="M12" i="226"/>
  <c r="I12" i="226"/>
  <c r="P11" i="226"/>
  <c r="M10" i="226"/>
  <c r="I10" i="226"/>
  <c r="P9" i="226"/>
  <c r="M8" i="226"/>
  <c r="I8" i="226"/>
  <c r="P7" i="226"/>
  <c r="M6" i="226"/>
  <c r="I6" i="226"/>
  <c r="C3" i="226"/>
  <c r="D33" i="225"/>
  <c r="E33" i="225" s="1"/>
  <c r="D32" i="225"/>
  <c r="E32" i="225" s="1"/>
  <c r="D31" i="225"/>
  <c r="E31" i="225" s="1"/>
  <c r="D30" i="225"/>
  <c r="E30" i="225" s="1"/>
  <c r="D29" i="225"/>
  <c r="E29" i="225" s="1"/>
  <c r="D28" i="225"/>
  <c r="E28" i="225" s="1"/>
  <c r="D27" i="225"/>
  <c r="E27" i="225" s="1"/>
  <c r="P18" i="225"/>
  <c r="O18" i="225"/>
  <c r="N18" i="225"/>
  <c r="L18" i="225"/>
  <c r="K18" i="225"/>
  <c r="J18" i="225"/>
  <c r="H18" i="225"/>
  <c r="G18" i="225"/>
  <c r="F18" i="225"/>
  <c r="P17" i="225"/>
  <c r="M16" i="225"/>
  <c r="I16" i="225"/>
  <c r="P15" i="225"/>
  <c r="M14" i="225"/>
  <c r="I14" i="225"/>
  <c r="P13" i="225"/>
  <c r="M12" i="225"/>
  <c r="I12" i="225"/>
  <c r="P11" i="225"/>
  <c r="M10" i="225"/>
  <c r="I10" i="225"/>
  <c r="P9" i="225"/>
  <c r="M8" i="225"/>
  <c r="I8" i="225"/>
  <c r="P7" i="225"/>
  <c r="M6" i="225"/>
  <c r="I6" i="225"/>
  <c r="C3" i="225"/>
  <c r="D33" i="224"/>
  <c r="E33" i="224" s="1"/>
  <c r="D32" i="224"/>
  <c r="E32" i="224" s="1"/>
  <c r="D31" i="224"/>
  <c r="E31" i="224" s="1"/>
  <c r="D30" i="224"/>
  <c r="E30" i="224" s="1"/>
  <c r="D29" i="224"/>
  <c r="E29" i="224" s="1"/>
  <c r="D28" i="224"/>
  <c r="E28" i="224" s="1"/>
  <c r="D27" i="224"/>
  <c r="E27" i="224" s="1"/>
  <c r="P18" i="224"/>
  <c r="O18" i="224"/>
  <c r="N18" i="224"/>
  <c r="L18" i="224"/>
  <c r="K18" i="224"/>
  <c r="J18" i="224"/>
  <c r="H18" i="224"/>
  <c r="G18" i="224"/>
  <c r="F18" i="224"/>
  <c r="P17" i="224"/>
  <c r="M16" i="224"/>
  <c r="I16" i="224"/>
  <c r="P15" i="224"/>
  <c r="M14" i="224"/>
  <c r="I14" i="224"/>
  <c r="P13" i="224"/>
  <c r="M12" i="224"/>
  <c r="I12" i="224"/>
  <c r="P11" i="224"/>
  <c r="M10" i="224"/>
  <c r="I10" i="224"/>
  <c r="P9" i="224"/>
  <c r="M8" i="224"/>
  <c r="I8" i="224"/>
  <c r="P7" i="224"/>
  <c r="M6" i="224"/>
  <c r="I6" i="224"/>
  <c r="C3" i="224"/>
  <c r="D33" i="223"/>
  <c r="E33" i="223" s="1"/>
  <c r="D32" i="223"/>
  <c r="E32" i="223" s="1"/>
  <c r="D31" i="223"/>
  <c r="E31" i="223" s="1"/>
  <c r="D30" i="223"/>
  <c r="E30" i="223" s="1"/>
  <c r="D29" i="223"/>
  <c r="E29" i="223" s="1"/>
  <c r="E28" i="223"/>
  <c r="D28" i="223"/>
  <c r="D27" i="223"/>
  <c r="E27" i="223" s="1"/>
  <c r="P18" i="223"/>
  <c r="O18" i="223"/>
  <c r="N18" i="223"/>
  <c r="L18" i="223"/>
  <c r="K18" i="223"/>
  <c r="J18" i="223"/>
  <c r="H18" i="223"/>
  <c r="G18" i="223"/>
  <c r="F18" i="223"/>
  <c r="P17" i="223"/>
  <c r="M16" i="223"/>
  <c r="I16" i="223"/>
  <c r="P15" i="223"/>
  <c r="M14" i="223"/>
  <c r="I14" i="223"/>
  <c r="P13" i="223"/>
  <c r="M12" i="223"/>
  <c r="I12" i="223"/>
  <c r="P11" i="223"/>
  <c r="M10" i="223"/>
  <c r="I10" i="223"/>
  <c r="P9" i="223"/>
  <c r="M8" i="223"/>
  <c r="I8" i="223"/>
  <c r="P7" i="223"/>
  <c r="M6" i="223"/>
  <c r="M18" i="223" s="1"/>
  <c r="I6" i="223"/>
  <c r="C3" i="223"/>
  <c r="D33" i="222"/>
  <c r="E33" i="222" s="1"/>
  <c r="D32" i="222"/>
  <c r="E32" i="222" s="1"/>
  <c r="D31" i="222"/>
  <c r="E31" i="222" s="1"/>
  <c r="D30" i="222"/>
  <c r="E30" i="222" s="1"/>
  <c r="D29" i="222"/>
  <c r="E29" i="222" s="1"/>
  <c r="D28" i="222"/>
  <c r="E28" i="222" s="1"/>
  <c r="D27" i="222"/>
  <c r="E27" i="222" s="1"/>
  <c r="P18" i="222"/>
  <c r="O18" i="222"/>
  <c r="N18" i="222"/>
  <c r="L18" i="222"/>
  <c r="K18" i="222"/>
  <c r="J18" i="222"/>
  <c r="H18" i="222"/>
  <c r="G18" i="222"/>
  <c r="F18" i="222"/>
  <c r="P17" i="222"/>
  <c r="M16" i="222"/>
  <c r="I16" i="222"/>
  <c r="P15" i="222"/>
  <c r="M14" i="222"/>
  <c r="I14" i="222"/>
  <c r="P13" i="222"/>
  <c r="M12" i="222"/>
  <c r="I12" i="222"/>
  <c r="P11" i="222"/>
  <c r="M10" i="222"/>
  <c r="I10" i="222"/>
  <c r="P9" i="222"/>
  <c r="M8" i="222"/>
  <c r="I8" i="222"/>
  <c r="P7" i="222"/>
  <c r="M6" i="222"/>
  <c r="I6" i="222"/>
  <c r="C3" i="222"/>
  <c r="D33" i="221"/>
  <c r="E33" i="221" s="1"/>
  <c r="D32" i="221"/>
  <c r="E32" i="221" s="1"/>
  <c r="D31" i="221"/>
  <c r="E31" i="221" s="1"/>
  <c r="D30" i="221"/>
  <c r="E30" i="221" s="1"/>
  <c r="E29" i="221"/>
  <c r="D28" i="221"/>
  <c r="E28" i="221" s="1"/>
  <c r="E27" i="221"/>
  <c r="P18" i="221"/>
  <c r="O18" i="221"/>
  <c r="N18" i="221"/>
  <c r="L18" i="221"/>
  <c r="K18" i="221"/>
  <c r="J18" i="221"/>
  <c r="H18" i="221"/>
  <c r="G18" i="221"/>
  <c r="F18" i="221"/>
  <c r="P17" i="221"/>
  <c r="M16" i="221"/>
  <c r="I16" i="221"/>
  <c r="P15" i="221"/>
  <c r="M14" i="221"/>
  <c r="I14" i="221"/>
  <c r="P13" i="221"/>
  <c r="M12" i="221"/>
  <c r="I12" i="221"/>
  <c r="P11" i="221"/>
  <c r="M10" i="221"/>
  <c r="I10" i="221"/>
  <c r="P9" i="221"/>
  <c r="M8" i="221"/>
  <c r="I8" i="221"/>
  <c r="P7" i="221"/>
  <c r="M6" i="221"/>
  <c r="I6" i="221"/>
  <c r="C3" i="221"/>
  <c r="E33" i="220"/>
  <c r="D33" i="220"/>
  <c r="D32" i="220"/>
  <c r="E32" i="220" s="1"/>
  <c r="D31" i="220"/>
  <c r="E31" i="220" s="1"/>
  <c r="D30" i="220"/>
  <c r="E30" i="220" s="1"/>
  <c r="D29" i="220"/>
  <c r="E29" i="220" s="1"/>
  <c r="D28" i="220"/>
  <c r="E28" i="220" s="1"/>
  <c r="D27" i="220"/>
  <c r="E27" i="220" s="1"/>
  <c r="P18" i="220"/>
  <c r="O18" i="220"/>
  <c r="N18" i="220"/>
  <c r="H18" i="220"/>
  <c r="G18" i="220"/>
  <c r="F18" i="220"/>
  <c r="P17" i="220"/>
  <c r="M16" i="220"/>
  <c r="I16" i="220"/>
  <c r="P15" i="220"/>
  <c r="M14" i="220"/>
  <c r="I14" i="220"/>
  <c r="P13" i="220"/>
  <c r="M12" i="220"/>
  <c r="I12" i="220"/>
  <c r="P11" i="220"/>
  <c r="M10" i="220"/>
  <c r="I10" i="220"/>
  <c r="P9" i="220"/>
  <c r="M8" i="220"/>
  <c r="I8" i="220"/>
  <c r="P7" i="220"/>
  <c r="M6" i="220"/>
  <c r="I6" i="220"/>
  <c r="C3" i="220"/>
  <c r="D33" i="219"/>
  <c r="E33" i="219" s="1"/>
  <c r="D32" i="219"/>
  <c r="E32" i="219" s="1"/>
  <c r="D31" i="219"/>
  <c r="E31" i="219" s="1"/>
  <c r="E30" i="219"/>
  <c r="D30" i="219"/>
  <c r="E29" i="219"/>
  <c r="D29" i="219"/>
  <c r="E28" i="219"/>
  <c r="D28" i="219"/>
  <c r="D27" i="219"/>
  <c r="E27" i="219" s="1"/>
  <c r="P18" i="219"/>
  <c r="O18" i="219"/>
  <c r="N18" i="219"/>
  <c r="L18" i="219"/>
  <c r="K18" i="219"/>
  <c r="J18" i="219"/>
  <c r="H18" i="219"/>
  <c r="G18" i="219"/>
  <c r="F18" i="219"/>
  <c r="P17" i="219"/>
  <c r="M16" i="219"/>
  <c r="I16" i="219"/>
  <c r="P15" i="219"/>
  <c r="M14" i="219"/>
  <c r="I14" i="219"/>
  <c r="P13" i="219"/>
  <c r="M12" i="219"/>
  <c r="I12" i="219"/>
  <c r="P11" i="219"/>
  <c r="M10" i="219"/>
  <c r="I10" i="219"/>
  <c r="P9" i="219"/>
  <c r="M8" i="219"/>
  <c r="I8" i="219"/>
  <c r="P7" i="219"/>
  <c r="M6" i="219"/>
  <c r="I6" i="219"/>
  <c r="C3" i="219"/>
  <c r="D33" i="218"/>
  <c r="E33" i="218" s="1"/>
  <c r="D32" i="218"/>
  <c r="E32" i="218" s="1"/>
  <c r="D31" i="218"/>
  <c r="E31" i="218" s="1"/>
  <c r="D30" i="218"/>
  <c r="E30" i="218" s="1"/>
  <c r="E29" i="218"/>
  <c r="D29" i="218"/>
  <c r="E28" i="218"/>
  <c r="D28" i="218"/>
  <c r="E27" i="218"/>
  <c r="D27" i="218"/>
  <c r="P18" i="218"/>
  <c r="O18" i="218"/>
  <c r="N18" i="218"/>
  <c r="L18" i="218"/>
  <c r="K18" i="218"/>
  <c r="J18" i="218"/>
  <c r="H18" i="218"/>
  <c r="G18" i="218"/>
  <c r="F18" i="218"/>
  <c r="P17" i="218"/>
  <c r="M16" i="218"/>
  <c r="I16" i="218"/>
  <c r="P15" i="218"/>
  <c r="M14" i="218"/>
  <c r="I14" i="218"/>
  <c r="P13" i="218"/>
  <c r="M12" i="218"/>
  <c r="I12" i="218"/>
  <c r="P11" i="218"/>
  <c r="M10" i="218"/>
  <c r="I10" i="218"/>
  <c r="P9" i="218"/>
  <c r="M8" i="218"/>
  <c r="I8" i="218"/>
  <c r="P7" i="218"/>
  <c r="M6" i="218"/>
  <c r="I6" i="218"/>
  <c r="C3" i="218"/>
  <c r="D33" i="217"/>
  <c r="E33" i="217" s="1"/>
  <c r="D32" i="217"/>
  <c r="E32" i="217" s="1"/>
  <c r="D31" i="217"/>
  <c r="E31" i="217" s="1"/>
  <c r="E30" i="217"/>
  <c r="D30" i="217"/>
  <c r="D29" i="217"/>
  <c r="E29" i="217" s="1"/>
  <c r="E28" i="217"/>
  <c r="D28" i="217"/>
  <c r="E27" i="217"/>
  <c r="D27" i="217"/>
  <c r="P18" i="217"/>
  <c r="O18" i="217"/>
  <c r="N18" i="217"/>
  <c r="L18" i="217"/>
  <c r="K18" i="217"/>
  <c r="J18" i="217"/>
  <c r="H18" i="217"/>
  <c r="G18" i="217"/>
  <c r="F18" i="217"/>
  <c r="P17" i="217"/>
  <c r="M16" i="217"/>
  <c r="I16" i="217"/>
  <c r="P15" i="217"/>
  <c r="M14" i="217"/>
  <c r="I14" i="217"/>
  <c r="P13" i="217"/>
  <c r="M12" i="217"/>
  <c r="I12" i="217"/>
  <c r="P11" i="217"/>
  <c r="M10" i="217"/>
  <c r="I10" i="217"/>
  <c r="P9" i="217"/>
  <c r="M8" i="217"/>
  <c r="I8" i="217"/>
  <c r="P7" i="217"/>
  <c r="M6" i="217"/>
  <c r="I6" i="217"/>
  <c r="C3" i="217"/>
  <c r="E33" i="216"/>
  <c r="D33" i="216"/>
  <c r="D32" i="216"/>
  <c r="E32" i="216" s="1"/>
  <c r="D31" i="216"/>
  <c r="E31" i="216" s="1"/>
  <c r="D30" i="216"/>
  <c r="E30" i="216" s="1"/>
  <c r="D29" i="216"/>
  <c r="E29" i="216" s="1"/>
  <c r="D28" i="216"/>
  <c r="E28" i="216" s="1"/>
  <c r="D27" i="216"/>
  <c r="E27" i="216" s="1"/>
  <c r="P18" i="216"/>
  <c r="O18" i="216"/>
  <c r="N18" i="216"/>
  <c r="L18" i="216"/>
  <c r="K18" i="216"/>
  <c r="J18" i="216"/>
  <c r="H18" i="216"/>
  <c r="G18" i="216"/>
  <c r="F18" i="216"/>
  <c r="P17" i="216"/>
  <c r="M16" i="216"/>
  <c r="I16" i="216"/>
  <c r="P15" i="216"/>
  <c r="M14" i="216"/>
  <c r="I14" i="216"/>
  <c r="P13" i="216"/>
  <c r="M12" i="216"/>
  <c r="I12" i="216"/>
  <c r="P11" i="216"/>
  <c r="M10" i="216"/>
  <c r="I10" i="216"/>
  <c r="P9" i="216"/>
  <c r="M8" i="216"/>
  <c r="I8" i="216"/>
  <c r="P7" i="216"/>
  <c r="M6" i="216"/>
  <c r="I6" i="216"/>
  <c r="C3" i="216"/>
  <c r="D33" i="215"/>
  <c r="E33" i="215" s="1"/>
  <c r="D32" i="215"/>
  <c r="E32" i="215" s="1"/>
  <c r="D31" i="215"/>
  <c r="E31" i="215" s="1"/>
  <c r="D30" i="215"/>
  <c r="E30" i="215" s="1"/>
  <c r="D29" i="215"/>
  <c r="E29" i="215" s="1"/>
  <c r="E28" i="215"/>
  <c r="D28" i="215"/>
  <c r="D27" i="215"/>
  <c r="E27" i="215" s="1"/>
  <c r="P18" i="215"/>
  <c r="O18" i="215"/>
  <c r="N18" i="215"/>
  <c r="L18" i="215"/>
  <c r="K18" i="215"/>
  <c r="J18" i="215"/>
  <c r="H18" i="215"/>
  <c r="G18" i="215"/>
  <c r="F18" i="215"/>
  <c r="P17" i="215"/>
  <c r="M16" i="215"/>
  <c r="I16" i="215"/>
  <c r="P15" i="215"/>
  <c r="M14" i="215"/>
  <c r="I14" i="215"/>
  <c r="P13" i="215"/>
  <c r="M12" i="215"/>
  <c r="I12" i="215"/>
  <c r="P11" i="215"/>
  <c r="M10" i="215"/>
  <c r="I10" i="215"/>
  <c r="P9" i="215"/>
  <c r="M8" i="215"/>
  <c r="I8" i="215"/>
  <c r="P7" i="215"/>
  <c r="M6" i="215"/>
  <c r="I6" i="215"/>
  <c r="C3" i="215"/>
  <c r="D33" i="214"/>
  <c r="E33" i="214" s="1"/>
  <c r="D32" i="214"/>
  <c r="E32" i="214" s="1"/>
  <c r="D31" i="214"/>
  <c r="E31" i="214" s="1"/>
  <c r="D30" i="214"/>
  <c r="E30" i="214" s="1"/>
  <c r="D29" i="214"/>
  <c r="E29" i="214" s="1"/>
  <c r="E28" i="214"/>
  <c r="D28" i="214"/>
  <c r="E27" i="214"/>
  <c r="D27" i="214"/>
  <c r="P18" i="214"/>
  <c r="O18" i="214"/>
  <c r="N18" i="214"/>
  <c r="L18" i="214"/>
  <c r="K18" i="214"/>
  <c r="J18" i="214"/>
  <c r="H18" i="214"/>
  <c r="G18" i="214"/>
  <c r="F18" i="214"/>
  <c r="P17" i="214"/>
  <c r="M16" i="214"/>
  <c r="I16" i="214"/>
  <c r="P15" i="214"/>
  <c r="M14" i="214"/>
  <c r="I14" i="214"/>
  <c r="I18" i="214" s="1"/>
  <c r="P13" i="214"/>
  <c r="M12" i="214"/>
  <c r="I12" i="214"/>
  <c r="P11" i="214"/>
  <c r="M10" i="214"/>
  <c r="I10" i="214"/>
  <c r="P9" i="214"/>
  <c r="M8" i="214"/>
  <c r="I8" i="214"/>
  <c r="P7" i="214"/>
  <c r="M6" i="214"/>
  <c r="I6" i="214"/>
  <c r="C3" i="214"/>
  <c r="D33" i="213"/>
  <c r="E33" i="213" s="1"/>
  <c r="D32" i="213"/>
  <c r="E32" i="213" s="1"/>
  <c r="D31" i="213"/>
  <c r="E31" i="213" s="1"/>
  <c r="E30" i="213"/>
  <c r="D30" i="213"/>
  <c r="D29" i="213"/>
  <c r="E29" i="213" s="1"/>
  <c r="E28" i="213"/>
  <c r="D28" i="213"/>
  <c r="E27" i="213"/>
  <c r="D27" i="213"/>
  <c r="P18" i="213"/>
  <c r="O18" i="213"/>
  <c r="N18" i="213"/>
  <c r="L18" i="213"/>
  <c r="K18" i="213"/>
  <c r="J18" i="213"/>
  <c r="H18" i="213"/>
  <c r="G18" i="213"/>
  <c r="F18" i="213"/>
  <c r="P17" i="213"/>
  <c r="M16" i="213"/>
  <c r="I16" i="213"/>
  <c r="P15" i="213"/>
  <c r="M14" i="213"/>
  <c r="I14" i="213"/>
  <c r="P13" i="213"/>
  <c r="M12" i="213"/>
  <c r="I12" i="213"/>
  <c r="P11" i="213"/>
  <c r="M10" i="213"/>
  <c r="I10" i="213"/>
  <c r="P9" i="213"/>
  <c r="M8" i="213"/>
  <c r="I8" i="213"/>
  <c r="P7" i="213"/>
  <c r="M6" i="213"/>
  <c r="I6" i="213"/>
  <c r="C3" i="213"/>
  <c r="E33" i="212"/>
  <c r="D33" i="212"/>
  <c r="D32" i="212"/>
  <c r="E32" i="212" s="1"/>
  <c r="D31" i="212"/>
  <c r="E31" i="212" s="1"/>
  <c r="E30" i="212"/>
  <c r="D30" i="212"/>
  <c r="D29" i="212"/>
  <c r="E29" i="212" s="1"/>
  <c r="D28" i="212"/>
  <c r="E28" i="212" s="1"/>
  <c r="E27" i="212"/>
  <c r="D27" i="212"/>
  <c r="P18" i="212"/>
  <c r="O18" i="212"/>
  <c r="N18" i="212"/>
  <c r="L18" i="212"/>
  <c r="K18" i="212"/>
  <c r="J18" i="212"/>
  <c r="H18" i="212"/>
  <c r="G18" i="212"/>
  <c r="F18" i="212"/>
  <c r="P17" i="212"/>
  <c r="M16" i="212"/>
  <c r="I16" i="212"/>
  <c r="P15" i="212"/>
  <c r="M14" i="212"/>
  <c r="I14" i="212"/>
  <c r="P13" i="212"/>
  <c r="M12" i="212"/>
  <c r="I12" i="212"/>
  <c r="P11" i="212"/>
  <c r="M10" i="212"/>
  <c r="I10" i="212"/>
  <c r="P9" i="212"/>
  <c r="M8" i="212"/>
  <c r="I8" i="212"/>
  <c r="P7" i="212"/>
  <c r="M6" i="212"/>
  <c r="I6" i="212"/>
  <c r="C3" i="212"/>
  <c r="D33" i="211"/>
  <c r="E33" i="211" s="1"/>
  <c r="D32" i="211"/>
  <c r="E32" i="211" s="1"/>
  <c r="D31" i="211"/>
  <c r="E31" i="211" s="1"/>
  <c r="D30" i="211"/>
  <c r="E30" i="211" s="1"/>
  <c r="E29" i="211"/>
  <c r="D29" i="211"/>
  <c r="E28" i="211"/>
  <c r="D28" i="211"/>
  <c r="D27" i="211"/>
  <c r="E27" i="211" s="1"/>
  <c r="P18" i="211"/>
  <c r="O18" i="211"/>
  <c r="N18" i="211"/>
  <c r="L18" i="211"/>
  <c r="K18" i="211"/>
  <c r="J18" i="211"/>
  <c r="H18" i="211"/>
  <c r="G18" i="211"/>
  <c r="F18" i="211"/>
  <c r="P17" i="211"/>
  <c r="M16" i="211"/>
  <c r="I16" i="211"/>
  <c r="P15" i="211"/>
  <c r="M14" i="211"/>
  <c r="I14" i="211"/>
  <c r="P13" i="211"/>
  <c r="M12" i="211"/>
  <c r="I12" i="211"/>
  <c r="P11" i="211"/>
  <c r="M10" i="211"/>
  <c r="I10" i="211"/>
  <c r="P9" i="211"/>
  <c r="M8" i="211"/>
  <c r="I8" i="211"/>
  <c r="P7" i="211"/>
  <c r="M6" i="211"/>
  <c r="I6" i="211"/>
  <c r="C3" i="211"/>
  <c r="D33" i="210"/>
  <c r="E33" i="210" s="1"/>
  <c r="D32" i="210"/>
  <c r="E32" i="210" s="1"/>
  <c r="E31" i="210"/>
  <c r="D31" i="210"/>
  <c r="D30" i="210"/>
  <c r="E30" i="210" s="1"/>
  <c r="E29" i="210"/>
  <c r="D29" i="210"/>
  <c r="E28" i="210"/>
  <c r="D28" i="210"/>
  <c r="D27" i="210"/>
  <c r="E27" i="210" s="1"/>
  <c r="P18" i="210"/>
  <c r="O18" i="210"/>
  <c r="N18" i="210"/>
  <c r="L18" i="210"/>
  <c r="K18" i="210"/>
  <c r="J18" i="210"/>
  <c r="H18" i="210"/>
  <c r="G18" i="210"/>
  <c r="F18" i="210"/>
  <c r="P17" i="210"/>
  <c r="M16" i="210"/>
  <c r="I16" i="210"/>
  <c r="P15" i="210"/>
  <c r="M14" i="210"/>
  <c r="I14" i="210"/>
  <c r="P13" i="210"/>
  <c r="M12" i="210"/>
  <c r="I12" i="210"/>
  <c r="P11" i="210"/>
  <c r="M10" i="210"/>
  <c r="I10" i="210"/>
  <c r="P9" i="210"/>
  <c r="M8" i="210"/>
  <c r="I8" i="210"/>
  <c r="P7" i="210"/>
  <c r="M6" i="210"/>
  <c r="I6" i="210"/>
  <c r="C3" i="210"/>
  <c r="D33" i="209"/>
  <c r="E33" i="209" s="1"/>
  <c r="D32" i="209"/>
  <c r="E32" i="209" s="1"/>
  <c r="E31" i="209"/>
  <c r="D31" i="209"/>
  <c r="D30" i="209"/>
  <c r="E30" i="209" s="1"/>
  <c r="D29" i="209"/>
  <c r="E29" i="209" s="1"/>
  <c r="E28" i="209"/>
  <c r="D28" i="209"/>
  <c r="D27" i="209"/>
  <c r="E27" i="209" s="1"/>
  <c r="P18" i="209"/>
  <c r="O18" i="209"/>
  <c r="N18" i="209"/>
  <c r="L18" i="209"/>
  <c r="K18" i="209"/>
  <c r="J18" i="209"/>
  <c r="H18" i="209"/>
  <c r="G18" i="209"/>
  <c r="F18" i="209"/>
  <c r="P17" i="209"/>
  <c r="M16" i="209"/>
  <c r="I16" i="209"/>
  <c r="P15" i="209"/>
  <c r="M14" i="209"/>
  <c r="I14" i="209"/>
  <c r="P13" i="209"/>
  <c r="M12" i="209"/>
  <c r="I12" i="209"/>
  <c r="P11" i="209"/>
  <c r="M10" i="209"/>
  <c r="I10" i="209"/>
  <c r="P9" i="209"/>
  <c r="M8" i="209"/>
  <c r="I8" i="209"/>
  <c r="P7" i="209"/>
  <c r="M6" i="209"/>
  <c r="I6" i="209"/>
  <c r="C3" i="209"/>
  <c r="E33" i="208"/>
  <c r="D33" i="208"/>
  <c r="D32" i="208"/>
  <c r="E32" i="208" s="1"/>
  <c r="E31" i="208"/>
  <c r="D31" i="208"/>
  <c r="D30" i="208"/>
  <c r="E30" i="208" s="1"/>
  <c r="D29" i="208"/>
  <c r="E29" i="208" s="1"/>
  <c r="D28" i="208"/>
  <c r="E28" i="208" s="1"/>
  <c r="D27" i="208"/>
  <c r="E27" i="208" s="1"/>
  <c r="P18" i="208"/>
  <c r="O18" i="208"/>
  <c r="N18" i="208"/>
  <c r="L18" i="208"/>
  <c r="K18" i="208"/>
  <c r="J18" i="208"/>
  <c r="H18" i="208"/>
  <c r="G18" i="208"/>
  <c r="F18" i="208"/>
  <c r="P17" i="208"/>
  <c r="M16" i="208"/>
  <c r="I16" i="208"/>
  <c r="P15" i="208"/>
  <c r="P19" i="208" s="1"/>
  <c r="P20" i="208" s="1"/>
  <c r="M14" i="208"/>
  <c r="I14" i="208"/>
  <c r="P13" i="208"/>
  <c r="M12" i="208"/>
  <c r="I12" i="208"/>
  <c r="P11" i="208"/>
  <c r="M10" i="208"/>
  <c r="I10" i="208"/>
  <c r="P9" i="208"/>
  <c r="M8" i="208"/>
  <c r="I8" i="208"/>
  <c r="P7" i="208"/>
  <c r="M6" i="208"/>
  <c r="I6" i="208"/>
  <c r="C3" i="208"/>
  <c r="E33" i="207"/>
  <c r="D33" i="207"/>
  <c r="D32" i="207"/>
  <c r="E32" i="207" s="1"/>
  <c r="D31" i="207"/>
  <c r="E31" i="207" s="1"/>
  <c r="D30" i="207"/>
  <c r="E30" i="207" s="1"/>
  <c r="D29" i="207"/>
  <c r="E29" i="207" s="1"/>
  <c r="D28" i="207"/>
  <c r="E28" i="207" s="1"/>
  <c r="D27" i="207"/>
  <c r="E27" i="207" s="1"/>
  <c r="P18" i="207"/>
  <c r="O18" i="207"/>
  <c r="N18" i="207"/>
  <c r="L18" i="207"/>
  <c r="K18" i="207"/>
  <c r="J18" i="207"/>
  <c r="H18" i="207"/>
  <c r="G18" i="207"/>
  <c r="F18" i="207"/>
  <c r="P17" i="207"/>
  <c r="M16" i="207"/>
  <c r="I16" i="207"/>
  <c r="P15" i="207"/>
  <c r="P19" i="207" s="1"/>
  <c r="P20" i="207" s="1"/>
  <c r="M14" i="207"/>
  <c r="I14" i="207"/>
  <c r="P13" i="207"/>
  <c r="M12" i="207"/>
  <c r="I12" i="207"/>
  <c r="P11" i="207"/>
  <c r="M10" i="207"/>
  <c r="I10" i="207"/>
  <c r="I18" i="207" s="1"/>
  <c r="P9" i="207"/>
  <c r="M8" i="207"/>
  <c r="I8" i="207"/>
  <c r="P7" i="207"/>
  <c r="M6" i="207"/>
  <c r="I6" i="207"/>
  <c r="C3" i="207"/>
  <c r="E31" i="206"/>
  <c r="D31" i="206"/>
  <c r="D30" i="206"/>
  <c r="E30" i="206" s="1"/>
  <c r="D29" i="206"/>
  <c r="E29" i="206" s="1"/>
  <c r="D28" i="206"/>
  <c r="E28" i="206" s="1"/>
  <c r="D27" i="206"/>
  <c r="E27" i="206" s="1"/>
  <c r="D26" i="206"/>
  <c r="E26" i="206" s="1"/>
  <c r="P18" i="206"/>
  <c r="O18" i="206"/>
  <c r="N18" i="206"/>
  <c r="L18" i="206"/>
  <c r="K18" i="206"/>
  <c r="J18" i="206"/>
  <c r="H18" i="206"/>
  <c r="G18" i="206"/>
  <c r="F18" i="206"/>
  <c r="P17" i="206"/>
  <c r="M16" i="206"/>
  <c r="I16" i="206"/>
  <c r="P15" i="206"/>
  <c r="M14" i="206"/>
  <c r="I14" i="206"/>
  <c r="P13" i="206"/>
  <c r="M12" i="206"/>
  <c r="I12" i="206"/>
  <c r="P11" i="206"/>
  <c r="M10" i="206"/>
  <c r="I10" i="206"/>
  <c r="P9" i="206"/>
  <c r="M8" i="206"/>
  <c r="I8" i="206"/>
  <c r="P7" i="206"/>
  <c r="M6" i="206"/>
  <c r="I6" i="206"/>
  <c r="C3" i="206"/>
  <c r="D31" i="205"/>
  <c r="E31" i="205" s="1"/>
  <c r="D30" i="205"/>
  <c r="E30" i="205" s="1"/>
  <c r="D29" i="205"/>
  <c r="E29" i="205" s="1"/>
  <c r="D28" i="205"/>
  <c r="E28" i="205" s="1"/>
  <c r="E27" i="205"/>
  <c r="D27" i="205"/>
  <c r="D26" i="205"/>
  <c r="E26" i="205" s="1"/>
  <c r="P18" i="205"/>
  <c r="O18" i="205"/>
  <c r="N18" i="205"/>
  <c r="L18" i="205"/>
  <c r="K18" i="205"/>
  <c r="J18" i="205"/>
  <c r="H18" i="205"/>
  <c r="G18" i="205"/>
  <c r="F18" i="205"/>
  <c r="P17" i="205"/>
  <c r="M16" i="205"/>
  <c r="I16" i="205"/>
  <c r="P15" i="205"/>
  <c r="M14" i="205"/>
  <c r="I14" i="205"/>
  <c r="P13" i="205"/>
  <c r="M12" i="205"/>
  <c r="I12" i="205"/>
  <c r="P11" i="205"/>
  <c r="M10" i="205"/>
  <c r="I10" i="205"/>
  <c r="P9" i="205"/>
  <c r="M8" i="205"/>
  <c r="I8" i="205"/>
  <c r="P7" i="205"/>
  <c r="M6" i="205"/>
  <c r="I6" i="205"/>
  <c r="C3" i="205"/>
  <c r="E31" i="204"/>
  <c r="D31" i="204"/>
  <c r="E30" i="204"/>
  <c r="D30" i="204"/>
  <c r="D29" i="204"/>
  <c r="E29" i="204" s="1"/>
  <c r="D28" i="204"/>
  <c r="E28" i="204" s="1"/>
  <c r="D27" i="204"/>
  <c r="E27" i="204" s="1"/>
  <c r="D26" i="204"/>
  <c r="E26" i="204" s="1"/>
  <c r="P18" i="204"/>
  <c r="O18" i="204"/>
  <c r="N18" i="204"/>
  <c r="L18" i="204"/>
  <c r="K18" i="204"/>
  <c r="J18" i="204"/>
  <c r="H18" i="204"/>
  <c r="G18" i="204"/>
  <c r="F18" i="204"/>
  <c r="P17" i="204"/>
  <c r="M16" i="204"/>
  <c r="I16" i="204"/>
  <c r="P15" i="204"/>
  <c r="M14" i="204"/>
  <c r="I14" i="204"/>
  <c r="P13" i="204"/>
  <c r="M12" i="204"/>
  <c r="I12" i="204"/>
  <c r="P11" i="204"/>
  <c r="M10" i="204"/>
  <c r="I10" i="204"/>
  <c r="P9" i="204"/>
  <c r="M8" i="204"/>
  <c r="I8" i="204"/>
  <c r="P7" i="204"/>
  <c r="M6" i="204"/>
  <c r="I6" i="204"/>
  <c r="C3" i="204"/>
  <c r="D31" i="203"/>
  <c r="E31" i="203" s="1"/>
  <c r="D30" i="203"/>
  <c r="E30" i="203" s="1"/>
  <c r="E29" i="203"/>
  <c r="D29" i="203"/>
  <c r="D28" i="203"/>
  <c r="E28" i="203" s="1"/>
  <c r="D27" i="203"/>
  <c r="E27" i="203" s="1"/>
  <c r="D26" i="203"/>
  <c r="E26" i="203" s="1"/>
  <c r="P18" i="203"/>
  <c r="O18" i="203"/>
  <c r="N18" i="203"/>
  <c r="L18" i="203"/>
  <c r="K18" i="203"/>
  <c r="J18" i="203"/>
  <c r="H18" i="203"/>
  <c r="G18" i="203"/>
  <c r="F18" i="203"/>
  <c r="P17" i="203"/>
  <c r="M16" i="203"/>
  <c r="I16" i="203"/>
  <c r="P15" i="203"/>
  <c r="M14" i="203"/>
  <c r="I14" i="203"/>
  <c r="P13" i="203"/>
  <c r="M12" i="203"/>
  <c r="I12" i="203"/>
  <c r="P11" i="203"/>
  <c r="M10" i="203"/>
  <c r="I10" i="203"/>
  <c r="P9" i="203"/>
  <c r="M8" i="203"/>
  <c r="I8" i="203"/>
  <c r="P7" i="203"/>
  <c r="M6" i="203"/>
  <c r="I6" i="203"/>
  <c r="C3" i="203"/>
  <c r="D31" i="202"/>
  <c r="E31" i="202" s="1"/>
  <c r="E30" i="202"/>
  <c r="D30" i="202"/>
  <c r="E29" i="202"/>
  <c r="D29" i="202"/>
  <c r="D28" i="202"/>
  <c r="E28" i="202" s="1"/>
  <c r="E27" i="202"/>
  <c r="D27" i="202"/>
  <c r="D26" i="202"/>
  <c r="E26" i="202" s="1"/>
  <c r="P18" i="202"/>
  <c r="O18" i="202"/>
  <c r="N18" i="202"/>
  <c r="L18" i="202"/>
  <c r="K18" i="202"/>
  <c r="J18" i="202"/>
  <c r="H18" i="202"/>
  <c r="G18" i="202"/>
  <c r="F18" i="202"/>
  <c r="P17" i="202"/>
  <c r="M16" i="202"/>
  <c r="I16" i="202"/>
  <c r="P15" i="202"/>
  <c r="M14" i="202"/>
  <c r="I14" i="202"/>
  <c r="P13" i="202"/>
  <c r="M12" i="202"/>
  <c r="I12" i="202"/>
  <c r="P11" i="202"/>
  <c r="M10" i="202"/>
  <c r="I10" i="202"/>
  <c r="P9" i="202"/>
  <c r="M8" i="202"/>
  <c r="I8" i="202"/>
  <c r="P7" i="202"/>
  <c r="M6" i="202"/>
  <c r="I6" i="202"/>
  <c r="C3" i="202"/>
  <c r="E31" i="201"/>
  <c r="D31" i="201"/>
  <c r="D30" i="201"/>
  <c r="E30" i="201" s="1"/>
  <c r="E29" i="201"/>
  <c r="D29" i="201"/>
  <c r="E28" i="201"/>
  <c r="D28" i="201"/>
  <c r="D27" i="201"/>
  <c r="E27" i="201" s="1"/>
  <c r="D26" i="201"/>
  <c r="E26" i="201" s="1"/>
  <c r="P18" i="201"/>
  <c r="O18" i="201"/>
  <c r="N18" i="201"/>
  <c r="L18" i="201"/>
  <c r="K18" i="201"/>
  <c r="J18" i="201"/>
  <c r="H18" i="201"/>
  <c r="G18" i="201"/>
  <c r="F18" i="201"/>
  <c r="P17" i="201"/>
  <c r="M16" i="201"/>
  <c r="I16" i="201"/>
  <c r="P15" i="201"/>
  <c r="M14" i="201"/>
  <c r="I14" i="201"/>
  <c r="P13" i="201"/>
  <c r="M12" i="201"/>
  <c r="I12" i="201"/>
  <c r="P11" i="201"/>
  <c r="M10" i="201"/>
  <c r="I10" i="201"/>
  <c r="P9" i="201"/>
  <c r="M8" i="201"/>
  <c r="I8" i="201"/>
  <c r="P7" i="201"/>
  <c r="M6" i="201"/>
  <c r="M18" i="201" s="1"/>
  <c r="I6" i="201"/>
  <c r="C3" i="201"/>
  <c r="D31" i="200"/>
  <c r="E31" i="200" s="1"/>
  <c r="E30" i="200"/>
  <c r="D30" i="200"/>
  <c r="D29" i="200"/>
  <c r="E29" i="200" s="1"/>
  <c r="D28" i="200"/>
  <c r="E28" i="200" s="1"/>
  <c r="E27" i="200"/>
  <c r="D27" i="200"/>
  <c r="D26" i="200"/>
  <c r="E26" i="200" s="1"/>
  <c r="P18" i="200"/>
  <c r="O18" i="200"/>
  <c r="N18" i="200"/>
  <c r="L18" i="200"/>
  <c r="K18" i="200"/>
  <c r="J18" i="200"/>
  <c r="H18" i="200"/>
  <c r="G18" i="200"/>
  <c r="F18" i="200"/>
  <c r="P17" i="200"/>
  <c r="M16" i="200"/>
  <c r="I16" i="200"/>
  <c r="P15" i="200"/>
  <c r="P19" i="200" s="1"/>
  <c r="P20" i="200" s="1"/>
  <c r="M14" i="200"/>
  <c r="I14" i="200"/>
  <c r="P13" i="200"/>
  <c r="M12" i="200"/>
  <c r="I12" i="200"/>
  <c r="P11" i="200"/>
  <c r="M10" i="200"/>
  <c r="I10" i="200"/>
  <c r="P9" i="200"/>
  <c r="M8" i="200"/>
  <c r="I8" i="200"/>
  <c r="P7" i="200"/>
  <c r="M6" i="200"/>
  <c r="I6" i="200"/>
  <c r="C3" i="200"/>
  <c r="E31" i="199"/>
  <c r="D31" i="199"/>
  <c r="D30" i="199"/>
  <c r="E30" i="199" s="1"/>
  <c r="E29" i="199"/>
  <c r="D29" i="199"/>
  <c r="D28" i="199"/>
  <c r="E28" i="199" s="1"/>
  <c r="D27" i="199"/>
  <c r="E27" i="199" s="1"/>
  <c r="D26" i="199"/>
  <c r="E26" i="199" s="1"/>
  <c r="P18" i="199"/>
  <c r="O18" i="199"/>
  <c r="N18" i="199"/>
  <c r="L18" i="199"/>
  <c r="K18" i="199"/>
  <c r="J18" i="199"/>
  <c r="H18" i="199"/>
  <c r="G18" i="199"/>
  <c r="F18" i="199"/>
  <c r="P17" i="199"/>
  <c r="M16" i="199"/>
  <c r="I16" i="199"/>
  <c r="P15" i="199"/>
  <c r="P19" i="199" s="1"/>
  <c r="P20" i="199" s="1"/>
  <c r="M14" i="199"/>
  <c r="I14" i="199"/>
  <c r="P13" i="199"/>
  <c r="M12" i="199"/>
  <c r="I12" i="199"/>
  <c r="P11" i="199"/>
  <c r="M10" i="199"/>
  <c r="I10" i="199"/>
  <c r="I18" i="199" s="1"/>
  <c r="P9" i="199"/>
  <c r="M8" i="199"/>
  <c r="I8" i="199"/>
  <c r="P7" i="199"/>
  <c r="M6" i="199"/>
  <c r="I6" i="199"/>
  <c r="C3" i="199"/>
  <c r="E31" i="198"/>
  <c r="D31" i="198"/>
  <c r="E30" i="198"/>
  <c r="D30" i="198"/>
  <c r="D29" i="198"/>
  <c r="E29" i="198" s="1"/>
  <c r="D28" i="198"/>
  <c r="E28" i="198" s="1"/>
  <c r="D27" i="198"/>
  <c r="E27" i="198" s="1"/>
  <c r="D26" i="198"/>
  <c r="E26" i="198" s="1"/>
  <c r="P18" i="198"/>
  <c r="O18" i="198"/>
  <c r="N18" i="198"/>
  <c r="L18" i="198"/>
  <c r="K18" i="198"/>
  <c r="J18" i="198"/>
  <c r="H18" i="198"/>
  <c r="G18" i="198"/>
  <c r="F18" i="198"/>
  <c r="P17" i="198"/>
  <c r="M16" i="198"/>
  <c r="I16" i="198"/>
  <c r="P15" i="198"/>
  <c r="M14" i="198"/>
  <c r="I14" i="198"/>
  <c r="P13" i="198"/>
  <c r="M12" i="198"/>
  <c r="I12" i="198"/>
  <c r="P11" i="198"/>
  <c r="M10" i="198"/>
  <c r="I10" i="198"/>
  <c r="P9" i="198"/>
  <c r="M8" i="198"/>
  <c r="I8" i="198"/>
  <c r="P7" i="198"/>
  <c r="M6" i="198"/>
  <c r="I6" i="198"/>
  <c r="C3" i="198"/>
  <c r="D31" i="197"/>
  <c r="E31" i="197" s="1"/>
  <c r="D30" i="197"/>
  <c r="E30" i="197" s="1"/>
  <c r="E29" i="197"/>
  <c r="D29" i="197"/>
  <c r="D28" i="197"/>
  <c r="E28" i="197" s="1"/>
  <c r="D27" i="197"/>
  <c r="E27" i="197" s="1"/>
  <c r="D26" i="197"/>
  <c r="E26" i="197" s="1"/>
  <c r="P18" i="197"/>
  <c r="O18" i="197"/>
  <c r="N18" i="197"/>
  <c r="L18" i="197"/>
  <c r="K18" i="197"/>
  <c r="J18" i="197"/>
  <c r="H18" i="197"/>
  <c r="G18" i="197"/>
  <c r="F18" i="197"/>
  <c r="P17" i="197"/>
  <c r="M16" i="197"/>
  <c r="I16" i="197"/>
  <c r="P15" i="197"/>
  <c r="M14" i="197"/>
  <c r="I14" i="197"/>
  <c r="P13" i="197"/>
  <c r="M12" i="197"/>
  <c r="I12" i="197"/>
  <c r="P11" i="197"/>
  <c r="M10" i="197"/>
  <c r="I10" i="197"/>
  <c r="P9" i="197"/>
  <c r="M8" i="197"/>
  <c r="I8" i="197"/>
  <c r="P7" i="197"/>
  <c r="M6" i="197"/>
  <c r="I6" i="197"/>
  <c r="C3" i="197"/>
  <c r="E31" i="196"/>
  <c r="D31" i="196"/>
  <c r="D30" i="196"/>
  <c r="E30" i="196" s="1"/>
  <c r="D29" i="196"/>
  <c r="E29" i="196" s="1"/>
  <c r="D28" i="196"/>
  <c r="E28" i="196" s="1"/>
  <c r="D27" i="196"/>
  <c r="E27" i="196" s="1"/>
  <c r="E26" i="196"/>
  <c r="D26" i="196"/>
  <c r="P18" i="196"/>
  <c r="O18" i="196"/>
  <c r="N18" i="196"/>
  <c r="L18" i="196"/>
  <c r="K18" i="196"/>
  <c r="J18" i="196"/>
  <c r="H18" i="196"/>
  <c r="G18" i="196"/>
  <c r="F18" i="196"/>
  <c r="P17" i="196"/>
  <c r="M16" i="196"/>
  <c r="I16" i="196"/>
  <c r="P15" i="196"/>
  <c r="M14" i="196"/>
  <c r="I14" i="196"/>
  <c r="P13" i="196"/>
  <c r="M12" i="196"/>
  <c r="I12" i="196"/>
  <c r="P11" i="196"/>
  <c r="M10" i="196"/>
  <c r="I10" i="196"/>
  <c r="P9" i="196"/>
  <c r="M8" i="196"/>
  <c r="I8" i="196"/>
  <c r="P7" i="196"/>
  <c r="M6" i="196"/>
  <c r="I6" i="196"/>
  <c r="C3" i="196"/>
  <c r="D31" i="195"/>
  <c r="E31" i="195" s="1"/>
  <c r="D30" i="195"/>
  <c r="E30" i="195" s="1"/>
  <c r="E29" i="195"/>
  <c r="D29" i="195"/>
  <c r="D28" i="195"/>
  <c r="E28" i="195" s="1"/>
  <c r="D27" i="195"/>
  <c r="E27" i="195" s="1"/>
  <c r="D26" i="195"/>
  <c r="E26" i="195" s="1"/>
  <c r="P18" i="195"/>
  <c r="O18" i="195"/>
  <c r="N18" i="195"/>
  <c r="M18" i="195"/>
  <c r="L18" i="195"/>
  <c r="K18" i="195"/>
  <c r="J18" i="195"/>
  <c r="H18" i="195"/>
  <c r="G18" i="195"/>
  <c r="F18" i="195"/>
  <c r="P17" i="195"/>
  <c r="I16" i="195"/>
  <c r="P15" i="195"/>
  <c r="I14" i="195"/>
  <c r="P13" i="195"/>
  <c r="I12" i="195"/>
  <c r="P11" i="195"/>
  <c r="I10" i="195"/>
  <c r="P9" i="195"/>
  <c r="I8" i="195"/>
  <c r="P7" i="195"/>
  <c r="I6" i="195"/>
  <c r="I18" i="195" s="1"/>
  <c r="C3" i="195"/>
  <c r="E31" i="194"/>
  <c r="D31" i="194"/>
  <c r="D30" i="194"/>
  <c r="E30" i="194" s="1"/>
  <c r="D29" i="194"/>
  <c r="E29" i="194" s="1"/>
  <c r="D28" i="194"/>
  <c r="E28" i="194" s="1"/>
  <c r="E27" i="194"/>
  <c r="D27" i="194"/>
  <c r="D26" i="194"/>
  <c r="E26" i="194" s="1"/>
  <c r="P18" i="194"/>
  <c r="O18" i="194"/>
  <c r="N18" i="194"/>
  <c r="L18" i="194"/>
  <c r="K18" i="194"/>
  <c r="J18" i="194"/>
  <c r="H18" i="194"/>
  <c r="G18" i="194"/>
  <c r="F18" i="194"/>
  <c r="P17" i="194"/>
  <c r="M16" i="194"/>
  <c r="I16" i="194"/>
  <c r="P15" i="194"/>
  <c r="M14" i="194"/>
  <c r="I14" i="194"/>
  <c r="P13" i="194"/>
  <c r="M12" i="194"/>
  <c r="I12" i="194"/>
  <c r="P11" i="194"/>
  <c r="M10" i="194"/>
  <c r="I10" i="194"/>
  <c r="P9" i="194"/>
  <c r="M8" i="194"/>
  <c r="I8" i="194"/>
  <c r="P7" i="194"/>
  <c r="M6" i="194"/>
  <c r="I6" i="194"/>
  <c r="C3" i="194"/>
  <c r="D31" i="193"/>
  <c r="E31" i="193" s="1"/>
  <c r="E30" i="193"/>
  <c r="D30" i="193"/>
  <c r="E29" i="193"/>
  <c r="D29" i="193"/>
  <c r="D28" i="193"/>
  <c r="E28" i="193" s="1"/>
  <c r="D27" i="193"/>
  <c r="E27" i="193" s="1"/>
  <c r="D26" i="193"/>
  <c r="E26" i="193" s="1"/>
  <c r="P18" i="193"/>
  <c r="O18" i="193"/>
  <c r="N18" i="193"/>
  <c r="L18" i="193"/>
  <c r="K18" i="193"/>
  <c r="J18" i="193"/>
  <c r="H18" i="193"/>
  <c r="G18" i="193"/>
  <c r="F18" i="193"/>
  <c r="P17" i="193"/>
  <c r="M16" i="193"/>
  <c r="I16" i="193"/>
  <c r="P15" i="193"/>
  <c r="M14" i="193"/>
  <c r="I14" i="193"/>
  <c r="P13" i="193"/>
  <c r="M12" i="193"/>
  <c r="I12" i="193"/>
  <c r="P11" i="193"/>
  <c r="M10" i="193"/>
  <c r="I10" i="193"/>
  <c r="P9" i="193"/>
  <c r="M8" i="193"/>
  <c r="I8" i="193"/>
  <c r="P7" i="193"/>
  <c r="M6" i="193"/>
  <c r="I6" i="193"/>
  <c r="I18" i="193" s="1"/>
  <c r="C3" i="193"/>
  <c r="D31" i="192"/>
  <c r="E31" i="192" s="1"/>
  <c r="D30" i="192"/>
  <c r="E30" i="192" s="1"/>
  <c r="D29" i="192"/>
  <c r="E29" i="192" s="1"/>
  <c r="E28" i="192"/>
  <c r="D28" i="192"/>
  <c r="E27" i="192"/>
  <c r="D27" i="192"/>
  <c r="D26" i="192"/>
  <c r="E26" i="192" s="1"/>
  <c r="P18" i="192"/>
  <c r="O18" i="192"/>
  <c r="N18" i="192"/>
  <c r="L18" i="192"/>
  <c r="K18" i="192"/>
  <c r="J18" i="192"/>
  <c r="H18" i="192"/>
  <c r="G18" i="192"/>
  <c r="F18" i="192"/>
  <c r="P17" i="192"/>
  <c r="M16" i="192"/>
  <c r="I16" i="192"/>
  <c r="P15" i="192"/>
  <c r="M14" i="192"/>
  <c r="I14" i="192"/>
  <c r="P13" i="192"/>
  <c r="M12" i="192"/>
  <c r="I12" i="192"/>
  <c r="P11" i="192"/>
  <c r="M10" i="192"/>
  <c r="I10" i="192"/>
  <c r="P9" i="192"/>
  <c r="M8" i="192"/>
  <c r="I8" i="192"/>
  <c r="P7" i="192"/>
  <c r="M6" i="192"/>
  <c r="I6" i="192"/>
  <c r="C3" i="192"/>
  <c r="D31" i="191"/>
  <c r="E31" i="191" s="1"/>
  <c r="E30" i="191"/>
  <c r="D30" i="191"/>
  <c r="D29" i="191"/>
  <c r="E29" i="191" s="1"/>
  <c r="D28" i="191"/>
  <c r="E28" i="191" s="1"/>
  <c r="D27" i="191"/>
  <c r="E27" i="191" s="1"/>
  <c r="E26" i="191"/>
  <c r="D26" i="191"/>
  <c r="P18" i="191"/>
  <c r="O18" i="191"/>
  <c r="N18" i="191"/>
  <c r="L18" i="191"/>
  <c r="K18" i="191"/>
  <c r="J18" i="191"/>
  <c r="H18" i="191"/>
  <c r="G18" i="191"/>
  <c r="F18" i="191"/>
  <c r="P17" i="191"/>
  <c r="M16" i="191"/>
  <c r="I16" i="191"/>
  <c r="P15" i="191"/>
  <c r="M14" i="191"/>
  <c r="I14" i="191"/>
  <c r="P13" i="191"/>
  <c r="M12" i="191"/>
  <c r="I12" i="191"/>
  <c r="P11" i="191"/>
  <c r="M10" i="191"/>
  <c r="I10" i="191"/>
  <c r="P9" i="191"/>
  <c r="M8" i="191"/>
  <c r="I8" i="191"/>
  <c r="P7" i="191"/>
  <c r="M6" i="191"/>
  <c r="I6" i="191"/>
  <c r="C3" i="191"/>
  <c r="D31" i="190"/>
  <c r="E31" i="190" s="1"/>
  <c r="D30" i="190"/>
  <c r="E30" i="190" s="1"/>
  <c r="D29" i="190"/>
  <c r="E29" i="190" s="1"/>
  <c r="E28" i="190"/>
  <c r="D28" i="190"/>
  <c r="D27" i="190"/>
  <c r="E27" i="190" s="1"/>
  <c r="D26" i="190"/>
  <c r="E26" i="190" s="1"/>
  <c r="P18" i="190"/>
  <c r="O18" i="190"/>
  <c r="N18" i="190"/>
  <c r="L18" i="190"/>
  <c r="K18" i="190"/>
  <c r="J18" i="190"/>
  <c r="H18" i="190"/>
  <c r="G18" i="190"/>
  <c r="F18" i="190"/>
  <c r="P17" i="190"/>
  <c r="M16" i="190"/>
  <c r="I16" i="190"/>
  <c r="P15" i="190"/>
  <c r="M14" i="190"/>
  <c r="I14" i="190"/>
  <c r="P13" i="190"/>
  <c r="M12" i="190"/>
  <c r="I12" i="190"/>
  <c r="P11" i="190"/>
  <c r="M10" i="190"/>
  <c r="I10" i="190"/>
  <c r="P9" i="190"/>
  <c r="P19" i="190" s="1"/>
  <c r="M8" i="190"/>
  <c r="I8" i="190"/>
  <c r="P7" i="190"/>
  <c r="M6" i="190"/>
  <c r="I6" i="190"/>
  <c r="C3" i="190"/>
  <c r="D31" i="189"/>
  <c r="E31" i="189" s="1"/>
  <c r="D30" i="189"/>
  <c r="E30" i="189" s="1"/>
  <c r="D29" i="189"/>
  <c r="E29" i="189" s="1"/>
  <c r="D28" i="189"/>
  <c r="E28" i="189" s="1"/>
  <c r="E26" i="189"/>
  <c r="D26" i="189"/>
  <c r="P18" i="189"/>
  <c r="O18" i="189"/>
  <c r="N18" i="189"/>
  <c r="L18" i="189"/>
  <c r="K18" i="189"/>
  <c r="J18" i="189"/>
  <c r="H18" i="189"/>
  <c r="G18" i="189"/>
  <c r="F18" i="189"/>
  <c r="P17" i="189"/>
  <c r="M16" i="189"/>
  <c r="I16" i="189"/>
  <c r="P15" i="189"/>
  <c r="M14" i="189"/>
  <c r="I14" i="189"/>
  <c r="P13" i="189"/>
  <c r="C13" i="189"/>
  <c r="D27" i="189" s="1"/>
  <c r="E27" i="189" s="1"/>
  <c r="M12" i="189"/>
  <c r="I12" i="189"/>
  <c r="P11" i="189"/>
  <c r="M10" i="189"/>
  <c r="I10" i="189"/>
  <c r="P9" i="189"/>
  <c r="M8" i="189"/>
  <c r="I8" i="189"/>
  <c r="P7" i="189"/>
  <c r="M6" i="189"/>
  <c r="I6" i="189"/>
  <c r="C3" i="189"/>
  <c r="D31" i="188"/>
  <c r="E31" i="188" s="1"/>
  <c r="D30" i="188"/>
  <c r="E30" i="188" s="1"/>
  <c r="D29" i="188"/>
  <c r="E29" i="188" s="1"/>
  <c r="D28" i="188"/>
  <c r="E28" i="188" s="1"/>
  <c r="D27" i="188"/>
  <c r="E27" i="188" s="1"/>
  <c r="D26" i="188"/>
  <c r="E26" i="188" s="1"/>
  <c r="P18" i="188"/>
  <c r="O18" i="188"/>
  <c r="N18" i="188"/>
  <c r="L18" i="188"/>
  <c r="K18" i="188"/>
  <c r="J18" i="188"/>
  <c r="H18" i="188"/>
  <c r="G18" i="188"/>
  <c r="F18" i="188"/>
  <c r="P17" i="188"/>
  <c r="M16" i="188"/>
  <c r="I16" i="188"/>
  <c r="P15" i="188"/>
  <c r="P19" i="188" s="1"/>
  <c r="P20" i="188" s="1"/>
  <c r="M14" i="188"/>
  <c r="I14" i="188"/>
  <c r="P13" i="188"/>
  <c r="M12" i="188"/>
  <c r="I12" i="188"/>
  <c r="P11" i="188"/>
  <c r="M10" i="188"/>
  <c r="I10" i="188"/>
  <c r="P9" i="188"/>
  <c r="M8" i="188"/>
  <c r="I8" i="188"/>
  <c r="I18" i="188" s="1"/>
  <c r="P7" i="188"/>
  <c r="M6" i="188"/>
  <c r="I6" i="188"/>
  <c r="C3" i="188"/>
  <c r="D31" i="187"/>
  <c r="E31" i="187" s="1"/>
  <c r="D30" i="187"/>
  <c r="E30" i="187" s="1"/>
  <c r="D29" i="187"/>
  <c r="E29" i="187" s="1"/>
  <c r="E28" i="187"/>
  <c r="D28" i="187"/>
  <c r="D27" i="187"/>
  <c r="E27" i="187" s="1"/>
  <c r="D26" i="187"/>
  <c r="E26" i="187" s="1"/>
  <c r="P18" i="187"/>
  <c r="O18" i="187"/>
  <c r="N18" i="187"/>
  <c r="L18" i="187"/>
  <c r="K18" i="187"/>
  <c r="J18" i="187"/>
  <c r="H18" i="187"/>
  <c r="G18" i="187"/>
  <c r="F18" i="187"/>
  <c r="P17" i="187"/>
  <c r="M16" i="187"/>
  <c r="I16" i="187"/>
  <c r="P15" i="187"/>
  <c r="M14" i="187"/>
  <c r="I14" i="187"/>
  <c r="P13" i="187"/>
  <c r="M12" i="187"/>
  <c r="I12" i="187"/>
  <c r="P11" i="187"/>
  <c r="M10" i="187"/>
  <c r="I10" i="187"/>
  <c r="P9" i="187"/>
  <c r="M8" i="187"/>
  <c r="I8" i="187"/>
  <c r="P7" i="187"/>
  <c r="M6" i="187"/>
  <c r="M18" i="187" s="1"/>
  <c r="I6" i="187"/>
  <c r="C3" i="187"/>
  <c r="D31" i="186"/>
  <c r="E31" i="186" s="1"/>
  <c r="D30" i="186"/>
  <c r="E30" i="186" s="1"/>
  <c r="D29" i="186"/>
  <c r="E29" i="186" s="1"/>
  <c r="D28" i="186"/>
  <c r="E28" i="186" s="1"/>
  <c r="D26" i="186"/>
  <c r="E26" i="186" s="1"/>
  <c r="P18" i="186"/>
  <c r="O18" i="186"/>
  <c r="N18" i="186"/>
  <c r="L18" i="186"/>
  <c r="K18" i="186"/>
  <c r="J18" i="186"/>
  <c r="H18" i="186"/>
  <c r="G18" i="186"/>
  <c r="F18" i="186"/>
  <c r="P17" i="186"/>
  <c r="M16" i="186"/>
  <c r="I16" i="186"/>
  <c r="P15" i="186"/>
  <c r="P19" i="186" s="1"/>
  <c r="P20" i="186" s="1"/>
  <c r="M14" i="186"/>
  <c r="I14" i="186"/>
  <c r="P13" i="186"/>
  <c r="C13" i="186"/>
  <c r="D27" i="186" s="1"/>
  <c r="E27" i="186" s="1"/>
  <c r="M12" i="186"/>
  <c r="I12" i="186"/>
  <c r="P11" i="186"/>
  <c r="M10" i="186"/>
  <c r="I10" i="186"/>
  <c r="P9" i="186"/>
  <c r="M8" i="186"/>
  <c r="I8" i="186"/>
  <c r="P7" i="186"/>
  <c r="M6" i="186"/>
  <c r="M18" i="186" s="1"/>
  <c r="I6" i="186"/>
  <c r="C3" i="186"/>
  <c r="E31" i="185"/>
  <c r="D31" i="185"/>
  <c r="D30" i="185"/>
  <c r="E30" i="185" s="1"/>
  <c r="D29" i="185"/>
  <c r="E29" i="185" s="1"/>
  <c r="D28" i="185"/>
  <c r="E28" i="185" s="1"/>
  <c r="D27" i="185"/>
  <c r="E27" i="185" s="1"/>
  <c r="E26" i="185"/>
  <c r="D26" i="185"/>
  <c r="P18" i="185"/>
  <c r="O18" i="185"/>
  <c r="N18" i="185"/>
  <c r="L18" i="185"/>
  <c r="K18" i="185"/>
  <c r="J18" i="185"/>
  <c r="H18" i="185"/>
  <c r="G18" i="185"/>
  <c r="F18" i="185"/>
  <c r="P17" i="185"/>
  <c r="M16" i="185"/>
  <c r="I16" i="185"/>
  <c r="P15" i="185"/>
  <c r="M14" i="185"/>
  <c r="I14" i="185"/>
  <c r="P13" i="185"/>
  <c r="M12" i="185"/>
  <c r="I12" i="185"/>
  <c r="P11" i="185"/>
  <c r="M10" i="185"/>
  <c r="I10" i="185"/>
  <c r="P9" i="185"/>
  <c r="M8" i="185"/>
  <c r="I8" i="185"/>
  <c r="P7" i="185"/>
  <c r="M6" i="185"/>
  <c r="I6" i="185"/>
  <c r="C3" i="185"/>
  <c r="D31" i="184"/>
  <c r="E31" i="184" s="1"/>
  <c r="D30" i="184"/>
  <c r="E30" i="184" s="1"/>
  <c r="E29" i="184"/>
  <c r="D29" i="184"/>
  <c r="D28" i="184"/>
  <c r="E28" i="184" s="1"/>
  <c r="D27" i="184"/>
  <c r="E27" i="184" s="1"/>
  <c r="D26" i="184"/>
  <c r="E26" i="184" s="1"/>
  <c r="P18" i="184"/>
  <c r="O18" i="184"/>
  <c r="N18" i="184"/>
  <c r="L18" i="184"/>
  <c r="K18" i="184"/>
  <c r="J18" i="184"/>
  <c r="H18" i="184"/>
  <c r="G18" i="184"/>
  <c r="F18" i="184"/>
  <c r="P17" i="184"/>
  <c r="M16" i="184"/>
  <c r="I16" i="184"/>
  <c r="P15" i="184"/>
  <c r="M14" i="184"/>
  <c r="I14" i="184"/>
  <c r="P13" i="184"/>
  <c r="M12" i="184"/>
  <c r="I12" i="184"/>
  <c r="P11" i="184"/>
  <c r="M10" i="184"/>
  <c r="I10" i="184"/>
  <c r="P9" i="184"/>
  <c r="M8" i="184"/>
  <c r="I8" i="184"/>
  <c r="P7" i="184"/>
  <c r="M6" i="184"/>
  <c r="I6" i="184"/>
  <c r="C3" i="184"/>
  <c r="D31" i="183"/>
  <c r="E31" i="183" s="1"/>
  <c r="D30" i="183"/>
  <c r="E30" i="183" s="1"/>
  <c r="D29" i="183"/>
  <c r="E29" i="183" s="1"/>
  <c r="D28" i="183"/>
  <c r="E28" i="183" s="1"/>
  <c r="E27" i="183"/>
  <c r="D26" i="183"/>
  <c r="E26" i="183" s="1"/>
  <c r="P18" i="183"/>
  <c r="O18" i="183"/>
  <c r="N18" i="183"/>
  <c r="L18" i="183"/>
  <c r="K18" i="183"/>
  <c r="J18" i="183"/>
  <c r="H18" i="183"/>
  <c r="G18" i="183"/>
  <c r="F18" i="183"/>
  <c r="P17" i="183"/>
  <c r="M16" i="183"/>
  <c r="I16" i="183"/>
  <c r="P15" i="183"/>
  <c r="M14" i="183"/>
  <c r="I14" i="183"/>
  <c r="P13" i="183"/>
  <c r="C13" i="183"/>
  <c r="D27" i="183" s="1"/>
  <c r="M12" i="183"/>
  <c r="I12" i="183"/>
  <c r="P11" i="183"/>
  <c r="M10" i="183"/>
  <c r="I10" i="183"/>
  <c r="P9" i="183"/>
  <c r="M8" i="183"/>
  <c r="I8" i="183"/>
  <c r="P7" i="183"/>
  <c r="M6" i="183"/>
  <c r="I6" i="183"/>
  <c r="C3" i="183"/>
  <c r="D31" i="182"/>
  <c r="E31" i="182" s="1"/>
  <c r="D30" i="182"/>
  <c r="E30" i="182" s="1"/>
  <c r="D29" i="182"/>
  <c r="E29" i="182" s="1"/>
  <c r="E28" i="182"/>
  <c r="D28" i="182"/>
  <c r="D27" i="182"/>
  <c r="E27" i="182" s="1"/>
  <c r="D26" i="182"/>
  <c r="E26" i="182" s="1"/>
  <c r="P18" i="182"/>
  <c r="O18" i="182"/>
  <c r="N18" i="182"/>
  <c r="L18" i="182"/>
  <c r="K18" i="182"/>
  <c r="J18" i="182"/>
  <c r="H18" i="182"/>
  <c r="G18" i="182"/>
  <c r="F18" i="182"/>
  <c r="P17" i="182"/>
  <c r="M16" i="182"/>
  <c r="I16" i="182"/>
  <c r="P15" i="182"/>
  <c r="M14" i="182"/>
  <c r="I14" i="182"/>
  <c r="P13" i="182"/>
  <c r="M12" i="182"/>
  <c r="I12" i="182"/>
  <c r="P11" i="182"/>
  <c r="M10" i="182"/>
  <c r="I10" i="182"/>
  <c r="P9" i="182"/>
  <c r="M8" i="182"/>
  <c r="I8" i="182"/>
  <c r="P7" i="182"/>
  <c r="M6" i="182"/>
  <c r="I6" i="182"/>
  <c r="C3" i="182"/>
  <c r="D31" i="181"/>
  <c r="E31" i="181" s="1"/>
  <c r="E30" i="181"/>
  <c r="D30" i="181"/>
  <c r="D29" i="181"/>
  <c r="E29" i="181" s="1"/>
  <c r="D28" i="181"/>
  <c r="E28" i="181" s="1"/>
  <c r="D26" i="181"/>
  <c r="E26" i="181" s="1"/>
  <c r="P18" i="181"/>
  <c r="O18" i="181"/>
  <c r="N18" i="181"/>
  <c r="L18" i="181"/>
  <c r="K18" i="181"/>
  <c r="J18" i="181"/>
  <c r="H18" i="181"/>
  <c r="G18" i="181"/>
  <c r="F18" i="181"/>
  <c r="P17" i="181"/>
  <c r="M16" i="181"/>
  <c r="I16" i="181"/>
  <c r="P15" i="181"/>
  <c r="M14" i="181"/>
  <c r="I14" i="181"/>
  <c r="P13" i="181"/>
  <c r="C13" i="181"/>
  <c r="D27" i="181" s="1"/>
  <c r="E27" i="181" s="1"/>
  <c r="M12" i="181"/>
  <c r="I12" i="181"/>
  <c r="P11" i="181"/>
  <c r="M10" i="181"/>
  <c r="I10" i="181"/>
  <c r="P9" i="181"/>
  <c r="M8" i="181"/>
  <c r="I8" i="181"/>
  <c r="I18" i="181" s="1"/>
  <c r="P7" i="181"/>
  <c r="M6" i="181"/>
  <c r="I6" i="181"/>
  <c r="C3" i="181"/>
  <c r="D31" i="180"/>
  <c r="E31" i="180" s="1"/>
  <c r="D30" i="180"/>
  <c r="E30" i="180" s="1"/>
  <c r="E29" i="180"/>
  <c r="D29" i="180"/>
  <c r="D28" i="180"/>
  <c r="E28" i="180" s="1"/>
  <c r="D27" i="180"/>
  <c r="E27" i="180" s="1"/>
  <c r="D26" i="180"/>
  <c r="E26" i="180" s="1"/>
  <c r="P18" i="180"/>
  <c r="O18" i="180"/>
  <c r="N18" i="180"/>
  <c r="L18" i="180"/>
  <c r="K18" i="180"/>
  <c r="J18" i="180"/>
  <c r="H18" i="180"/>
  <c r="G18" i="180"/>
  <c r="F18" i="180"/>
  <c r="P17" i="180"/>
  <c r="M16" i="180"/>
  <c r="I16" i="180"/>
  <c r="P15" i="180"/>
  <c r="M14" i="180"/>
  <c r="I14" i="180"/>
  <c r="P13" i="180"/>
  <c r="M12" i="180"/>
  <c r="I12" i="180"/>
  <c r="P11" i="180"/>
  <c r="M10" i="180"/>
  <c r="I10" i="180"/>
  <c r="P9" i="180"/>
  <c r="M8" i="180"/>
  <c r="I8" i="180"/>
  <c r="P7" i="180"/>
  <c r="M6" i="180"/>
  <c r="I6" i="180"/>
  <c r="C3" i="180"/>
  <c r="D31" i="179"/>
  <c r="E31" i="179" s="1"/>
  <c r="D30" i="179"/>
  <c r="E30" i="179" s="1"/>
  <c r="D29" i="179"/>
  <c r="E29" i="179" s="1"/>
  <c r="E28" i="179"/>
  <c r="D28" i="179"/>
  <c r="D27" i="179"/>
  <c r="E27" i="179" s="1"/>
  <c r="D26" i="179"/>
  <c r="E26" i="179" s="1"/>
  <c r="P18" i="179"/>
  <c r="O18" i="179"/>
  <c r="N18" i="179"/>
  <c r="L18" i="179"/>
  <c r="K18" i="179"/>
  <c r="J18" i="179"/>
  <c r="H18" i="179"/>
  <c r="G18" i="179"/>
  <c r="F18" i="179"/>
  <c r="P17" i="179"/>
  <c r="M16" i="179"/>
  <c r="I16" i="179"/>
  <c r="P15" i="179"/>
  <c r="M14" i="179"/>
  <c r="I14" i="179"/>
  <c r="P13" i="179"/>
  <c r="M12" i="179"/>
  <c r="I12" i="179"/>
  <c r="P11" i="179"/>
  <c r="M10" i="179"/>
  <c r="I10" i="179"/>
  <c r="P9" i="179"/>
  <c r="M8" i="179"/>
  <c r="I8" i="179"/>
  <c r="P7" i="179"/>
  <c r="M6" i="179"/>
  <c r="M18" i="179" s="1"/>
  <c r="I6" i="179"/>
  <c r="C3" i="179"/>
  <c r="D31" i="178"/>
  <c r="E31" i="178" s="1"/>
  <c r="D30" i="178"/>
  <c r="E30" i="178" s="1"/>
  <c r="E29" i="178"/>
  <c r="D29" i="178"/>
  <c r="D28" i="178"/>
  <c r="E28" i="178" s="1"/>
  <c r="D27" i="178"/>
  <c r="E27" i="178" s="1"/>
  <c r="D26" i="178"/>
  <c r="E26" i="178" s="1"/>
  <c r="P18" i="178"/>
  <c r="O18" i="178"/>
  <c r="N18" i="178"/>
  <c r="L18" i="178"/>
  <c r="K18" i="178"/>
  <c r="J18" i="178"/>
  <c r="H18" i="178"/>
  <c r="G18" i="178"/>
  <c r="F18" i="178"/>
  <c r="P17" i="178"/>
  <c r="M16" i="178"/>
  <c r="I16" i="178"/>
  <c r="P15" i="178"/>
  <c r="M14" i="178"/>
  <c r="I14" i="178"/>
  <c r="P13" i="178"/>
  <c r="M12" i="178"/>
  <c r="I12" i="178"/>
  <c r="P11" i="178"/>
  <c r="M10" i="178"/>
  <c r="I10" i="178"/>
  <c r="P9" i="178"/>
  <c r="M8" i="178"/>
  <c r="I8" i="178"/>
  <c r="P7" i="178"/>
  <c r="M6" i="178"/>
  <c r="I6" i="178"/>
  <c r="C3" i="178"/>
  <c r="D31" i="177"/>
  <c r="E31" i="177" s="1"/>
  <c r="D30" i="177"/>
  <c r="E30" i="177" s="1"/>
  <c r="D29" i="177"/>
  <c r="E29" i="177" s="1"/>
  <c r="E28" i="177"/>
  <c r="D28" i="177"/>
  <c r="D27" i="177"/>
  <c r="E27" i="177" s="1"/>
  <c r="D26" i="177"/>
  <c r="E26" i="177" s="1"/>
  <c r="P18" i="177"/>
  <c r="O18" i="177"/>
  <c r="N18" i="177"/>
  <c r="L18" i="177"/>
  <c r="K18" i="177"/>
  <c r="J18" i="177"/>
  <c r="H18" i="177"/>
  <c r="G18" i="177"/>
  <c r="F18" i="177"/>
  <c r="P17" i="177"/>
  <c r="M16" i="177"/>
  <c r="I16" i="177"/>
  <c r="P15" i="177"/>
  <c r="M14" i="177"/>
  <c r="I14" i="177"/>
  <c r="P13" i="177"/>
  <c r="M12" i="177"/>
  <c r="I12" i="177"/>
  <c r="P11" i="177"/>
  <c r="M10" i="177"/>
  <c r="I10" i="177"/>
  <c r="P9" i="177"/>
  <c r="M8" i="177"/>
  <c r="I8" i="177"/>
  <c r="P7" i="177"/>
  <c r="M6" i="177"/>
  <c r="I6" i="177"/>
  <c r="C3" i="177"/>
  <c r="D31" i="176"/>
  <c r="E31" i="176" s="1"/>
  <c r="E30" i="176"/>
  <c r="D30" i="176"/>
  <c r="D29" i="176"/>
  <c r="E29" i="176" s="1"/>
  <c r="D28" i="176"/>
  <c r="E28" i="176" s="1"/>
  <c r="D26" i="176"/>
  <c r="E26" i="176" s="1"/>
  <c r="P18" i="176"/>
  <c r="O18" i="176"/>
  <c r="N18" i="176"/>
  <c r="L18" i="176"/>
  <c r="K18" i="176"/>
  <c r="J18" i="176"/>
  <c r="H18" i="176"/>
  <c r="G18" i="176"/>
  <c r="F18" i="176"/>
  <c r="P17" i="176"/>
  <c r="M16" i="176"/>
  <c r="I16" i="176"/>
  <c r="P15" i="176"/>
  <c r="M14" i="176"/>
  <c r="I14" i="176"/>
  <c r="P13" i="176"/>
  <c r="P19" i="176" s="1"/>
  <c r="P20" i="176" s="1"/>
  <c r="C13" i="176"/>
  <c r="D27" i="176" s="1"/>
  <c r="E27" i="176" s="1"/>
  <c r="M12" i="176"/>
  <c r="I12" i="176"/>
  <c r="P11" i="176"/>
  <c r="M10" i="176"/>
  <c r="I10" i="176"/>
  <c r="P9" i="176"/>
  <c r="M8" i="176"/>
  <c r="I8" i="176"/>
  <c r="P7" i="176"/>
  <c r="M6" i="176"/>
  <c r="I6" i="176"/>
  <c r="C3" i="176"/>
  <c r="E31" i="175"/>
  <c r="D31" i="175"/>
  <c r="E30" i="175"/>
  <c r="D30" i="175"/>
  <c r="D29" i="175"/>
  <c r="E29" i="175" s="1"/>
  <c r="D28" i="175"/>
  <c r="E28" i="175" s="1"/>
  <c r="D27" i="175"/>
  <c r="E27" i="175" s="1"/>
  <c r="E26" i="175"/>
  <c r="D26" i="175"/>
  <c r="P18" i="175"/>
  <c r="O18" i="175"/>
  <c r="N18" i="175"/>
  <c r="M18" i="175"/>
  <c r="L18" i="175"/>
  <c r="K18" i="175"/>
  <c r="J18" i="175"/>
  <c r="H18" i="175"/>
  <c r="G18" i="175"/>
  <c r="F18" i="175"/>
  <c r="P17" i="175"/>
  <c r="I16" i="175"/>
  <c r="P15" i="175"/>
  <c r="I14" i="175"/>
  <c r="P13" i="175"/>
  <c r="I12" i="175"/>
  <c r="P11" i="175"/>
  <c r="I10" i="175"/>
  <c r="P9" i="175"/>
  <c r="I8" i="175"/>
  <c r="I18" i="175" s="1"/>
  <c r="P7" i="175"/>
  <c r="I6" i="175"/>
  <c r="C3" i="175"/>
  <c r="D31" i="174"/>
  <c r="E31" i="174" s="1"/>
  <c r="E30" i="174"/>
  <c r="D30" i="174"/>
  <c r="D29" i="174"/>
  <c r="E29" i="174" s="1"/>
  <c r="D28" i="174"/>
  <c r="E28" i="174" s="1"/>
  <c r="D27" i="174"/>
  <c r="E27" i="174" s="1"/>
  <c r="E26" i="174"/>
  <c r="D26" i="174"/>
  <c r="P18" i="174"/>
  <c r="O18" i="174"/>
  <c r="N18" i="174"/>
  <c r="M18" i="174"/>
  <c r="L18" i="174"/>
  <c r="K18" i="174"/>
  <c r="J18" i="174"/>
  <c r="H18" i="174"/>
  <c r="G18" i="174"/>
  <c r="F18" i="174"/>
  <c r="P17" i="174"/>
  <c r="I16" i="174"/>
  <c r="P15" i="174"/>
  <c r="I14" i="174"/>
  <c r="P13" i="174"/>
  <c r="I12" i="174"/>
  <c r="P11" i="174"/>
  <c r="I10" i="174"/>
  <c r="P9" i="174"/>
  <c r="I8" i="174"/>
  <c r="P7" i="174"/>
  <c r="I6" i="174"/>
  <c r="I18" i="174" s="1"/>
  <c r="C3" i="174"/>
  <c r="D31" i="173"/>
  <c r="E31" i="173" s="1"/>
  <c r="D30" i="173"/>
  <c r="E30" i="173" s="1"/>
  <c r="D29" i="173"/>
  <c r="E29" i="173" s="1"/>
  <c r="D28" i="173"/>
  <c r="E28" i="173" s="1"/>
  <c r="D26" i="173"/>
  <c r="E26" i="173" s="1"/>
  <c r="P18" i="173"/>
  <c r="O18" i="173"/>
  <c r="N18" i="173"/>
  <c r="L18" i="173"/>
  <c r="K18" i="173"/>
  <c r="J18" i="173"/>
  <c r="H18" i="173"/>
  <c r="G18" i="173"/>
  <c r="F18" i="173"/>
  <c r="P17" i="173"/>
  <c r="M16" i="173"/>
  <c r="I16" i="173"/>
  <c r="P15" i="173"/>
  <c r="M14" i="173"/>
  <c r="I14" i="173"/>
  <c r="P13" i="173"/>
  <c r="C13" i="173"/>
  <c r="D27" i="173" s="1"/>
  <c r="E27" i="173" s="1"/>
  <c r="M12" i="173"/>
  <c r="I12" i="173"/>
  <c r="P11" i="173"/>
  <c r="M10" i="173"/>
  <c r="I10" i="173"/>
  <c r="P9" i="173"/>
  <c r="M8" i="173"/>
  <c r="I8" i="173"/>
  <c r="P7" i="173"/>
  <c r="M6" i="173"/>
  <c r="I6" i="173"/>
  <c r="C3" i="173"/>
  <c r="D31" i="172"/>
  <c r="E31" i="172" s="1"/>
  <c r="D30" i="172"/>
  <c r="E30" i="172" s="1"/>
  <c r="D29" i="172"/>
  <c r="E29" i="172" s="1"/>
  <c r="D28" i="172"/>
  <c r="E28" i="172" s="1"/>
  <c r="D27" i="172"/>
  <c r="E27" i="172" s="1"/>
  <c r="E26" i="172"/>
  <c r="D26" i="172"/>
  <c r="P18" i="172"/>
  <c r="O18" i="172"/>
  <c r="N18" i="172"/>
  <c r="L18" i="172"/>
  <c r="K18" i="172"/>
  <c r="J18" i="172"/>
  <c r="H18" i="172"/>
  <c r="G18" i="172"/>
  <c r="F18" i="172"/>
  <c r="P17" i="172"/>
  <c r="M16" i="172"/>
  <c r="M18" i="172" s="1"/>
  <c r="I16" i="172"/>
  <c r="P15" i="172"/>
  <c r="M14" i="172"/>
  <c r="I14" i="172"/>
  <c r="P13" i="172"/>
  <c r="M12" i="172"/>
  <c r="I12" i="172"/>
  <c r="P11" i="172"/>
  <c r="M10" i="172"/>
  <c r="I10" i="172"/>
  <c r="P9" i="172"/>
  <c r="M8" i="172"/>
  <c r="I8" i="172"/>
  <c r="P7" i="172"/>
  <c r="M6" i="172"/>
  <c r="I6" i="172"/>
  <c r="I18" i="172" s="1"/>
  <c r="C3" i="172"/>
  <c r="D31" i="171"/>
  <c r="E31" i="171" s="1"/>
  <c r="D30" i="171"/>
  <c r="E30" i="171" s="1"/>
  <c r="D29" i="171"/>
  <c r="E29" i="171" s="1"/>
  <c r="E28" i="171"/>
  <c r="D28" i="171"/>
  <c r="E27" i="171"/>
  <c r="D27" i="171"/>
  <c r="D26" i="171"/>
  <c r="E26" i="171" s="1"/>
  <c r="P18" i="171"/>
  <c r="O18" i="171"/>
  <c r="N18" i="171"/>
  <c r="L18" i="171"/>
  <c r="K18" i="171"/>
  <c r="J18" i="171"/>
  <c r="H18" i="171"/>
  <c r="G18" i="171"/>
  <c r="F18" i="171"/>
  <c r="P17" i="171"/>
  <c r="M16" i="171"/>
  <c r="I16" i="171"/>
  <c r="P15" i="171"/>
  <c r="M14" i="171"/>
  <c r="I14" i="171"/>
  <c r="P13" i="171"/>
  <c r="M12" i="171"/>
  <c r="I12" i="171"/>
  <c r="P11" i="171"/>
  <c r="M10" i="171"/>
  <c r="I10" i="171"/>
  <c r="P9" i="171"/>
  <c r="M8" i="171"/>
  <c r="I8" i="171"/>
  <c r="P7" i="171"/>
  <c r="M6" i="171"/>
  <c r="I6" i="171"/>
  <c r="C3" i="171"/>
  <c r="D31" i="170"/>
  <c r="E31" i="170" s="1"/>
  <c r="D30" i="170"/>
  <c r="E30" i="170" s="1"/>
  <c r="E29" i="170"/>
  <c r="D29" i="170"/>
  <c r="D28" i="170"/>
  <c r="E28" i="170" s="1"/>
  <c r="D27" i="170"/>
  <c r="E27" i="170" s="1"/>
  <c r="D26" i="170"/>
  <c r="E26" i="170" s="1"/>
  <c r="P18" i="170"/>
  <c r="O18" i="170"/>
  <c r="N18" i="170"/>
  <c r="L18" i="170"/>
  <c r="K18" i="170"/>
  <c r="J18" i="170"/>
  <c r="H18" i="170"/>
  <c r="G18" i="170"/>
  <c r="F18" i="170"/>
  <c r="P17" i="170"/>
  <c r="M16" i="170"/>
  <c r="I16" i="170"/>
  <c r="P15" i="170"/>
  <c r="M14" i="170"/>
  <c r="I14" i="170"/>
  <c r="P13" i="170"/>
  <c r="C13" i="170"/>
  <c r="M12" i="170"/>
  <c r="I12" i="170"/>
  <c r="P11" i="170"/>
  <c r="M10" i="170"/>
  <c r="I10" i="170"/>
  <c r="P9" i="170"/>
  <c r="M8" i="170"/>
  <c r="I8" i="170"/>
  <c r="P7" i="170"/>
  <c r="M6" i="170"/>
  <c r="I6" i="170"/>
  <c r="C3" i="170"/>
  <c r="D31" i="169"/>
  <c r="E31" i="169" s="1"/>
  <c r="D30" i="169"/>
  <c r="E30" i="169" s="1"/>
  <c r="D29" i="169"/>
  <c r="E29" i="169" s="1"/>
  <c r="D28" i="169"/>
  <c r="E28" i="169" s="1"/>
  <c r="D27" i="169"/>
  <c r="E27" i="169" s="1"/>
  <c r="D26" i="169"/>
  <c r="E26" i="169" s="1"/>
  <c r="P18" i="169"/>
  <c r="O18" i="169"/>
  <c r="N18" i="169"/>
  <c r="L18" i="169"/>
  <c r="K18" i="169"/>
  <c r="J18" i="169"/>
  <c r="H18" i="169"/>
  <c r="G18" i="169"/>
  <c r="F18" i="169"/>
  <c r="P17" i="169"/>
  <c r="M16" i="169"/>
  <c r="I16" i="169"/>
  <c r="P15" i="169"/>
  <c r="M14" i="169"/>
  <c r="I14" i="169"/>
  <c r="P13" i="169"/>
  <c r="M12" i="169"/>
  <c r="I12" i="169"/>
  <c r="P11" i="169"/>
  <c r="M10" i="169"/>
  <c r="I10" i="169"/>
  <c r="P9" i="169"/>
  <c r="M8" i="169"/>
  <c r="I8" i="169"/>
  <c r="P7" i="169"/>
  <c r="M6" i="169"/>
  <c r="I6" i="169"/>
  <c r="C3" i="169"/>
  <c r="E31" i="168"/>
  <c r="D31" i="168"/>
  <c r="D30" i="168"/>
  <c r="E30" i="168" s="1"/>
  <c r="D29" i="168"/>
  <c r="E29" i="168" s="1"/>
  <c r="E28" i="168"/>
  <c r="D28" i="168"/>
  <c r="E27" i="168"/>
  <c r="D26" i="168"/>
  <c r="E26" i="168" s="1"/>
  <c r="P18" i="168"/>
  <c r="O18" i="168"/>
  <c r="N18" i="168"/>
  <c r="L18" i="168"/>
  <c r="K18" i="168"/>
  <c r="J18" i="168"/>
  <c r="H18" i="168"/>
  <c r="G18" i="168"/>
  <c r="F18" i="168"/>
  <c r="P17" i="168"/>
  <c r="M16" i="168"/>
  <c r="I16" i="168"/>
  <c r="P15" i="168"/>
  <c r="M14" i="168"/>
  <c r="I14" i="168"/>
  <c r="P13" i="168"/>
  <c r="C13" i="168"/>
  <c r="D27" i="168" s="1"/>
  <c r="M12" i="168"/>
  <c r="I12" i="168"/>
  <c r="P11" i="168"/>
  <c r="M10" i="168"/>
  <c r="I10" i="168"/>
  <c r="P9" i="168"/>
  <c r="M8" i="168"/>
  <c r="I8" i="168"/>
  <c r="P7" i="168"/>
  <c r="M6" i="168"/>
  <c r="I6" i="168"/>
  <c r="C3" i="168"/>
  <c r="AF66" i="167"/>
  <c r="AD66" i="167"/>
  <c r="AB66" i="167"/>
  <c r="Z66" i="167"/>
  <c r="X66" i="167"/>
  <c r="V66" i="167"/>
  <c r="T66" i="167"/>
  <c r="AF65" i="167"/>
  <c r="AD65" i="167"/>
  <c r="AB65" i="167"/>
  <c r="Z65" i="167"/>
  <c r="X65" i="167"/>
  <c r="V65" i="167"/>
  <c r="T65" i="167"/>
  <c r="AF64" i="167"/>
  <c r="AD64" i="167"/>
  <c r="AB64" i="167"/>
  <c r="Z64" i="167"/>
  <c r="X64" i="167"/>
  <c r="V64" i="167"/>
  <c r="T64" i="167"/>
  <c r="AF63" i="167"/>
  <c r="AD63" i="167"/>
  <c r="AB63" i="167"/>
  <c r="Z63" i="167"/>
  <c r="X63" i="167"/>
  <c r="V63" i="167"/>
  <c r="T63" i="167"/>
  <c r="AF62" i="167"/>
  <c r="AD62" i="167"/>
  <c r="AB62" i="167"/>
  <c r="Z62" i="167"/>
  <c r="X62" i="167"/>
  <c r="V62" i="167"/>
  <c r="T62" i="167"/>
  <c r="AF61" i="167"/>
  <c r="AD61" i="167"/>
  <c r="AB61" i="167"/>
  <c r="Z61" i="167"/>
  <c r="X61" i="167"/>
  <c r="V61" i="167"/>
  <c r="T61" i="167"/>
  <c r="AF60" i="167"/>
  <c r="AD60" i="167"/>
  <c r="AB60" i="167"/>
  <c r="Z60" i="167"/>
  <c r="X60" i="167"/>
  <c r="V60" i="167"/>
  <c r="T60" i="167"/>
  <c r="AF59" i="167"/>
  <c r="AD59" i="167"/>
  <c r="AB59" i="167"/>
  <c r="Z59" i="167"/>
  <c r="X59" i="167"/>
  <c r="V59" i="167"/>
  <c r="T59" i="167"/>
  <c r="AF58" i="167"/>
  <c r="AD58" i="167"/>
  <c r="AB58" i="167"/>
  <c r="Z58" i="167"/>
  <c r="X58" i="167"/>
  <c r="V58" i="167"/>
  <c r="T58" i="167"/>
  <c r="AF57" i="167"/>
  <c r="AD57" i="167"/>
  <c r="AB57" i="167"/>
  <c r="Z57" i="167"/>
  <c r="X57" i="167"/>
  <c r="V57" i="167"/>
  <c r="T57" i="167"/>
  <c r="AF56" i="167"/>
  <c r="AD56" i="167"/>
  <c r="AB56" i="167"/>
  <c r="Z56" i="167"/>
  <c r="X56" i="167"/>
  <c r="V56" i="167"/>
  <c r="T56" i="167"/>
  <c r="AF55" i="167"/>
  <c r="AD55" i="167"/>
  <c r="AB55" i="167"/>
  <c r="Z55" i="167"/>
  <c r="X55" i="167"/>
  <c r="V55" i="167"/>
  <c r="T55" i="167"/>
  <c r="AF54" i="167"/>
  <c r="AD54" i="167"/>
  <c r="AB54" i="167"/>
  <c r="Z54" i="167"/>
  <c r="X54" i="167"/>
  <c r="V54" i="167"/>
  <c r="T54" i="167"/>
  <c r="AF53" i="167"/>
  <c r="AD53" i="167"/>
  <c r="AB53" i="167"/>
  <c r="Z53" i="167"/>
  <c r="X53" i="167"/>
  <c r="V53" i="167"/>
  <c r="T53" i="167"/>
  <c r="AF52" i="167"/>
  <c r="AD52" i="167"/>
  <c r="AB52" i="167"/>
  <c r="Z52" i="167"/>
  <c r="X52" i="167"/>
  <c r="V52" i="167"/>
  <c r="T52" i="167"/>
  <c r="AF51" i="167"/>
  <c r="AD51" i="167"/>
  <c r="AB51" i="167"/>
  <c r="Z51" i="167"/>
  <c r="X51" i="167"/>
  <c r="V51" i="167"/>
  <c r="T51" i="167"/>
  <c r="AF50" i="167"/>
  <c r="AD50" i="167"/>
  <c r="AB50" i="167"/>
  <c r="Z50" i="167"/>
  <c r="X50" i="167"/>
  <c r="V50" i="167"/>
  <c r="T50" i="167"/>
  <c r="AF49" i="167"/>
  <c r="AD49" i="167"/>
  <c r="AB49" i="167"/>
  <c r="Z49" i="167"/>
  <c r="X49" i="167"/>
  <c r="V49" i="167"/>
  <c r="T49" i="167"/>
  <c r="AF48" i="167"/>
  <c r="AD48" i="167"/>
  <c r="AB48" i="167"/>
  <c r="Z48" i="167"/>
  <c r="X48" i="167"/>
  <c r="V48" i="167"/>
  <c r="T48" i="167"/>
  <c r="AF47" i="167"/>
  <c r="AD47" i="167"/>
  <c r="AB47" i="167"/>
  <c r="Z47" i="167"/>
  <c r="X47" i="167"/>
  <c r="V47" i="167"/>
  <c r="T47" i="167"/>
  <c r="AF46" i="167"/>
  <c r="AD46" i="167"/>
  <c r="AB46" i="167"/>
  <c r="Z46" i="167"/>
  <c r="X46" i="167"/>
  <c r="V46" i="167"/>
  <c r="T46" i="167"/>
  <c r="AF45" i="167"/>
  <c r="AD45" i="167"/>
  <c r="AB45" i="167"/>
  <c r="Z45" i="167"/>
  <c r="X45" i="167"/>
  <c r="V45" i="167"/>
  <c r="T45" i="167"/>
  <c r="AF44" i="167"/>
  <c r="AD44" i="167"/>
  <c r="AB44" i="167"/>
  <c r="Z44" i="167"/>
  <c r="X44" i="167"/>
  <c r="V44" i="167"/>
  <c r="T44" i="167"/>
  <c r="AF43" i="167"/>
  <c r="AD43" i="167"/>
  <c r="AB43" i="167"/>
  <c r="Z43" i="167"/>
  <c r="X43" i="167"/>
  <c r="V43" i="167"/>
  <c r="T43" i="167"/>
  <c r="AF42" i="167"/>
  <c r="AD42" i="167"/>
  <c r="AB42" i="167"/>
  <c r="Z42" i="167"/>
  <c r="X42" i="167"/>
  <c r="V42" i="167"/>
  <c r="T42" i="167"/>
  <c r="AF41" i="167"/>
  <c r="AD41" i="167"/>
  <c r="AB41" i="167"/>
  <c r="Z41" i="167"/>
  <c r="X41" i="167"/>
  <c r="V41" i="167"/>
  <c r="T41" i="167"/>
  <c r="AF40" i="167"/>
  <c r="AD40" i="167"/>
  <c r="AB40" i="167"/>
  <c r="Z40" i="167"/>
  <c r="X40" i="167"/>
  <c r="V40" i="167"/>
  <c r="T40" i="167"/>
  <c r="AF39" i="167"/>
  <c r="AD39" i="167"/>
  <c r="AB39" i="167"/>
  <c r="Z39" i="167"/>
  <c r="X39" i="167"/>
  <c r="V39" i="167"/>
  <c r="T39" i="167"/>
  <c r="AF38" i="167"/>
  <c r="AD38" i="167"/>
  <c r="AB38" i="167"/>
  <c r="Z38" i="167"/>
  <c r="X38" i="167"/>
  <c r="V38" i="167"/>
  <c r="T38" i="167"/>
  <c r="AF37" i="167"/>
  <c r="AD37" i="167"/>
  <c r="AB37" i="167"/>
  <c r="Z37" i="167"/>
  <c r="X37" i="167"/>
  <c r="V37" i="167"/>
  <c r="T37" i="167"/>
  <c r="D31" i="167"/>
  <c r="E31" i="167" s="1"/>
  <c r="E30" i="167"/>
  <c r="D30" i="167"/>
  <c r="E29" i="167"/>
  <c r="D29" i="167"/>
  <c r="AC28" i="167"/>
  <c r="D28" i="167"/>
  <c r="E28" i="167" s="1"/>
  <c r="Y27" i="167"/>
  <c r="D27" i="167"/>
  <c r="E27" i="167" s="1"/>
  <c r="D26" i="167"/>
  <c r="E26" i="167" s="1"/>
  <c r="AC20" i="167"/>
  <c r="S20" i="167"/>
  <c r="S28" i="167" s="1"/>
  <c r="AE19" i="167"/>
  <c r="AE27" i="167" s="1"/>
  <c r="AC19" i="167"/>
  <c r="AC27" i="167" s="1"/>
  <c r="AA19" i="167"/>
  <c r="AA27" i="167" s="1"/>
  <c r="Y19" i="167"/>
  <c r="W19" i="167"/>
  <c r="W27" i="167" s="1"/>
  <c r="U19" i="167"/>
  <c r="U27" i="167" s="1"/>
  <c r="S19" i="167"/>
  <c r="S27" i="167" s="1"/>
  <c r="AF18" i="167"/>
  <c r="AE18" i="167"/>
  <c r="AE26" i="167" s="1"/>
  <c r="AC18" i="167"/>
  <c r="AD18" i="167" s="1"/>
  <c r="AA18" i="167"/>
  <c r="AA20" i="167" s="1"/>
  <c r="AA28" i="167" s="1"/>
  <c r="Y18" i="167"/>
  <c r="W18" i="167"/>
  <c r="W26" i="167" s="1"/>
  <c r="U18" i="167"/>
  <c r="V18" i="167" s="1"/>
  <c r="S18" i="167"/>
  <c r="T18" i="167" s="1"/>
  <c r="Q18" i="167"/>
  <c r="P18" i="167"/>
  <c r="O18" i="167"/>
  <c r="N18" i="167"/>
  <c r="L18" i="167"/>
  <c r="K18" i="167"/>
  <c r="J18" i="167"/>
  <c r="H18" i="167"/>
  <c r="G18" i="167"/>
  <c r="F18" i="167"/>
  <c r="P17" i="167"/>
  <c r="AF16" i="167"/>
  <c r="AD16" i="167"/>
  <c r="AB16" i="167"/>
  <c r="Z16" i="167"/>
  <c r="X16" i="167"/>
  <c r="V16" i="167"/>
  <c r="T16" i="167"/>
  <c r="R16" i="167"/>
  <c r="M16" i="167"/>
  <c r="I16" i="167"/>
  <c r="P15" i="167"/>
  <c r="AF14" i="167"/>
  <c r="AD14" i="167"/>
  <c r="AB14" i="167"/>
  <c r="Z14" i="167"/>
  <c r="X14" i="167"/>
  <c r="V14" i="167"/>
  <c r="T14" i="167"/>
  <c r="R14" i="167"/>
  <c r="M14" i="167"/>
  <c r="I14" i="167"/>
  <c r="P13" i="167"/>
  <c r="AF12" i="167"/>
  <c r="AD12" i="167"/>
  <c r="AB12" i="167"/>
  <c r="Z12" i="167"/>
  <c r="X12" i="167"/>
  <c r="V12" i="167"/>
  <c r="T12" i="167"/>
  <c r="R12" i="167"/>
  <c r="M12" i="167"/>
  <c r="I12" i="167"/>
  <c r="P11" i="167"/>
  <c r="AF10" i="167"/>
  <c r="AD10" i="167"/>
  <c r="AB10" i="167"/>
  <c r="Z10" i="167"/>
  <c r="X10" i="167"/>
  <c r="V10" i="167"/>
  <c r="T10" i="167"/>
  <c r="R10" i="167"/>
  <c r="M10" i="167"/>
  <c r="I10" i="167"/>
  <c r="P9" i="167"/>
  <c r="AF8" i="167"/>
  <c r="AD8" i="167"/>
  <c r="AB8" i="167"/>
  <c r="Z8" i="167"/>
  <c r="X8" i="167"/>
  <c r="V8" i="167"/>
  <c r="T8" i="167"/>
  <c r="R8" i="167"/>
  <c r="M8" i="167"/>
  <c r="I8" i="167"/>
  <c r="P7" i="167"/>
  <c r="AF6" i="167"/>
  <c r="AD6" i="167"/>
  <c r="AB6" i="167"/>
  <c r="Z6" i="167"/>
  <c r="X6" i="167"/>
  <c r="V6" i="167"/>
  <c r="T6" i="167"/>
  <c r="R6" i="167"/>
  <c r="M6" i="167"/>
  <c r="I6" i="167"/>
  <c r="C3" i="167"/>
  <c r="AF66" i="166"/>
  <c r="AD66" i="166"/>
  <c r="AB66" i="166"/>
  <c r="Z66" i="166"/>
  <c r="X66" i="166"/>
  <c r="V66" i="166"/>
  <c r="T66" i="166"/>
  <c r="AF65" i="166"/>
  <c r="AD65" i="166"/>
  <c r="AB65" i="166"/>
  <c r="Z65" i="166"/>
  <c r="X65" i="166"/>
  <c r="V65" i="166"/>
  <c r="T65" i="166"/>
  <c r="AF64" i="166"/>
  <c r="AD64" i="166"/>
  <c r="AB64" i="166"/>
  <c r="Z64" i="166"/>
  <c r="X64" i="166"/>
  <c r="V64" i="166"/>
  <c r="T64" i="166"/>
  <c r="AF63" i="166"/>
  <c r="AD63" i="166"/>
  <c r="AB63" i="166"/>
  <c r="Z63" i="166"/>
  <c r="X63" i="166"/>
  <c r="V63" i="166"/>
  <c r="T63" i="166"/>
  <c r="AF62" i="166"/>
  <c r="AD62" i="166"/>
  <c r="AB62" i="166"/>
  <c r="Z62" i="166"/>
  <c r="X62" i="166"/>
  <c r="V62" i="166"/>
  <c r="T62" i="166"/>
  <c r="AF61" i="166"/>
  <c r="AD61" i="166"/>
  <c r="AB61" i="166"/>
  <c r="Z61" i="166"/>
  <c r="X61" i="166"/>
  <c r="V61" i="166"/>
  <c r="T61" i="166"/>
  <c r="AF60" i="166"/>
  <c r="AD60" i="166"/>
  <c r="AB60" i="166"/>
  <c r="Z60" i="166"/>
  <c r="X60" i="166"/>
  <c r="V60" i="166"/>
  <c r="T60" i="166"/>
  <c r="AF59" i="166"/>
  <c r="AD59" i="166"/>
  <c r="AB59" i="166"/>
  <c r="Z59" i="166"/>
  <c r="X59" i="166"/>
  <c r="V59" i="166"/>
  <c r="T59" i="166"/>
  <c r="AF58" i="166"/>
  <c r="AD58" i="166"/>
  <c r="AB58" i="166"/>
  <c r="Z58" i="166"/>
  <c r="X58" i="166"/>
  <c r="V58" i="166"/>
  <c r="T58" i="166"/>
  <c r="AF57" i="166"/>
  <c r="AD57" i="166"/>
  <c r="AB57" i="166"/>
  <c r="Z57" i="166"/>
  <c r="X57" i="166"/>
  <c r="V57" i="166"/>
  <c r="T57" i="166"/>
  <c r="AF56" i="166"/>
  <c r="AD56" i="166"/>
  <c r="AB56" i="166"/>
  <c r="Z56" i="166"/>
  <c r="X56" i="166"/>
  <c r="V56" i="166"/>
  <c r="T56" i="166"/>
  <c r="AF55" i="166"/>
  <c r="AD55" i="166"/>
  <c r="AB55" i="166"/>
  <c r="Z55" i="166"/>
  <c r="X55" i="166"/>
  <c r="V55" i="166"/>
  <c r="T55" i="166"/>
  <c r="AF54" i="166"/>
  <c r="AD54" i="166"/>
  <c r="AB54" i="166"/>
  <c r="Z54" i="166"/>
  <c r="X54" i="166"/>
  <c r="V54" i="166"/>
  <c r="T54" i="166"/>
  <c r="AF53" i="166"/>
  <c r="AD53" i="166"/>
  <c r="AB53" i="166"/>
  <c r="Z53" i="166"/>
  <c r="X53" i="166"/>
  <c r="V53" i="166"/>
  <c r="T53" i="166"/>
  <c r="AF52" i="166"/>
  <c r="AD52" i="166"/>
  <c r="AB52" i="166"/>
  <c r="Z52" i="166"/>
  <c r="X52" i="166"/>
  <c r="V52" i="166"/>
  <c r="T52" i="166"/>
  <c r="AF51" i="166"/>
  <c r="AD51" i="166"/>
  <c r="AB51" i="166"/>
  <c r="Z51" i="166"/>
  <c r="X51" i="166"/>
  <c r="V51" i="166"/>
  <c r="T51" i="166"/>
  <c r="AF50" i="166"/>
  <c r="AD50" i="166"/>
  <c r="AB50" i="166"/>
  <c r="Z50" i="166"/>
  <c r="X50" i="166"/>
  <c r="V50" i="166"/>
  <c r="T50" i="166"/>
  <c r="AF49" i="166"/>
  <c r="AD49" i="166"/>
  <c r="AB49" i="166"/>
  <c r="Z49" i="166"/>
  <c r="X49" i="166"/>
  <c r="V49" i="166"/>
  <c r="T49" i="166"/>
  <c r="AF48" i="166"/>
  <c r="AD48" i="166"/>
  <c r="AB48" i="166"/>
  <c r="Z48" i="166"/>
  <c r="X48" i="166"/>
  <c r="V48" i="166"/>
  <c r="T48" i="166"/>
  <c r="AF47" i="166"/>
  <c r="AD47" i="166"/>
  <c r="AB47" i="166"/>
  <c r="Z47" i="166"/>
  <c r="X47" i="166"/>
  <c r="V47" i="166"/>
  <c r="T47" i="166"/>
  <c r="AF46" i="166"/>
  <c r="AD46" i="166"/>
  <c r="AB46" i="166"/>
  <c r="Z46" i="166"/>
  <c r="X46" i="166"/>
  <c r="V46" i="166"/>
  <c r="T46" i="166"/>
  <c r="AF45" i="166"/>
  <c r="AD45" i="166"/>
  <c r="AB45" i="166"/>
  <c r="Z45" i="166"/>
  <c r="X45" i="166"/>
  <c r="V45" i="166"/>
  <c r="T45" i="166"/>
  <c r="AF44" i="166"/>
  <c r="AD44" i="166"/>
  <c r="AB44" i="166"/>
  <c r="Z44" i="166"/>
  <c r="X44" i="166"/>
  <c r="V44" i="166"/>
  <c r="T44" i="166"/>
  <c r="AF43" i="166"/>
  <c r="AD43" i="166"/>
  <c r="AB43" i="166"/>
  <c r="Z43" i="166"/>
  <c r="X43" i="166"/>
  <c r="V43" i="166"/>
  <c r="T43" i="166"/>
  <c r="AF42" i="166"/>
  <c r="AD42" i="166"/>
  <c r="AB42" i="166"/>
  <c r="Z42" i="166"/>
  <c r="X42" i="166"/>
  <c r="V42" i="166"/>
  <c r="T42" i="166"/>
  <c r="AF41" i="166"/>
  <c r="AD41" i="166"/>
  <c r="AB41" i="166"/>
  <c r="Z41" i="166"/>
  <c r="X41" i="166"/>
  <c r="V41" i="166"/>
  <c r="T41" i="166"/>
  <c r="AF40" i="166"/>
  <c r="AD40" i="166"/>
  <c r="AB40" i="166"/>
  <c r="Z40" i="166"/>
  <c r="X40" i="166"/>
  <c r="V40" i="166"/>
  <c r="T40" i="166"/>
  <c r="AF39" i="166"/>
  <c r="AD39" i="166"/>
  <c r="AB39" i="166"/>
  <c r="Z39" i="166"/>
  <c r="X39" i="166"/>
  <c r="V39" i="166"/>
  <c r="T39" i="166"/>
  <c r="AF38" i="166"/>
  <c r="AD38" i="166"/>
  <c r="AB38" i="166"/>
  <c r="Z38" i="166"/>
  <c r="X38" i="166"/>
  <c r="V38" i="166"/>
  <c r="T38" i="166"/>
  <c r="AF37" i="166"/>
  <c r="AD37" i="166"/>
  <c r="AB37" i="166"/>
  <c r="Z37" i="166"/>
  <c r="X37" i="166"/>
  <c r="V37" i="166"/>
  <c r="T37" i="166"/>
  <c r="D31" i="166"/>
  <c r="E31" i="166" s="1"/>
  <c r="D30" i="166"/>
  <c r="E30" i="166" s="1"/>
  <c r="D29" i="166"/>
  <c r="E29" i="166" s="1"/>
  <c r="D28" i="166"/>
  <c r="E28" i="166" s="1"/>
  <c r="AA27" i="166"/>
  <c r="D27" i="166"/>
  <c r="E27" i="166" s="1"/>
  <c r="D26" i="166"/>
  <c r="E26" i="166" s="1"/>
  <c r="W20" i="166"/>
  <c r="W28" i="166" s="1"/>
  <c r="AE19" i="166"/>
  <c r="AE27" i="166" s="1"/>
  <c r="AC19" i="166"/>
  <c r="AC27" i="166" s="1"/>
  <c r="AA19" i="166"/>
  <c r="Y19" i="166"/>
  <c r="Y27" i="166" s="1"/>
  <c r="W19" i="166"/>
  <c r="W27" i="166" s="1"/>
  <c r="U19" i="166"/>
  <c r="U27" i="166" s="1"/>
  <c r="S19" i="166"/>
  <c r="S27" i="166" s="1"/>
  <c r="AE18" i="166"/>
  <c r="AC18" i="166"/>
  <c r="AA18" i="166"/>
  <c r="AA26" i="166" s="1"/>
  <c r="Y18" i="166"/>
  <c r="X18" i="166"/>
  <c r="W18" i="166"/>
  <c r="W26" i="166" s="1"/>
  <c r="U18" i="166"/>
  <c r="S18" i="166"/>
  <c r="T18" i="166" s="1"/>
  <c r="Q18" i="166"/>
  <c r="P18" i="166"/>
  <c r="O18" i="166"/>
  <c r="N18" i="166"/>
  <c r="L18" i="166"/>
  <c r="K18" i="166"/>
  <c r="J18" i="166"/>
  <c r="H18" i="166"/>
  <c r="G18" i="166"/>
  <c r="F18" i="166"/>
  <c r="P17" i="166"/>
  <c r="AF16" i="166"/>
  <c r="AD16" i="166"/>
  <c r="AB16" i="166"/>
  <c r="Z16" i="166"/>
  <c r="X16" i="166"/>
  <c r="V16" i="166"/>
  <c r="T16" i="166"/>
  <c r="R16" i="166"/>
  <c r="M16" i="166"/>
  <c r="I16" i="166"/>
  <c r="P15" i="166"/>
  <c r="P19" i="166" s="1"/>
  <c r="P20" i="166" s="1"/>
  <c r="AF14" i="166"/>
  <c r="AD14" i="166"/>
  <c r="AB14" i="166"/>
  <c r="Z14" i="166"/>
  <c r="X14" i="166"/>
  <c r="V14" i="166"/>
  <c r="T14" i="166"/>
  <c r="R14" i="166"/>
  <c r="M14" i="166"/>
  <c r="I14" i="166"/>
  <c r="P13" i="166"/>
  <c r="AF12" i="166"/>
  <c r="AD12" i="166"/>
  <c r="AB12" i="166"/>
  <c r="Z12" i="166"/>
  <c r="X12" i="166"/>
  <c r="V12" i="166"/>
  <c r="T12" i="166"/>
  <c r="R12" i="166"/>
  <c r="M12" i="166"/>
  <c r="I12" i="166"/>
  <c r="P11" i="166"/>
  <c r="AF10" i="166"/>
  <c r="AD10" i="166"/>
  <c r="AB10" i="166"/>
  <c r="Z10" i="166"/>
  <c r="X10" i="166"/>
  <c r="V10" i="166"/>
  <c r="T10" i="166"/>
  <c r="R10" i="166"/>
  <c r="M10" i="166"/>
  <c r="I10" i="166"/>
  <c r="P9" i="166"/>
  <c r="AF8" i="166"/>
  <c r="AD8" i="166"/>
  <c r="AB8" i="166"/>
  <c r="Z8" i="166"/>
  <c r="X8" i="166"/>
  <c r="V8" i="166"/>
  <c r="T8" i="166"/>
  <c r="R8" i="166"/>
  <c r="M8" i="166"/>
  <c r="I8" i="166"/>
  <c r="P7" i="166"/>
  <c r="AF6" i="166"/>
  <c r="AD6" i="166"/>
  <c r="AB6" i="166"/>
  <c r="Z6" i="166"/>
  <c r="X6" i="166"/>
  <c r="V6" i="166"/>
  <c r="T6" i="166"/>
  <c r="R6" i="166"/>
  <c r="M6" i="166"/>
  <c r="M18" i="166" s="1"/>
  <c r="I6" i="166"/>
  <c r="C3" i="166"/>
  <c r="AF66" i="165"/>
  <c r="AD66" i="165"/>
  <c r="AB66" i="165"/>
  <c r="Z66" i="165"/>
  <c r="X66" i="165"/>
  <c r="V66" i="165"/>
  <c r="T66" i="165"/>
  <c r="AF65" i="165"/>
  <c r="AD65" i="165"/>
  <c r="AB65" i="165"/>
  <c r="Z65" i="165"/>
  <c r="X65" i="165"/>
  <c r="V65" i="165"/>
  <c r="T65" i="165"/>
  <c r="AF64" i="165"/>
  <c r="AD64" i="165"/>
  <c r="AB64" i="165"/>
  <c r="Z64" i="165"/>
  <c r="X64" i="165"/>
  <c r="V64" i="165"/>
  <c r="T64" i="165"/>
  <c r="AF63" i="165"/>
  <c r="AD63" i="165"/>
  <c r="AB63" i="165"/>
  <c r="Z63" i="165"/>
  <c r="X63" i="165"/>
  <c r="V63" i="165"/>
  <c r="T63" i="165"/>
  <c r="AF62" i="165"/>
  <c r="AD62" i="165"/>
  <c r="AB62" i="165"/>
  <c r="Z62" i="165"/>
  <c r="X62" i="165"/>
  <c r="V62" i="165"/>
  <c r="T62" i="165"/>
  <c r="AF61" i="165"/>
  <c r="AD61" i="165"/>
  <c r="AB61" i="165"/>
  <c r="Z61" i="165"/>
  <c r="X61" i="165"/>
  <c r="V61" i="165"/>
  <c r="T61" i="165"/>
  <c r="AF60" i="165"/>
  <c r="AD60" i="165"/>
  <c r="AB60" i="165"/>
  <c r="Z60" i="165"/>
  <c r="X60" i="165"/>
  <c r="V60" i="165"/>
  <c r="T60" i="165"/>
  <c r="AF59" i="165"/>
  <c r="AD59" i="165"/>
  <c r="AB59" i="165"/>
  <c r="Z59" i="165"/>
  <c r="X59" i="165"/>
  <c r="V59" i="165"/>
  <c r="T59" i="165"/>
  <c r="AF58" i="165"/>
  <c r="AD58" i="165"/>
  <c r="AB58" i="165"/>
  <c r="Z58" i="165"/>
  <c r="X58" i="165"/>
  <c r="V58" i="165"/>
  <c r="T58" i="165"/>
  <c r="AF57" i="165"/>
  <c r="AD57" i="165"/>
  <c r="AB57" i="165"/>
  <c r="Z57" i="165"/>
  <c r="X57" i="165"/>
  <c r="V57" i="165"/>
  <c r="T57" i="165"/>
  <c r="AF56" i="165"/>
  <c r="AD56" i="165"/>
  <c r="AB56" i="165"/>
  <c r="Z56" i="165"/>
  <c r="X56" i="165"/>
  <c r="V56" i="165"/>
  <c r="T56" i="165"/>
  <c r="AF55" i="165"/>
  <c r="AD55" i="165"/>
  <c r="AB55" i="165"/>
  <c r="Z55" i="165"/>
  <c r="X55" i="165"/>
  <c r="V55" i="165"/>
  <c r="T55" i="165"/>
  <c r="AF54" i="165"/>
  <c r="AD54" i="165"/>
  <c r="AB54" i="165"/>
  <c r="Z54" i="165"/>
  <c r="X54" i="165"/>
  <c r="V54" i="165"/>
  <c r="T54" i="165"/>
  <c r="AF53" i="165"/>
  <c r="AD53" i="165"/>
  <c r="AB53" i="165"/>
  <c r="Z53" i="165"/>
  <c r="X53" i="165"/>
  <c r="V53" i="165"/>
  <c r="T53" i="165"/>
  <c r="AF52" i="165"/>
  <c r="AD52" i="165"/>
  <c r="AB52" i="165"/>
  <c r="Z52" i="165"/>
  <c r="X52" i="165"/>
  <c r="V52" i="165"/>
  <c r="T52" i="165"/>
  <c r="AF51" i="165"/>
  <c r="AD51" i="165"/>
  <c r="AB51" i="165"/>
  <c r="Z51" i="165"/>
  <c r="X51" i="165"/>
  <c r="V51" i="165"/>
  <c r="T51" i="165"/>
  <c r="AF50" i="165"/>
  <c r="AD50" i="165"/>
  <c r="AB50" i="165"/>
  <c r="Z50" i="165"/>
  <c r="X50" i="165"/>
  <c r="V50" i="165"/>
  <c r="T50" i="165"/>
  <c r="AF49" i="165"/>
  <c r="AD49" i="165"/>
  <c r="AB49" i="165"/>
  <c r="Z49" i="165"/>
  <c r="X49" i="165"/>
  <c r="V49" i="165"/>
  <c r="T49" i="165"/>
  <c r="AF48" i="165"/>
  <c r="AD48" i="165"/>
  <c r="AB48" i="165"/>
  <c r="Z48" i="165"/>
  <c r="X48" i="165"/>
  <c r="V48" i="165"/>
  <c r="T48" i="165"/>
  <c r="AF47" i="165"/>
  <c r="AD47" i="165"/>
  <c r="AB47" i="165"/>
  <c r="Z47" i="165"/>
  <c r="X47" i="165"/>
  <c r="V47" i="165"/>
  <c r="T47" i="165"/>
  <c r="AF46" i="165"/>
  <c r="AD46" i="165"/>
  <c r="AB46" i="165"/>
  <c r="Z46" i="165"/>
  <c r="X46" i="165"/>
  <c r="V46" i="165"/>
  <c r="T46" i="165"/>
  <c r="AF45" i="165"/>
  <c r="AD45" i="165"/>
  <c r="AB45" i="165"/>
  <c r="Z45" i="165"/>
  <c r="X45" i="165"/>
  <c r="V45" i="165"/>
  <c r="T45" i="165"/>
  <c r="AF44" i="165"/>
  <c r="AD44" i="165"/>
  <c r="AB44" i="165"/>
  <c r="Z44" i="165"/>
  <c r="X44" i="165"/>
  <c r="V44" i="165"/>
  <c r="T44" i="165"/>
  <c r="AF43" i="165"/>
  <c r="AD43" i="165"/>
  <c r="AB43" i="165"/>
  <c r="Z43" i="165"/>
  <c r="X43" i="165"/>
  <c r="V43" i="165"/>
  <c r="T43" i="165"/>
  <c r="AF42" i="165"/>
  <c r="AD42" i="165"/>
  <c r="AB42" i="165"/>
  <c r="Z42" i="165"/>
  <c r="X42" i="165"/>
  <c r="V42" i="165"/>
  <c r="T42" i="165"/>
  <c r="AF41" i="165"/>
  <c r="AD41" i="165"/>
  <c r="AB41" i="165"/>
  <c r="Z41" i="165"/>
  <c r="X41" i="165"/>
  <c r="V41" i="165"/>
  <c r="T41" i="165"/>
  <c r="AF40" i="165"/>
  <c r="AD40" i="165"/>
  <c r="AB40" i="165"/>
  <c r="Z40" i="165"/>
  <c r="X40" i="165"/>
  <c r="V40" i="165"/>
  <c r="T40" i="165"/>
  <c r="AF39" i="165"/>
  <c r="AD39" i="165"/>
  <c r="AB39" i="165"/>
  <c r="Z39" i="165"/>
  <c r="X39" i="165"/>
  <c r="V39" i="165"/>
  <c r="T39" i="165"/>
  <c r="AF38" i="165"/>
  <c r="AD38" i="165"/>
  <c r="AB38" i="165"/>
  <c r="Z38" i="165"/>
  <c r="X38" i="165"/>
  <c r="V38" i="165"/>
  <c r="T38" i="165"/>
  <c r="AF37" i="165"/>
  <c r="AD37" i="165"/>
  <c r="AB37" i="165"/>
  <c r="Z37" i="165"/>
  <c r="X37" i="165"/>
  <c r="V37" i="165"/>
  <c r="T37" i="165"/>
  <c r="E31" i="165"/>
  <c r="D31" i="165"/>
  <c r="D30" i="165"/>
  <c r="E30" i="165" s="1"/>
  <c r="D29" i="165"/>
  <c r="E29" i="165" s="1"/>
  <c r="D28" i="165"/>
  <c r="E28" i="165" s="1"/>
  <c r="AC27" i="165"/>
  <c r="D27" i="165"/>
  <c r="E27" i="165" s="1"/>
  <c r="AE26" i="165"/>
  <c r="D26" i="165"/>
  <c r="E26" i="165" s="1"/>
  <c r="W20" i="165"/>
  <c r="W28" i="165" s="1"/>
  <c r="AE19" i="165"/>
  <c r="AE27" i="165" s="1"/>
  <c r="AC19" i="165"/>
  <c r="AA19" i="165"/>
  <c r="AA27" i="165" s="1"/>
  <c r="Y19" i="165"/>
  <c r="Y27" i="165" s="1"/>
  <c r="W19" i="165"/>
  <c r="W27" i="165" s="1"/>
  <c r="U19" i="165"/>
  <c r="U27" i="165" s="1"/>
  <c r="S19" i="165"/>
  <c r="S27" i="165" s="1"/>
  <c r="AE18" i="165"/>
  <c r="AE20" i="165" s="1"/>
  <c r="AE28" i="165" s="1"/>
  <c r="AC18" i="165"/>
  <c r="AC26" i="165" s="1"/>
  <c r="AA18" i="165"/>
  <c r="AA26" i="165" s="1"/>
  <c r="Z18" i="165"/>
  <c r="Y18" i="165"/>
  <c r="Y26" i="165" s="1"/>
  <c r="W18" i="165"/>
  <c r="X18" i="165" s="1"/>
  <c r="U18" i="165"/>
  <c r="V18" i="165" s="1"/>
  <c r="S18" i="165"/>
  <c r="Q18" i="165"/>
  <c r="P18" i="165"/>
  <c r="O18" i="165"/>
  <c r="N18" i="165"/>
  <c r="L18" i="165"/>
  <c r="K18" i="165"/>
  <c r="J18" i="165"/>
  <c r="H18" i="165"/>
  <c r="G18" i="165"/>
  <c r="F18" i="165"/>
  <c r="P17" i="165"/>
  <c r="AF16" i="165"/>
  <c r="AD16" i="165"/>
  <c r="AB16" i="165"/>
  <c r="Z16" i="165"/>
  <c r="X16" i="165"/>
  <c r="V16" i="165"/>
  <c r="T16" i="165"/>
  <c r="R16" i="165"/>
  <c r="M16" i="165"/>
  <c r="I16" i="165"/>
  <c r="P15" i="165"/>
  <c r="AF14" i="165"/>
  <c r="AD14" i="165"/>
  <c r="AB14" i="165"/>
  <c r="Z14" i="165"/>
  <c r="X14" i="165"/>
  <c r="V14" i="165"/>
  <c r="T14" i="165"/>
  <c r="R14" i="165"/>
  <c r="M14" i="165"/>
  <c r="I14" i="165"/>
  <c r="P13" i="165"/>
  <c r="AF12" i="165"/>
  <c r="AD12" i="165"/>
  <c r="AB12" i="165"/>
  <c r="Z12" i="165"/>
  <c r="X12" i="165"/>
  <c r="V12" i="165"/>
  <c r="T12" i="165"/>
  <c r="R12" i="165"/>
  <c r="M12" i="165"/>
  <c r="I12" i="165"/>
  <c r="P11" i="165"/>
  <c r="AF10" i="165"/>
  <c r="AD10" i="165"/>
  <c r="AB10" i="165"/>
  <c r="Z10" i="165"/>
  <c r="X10" i="165"/>
  <c r="V10" i="165"/>
  <c r="T10" i="165"/>
  <c r="R10" i="165"/>
  <c r="M10" i="165"/>
  <c r="I10" i="165"/>
  <c r="P9" i="165"/>
  <c r="AF8" i="165"/>
  <c r="AD8" i="165"/>
  <c r="AB8" i="165"/>
  <c r="Z8" i="165"/>
  <c r="X8" i="165"/>
  <c r="V8" i="165"/>
  <c r="T8" i="165"/>
  <c r="R8" i="165"/>
  <c r="M8" i="165"/>
  <c r="I8" i="165"/>
  <c r="P7" i="165"/>
  <c r="AF6" i="165"/>
  <c r="AD6" i="165"/>
  <c r="AB6" i="165"/>
  <c r="Z6" i="165"/>
  <c r="X6" i="165"/>
  <c r="V6" i="165"/>
  <c r="T6" i="165"/>
  <c r="R6" i="165"/>
  <c r="R18" i="165" s="1"/>
  <c r="M6" i="165"/>
  <c r="I6" i="165"/>
  <c r="C3" i="165"/>
  <c r="AF66" i="164"/>
  <c r="AD66" i="164"/>
  <c r="AB66" i="164"/>
  <c r="Z66" i="164"/>
  <c r="X66" i="164"/>
  <c r="V66" i="164"/>
  <c r="T66" i="164"/>
  <c r="AF65" i="164"/>
  <c r="AD65" i="164"/>
  <c r="AB65" i="164"/>
  <c r="Z65" i="164"/>
  <c r="X65" i="164"/>
  <c r="V65" i="164"/>
  <c r="T65" i="164"/>
  <c r="AF64" i="164"/>
  <c r="AD64" i="164"/>
  <c r="AB64" i="164"/>
  <c r="Z64" i="164"/>
  <c r="X64" i="164"/>
  <c r="V64" i="164"/>
  <c r="T64" i="164"/>
  <c r="AF63" i="164"/>
  <c r="AD63" i="164"/>
  <c r="AB63" i="164"/>
  <c r="Z63" i="164"/>
  <c r="X63" i="164"/>
  <c r="V63" i="164"/>
  <c r="T63" i="164"/>
  <c r="AF62" i="164"/>
  <c r="AD62" i="164"/>
  <c r="AB62" i="164"/>
  <c r="Z62" i="164"/>
  <c r="X62" i="164"/>
  <c r="V62" i="164"/>
  <c r="T62" i="164"/>
  <c r="AF61" i="164"/>
  <c r="AD61" i="164"/>
  <c r="AB61" i="164"/>
  <c r="Z61" i="164"/>
  <c r="X61" i="164"/>
  <c r="V61" i="164"/>
  <c r="T61" i="164"/>
  <c r="AF60" i="164"/>
  <c r="AD60" i="164"/>
  <c r="AB60" i="164"/>
  <c r="Z60" i="164"/>
  <c r="X60" i="164"/>
  <c r="V60" i="164"/>
  <c r="T60" i="164"/>
  <c r="AF59" i="164"/>
  <c r="AD59" i="164"/>
  <c r="AB59" i="164"/>
  <c r="Z59" i="164"/>
  <c r="X59" i="164"/>
  <c r="V59" i="164"/>
  <c r="T59" i="164"/>
  <c r="AF58" i="164"/>
  <c r="AD58" i="164"/>
  <c r="AB58" i="164"/>
  <c r="Z58" i="164"/>
  <c r="X58" i="164"/>
  <c r="V58" i="164"/>
  <c r="T58" i="164"/>
  <c r="AF57" i="164"/>
  <c r="AD57" i="164"/>
  <c r="AB57" i="164"/>
  <c r="Z57" i="164"/>
  <c r="X57" i="164"/>
  <c r="V57" i="164"/>
  <c r="T57" i="164"/>
  <c r="AF56" i="164"/>
  <c r="AD56" i="164"/>
  <c r="AB56" i="164"/>
  <c r="Z56" i="164"/>
  <c r="X56" i="164"/>
  <c r="V56" i="164"/>
  <c r="T56" i="164"/>
  <c r="AF55" i="164"/>
  <c r="AD55" i="164"/>
  <c r="AB55" i="164"/>
  <c r="Z55" i="164"/>
  <c r="X55" i="164"/>
  <c r="V55" i="164"/>
  <c r="T55" i="164"/>
  <c r="AF54" i="164"/>
  <c r="AD54" i="164"/>
  <c r="AB54" i="164"/>
  <c r="Z54" i="164"/>
  <c r="X54" i="164"/>
  <c r="V54" i="164"/>
  <c r="T54" i="164"/>
  <c r="AF53" i="164"/>
  <c r="AD53" i="164"/>
  <c r="AB53" i="164"/>
  <c r="Z53" i="164"/>
  <c r="X53" i="164"/>
  <c r="V53" i="164"/>
  <c r="T53" i="164"/>
  <c r="AF52" i="164"/>
  <c r="AD52" i="164"/>
  <c r="AB52" i="164"/>
  <c r="Z52" i="164"/>
  <c r="X52" i="164"/>
  <c r="V52" i="164"/>
  <c r="T52" i="164"/>
  <c r="AF51" i="164"/>
  <c r="AD51" i="164"/>
  <c r="AB51" i="164"/>
  <c r="Z51" i="164"/>
  <c r="X51" i="164"/>
  <c r="V51" i="164"/>
  <c r="T51" i="164"/>
  <c r="AF50" i="164"/>
  <c r="AD50" i="164"/>
  <c r="AB50" i="164"/>
  <c r="Z50" i="164"/>
  <c r="X50" i="164"/>
  <c r="V50" i="164"/>
  <c r="T50" i="164"/>
  <c r="AF49" i="164"/>
  <c r="AD49" i="164"/>
  <c r="AB49" i="164"/>
  <c r="Z49" i="164"/>
  <c r="X49" i="164"/>
  <c r="V49" i="164"/>
  <c r="T49" i="164"/>
  <c r="AF48" i="164"/>
  <c r="AD48" i="164"/>
  <c r="AB48" i="164"/>
  <c r="Z48" i="164"/>
  <c r="X48" i="164"/>
  <c r="V48" i="164"/>
  <c r="T48" i="164"/>
  <c r="AF47" i="164"/>
  <c r="AD47" i="164"/>
  <c r="AB47" i="164"/>
  <c r="Z47" i="164"/>
  <c r="X47" i="164"/>
  <c r="V47" i="164"/>
  <c r="T47" i="164"/>
  <c r="AF46" i="164"/>
  <c r="AD46" i="164"/>
  <c r="AB46" i="164"/>
  <c r="Z46" i="164"/>
  <c r="X46" i="164"/>
  <c r="V46" i="164"/>
  <c r="T46" i="164"/>
  <c r="AF45" i="164"/>
  <c r="AD45" i="164"/>
  <c r="AB45" i="164"/>
  <c r="Z45" i="164"/>
  <c r="X45" i="164"/>
  <c r="V45" i="164"/>
  <c r="T45" i="164"/>
  <c r="AF44" i="164"/>
  <c r="AD44" i="164"/>
  <c r="AB44" i="164"/>
  <c r="Z44" i="164"/>
  <c r="X44" i="164"/>
  <c r="V44" i="164"/>
  <c r="T44" i="164"/>
  <c r="AF43" i="164"/>
  <c r="AD43" i="164"/>
  <c r="AB43" i="164"/>
  <c r="Z43" i="164"/>
  <c r="X43" i="164"/>
  <c r="V43" i="164"/>
  <c r="T43" i="164"/>
  <c r="AF42" i="164"/>
  <c r="AD42" i="164"/>
  <c r="AB42" i="164"/>
  <c r="Z42" i="164"/>
  <c r="X42" i="164"/>
  <c r="V42" i="164"/>
  <c r="T42" i="164"/>
  <c r="AF41" i="164"/>
  <c r="AD41" i="164"/>
  <c r="AB41" i="164"/>
  <c r="Z41" i="164"/>
  <c r="X41" i="164"/>
  <c r="V41" i="164"/>
  <c r="T41" i="164"/>
  <c r="AF40" i="164"/>
  <c r="AD40" i="164"/>
  <c r="AB40" i="164"/>
  <c r="Z40" i="164"/>
  <c r="X40" i="164"/>
  <c r="V40" i="164"/>
  <c r="T40" i="164"/>
  <c r="AF39" i="164"/>
  <c r="AD39" i="164"/>
  <c r="AB39" i="164"/>
  <c r="Z39" i="164"/>
  <c r="X39" i="164"/>
  <c r="V39" i="164"/>
  <c r="T39" i="164"/>
  <c r="AF38" i="164"/>
  <c r="AD38" i="164"/>
  <c r="AB38" i="164"/>
  <c r="Z38" i="164"/>
  <c r="X38" i="164"/>
  <c r="V38" i="164"/>
  <c r="T38" i="164"/>
  <c r="AF37" i="164"/>
  <c r="AD37" i="164"/>
  <c r="AB37" i="164"/>
  <c r="Z37" i="164"/>
  <c r="X37" i="164"/>
  <c r="V37" i="164"/>
  <c r="T37" i="164"/>
  <c r="D31" i="164"/>
  <c r="E31" i="164" s="1"/>
  <c r="D30" i="164"/>
  <c r="E30" i="164" s="1"/>
  <c r="E29" i="164"/>
  <c r="D29" i="164"/>
  <c r="D28" i="164"/>
  <c r="E28" i="164" s="1"/>
  <c r="AA27" i="164"/>
  <c r="D27" i="164"/>
  <c r="E27" i="164" s="1"/>
  <c r="W26" i="164"/>
  <c r="D26" i="164"/>
  <c r="E26" i="164" s="1"/>
  <c r="AE20" i="164"/>
  <c r="AE28" i="164" s="1"/>
  <c r="W20" i="164"/>
  <c r="W28" i="164" s="1"/>
  <c r="AE19" i="164"/>
  <c r="AE27" i="164" s="1"/>
  <c r="AC19" i="164"/>
  <c r="AC27" i="164" s="1"/>
  <c r="AA19" i="164"/>
  <c r="Y19" i="164"/>
  <c r="Y27" i="164" s="1"/>
  <c r="W19" i="164"/>
  <c r="W27" i="164" s="1"/>
  <c r="U19" i="164"/>
  <c r="U27" i="164" s="1"/>
  <c r="S19" i="164"/>
  <c r="S27" i="164" s="1"/>
  <c r="AE18" i="164"/>
  <c r="AE26" i="164" s="1"/>
  <c r="AC18" i="164"/>
  <c r="AC26" i="164" s="1"/>
  <c r="AA18" i="164"/>
  <c r="Y18" i="164"/>
  <c r="W18" i="164"/>
  <c r="X18" i="164" s="1"/>
  <c r="U18" i="164"/>
  <c r="V18" i="164" s="1"/>
  <c r="S18" i="164"/>
  <c r="Q18" i="164"/>
  <c r="P18" i="164"/>
  <c r="O18" i="164"/>
  <c r="N18" i="164"/>
  <c r="L18" i="164"/>
  <c r="K18" i="164"/>
  <c r="J18" i="164"/>
  <c r="H18" i="164"/>
  <c r="G18" i="164"/>
  <c r="F18" i="164"/>
  <c r="P17" i="164"/>
  <c r="AF16" i="164"/>
  <c r="AD16" i="164"/>
  <c r="AB16" i="164"/>
  <c r="Z16" i="164"/>
  <c r="X16" i="164"/>
  <c r="V16" i="164"/>
  <c r="T16" i="164"/>
  <c r="R16" i="164"/>
  <c r="M16" i="164"/>
  <c r="I16" i="164"/>
  <c r="P15" i="164"/>
  <c r="P19" i="164" s="1"/>
  <c r="P20" i="164" s="1"/>
  <c r="AF14" i="164"/>
  <c r="AD14" i="164"/>
  <c r="AB14" i="164"/>
  <c r="Z14" i="164"/>
  <c r="X14" i="164"/>
  <c r="V14" i="164"/>
  <c r="T14" i="164"/>
  <c r="R14" i="164"/>
  <c r="R18" i="164" s="1"/>
  <c r="M14" i="164"/>
  <c r="I14" i="164"/>
  <c r="P13" i="164"/>
  <c r="AF12" i="164"/>
  <c r="AD12" i="164"/>
  <c r="AB12" i="164"/>
  <c r="Z12" i="164"/>
  <c r="X12" i="164"/>
  <c r="V12" i="164"/>
  <c r="T12" i="164"/>
  <c r="R12" i="164"/>
  <c r="M12" i="164"/>
  <c r="I12" i="164"/>
  <c r="P11" i="164"/>
  <c r="AF10" i="164"/>
  <c r="AD10" i="164"/>
  <c r="AB10" i="164"/>
  <c r="Z10" i="164"/>
  <c r="X10" i="164"/>
  <c r="V10" i="164"/>
  <c r="T10" i="164"/>
  <c r="R10" i="164"/>
  <c r="M10" i="164"/>
  <c r="I10" i="164"/>
  <c r="P9" i="164"/>
  <c r="AF8" i="164"/>
  <c r="AD8" i="164"/>
  <c r="AB8" i="164"/>
  <c r="Z8" i="164"/>
  <c r="X8" i="164"/>
  <c r="V8" i="164"/>
  <c r="T8" i="164"/>
  <c r="R8" i="164"/>
  <c r="M8" i="164"/>
  <c r="I8" i="164"/>
  <c r="P7" i="164"/>
  <c r="AF6" i="164"/>
  <c r="AD6" i="164"/>
  <c r="AB6" i="164"/>
  <c r="Z6" i="164"/>
  <c r="X6" i="164"/>
  <c r="V6" i="164"/>
  <c r="T6" i="164"/>
  <c r="R6" i="164"/>
  <c r="M6" i="164"/>
  <c r="I6" i="164"/>
  <c r="C3" i="164"/>
  <c r="AF66" i="163"/>
  <c r="AD66" i="163"/>
  <c r="AB66" i="163"/>
  <c r="Z66" i="163"/>
  <c r="X66" i="163"/>
  <c r="V66" i="163"/>
  <c r="T66" i="163"/>
  <c r="AF65" i="163"/>
  <c r="AD65" i="163"/>
  <c r="AB65" i="163"/>
  <c r="Z65" i="163"/>
  <c r="X65" i="163"/>
  <c r="V65" i="163"/>
  <c r="T65" i="163"/>
  <c r="AF64" i="163"/>
  <c r="AD64" i="163"/>
  <c r="AB64" i="163"/>
  <c r="Z64" i="163"/>
  <c r="X64" i="163"/>
  <c r="V64" i="163"/>
  <c r="T64" i="163"/>
  <c r="AF63" i="163"/>
  <c r="AD63" i="163"/>
  <c r="AB63" i="163"/>
  <c r="Z63" i="163"/>
  <c r="X63" i="163"/>
  <c r="V63" i="163"/>
  <c r="T63" i="163"/>
  <c r="AF62" i="163"/>
  <c r="AD62" i="163"/>
  <c r="AB62" i="163"/>
  <c r="Z62" i="163"/>
  <c r="X62" i="163"/>
  <c r="V62" i="163"/>
  <c r="T62" i="163"/>
  <c r="AF61" i="163"/>
  <c r="AD61" i="163"/>
  <c r="AB61" i="163"/>
  <c r="Z61" i="163"/>
  <c r="X61" i="163"/>
  <c r="V61" i="163"/>
  <c r="T61" i="163"/>
  <c r="AF60" i="163"/>
  <c r="AD60" i="163"/>
  <c r="AB60" i="163"/>
  <c r="Z60" i="163"/>
  <c r="X60" i="163"/>
  <c r="V60" i="163"/>
  <c r="T60" i="163"/>
  <c r="AF59" i="163"/>
  <c r="AD59" i="163"/>
  <c r="AB59" i="163"/>
  <c r="Z59" i="163"/>
  <c r="X59" i="163"/>
  <c r="V59" i="163"/>
  <c r="T59" i="163"/>
  <c r="AF58" i="163"/>
  <c r="AD58" i="163"/>
  <c r="AB58" i="163"/>
  <c r="Z58" i="163"/>
  <c r="X58" i="163"/>
  <c r="V58" i="163"/>
  <c r="T58" i="163"/>
  <c r="AF57" i="163"/>
  <c r="AD57" i="163"/>
  <c r="AB57" i="163"/>
  <c r="Z57" i="163"/>
  <c r="X57" i="163"/>
  <c r="V57" i="163"/>
  <c r="T57" i="163"/>
  <c r="AF56" i="163"/>
  <c r="AD56" i="163"/>
  <c r="AB56" i="163"/>
  <c r="Z56" i="163"/>
  <c r="X56" i="163"/>
  <c r="V56" i="163"/>
  <c r="T56" i="163"/>
  <c r="AF55" i="163"/>
  <c r="AD55" i="163"/>
  <c r="AB55" i="163"/>
  <c r="Z55" i="163"/>
  <c r="X55" i="163"/>
  <c r="V55" i="163"/>
  <c r="T55" i="163"/>
  <c r="AF54" i="163"/>
  <c r="AD54" i="163"/>
  <c r="AB54" i="163"/>
  <c r="Z54" i="163"/>
  <c r="X54" i="163"/>
  <c r="V54" i="163"/>
  <c r="T54" i="163"/>
  <c r="AF53" i="163"/>
  <c r="AD53" i="163"/>
  <c r="AB53" i="163"/>
  <c r="Z53" i="163"/>
  <c r="X53" i="163"/>
  <c r="V53" i="163"/>
  <c r="T53" i="163"/>
  <c r="AF52" i="163"/>
  <c r="AD52" i="163"/>
  <c r="AB52" i="163"/>
  <c r="Z52" i="163"/>
  <c r="X52" i="163"/>
  <c r="V52" i="163"/>
  <c r="T52" i="163"/>
  <c r="AF51" i="163"/>
  <c r="AD51" i="163"/>
  <c r="AB51" i="163"/>
  <c r="Z51" i="163"/>
  <c r="X51" i="163"/>
  <c r="V51" i="163"/>
  <c r="T51" i="163"/>
  <c r="AF50" i="163"/>
  <c r="AD50" i="163"/>
  <c r="AB50" i="163"/>
  <c r="Z50" i="163"/>
  <c r="X50" i="163"/>
  <c r="V50" i="163"/>
  <c r="T50" i="163"/>
  <c r="AF49" i="163"/>
  <c r="AD49" i="163"/>
  <c r="AB49" i="163"/>
  <c r="Z49" i="163"/>
  <c r="X49" i="163"/>
  <c r="V49" i="163"/>
  <c r="T49" i="163"/>
  <c r="AF48" i="163"/>
  <c r="AD48" i="163"/>
  <c r="AB48" i="163"/>
  <c r="Z48" i="163"/>
  <c r="X48" i="163"/>
  <c r="V48" i="163"/>
  <c r="T48" i="163"/>
  <c r="AF47" i="163"/>
  <c r="AD47" i="163"/>
  <c r="AB47" i="163"/>
  <c r="Z47" i="163"/>
  <c r="X47" i="163"/>
  <c r="V47" i="163"/>
  <c r="T47" i="163"/>
  <c r="AF46" i="163"/>
  <c r="AD46" i="163"/>
  <c r="AB46" i="163"/>
  <c r="Z46" i="163"/>
  <c r="X46" i="163"/>
  <c r="V46" i="163"/>
  <c r="T46" i="163"/>
  <c r="AF45" i="163"/>
  <c r="AD45" i="163"/>
  <c r="AB45" i="163"/>
  <c r="Z45" i="163"/>
  <c r="X45" i="163"/>
  <c r="V45" i="163"/>
  <c r="T45" i="163"/>
  <c r="AF44" i="163"/>
  <c r="AD44" i="163"/>
  <c r="AB44" i="163"/>
  <c r="Z44" i="163"/>
  <c r="X44" i="163"/>
  <c r="V44" i="163"/>
  <c r="T44" i="163"/>
  <c r="AF43" i="163"/>
  <c r="AD43" i="163"/>
  <c r="AB43" i="163"/>
  <c r="Z43" i="163"/>
  <c r="X43" i="163"/>
  <c r="V43" i="163"/>
  <c r="T43" i="163"/>
  <c r="AF42" i="163"/>
  <c r="AD42" i="163"/>
  <c r="AB42" i="163"/>
  <c r="Z42" i="163"/>
  <c r="X42" i="163"/>
  <c r="V42" i="163"/>
  <c r="T42" i="163"/>
  <c r="AF41" i="163"/>
  <c r="AD41" i="163"/>
  <c r="AB41" i="163"/>
  <c r="Z41" i="163"/>
  <c r="X41" i="163"/>
  <c r="V41" i="163"/>
  <c r="T41" i="163"/>
  <c r="AF40" i="163"/>
  <c r="AD40" i="163"/>
  <c r="AB40" i="163"/>
  <c r="Z40" i="163"/>
  <c r="X40" i="163"/>
  <c r="V40" i="163"/>
  <c r="T40" i="163"/>
  <c r="AF39" i="163"/>
  <c r="AD39" i="163"/>
  <c r="AB39" i="163"/>
  <c r="Z39" i="163"/>
  <c r="X39" i="163"/>
  <c r="V39" i="163"/>
  <c r="T39" i="163"/>
  <c r="AF38" i="163"/>
  <c r="AD38" i="163"/>
  <c r="AB38" i="163"/>
  <c r="Z38" i="163"/>
  <c r="X38" i="163"/>
  <c r="V38" i="163"/>
  <c r="T38" i="163"/>
  <c r="AF37" i="163"/>
  <c r="AD37" i="163"/>
  <c r="AB37" i="163"/>
  <c r="Z37" i="163"/>
  <c r="X37" i="163"/>
  <c r="V37" i="163"/>
  <c r="T37" i="163"/>
  <c r="D31" i="163"/>
  <c r="E31" i="163" s="1"/>
  <c r="D30" i="163"/>
  <c r="E30" i="163" s="1"/>
  <c r="D29" i="163"/>
  <c r="E29" i="163" s="1"/>
  <c r="U28" i="163"/>
  <c r="D28" i="163"/>
  <c r="E28" i="163" s="1"/>
  <c r="E27" i="163"/>
  <c r="D27" i="163"/>
  <c r="AE26" i="163"/>
  <c r="Y26" i="163"/>
  <c r="U26" i="163"/>
  <c r="D26" i="163"/>
  <c r="E26" i="163" s="1"/>
  <c r="W20" i="163"/>
  <c r="W28" i="163" s="1"/>
  <c r="AE19" i="163"/>
  <c r="AE27" i="163" s="1"/>
  <c r="AC19" i="163"/>
  <c r="AC27" i="163" s="1"/>
  <c r="AA19" i="163"/>
  <c r="AA27" i="163" s="1"/>
  <c r="Y19" i="163"/>
  <c r="Y27" i="163" s="1"/>
  <c r="W19" i="163"/>
  <c r="W27" i="163" s="1"/>
  <c r="U19" i="163"/>
  <c r="U27" i="163" s="1"/>
  <c r="S19" i="163"/>
  <c r="S27" i="163" s="1"/>
  <c r="AE18" i="163"/>
  <c r="AE20" i="163" s="1"/>
  <c r="AE28" i="163" s="1"/>
  <c r="AC18" i="163"/>
  <c r="AA18" i="163"/>
  <c r="Y18" i="163"/>
  <c r="Z18" i="163" s="1"/>
  <c r="W18" i="163"/>
  <c r="X18" i="163" s="1"/>
  <c r="V18" i="163"/>
  <c r="U18" i="163"/>
  <c r="U20" i="163" s="1"/>
  <c r="S18" i="163"/>
  <c r="Q18" i="163"/>
  <c r="P18" i="163"/>
  <c r="O18" i="163"/>
  <c r="N18" i="163"/>
  <c r="L18" i="163"/>
  <c r="K18" i="163"/>
  <c r="J18" i="163"/>
  <c r="H18" i="163"/>
  <c r="G18" i="163"/>
  <c r="F18" i="163"/>
  <c r="P17" i="163"/>
  <c r="AF16" i="163"/>
  <c r="AD16" i="163"/>
  <c r="AB16" i="163"/>
  <c r="Z16" i="163"/>
  <c r="X16" i="163"/>
  <c r="V16" i="163"/>
  <c r="T16" i="163"/>
  <c r="R16" i="163"/>
  <c r="M16" i="163"/>
  <c r="I16" i="163"/>
  <c r="P15" i="163"/>
  <c r="AF14" i="163"/>
  <c r="AD14" i="163"/>
  <c r="AB14" i="163"/>
  <c r="Z14" i="163"/>
  <c r="X14" i="163"/>
  <c r="V14" i="163"/>
  <c r="T14" i="163"/>
  <c r="R14" i="163"/>
  <c r="M14" i="163"/>
  <c r="I14" i="163"/>
  <c r="P13" i="163"/>
  <c r="AF12" i="163"/>
  <c r="AD12" i="163"/>
  <c r="AB12" i="163"/>
  <c r="Z12" i="163"/>
  <c r="X12" i="163"/>
  <c r="V12" i="163"/>
  <c r="T12" i="163"/>
  <c r="R12" i="163"/>
  <c r="M12" i="163"/>
  <c r="I12" i="163"/>
  <c r="P11" i="163"/>
  <c r="AF10" i="163"/>
  <c r="AD10" i="163"/>
  <c r="AB10" i="163"/>
  <c r="Z10" i="163"/>
  <c r="X10" i="163"/>
  <c r="V10" i="163"/>
  <c r="T10" i="163"/>
  <c r="R10" i="163"/>
  <c r="M10" i="163"/>
  <c r="I10" i="163"/>
  <c r="P9" i="163"/>
  <c r="AF8" i="163"/>
  <c r="AD8" i="163"/>
  <c r="AB8" i="163"/>
  <c r="Z8" i="163"/>
  <c r="X8" i="163"/>
  <c r="V8" i="163"/>
  <c r="T8" i="163"/>
  <c r="R8" i="163"/>
  <c r="M8" i="163"/>
  <c r="I8" i="163"/>
  <c r="P7" i="163"/>
  <c r="AF6" i="163"/>
  <c r="AD6" i="163"/>
  <c r="AB6" i="163"/>
  <c r="Z6" i="163"/>
  <c r="X6" i="163"/>
  <c r="V6" i="163"/>
  <c r="T6" i="163"/>
  <c r="R6" i="163"/>
  <c r="M6" i="163"/>
  <c r="I6" i="163"/>
  <c r="C3" i="163"/>
  <c r="AF66" i="162"/>
  <c r="AD66" i="162"/>
  <c r="AB66" i="162"/>
  <c r="Z66" i="162"/>
  <c r="X66" i="162"/>
  <c r="V66" i="162"/>
  <c r="T66" i="162"/>
  <c r="AF65" i="162"/>
  <c r="AD65" i="162"/>
  <c r="AB65" i="162"/>
  <c r="Z65" i="162"/>
  <c r="X65" i="162"/>
  <c r="V65" i="162"/>
  <c r="T65" i="162"/>
  <c r="AF64" i="162"/>
  <c r="AD64" i="162"/>
  <c r="AB64" i="162"/>
  <c r="Z64" i="162"/>
  <c r="X64" i="162"/>
  <c r="V64" i="162"/>
  <c r="T64" i="162"/>
  <c r="AF63" i="162"/>
  <c r="AD63" i="162"/>
  <c r="AB63" i="162"/>
  <c r="Z63" i="162"/>
  <c r="X63" i="162"/>
  <c r="V63" i="162"/>
  <c r="T63" i="162"/>
  <c r="AF62" i="162"/>
  <c r="AD62" i="162"/>
  <c r="AB62" i="162"/>
  <c r="Z62" i="162"/>
  <c r="X62" i="162"/>
  <c r="V62" i="162"/>
  <c r="T62" i="162"/>
  <c r="AF61" i="162"/>
  <c r="AD61" i="162"/>
  <c r="AB61" i="162"/>
  <c r="Z61" i="162"/>
  <c r="X61" i="162"/>
  <c r="V61" i="162"/>
  <c r="T61" i="162"/>
  <c r="AF60" i="162"/>
  <c r="AD60" i="162"/>
  <c r="AB60" i="162"/>
  <c r="Z60" i="162"/>
  <c r="X60" i="162"/>
  <c r="V60" i="162"/>
  <c r="T60" i="162"/>
  <c r="AF59" i="162"/>
  <c r="AD59" i="162"/>
  <c r="AB59" i="162"/>
  <c r="Z59" i="162"/>
  <c r="X59" i="162"/>
  <c r="V59" i="162"/>
  <c r="T59" i="162"/>
  <c r="AF58" i="162"/>
  <c r="AD58" i="162"/>
  <c r="AB58" i="162"/>
  <c r="Z58" i="162"/>
  <c r="X58" i="162"/>
  <c r="V58" i="162"/>
  <c r="T58" i="162"/>
  <c r="AF57" i="162"/>
  <c r="AD57" i="162"/>
  <c r="AB57" i="162"/>
  <c r="Z57" i="162"/>
  <c r="X57" i="162"/>
  <c r="V57" i="162"/>
  <c r="T57" i="162"/>
  <c r="AF56" i="162"/>
  <c r="AD56" i="162"/>
  <c r="AB56" i="162"/>
  <c r="Z56" i="162"/>
  <c r="X56" i="162"/>
  <c r="V56" i="162"/>
  <c r="T56" i="162"/>
  <c r="AF55" i="162"/>
  <c r="AD55" i="162"/>
  <c r="AB55" i="162"/>
  <c r="Z55" i="162"/>
  <c r="X55" i="162"/>
  <c r="V55" i="162"/>
  <c r="T55" i="162"/>
  <c r="AF54" i="162"/>
  <c r="AD54" i="162"/>
  <c r="AB54" i="162"/>
  <c r="Z54" i="162"/>
  <c r="X54" i="162"/>
  <c r="V54" i="162"/>
  <c r="T54" i="162"/>
  <c r="AF53" i="162"/>
  <c r="AD53" i="162"/>
  <c r="AB53" i="162"/>
  <c r="Z53" i="162"/>
  <c r="X53" i="162"/>
  <c r="V53" i="162"/>
  <c r="T53" i="162"/>
  <c r="AF52" i="162"/>
  <c r="AD52" i="162"/>
  <c r="AB52" i="162"/>
  <c r="Z52" i="162"/>
  <c r="X52" i="162"/>
  <c r="V52" i="162"/>
  <c r="T52" i="162"/>
  <c r="AF51" i="162"/>
  <c r="AD51" i="162"/>
  <c r="AB51" i="162"/>
  <c r="Z51" i="162"/>
  <c r="X51" i="162"/>
  <c r="V51" i="162"/>
  <c r="T51" i="162"/>
  <c r="AF50" i="162"/>
  <c r="AD50" i="162"/>
  <c r="AB50" i="162"/>
  <c r="Z50" i="162"/>
  <c r="X50" i="162"/>
  <c r="V50" i="162"/>
  <c r="T50" i="162"/>
  <c r="AF49" i="162"/>
  <c r="AD49" i="162"/>
  <c r="AB49" i="162"/>
  <c r="Z49" i="162"/>
  <c r="X49" i="162"/>
  <c r="V49" i="162"/>
  <c r="T49" i="162"/>
  <c r="AF48" i="162"/>
  <c r="AD48" i="162"/>
  <c r="AB48" i="162"/>
  <c r="Z48" i="162"/>
  <c r="X48" i="162"/>
  <c r="V48" i="162"/>
  <c r="T48" i="162"/>
  <c r="AF47" i="162"/>
  <c r="AD47" i="162"/>
  <c r="AB47" i="162"/>
  <c r="Z47" i="162"/>
  <c r="X47" i="162"/>
  <c r="V47" i="162"/>
  <c r="T47" i="162"/>
  <c r="AF46" i="162"/>
  <c r="AD46" i="162"/>
  <c r="AB46" i="162"/>
  <c r="Z46" i="162"/>
  <c r="X46" i="162"/>
  <c r="V46" i="162"/>
  <c r="T46" i="162"/>
  <c r="AF45" i="162"/>
  <c r="AD45" i="162"/>
  <c r="AB45" i="162"/>
  <c r="Z45" i="162"/>
  <c r="X45" i="162"/>
  <c r="V45" i="162"/>
  <c r="T45" i="162"/>
  <c r="AF44" i="162"/>
  <c r="AD44" i="162"/>
  <c r="AB44" i="162"/>
  <c r="Z44" i="162"/>
  <c r="X44" i="162"/>
  <c r="V44" i="162"/>
  <c r="T44" i="162"/>
  <c r="AF43" i="162"/>
  <c r="AD43" i="162"/>
  <c r="AB43" i="162"/>
  <c r="Z43" i="162"/>
  <c r="X43" i="162"/>
  <c r="V43" i="162"/>
  <c r="T43" i="162"/>
  <c r="AF42" i="162"/>
  <c r="AD42" i="162"/>
  <c r="AB42" i="162"/>
  <c r="Z42" i="162"/>
  <c r="X42" i="162"/>
  <c r="V42" i="162"/>
  <c r="T42" i="162"/>
  <c r="AF41" i="162"/>
  <c r="AD41" i="162"/>
  <c r="AB41" i="162"/>
  <c r="Z41" i="162"/>
  <c r="X41" i="162"/>
  <c r="V41" i="162"/>
  <c r="T41" i="162"/>
  <c r="AF40" i="162"/>
  <c r="AD40" i="162"/>
  <c r="AB40" i="162"/>
  <c r="Z40" i="162"/>
  <c r="X40" i="162"/>
  <c r="V40" i="162"/>
  <c r="T40" i="162"/>
  <c r="AF39" i="162"/>
  <c r="AD39" i="162"/>
  <c r="AB39" i="162"/>
  <c r="Z39" i="162"/>
  <c r="X39" i="162"/>
  <c r="V39" i="162"/>
  <c r="T39" i="162"/>
  <c r="AF38" i="162"/>
  <c r="AD38" i="162"/>
  <c r="AB38" i="162"/>
  <c r="Z38" i="162"/>
  <c r="X38" i="162"/>
  <c r="V38" i="162"/>
  <c r="T38" i="162"/>
  <c r="AF37" i="162"/>
  <c r="AD37" i="162"/>
  <c r="AB37" i="162"/>
  <c r="Z37" i="162"/>
  <c r="X37" i="162"/>
  <c r="V37" i="162"/>
  <c r="T37" i="162"/>
  <c r="D31" i="162"/>
  <c r="E31" i="162" s="1"/>
  <c r="D30" i="162"/>
  <c r="E30" i="162" s="1"/>
  <c r="D29" i="162"/>
  <c r="E29" i="162" s="1"/>
  <c r="E28" i="162"/>
  <c r="D28" i="162"/>
  <c r="AE27" i="162"/>
  <c r="D27" i="162"/>
  <c r="E27" i="162" s="1"/>
  <c r="AA26" i="162"/>
  <c r="W26" i="162"/>
  <c r="D26" i="162"/>
  <c r="E26" i="162" s="1"/>
  <c r="Y20" i="162"/>
  <c r="Y28" i="162" s="1"/>
  <c r="AE19" i="162"/>
  <c r="AC19" i="162"/>
  <c r="AC27" i="162" s="1"/>
  <c r="AA19" i="162"/>
  <c r="AA27" i="162" s="1"/>
  <c r="Y19" i="162"/>
  <c r="Y27" i="162" s="1"/>
  <c r="W19" i="162"/>
  <c r="W27" i="162" s="1"/>
  <c r="U19" i="162"/>
  <c r="U27" i="162" s="1"/>
  <c r="S19" i="162"/>
  <c r="S27" i="162" s="1"/>
  <c r="AE18" i="162"/>
  <c r="AE26" i="162" s="1"/>
  <c r="AC18" i="162"/>
  <c r="AB18" i="162"/>
  <c r="AA18" i="162"/>
  <c r="AA20" i="162" s="1"/>
  <c r="AA28" i="162" s="1"/>
  <c r="Y18" i="162"/>
  <c r="Z18" i="162" s="1"/>
  <c r="W18" i="162"/>
  <c r="W20" i="162" s="1"/>
  <c r="W28" i="162" s="1"/>
  <c r="U18" i="162"/>
  <c r="S18" i="162"/>
  <c r="S26" i="162" s="1"/>
  <c r="Q18" i="162"/>
  <c r="P18" i="162"/>
  <c r="O18" i="162"/>
  <c r="N18" i="162"/>
  <c r="L18" i="162"/>
  <c r="K18" i="162"/>
  <c r="J18" i="162"/>
  <c r="H18" i="162"/>
  <c r="G18" i="162"/>
  <c r="F18" i="162"/>
  <c r="P17" i="162"/>
  <c r="AF16" i="162"/>
  <c r="AD16" i="162"/>
  <c r="AB16" i="162"/>
  <c r="Z16" i="162"/>
  <c r="X16" i="162"/>
  <c r="V16" i="162"/>
  <c r="T16" i="162"/>
  <c r="R16" i="162"/>
  <c r="M16" i="162"/>
  <c r="I16" i="162"/>
  <c r="P15" i="162"/>
  <c r="AF14" i="162"/>
  <c r="AD14" i="162"/>
  <c r="AB14" i="162"/>
  <c r="Z14" i="162"/>
  <c r="X14" i="162"/>
  <c r="V14" i="162"/>
  <c r="T14" i="162"/>
  <c r="R14" i="162"/>
  <c r="M14" i="162"/>
  <c r="I14" i="162"/>
  <c r="P13" i="162"/>
  <c r="AF12" i="162"/>
  <c r="AD12" i="162"/>
  <c r="AB12" i="162"/>
  <c r="Z12" i="162"/>
  <c r="X12" i="162"/>
  <c r="V12" i="162"/>
  <c r="T12" i="162"/>
  <c r="R12" i="162"/>
  <c r="M12" i="162"/>
  <c r="I12" i="162"/>
  <c r="P11" i="162"/>
  <c r="AF10" i="162"/>
  <c r="AD10" i="162"/>
  <c r="AB10" i="162"/>
  <c r="Z10" i="162"/>
  <c r="X10" i="162"/>
  <c r="V10" i="162"/>
  <c r="T10" i="162"/>
  <c r="R10" i="162"/>
  <c r="M10" i="162"/>
  <c r="I10" i="162"/>
  <c r="P9" i="162"/>
  <c r="AF8" i="162"/>
  <c r="AD8" i="162"/>
  <c r="AB8" i="162"/>
  <c r="Z8" i="162"/>
  <c r="X8" i="162"/>
  <c r="V8" i="162"/>
  <c r="T8" i="162"/>
  <c r="R8" i="162"/>
  <c r="M8" i="162"/>
  <c r="I8" i="162"/>
  <c r="P7" i="162"/>
  <c r="AF6" i="162"/>
  <c r="AD6" i="162"/>
  <c r="AB6" i="162"/>
  <c r="Z6" i="162"/>
  <c r="X6" i="162"/>
  <c r="V6" i="162"/>
  <c r="T6" i="162"/>
  <c r="R6" i="162"/>
  <c r="M6" i="162"/>
  <c r="I6" i="162"/>
  <c r="C3" i="162"/>
  <c r="AF66" i="161"/>
  <c r="AD66" i="161"/>
  <c r="AB66" i="161"/>
  <c r="Z66" i="161"/>
  <c r="X66" i="161"/>
  <c r="V66" i="161"/>
  <c r="T66" i="161"/>
  <c r="AF65" i="161"/>
  <c r="AD65" i="161"/>
  <c r="AB65" i="161"/>
  <c r="Z65" i="161"/>
  <c r="X65" i="161"/>
  <c r="V65" i="161"/>
  <c r="T65" i="161"/>
  <c r="AF64" i="161"/>
  <c r="AD64" i="161"/>
  <c r="AB64" i="161"/>
  <c r="Z64" i="161"/>
  <c r="X64" i="161"/>
  <c r="V64" i="161"/>
  <c r="T64" i="161"/>
  <c r="AF63" i="161"/>
  <c r="AD63" i="161"/>
  <c r="AB63" i="161"/>
  <c r="Z63" i="161"/>
  <c r="X63" i="161"/>
  <c r="V63" i="161"/>
  <c r="T63" i="161"/>
  <c r="AF62" i="161"/>
  <c r="AD62" i="161"/>
  <c r="AB62" i="161"/>
  <c r="Z62" i="161"/>
  <c r="X62" i="161"/>
  <c r="V62" i="161"/>
  <c r="T62" i="161"/>
  <c r="AF61" i="161"/>
  <c r="AD61" i="161"/>
  <c r="AB61" i="161"/>
  <c r="Z61" i="161"/>
  <c r="X61" i="161"/>
  <c r="V61" i="161"/>
  <c r="T61" i="161"/>
  <c r="AF60" i="161"/>
  <c r="AD60" i="161"/>
  <c r="AB60" i="161"/>
  <c r="Z60" i="161"/>
  <c r="X60" i="161"/>
  <c r="V60" i="161"/>
  <c r="T60" i="161"/>
  <c r="AF59" i="161"/>
  <c r="AD59" i="161"/>
  <c r="AB59" i="161"/>
  <c r="Z59" i="161"/>
  <c r="X59" i="161"/>
  <c r="V59" i="161"/>
  <c r="T59" i="161"/>
  <c r="AF58" i="161"/>
  <c r="AD58" i="161"/>
  <c r="AB58" i="161"/>
  <c r="Z58" i="161"/>
  <c r="X58" i="161"/>
  <c r="V58" i="161"/>
  <c r="T58" i="161"/>
  <c r="AF57" i="161"/>
  <c r="AD57" i="161"/>
  <c r="AB57" i="161"/>
  <c r="Z57" i="161"/>
  <c r="X57" i="161"/>
  <c r="V57" i="161"/>
  <c r="T57" i="161"/>
  <c r="AF56" i="161"/>
  <c r="AD56" i="161"/>
  <c r="AB56" i="161"/>
  <c r="Z56" i="161"/>
  <c r="X56" i="161"/>
  <c r="V56" i="161"/>
  <c r="T56" i="161"/>
  <c r="AF55" i="161"/>
  <c r="AD55" i="161"/>
  <c r="AB55" i="161"/>
  <c r="Z55" i="161"/>
  <c r="X55" i="161"/>
  <c r="V55" i="161"/>
  <c r="T55" i="161"/>
  <c r="AF54" i="161"/>
  <c r="AD54" i="161"/>
  <c r="AB54" i="161"/>
  <c r="Z54" i="161"/>
  <c r="X54" i="161"/>
  <c r="V54" i="161"/>
  <c r="T54" i="161"/>
  <c r="AF53" i="161"/>
  <c r="AD53" i="161"/>
  <c r="AB53" i="161"/>
  <c r="Z53" i="161"/>
  <c r="X53" i="161"/>
  <c r="V53" i="161"/>
  <c r="T53" i="161"/>
  <c r="AF52" i="161"/>
  <c r="AD52" i="161"/>
  <c r="AB52" i="161"/>
  <c r="Z52" i="161"/>
  <c r="X52" i="161"/>
  <c r="V52" i="161"/>
  <c r="T52" i="161"/>
  <c r="AF51" i="161"/>
  <c r="AD51" i="161"/>
  <c r="AB51" i="161"/>
  <c r="Z51" i="161"/>
  <c r="X51" i="161"/>
  <c r="V51" i="161"/>
  <c r="T51" i="161"/>
  <c r="AF50" i="161"/>
  <c r="AD50" i="161"/>
  <c r="AB50" i="161"/>
  <c r="Z50" i="161"/>
  <c r="X50" i="161"/>
  <c r="V50" i="161"/>
  <c r="T50" i="161"/>
  <c r="AF49" i="161"/>
  <c r="AD49" i="161"/>
  <c r="AB49" i="161"/>
  <c r="Z49" i="161"/>
  <c r="X49" i="161"/>
  <c r="V49" i="161"/>
  <c r="T49" i="161"/>
  <c r="AF48" i="161"/>
  <c r="AD48" i="161"/>
  <c r="AB48" i="161"/>
  <c r="Z48" i="161"/>
  <c r="X48" i="161"/>
  <c r="V48" i="161"/>
  <c r="T48" i="161"/>
  <c r="AF47" i="161"/>
  <c r="AD47" i="161"/>
  <c r="AB47" i="161"/>
  <c r="Z47" i="161"/>
  <c r="X47" i="161"/>
  <c r="V47" i="161"/>
  <c r="T47" i="161"/>
  <c r="AF46" i="161"/>
  <c r="AD46" i="161"/>
  <c r="AB46" i="161"/>
  <c r="Z46" i="161"/>
  <c r="X46" i="161"/>
  <c r="V46" i="161"/>
  <c r="T46" i="161"/>
  <c r="AF45" i="161"/>
  <c r="AD45" i="161"/>
  <c r="AB45" i="161"/>
  <c r="Z45" i="161"/>
  <c r="X45" i="161"/>
  <c r="V45" i="161"/>
  <c r="T45" i="161"/>
  <c r="AF44" i="161"/>
  <c r="AD44" i="161"/>
  <c r="AB44" i="161"/>
  <c r="Z44" i="161"/>
  <c r="X44" i="161"/>
  <c r="V44" i="161"/>
  <c r="T44" i="161"/>
  <c r="AF43" i="161"/>
  <c r="AD43" i="161"/>
  <c r="AB43" i="161"/>
  <c r="Z43" i="161"/>
  <c r="X43" i="161"/>
  <c r="V43" i="161"/>
  <c r="T43" i="161"/>
  <c r="AF42" i="161"/>
  <c r="AD42" i="161"/>
  <c r="AB42" i="161"/>
  <c r="Z42" i="161"/>
  <c r="X42" i="161"/>
  <c r="V42" i="161"/>
  <c r="T42" i="161"/>
  <c r="AF41" i="161"/>
  <c r="AD41" i="161"/>
  <c r="AB41" i="161"/>
  <c r="Z41" i="161"/>
  <c r="X41" i="161"/>
  <c r="V41" i="161"/>
  <c r="T41" i="161"/>
  <c r="AF40" i="161"/>
  <c r="AD40" i="161"/>
  <c r="AB40" i="161"/>
  <c r="Z40" i="161"/>
  <c r="X40" i="161"/>
  <c r="V40" i="161"/>
  <c r="T40" i="161"/>
  <c r="AF39" i="161"/>
  <c r="AD39" i="161"/>
  <c r="AB39" i="161"/>
  <c r="Z39" i="161"/>
  <c r="X39" i="161"/>
  <c r="V39" i="161"/>
  <c r="T39" i="161"/>
  <c r="AF38" i="161"/>
  <c r="AD38" i="161"/>
  <c r="AB38" i="161"/>
  <c r="Z38" i="161"/>
  <c r="X38" i="161"/>
  <c r="V38" i="161"/>
  <c r="T38" i="161"/>
  <c r="AF37" i="161"/>
  <c r="AD37" i="161"/>
  <c r="AB37" i="161"/>
  <c r="Z37" i="161"/>
  <c r="X37" i="161"/>
  <c r="V37" i="161"/>
  <c r="T37" i="161"/>
  <c r="D31" i="161"/>
  <c r="E31" i="161" s="1"/>
  <c r="D30" i="161"/>
  <c r="E30" i="161" s="1"/>
  <c r="D29" i="161"/>
  <c r="E29" i="161" s="1"/>
  <c r="D28" i="161"/>
  <c r="E28" i="161" s="1"/>
  <c r="E27" i="161"/>
  <c r="D27" i="161"/>
  <c r="Y26" i="161"/>
  <c r="D26" i="161"/>
  <c r="E26" i="161" s="1"/>
  <c r="AE20" i="161"/>
  <c r="AE28" i="161" s="1"/>
  <c r="Y20" i="161"/>
  <c r="Y28" i="161" s="1"/>
  <c r="AE19" i="161"/>
  <c r="AE27" i="161" s="1"/>
  <c r="AC19" i="161"/>
  <c r="AC27" i="161" s="1"/>
  <c r="AA19" i="161"/>
  <c r="AA27" i="161" s="1"/>
  <c r="Y19" i="161"/>
  <c r="Y27" i="161" s="1"/>
  <c r="W19" i="161"/>
  <c r="W27" i="161" s="1"/>
  <c r="U19" i="161"/>
  <c r="U27" i="161" s="1"/>
  <c r="S19" i="161"/>
  <c r="S27" i="161" s="1"/>
  <c r="AE18" i="161"/>
  <c r="AE26" i="161" s="1"/>
  <c r="AD18" i="161"/>
  <c r="AC18" i="161"/>
  <c r="AC20" i="161" s="1"/>
  <c r="AC28" i="161" s="1"/>
  <c r="AA18" i="161"/>
  <c r="AB18" i="161" s="1"/>
  <c r="Y18" i="161"/>
  <c r="Z18" i="161" s="1"/>
  <c r="W18" i="161"/>
  <c r="U18" i="161"/>
  <c r="U26" i="161" s="1"/>
  <c r="S18" i="161"/>
  <c r="T18" i="161" s="1"/>
  <c r="Q18" i="161"/>
  <c r="P18" i="161"/>
  <c r="O18" i="161"/>
  <c r="N18" i="161"/>
  <c r="L18" i="161"/>
  <c r="K18" i="161"/>
  <c r="J18" i="161"/>
  <c r="H18" i="161"/>
  <c r="G18" i="161"/>
  <c r="F18" i="161"/>
  <c r="P17" i="161"/>
  <c r="AF16" i="161"/>
  <c r="AD16" i="161"/>
  <c r="AB16" i="161"/>
  <c r="Z16" i="161"/>
  <c r="X16" i="161"/>
  <c r="V16" i="161"/>
  <c r="T16" i="161"/>
  <c r="R16" i="161"/>
  <c r="M16" i="161"/>
  <c r="I16" i="161"/>
  <c r="P15" i="161"/>
  <c r="AF14" i="161"/>
  <c r="AD14" i="161"/>
  <c r="AB14" i="161"/>
  <c r="Z14" i="161"/>
  <c r="X14" i="161"/>
  <c r="V14" i="161"/>
  <c r="T14" i="161"/>
  <c r="R14" i="161"/>
  <c r="M14" i="161"/>
  <c r="I14" i="161"/>
  <c r="P13" i="161"/>
  <c r="AF12" i="161"/>
  <c r="AD12" i="161"/>
  <c r="AB12" i="161"/>
  <c r="Z12" i="161"/>
  <c r="X12" i="161"/>
  <c r="V12" i="161"/>
  <c r="T12" i="161"/>
  <c r="R12" i="161"/>
  <c r="M12" i="161"/>
  <c r="I12" i="161"/>
  <c r="P11" i="161"/>
  <c r="AF10" i="161"/>
  <c r="AD10" i="161"/>
  <c r="AB10" i="161"/>
  <c r="Z10" i="161"/>
  <c r="X10" i="161"/>
  <c r="V10" i="161"/>
  <c r="T10" i="161"/>
  <c r="R10" i="161"/>
  <c r="M10" i="161"/>
  <c r="I10" i="161"/>
  <c r="P9" i="161"/>
  <c r="AF8" i="161"/>
  <c r="AD8" i="161"/>
  <c r="AB8" i="161"/>
  <c r="Z8" i="161"/>
  <c r="X8" i="161"/>
  <c r="V8" i="161"/>
  <c r="T8" i="161"/>
  <c r="R8" i="161"/>
  <c r="M8" i="161"/>
  <c r="I8" i="161"/>
  <c r="P7" i="161"/>
  <c r="AF6" i="161"/>
  <c r="AD6" i="161"/>
  <c r="AB6" i="161"/>
  <c r="Z6" i="161"/>
  <c r="X6" i="161"/>
  <c r="V6" i="161"/>
  <c r="T6" i="161"/>
  <c r="R6" i="161"/>
  <c r="R18" i="161" s="1"/>
  <c r="M6" i="161"/>
  <c r="I6" i="161"/>
  <c r="C3" i="161"/>
  <c r="AF66" i="160"/>
  <c r="AD66" i="160"/>
  <c r="AB66" i="160"/>
  <c r="Z66" i="160"/>
  <c r="X66" i="160"/>
  <c r="V66" i="160"/>
  <c r="T66" i="160"/>
  <c r="AF65" i="160"/>
  <c r="AD65" i="160"/>
  <c r="AB65" i="160"/>
  <c r="Z65" i="160"/>
  <c r="X65" i="160"/>
  <c r="V65" i="160"/>
  <c r="T65" i="160"/>
  <c r="AF64" i="160"/>
  <c r="AD64" i="160"/>
  <c r="AB64" i="160"/>
  <c r="Z64" i="160"/>
  <c r="X64" i="160"/>
  <c r="V64" i="160"/>
  <c r="T64" i="160"/>
  <c r="AF63" i="160"/>
  <c r="AD63" i="160"/>
  <c r="AB63" i="160"/>
  <c r="Z63" i="160"/>
  <c r="X63" i="160"/>
  <c r="V63" i="160"/>
  <c r="T63" i="160"/>
  <c r="AF62" i="160"/>
  <c r="AD62" i="160"/>
  <c r="AB62" i="160"/>
  <c r="Z62" i="160"/>
  <c r="X62" i="160"/>
  <c r="V62" i="160"/>
  <c r="T62" i="160"/>
  <c r="AF61" i="160"/>
  <c r="AD61" i="160"/>
  <c r="AB61" i="160"/>
  <c r="Z61" i="160"/>
  <c r="X61" i="160"/>
  <c r="V61" i="160"/>
  <c r="T61" i="160"/>
  <c r="AF60" i="160"/>
  <c r="AD60" i="160"/>
  <c r="AB60" i="160"/>
  <c r="Z60" i="160"/>
  <c r="X60" i="160"/>
  <c r="V60" i="160"/>
  <c r="T60" i="160"/>
  <c r="AF59" i="160"/>
  <c r="AD59" i="160"/>
  <c r="AB59" i="160"/>
  <c r="Z59" i="160"/>
  <c r="X59" i="160"/>
  <c r="V59" i="160"/>
  <c r="T59" i="160"/>
  <c r="AF58" i="160"/>
  <c r="AD58" i="160"/>
  <c r="AB58" i="160"/>
  <c r="Z58" i="160"/>
  <c r="X58" i="160"/>
  <c r="V58" i="160"/>
  <c r="T58" i="160"/>
  <c r="AF57" i="160"/>
  <c r="AD57" i="160"/>
  <c r="AB57" i="160"/>
  <c r="Z57" i="160"/>
  <c r="X57" i="160"/>
  <c r="V57" i="160"/>
  <c r="T57" i="160"/>
  <c r="AF56" i="160"/>
  <c r="AD56" i="160"/>
  <c r="AB56" i="160"/>
  <c r="Z56" i="160"/>
  <c r="X56" i="160"/>
  <c r="V56" i="160"/>
  <c r="T56" i="160"/>
  <c r="AF55" i="160"/>
  <c r="AD55" i="160"/>
  <c r="AB55" i="160"/>
  <c r="Z55" i="160"/>
  <c r="X55" i="160"/>
  <c r="V55" i="160"/>
  <c r="T55" i="160"/>
  <c r="AF54" i="160"/>
  <c r="AD54" i="160"/>
  <c r="AB54" i="160"/>
  <c r="Z54" i="160"/>
  <c r="X54" i="160"/>
  <c r="V54" i="160"/>
  <c r="T54" i="160"/>
  <c r="AF53" i="160"/>
  <c r="AD53" i="160"/>
  <c r="AB53" i="160"/>
  <c r="Z53" i="160"/>
  <c r="X53" i="160"/>
  <c r="V53" i="160"/>
  <c r="T53" i="160"/>
  <c r="AF52" i="160"/>
  <c r="AD52" i="160"/>
  <c r="AB52" i="160"/>
  <c r="Z52" i="160"/>
  <c r="X52" i="160"/>
  <c r="V52" i="160"/>
  <c r="T52" i="160"/>
  <c r="AF51" i="160"/>
  <c r="AD51" i="160"/>
  <c r="AB51" i="160"/>
  <c r="Z51" i="160"/>
  <c r="X51" i="160"/>
  <c r="V51" i="160"/>
  <c r="T51" i="160"/>
  <c r="AF50" i="160"/>
  <c r="AD50" i="160"/>
  <c r="AB50" i="160"/>
  <c r="Z50" i="160"/>
  <c r="X50" i="160"/>
  <c r="V50" i="160"/>
  <c r="T50" i="160"/>
  <c r="AF49" i="160"/>
  <c r="AD49" i="160"/>
  <c r="AB49" i="160"/>
  <c r="Z49" i="160"/>
  <c r="X49" i="160"/>
  <c r="V49" i="160"/>
  <c r="T49" i="160"/>
  <c r="AF48" i="160"/>
  <c r="AD48" i="160"/>
  <c r="AB48" i="160"/>
  <c r="Z48" i="160"/>
  <c r="X48" i="160"/>
  <c r="V48" i="160"/>
  <c r="T48" i="160"/>
  <c r="AF47" i="160"/>
  <c r="AD47" i="160"/>
  <c r="AB47" i="160"/>
  <c r="Z47" i="160"/>
  <c r="X47" i="160"/>
  <c r="V47" i="160"/>
  <c r="T47" i="160"/>
  <c r="AF46" i="160"/>
  <c r="AD46" i="160"/>
  <c r="AB46" i="160"/>
  <c r="Z46" i="160"/>
  <c r="X46" i="160"/>
  <c r="V46" i="160"/>
  <c r="T46" i="160"/>
  <c r="AF45" i="160"/>
  <c r="AD45" i="160"/>
  <c r="AB45" i="160"/>
  <c r="Z45" i="160"/>
  <c r="X45" i="160"/>
  <c r="V45" i="160"/>
  <c r="T45" i="160"/>
  <c r="AF44" i="160"/>
  <c r="AD44" i="160"/>
  <c r="AB44" i="160"/>
  <c r="Z44" i="160"/>
  <c r="X44" i="160"/>
  <c r="V44" i="160"/>
  <c r="T44" i="160"/>
  <c r="AF43" i="160"/>
  <c r="AD43" i="160"/>
  <c r="AB43" i="160"/>
  <c r="Z43" i="160"/>
  <c r="X43" i="160"/>
  <c r="V43" i="160"/>
  <c r="T43" i="160"/>
  <c r="AF42" i="160"/>
  <c r="AD42" i="160"/>
  <c r="AB42" i="160"/>
  <c r="Z42" i="160"/>
  <c r="X42" i="160"/>
  <c r="V42" i="160"/>
  <c r="T42" i="160"/>
  <c r="AF41" i="160"/>
  <c r="AD41" i="160"/>
  <c r="AB41" i="160"/>
  <c r="Z41" i="160"/>
  <c r="X41" i="160"/>
  <c r="V41" i="160"/>
  <c r="T41" i="160"/>
  <c r="AF40" i="160"/>
  <c r="AD40" i="160"/>
  <c r="AB40" i="160"/>
  <c r="Z40" i="160"/>
  <c r="X40" i="160"/>
  <c r="V40" i="160"/>
  <c r="T40" i="160"/>
  <c r="AF39" i="160"/>
  <c r="AD39" i="160"/>
  <c r="AB39" i="160"/>
  <c r="Z39" i="160"/>
  <c r="X39" i="160"/>
  <c r="V39" i="160"/>
  <c r="T39" i="160"/>
  <c r="AF38" i="160"/>
  <c r="AD38" i="160"/>
  <c r="AB38" i="160"/>
  <c r="Z38" i="160"/>
  <c r="X38" i="160"/>
  <c r="V38" i="160"/>
  <c r="T38" i="160"/>
  <c r="AF37" i="160"/>
  <c r="AD37" i="160"/>
  <c r="AB37" i="160"/>
  <c r="Z37" i="160"/>
  <c r="X37" i="160"/>
  <c r="V37" i="160"/>
  <c r="T37" i="160"/>
  <c r="E31" i="160"/>
  <c r="D31" i="160"/>
  <c r="E30" i="160"/>
  <c r="D30" i="160"/>
  <c r="D29" i="160"/>
  <c r="E29" i="160" s="1"/>
  <c r="D28" i="160"/>
  <c r="E28" i="160" s="1"/>
  <c r="Y27" i="160"/>
  <c r="W27" i="160"/>
  <c r="D27" i="160"/>
  <c r="E27" i="160" s="1"/>
  <c r="U26" i="160"/>
  <c r="D26" i="160"/>
  <c r="E26" i="160" s="1"/>
  <c r="AC20" i="160"/>
  <c r="AC28" i="160" s="1"/>
  <c r="S20" i="160"/>
  <c r="S28" i="160" s="1"/>
  <c r="AE19" i="160"/>
  <c r="AE27" i="160" s="1"/>
  <c r="AC19" i="160"/>
  <c r="AC27" i="160" s="1"/>
  <c r="AA19" i="160"/>
  <c r="AA27" i="160" s="1"/>
  <c r="Y19" i="160"/>
  <c r="W19" i="160"/>
  <c r="U19" i="160"/>
  <c r="U27" i="160" s="1"/>
  <c r="S19" i="160"/>
  <c r="S27" i="160" s="1"/>
  <c r="AE18" i="160"/>
  <c r="AD18" i="160"/>
  <c r="AC18" i="160"/>
  <c r="AC26" i="160" s="1"/>
  <c r="AA18" i="160"/>
  <c r="AA20" i="160" s="1"/>
  <c r="AA28" i="160" s="1"/>
  <c r="Y18" i="160"/>
  <c r="Y26" i="160" s="1"/>
  <c r="W18" i="160"/>
  <c r="V18" i="160"/>
  <c r="U18" i="160"/>
  <c r="U20" i="160" s="1"/>
  <c r="U28" i="160" s="1"/>
  <c r="T18" i="160"/>
  <c r="S18" i="160"/>
  <c r="S26" i="160" s="1"/>
  <c r="Q18" i="160"/>
  <c r="P18" i="160"/>
  <c r="O18" i="160"/>
  <c r="N18" i="160"/>
  <c r="L18" i="160"/>
  <c r="K18" i="160"/>
  <c r="J18" i="160"/>
  <c r="H18" i="160"/>
  <c r="G18" i="160"/>
  <c r="F18" i="160"/>
  <c r="P17" i="160"/>
  <c r="AF16" i="160"/>
  <c r="AD16" i="160"/>
  <c r="AB16" i="160"/>
  <c r="Z16" i="160"/>
  <c r="X16" i="160"/>
  <c r="V16" i="160"/>
  <c r="T16" i="160"/>
  <c r="R16" i="160"/>
  <c r="M16" i="160"/>
  <c r="I16" i="160"/>
  <c r="P15" i="160"/>
  <c r="AF14" i="160"/>
  <c r="AD14" i="160"/>
  <c r="AB14" i="160"/>
  <c r="Z14" i="160"/>
  <c r="X14" i="160"/>
  <c r="V14" i="160"/>
  <c r="T14" i="160"/>
  <c r="R14" i="160"/>
  <c r="M14" i="160"/>
  <c r="I14" i="160"/>
  <c r="P13" i="160"/>
  <c r="AF12" i="160"/>
  <c r="AD12" i="160"/>
  <c r="AB12" i="160"/>
  <c r="Z12" i="160"/>
  <c r="X12" i="160"/>
  <c r="V12" i="160"/>
  <c r="T12" i="160"/>
  <c r="R12" i="160"/>
  <c r="M12" i="160"/>
  <c r="I12" i="160"/>
  <c r="P11" i="160"/>
  <c r="AF10" i="160"/>
  <c r="AD10" i="160"/>
  <c r="AB10" i="160"/>
  <c r="Z10" i="160"/>
  <c r="X10" i="160"/>
  <c r="V10" i="160"/>
  <c r="T10" i="160"/>
  <c r="R10" i="160"/>
  <c r="M10" i="160"/>
  <c r="I10" i="160"/>
  <c r="P9" i="160"/>
  <c r="AF8" i="160"/>
  <c r="AD8" i="160"/>
  <c r="AB8" i="160"/>
  <c r="Z8" i="160"/>
  <c r="X8" i="160"/>
  <c r="V8" i="160"/>
  <c r="T8" i="160"/>
  <c r="R8" i="160"/>
  <c r="M8" i="160"/>
  <c r="I8" i="160"/>
  <c r="P7" i="160"/>
  <c r="AF6" i="160"/>
  <c r="AD6" i="160"/>
  <c r="AB6" i="160"/>
  <c r="Z6" i="160"/>
  <c r="X6" i="160"/>
  <c r="V6" i="160"/>
  <c r="T6" i="160"/>
  <c r="R6" i="160"/>
  <c r="R18" i="160" s="1"/>
  <c r="M6" i="160"/>
  <c r="I6" i="160"/>
  <c r="C3" i="160"/>
  <c r="AF64" i="159"/>
  <c r="AD64" i="159"/>
  <c r="AB64" i="159"/>
  <c r="Z64" i="159"/>
  <c r="X64" i="159"/>
  <c r="V64" i="159"/>
  <c r="T64" i="159"/>
  <c r="AF63" i="159"/>
  <c r="AD63" i="159"/>
  <c r="AB63" i="159"/>
  <c r="Z63" i="159"/>
  <c r="X63" i="159"/>
  <c r="V63" i="159"/>
  <c r="T63" i="159"/>
  <c r="AF62" i="159"/>
  <c r="AD62" i="159"/>
  <c r="AB62" i="159"/>
  <c r="Z62" i="159"/>
  <c r="X62" i="159"/>
  <c r="V62" i="159"/>
  <c r="T62" i="159"/>
  <c r="AF61" i="159"/>
  <c r="AD61" i="159"/>
  <c r="AB61" i="159"/>
  <c r="Z61" i="159"/>
  <c r="X61" i="159"/>
  <c r="V61" i="159"/>
  <c r="T61" i="159"/>
  <c r="AF60" i="159"/>
  <c r="AD60" i="159"/>
  <c r="AB60" i="159"/>
  <c r="Z60" i="159"/>
  <c r="X60" i="159"/>
  <c r="V60" i="159"/>
  <c r="T60" i="159"/>
  <c r="AF59" i="159"/>
  <c r="AD59" i="159"/>
  <c r="AB59" i="159"/>
  <c r="Z59" i="159"/>
  <c r="X59" i="159"/>
  <c r="V59" i="159"/>
  <c r="T59" i="159"/>
  <c r="AF58" i="159"/>
  <c r="AD58" i="159"/>
  <c r="AB58" i="159"/>
  <c r="Z58" i="159"/>
  <c r="X58" i="159"/>
  <c r="V58" i="159"/>
  <c r="T58" i="159"/>
  <c r="AF57" i="159"/>
  <c r="AD57" i="159"/>
  <c r="AB57" i="159"/>
  <c r="Z57" i="159"/>
  <c r="X57" i="159"/>
  <c r="V57" i="159"/>
  <c r="T57" i="159"/>
  <c r="AF56" i="159"/>
  <c r="AD56" i="159"/>
  <c r="AB56" i="159"/>
  <c r="Z56" i="159"/>
  <c r="X56" i="159"/>
  <c r="V56" i="159"/>
  <c r="T56" i="159"/>
  <c r="AF55" i="159"/>
  <c r="AD55" i="159"/>
  <c r="AB55" i="159"/>
  <c r="Z55" i="159"/>
  <c r="X55" i="159"/>
  <c r="V55" i="159"/>
  <c r="T55" i="159"/>
  <c r="AF54" i="159"/>
  <c r="AD54" i="159"/>
  <c r="AB54" i="159"/>
  <c r="Z54" i="159"/>
  <c r="X54" i="159"/>
  <c r="V54" i="159"/>
  <c r="T54" i="159"/>
  <c r="AF53" i="159"/>
  <c r="AD53" i="159"/>
  <c r="AB53" i="159"/>
  <c r="Z53" i="159"/>
  <c r="X53" i="159"/>
  <c r="V53" i="159"/>
  <c r="T53" i="159"/>
  <c r="AF52" i="159"/>
  <c r="AD52" i="159"/>
  <c r="AB52" i="159"/>
  <c r="Z52" i="159"/>
  <c r="X52" i="159"/>
  <c r="V52" i="159"/>
  <c r="T52" i="159"/>
  <c r="AF51" i="159"/>
  <c r="AD51" i="159"/>
  <c r="AB51" i="159"/>
  <c r="Z51" i="159"/>
  <c r="X51" i="159"/>
  <c r="V51" i="159"/>
  <c r="T51" i="159"/>
  <c r="AF50" i="159"/>
  <c r="AD50" i="159"/>
  <c r="AB50" i="159"/>
  <c r="Z50" i="159"/>
  <c r="X50" i="159"/>
  <c r="V50" i="159"/>
  <c r="T50" i="159"/>
  <c r="AF49" i="159"/>
  <c r="AD49" i="159"/>
  <c r="AB49" i="159"/>
  <c r="Z49" i="159"/>
  <c r="X49" i="159"/>
  <c r="V49" i="159"/>
  <c r="T49" i="159"/>
  <c r="AF48" i="159"/>
  <c r="AD48" i="159"/>
  <c r="AB48" i="159"/>
  <c r="Z48" i="159"/>
  <c r="X48" i="159"/>
  <c r="V48" i="159"/>
  <c r="T48" i="159"/>
  <c r="AF47" i="159"/>
  <c r="AD47" i="159"/>
  <c r="AB47" i="159"/>
  <c r="Z47" i="159"/>
  <c r="X47" i="159"/>
  <c r="V47" i="159"/>
  <c r="T47" i="159"/>
  <c r="AF46" i="159"/>
  <c r="AD46" i="159"/>
  <c r="AB46" i="159"/>
  <c r="Z46" i="159"/>
  <c r="X46" i="159"/>
  <c r="V46" i="159"/>
  <c r="T46" i="159"/>
  <c r="AF45" i="159"/>
  <c r="AD45" i="159"/>
  <c r="AB45" i="159"/>
  <c r="Z45" i="159"/>
  <c r="X45" i="159"/>
  <c r="V45" i="159"/>
  <c r="T45" i="159"/>
  <c r="AF44" i="159"/>
  <c r="AD44" i="159"/>
  <c r="AB44" i="159"/>
  <c r="Z44" i="159"/>
  <c r="X44" i="159"/>
  <c r="V44" i="159"/>
  <c r="T44" i="159"/>
  <c r="AF43" i="159"/>
  <c r="AD43" i="159"/>
  <c r="AB43" i="159"/>
  <c r="Z43" i="159"/>
  <c r="X43" i="159"/>
  <c r="V43" i="159"/>
  <c r="T43" i="159"/>
  <c r="AF42" i="159"/>
  <c r="AD42" i="159"/>
  <c r="AB42" i="159"/>
  <c r="Z42" i="159"/>
  <c r="X42" i="159"/>
  <c r="V42" i="159"/>
  <c r="T42" i="159"/>
  <c r="AF41" i="159"/>
  <c r="AD41" i="159"/>
  <c r="AB41" i="159"/>
  <c r="Z41" i="159"/>
  <c r="X41" i="159"/>
  <c r="V41" i="159"/>
  <c r="T41" i="159"/>
  <c r="AF40" i="159"/>
  <c r="AD40" i="159"/>
  <c r="AB40" i="159"/>
  <c r="Z40" i="159"/>
  <c r="X40" i="159"/>
  <c r="V40" i="159"/>
  <c r="T40" i="159"/>
  <c r="AF39" i="159"/>
  <c r="AD39" i="159"/>
  <c r="AB39" i="159"/>
  <c r="Z39" i="159"/>
  <c r="X39" i="159"/>
  <c r="V39" i="159"/>
  <c r="T39" i="159"/>
  <c r="AF38" i="159"/>
  <c r="AD38" i="159"/>
  <c r="AB38" i="159"/>
  <c r="Z38" i="159"/>
  <c r="X38" i="159"/>
  <c r="V38" i="159"/>
  <c r="T38" i="159"/>
  <c r="AF37" i="159"/>
  <c r="AD37" i="159"/>
  <c r="AB37" i="159"/>
  <c r="Z37" i="159"/>
  <c r="X37" i="159"/>
  <c r="V37" i="159"/>
  <c r="T37" i="159"/>
  <c r="AF36" i="159"/>
  <c r="AD36" i="159"/>
  <c r="AB36" i="159"/>
  <c r="Z36" i="159"/>
  <c r="X36" i="159"/>
  <c r="V36" i="159"/>
  <c r="T36" i="159"/>
  <c r="AF35" i="159"/>
  <c r="AD35" i="159"/>
  <c r="AB35" i="159"/>
  <c r="Z35" i="159"/>
  <c r="X35" i="159"/>
  <c r="V35" i="159"/>
  <c r="T35" i="159"/>
  <c r="D31" i="159"/>
  <c r="E31" i="159" s="1"/>
  <c r="D30" i="159"/>
  <c r="E30" i="159" s="1"/>
  <c r="D29" i="159"/>
  <c r="E29" i="159" s="1"/>
  <c r="D28" i="159"/>
  <c r="E28" i="159" s="1"/>
  <c r="D27" i="159"/>
  <c r="E27" i="159" s="1"/>
  <c r="E26" i="159"/>
  <c r="D26" i="159"/>
  <c r="W25" i="159"/>
  <c r="S25" i="159"/>
  <c r="U24" i="159"/>
  <c r="AE17" i="159"/>
  <c r="AE25" i="159" s="1"/>
  <c r="AC17" i="159"/>
  <c r="AC25" i="159" s="1"/>
  <c r="AA17" i="159"/>
  <c r="AA25" i="159" s="1"/>
  <c r="Y17" i="159"/>
  <c r="Y25" i="159" s="1"/>
  <c r="W17" i="159"/>
  <c r="U17" i="159"/>
  <c r="U25" i="159" s="1"/>
  <c r="S17" i="159"/>
  <c r="AE16" i="159"/>
  <c r="AC16" i="159"/>
  <c r="AC24" i="159" s="1"/>
  <c r="AA16" i="159"/>
  <c r="AA18" i="159" s="1"/>
  <c r="AA26" i="159" s="1"/>
  <c r="Z16" i="159"/>
  <c r="Y16" i="159"/>
  <c r="Y18" i="159" s="1"/>
  <c r="Y26" i="159" s="1"/>
  <c r="X16" i="159"/>
  <c r="W16" i="159"/>
  <c r="W18" i="159" s="1"/>
  <c r="W26" i="159" s="1"/>
  <c r="U16" i="159"/>
  <c r="V16" i="159" s="1"/>
  <c r="S16" i="159"/>
  <c r="Q16" i="159"/>
  <c r="P16" i="159"/>
  <c r="O16" i="159"/>
  <c r="N16" i="159"/>
  <c r="L16" i="159"/>
  <c r="K16" i="159"/>
  <c r="J16" i="159"/>
  <c r="H16" i="159"/>
  <c r="G16" i="159"/>
  <c r="F16" i="159"/>
  <c r="P15" i="159"/>
  <c r="AF14" i="159"/>
  <c r="AD14" i="159"/>
  <c r="AB14" i="159"/>
  <c r="Z14" i="159"/>
  <c r="X14" i="159"/>
  <c r="V14" i="159"/>
  <c r="T14" i="159"/>
  <c r="R14" i="159"/>
  <c r="M14" i="159"/>
  <c r="I14" i="159"/>
  <c r="P13" i="159"/>
  <c r="AF12" i="159"/>
  <c r="AD12" i="159"/>
  <c r="AB12" i="159"/>
  <c r="Z12" i="159"/>
  <c r="X12" i="159"/>
  <c r="V12" i="159"/>
  <c r="T12" i="159"/>
  <c r="R12" i="159"/>
  <c r="M12" i="159"/>
  <c r="I12" i="159"/>
  <c r="P11" i="159"/>
  <c r="AF10" i="159"/>
  <c r="AD10" i="159"/>
  <c r="AB10" i="159"/>
  <c r="Z10" i="159"/>
  <c r="X10" i="159"/>
  <c r="V10" i="159"/>
  <c r="T10" i="159"/>
  <c r="R10" i="159"/>
  <c r="M10" i="159"/>
  <c r="I10" i="159"/>
  <c r="P9" i="159"/>
  <c r="AF8" i="159"/>
  <c r="AD8" i="159"/>
  <c r="AB8" i="159"/>
  <c r="Z8" i="159"/>
  <c r="X8" i="159"/>
  <c r="V8" i="159"/>
  <c r="T8" i="159"/>
  <c r="R8" i="159"/>
  <c r="M8" i="159"/>
  <c r="I8" i="159"/>
  <c r="P7" i="159"/>
  <c r="AF6" i="159"/>
  <c r="AD6" i="159"/>
  <c r="AB6" i="159"/>
  <c r="Z6" i="159"/>
  <c r="X6" i="159"/>
  <c r="V6" i="159"/>
  <c r="T6" i="159"/>
  <c r="R6" i="159"/>
  <c r="M6" i="159"/>
  <c r="M16" i="159" s="1"/>
  <c r="I6" i="159"/>
  <c r="C3" i="159"/>
  <c r="AF64" i="158"/>
  <c r="AD64" i="158"/>
  <c r="AB64" i="158"/>
  <c r="Z64" i="158"/>
  <c r="X64" i="158"/>
  <c r="V64" i="158"/>
  <c r="T64" i="158"/>
  <c r="AF63" i="158"/>
  <c r="AD63" i="158"/>
  <c r="AB63" i="158"/>
  <c r="Z63" i="158"/>
  <c r="X63" i="158"/>
  <c r="V63" i="158"/>
  <c r="T63" i="158"/>
  <c r="AF62" i="158"/>
  <c r="AD62" i="158"/>
  <c r="AB62" i="158"/>
  <c r="Z62" i="158"/>
  <c r="X62" i="158"/>
  <c r="V62" i="158"/>
  <c r="T62" i="158"/>
  <c r="AF61" i="158"/>
  <c r="AD61" i="158"/>
  <c r="AB61" i="158"/>
  <c r="Z61" i="158"/>
  <c r="X61" i="158"/>
  <c r="V61" i="158"/>
  <c r="T61" i="158"/>
  <c r="AF60" i="158"/>
  <c r="AD60" i="158"/>
  <c r="AB60" i="158"/>
  <c r="Z60" i="158"/>
  <c r="X60" i="158"/>
  <c r="V60" i="158"/>
  <c r="T60" i="158"/>
  <c r="AF59" i="158"/>
  <c r="AD59" i="158"/>
  <c r="AB59" i="158"/>
  <c r="Z59" i="158"/>
  <c r="X59" i="158"/>
  <c r="V59" i="158"/>
  <c r="T59" i="158"/>
  <c r="AF58" i="158"/>
  <c r="AD58" i="158"/>
  <c r="AB58" i="158"/>
  <c r="Z58" i="158"/>
  <c r="X58" i="158"/>
  <c r="V58" i="158"/>
  <c r="T58" i="158"/>
  <c r="AF57" i="158"/>
  <c r="AD57" i="158"/>
  <c r="AB57" i="158"/>
  <c r="Z57" i="158"/>
  <c r="X57" i="158"/>
  <c r="V57" i="158"/>
  <c r="T57" i="158"/>
  <c r="AF56" i="158"/>
  <c r="AD56" i="158"/>
  <c r="AB56" i="158"/>
  <c r="Z56" i="158"/>
  <c r="X56" i="158"/>
  <c r="V56" i="158"/>
  <c r="T56" i="158"/>
  <c r="AF55" i="158"/>
  <c r="AD55" i="158"/>
  <c r="AB55" i="158"/>
  <c r="Z55" i="158"/>
  <c r="X55" i="158"/>
  <c r="V55" i="158"/>
  <c r="T55" i="158"/>
  <c r="AF54" i="158"/>
  <c r="AD54" i="158"/>
  <c r="AB54" i="158"/>
  <c r="Z54" i="158"/>
  <c r="X54" i="158"/>
  <c r="V54" i="158"/>
  <c r="T54" i="158"/>
  <c r="AF53" i="158"/>
  <c r="AD53" i="158"/>
  <c r="AB53" i="158"/>
  <c r="Z53" i="158"/>
  <c r="X53" i="158"/>
  <c r="V53" i="158"/>
  <c r="T53" i="158"/>
  <c r="AF52" i="158"/>
  <c r="AD52" i="158"/>
  <c r="AB52" i="158"/>
  <c r="Z52" i="158"/>
  <c r="X52" i="158"/>
  <c r="V52" i="158"/>
  <c r="T52" i="158"/>
  <c r="AF51" i="158"/>
  <c r="AD51" i="158"/>
  <c r="AB51" i="158"/>
  <c r="Z51" i="158"/>
  <c r="X51" i="158"/>
  <c r="V51" i="158"/>
  <c r="T51" i="158"/>
  <c r="AF50" i="158"/>
  <c r="AD50" i="158"/>
  <c r="AB50" i="158"/>
  <c r="Z50" i="158"/>
  <c r="X50" i="158"/>
  <c r="V50" i="158"/>
  <c r="T50" i="158"/>
  <c r="AF49" i="158"/>
  <c r="AD49" i="158"/>
  <c r="AB49" i="158"/>
  <c r="Z49" i="158"/>
  <c r="X49" i="158"/>
  <c r="V49" i="158"/>
  <c r="T49" i="158"/>
  <c r="AF48" i="158"/>
  <c r="AD48" i="158"/>
  <c r="AB48" i="158"/>
  <c r="Z48" i="158"/>
  <c r="X48" i="158"/>
  <c r="V48" i="158"/>
  <c r="T48" i="158"/>
  <c r="AF47" i="158"/>
  <c r="AD47" i="158"/>
  <c r="AB47" i="158"/>
  <c r="Z47" i="158"/>
  <c r="X47" i="158"/>
  <c r="V47" i="158"/>
  <c r="T47" i="158"/>
  <c r="AF46" i="158"/>
  <c r="AD46" i="158"/>
  <c r="AB46" i="158"/>
  <c r="Z46" i="158"/>
  <c r="X46" i="158"/>
  <c r="V46" i="158"/>
  <c r="T46" i="158"/>
  <c r="AF45" i="158"/>
  <c r="AD45" i="158"/>
  <c r="AB45" i="158"/>
  <c r="Z45" i="158"/>
  <c r="X45" i="158"/>
  <c r="V45" i="158"/>
  <c r="T45" i="158"/>
  <c r="AF44" i="158"/>
  <c r="AD44" i="158"/>
  <c r="AB44" i="158"/>
  <c r="Z44" i="158"/>
  <c r="X44" i="158"/>
  <c r="V44" i="158"/>
  <c r="T44" i="158"/>
  <c r="AF43" i="158"/>
  <c r="AD43" i="158"/>
  <c r="AB43" i="158"/>
  <c r="Z43" i="158"/>
  <c r="X43" i="158"/>
  <c r="V43" i="158"/>
  <c r="T43" i="158"/>
  <c r="AF42" i="158"/>
  <c r="AD42" i="158"/>
  <c r="AB42" i="158"/>
  <c r="Z42" i="158"/>
  <c r="X42" i="158"/>
  <c r="V42" i="158"/>
  <c r="T42" i="158"/>
  <c r="AF41" i="158"/>
  <c r="AD41" i="158"/>
  <c r="AB41" i="158"/>
  <c r="Z41" i="158"/>
  <c r="X41" i="158"/>
  <c r="V41" i="158"/>
  <c r="T41" i="158"/>
  <c r="AF40" i="158"/>
  <c r="AD40" i="158"/>
  <c r="AB40" i="158"/>
  <c r="Z40" i="158"/>
  <c r="X40" i="158"/>
  <c r="V40" i="158"/>
  <c r="T40" i="158"/>
  <c r="AF39" i="158"/>
  <c r="AD39" i="158"/>
  <c r="AB39" i="158"/>
  <c r="Z39" i="158"/>
  <c r="X39" i="158"/>
  <c r="V39" i="158"/>
  <c r="T39" i="158"/>
  <c r="AF38" i="158"/>
  <c r="AD38" i="158"/>
  <c r="AB38" i="158"/>
  <c r="Z38" i="158"/>
  <c r="X38" i="158"/>
  <c r="V38" i="158"/>
  <c r="T38" i="158"/>
  <c r="AF37" i="158"/>
  <c r="AD37" i="158"/>
  <c r="AB37" i="158"/>
  <c r="Z37" i="158"/>
  <c r="X37" i="158"/>
  <c r="V37" i="158"/>
  <c r="T37" i="158"/>
  <c r="AF36" i="158"/>
  <c r="AD36" i="158"/>
  <c r="AB36" i="158"/>
  <c r="Z36" i="158"/>
  <c r="X36" i="158"/>
  <c r="V36" i="158"/>
  <c r="T36" i="158"/>
  <c r="AF35" i="158"/>
  <c r="AD35" i="158"/>
  <c r="AB35" i="158"/>
  <c r="Z35" i="158"/>
  <c r="X35" i="158"/>
  <c r="V35" i="158"/>
  <c r="T35" i="158"/>
  <c r="D31" i="158"/>
  <c r="E31" i="158" s="1"/>
  <c r="D30" i="158"/>
  <c r="E30" i="158" s="1"/>
  <c r="D29" i="158"/>
  <c r="E29" i="158" s="1"/>
  <c r="D28" i="158"/>
  <c r="E28" i="158" s="1"/>
  <c r="D27" i="158"/>
  <c r="E27" i="158" s="1"/>
  <c r="E26" i="158"/>
  <c r="D26" i="158"/>
  <c r="AC25" i="158"/>
  <c r="AC24" i="158"/>
  <c r="AE18" i="158"/>
  <c r="AE26" i="158" s="1"/>
  <c r="Y18" i="158"/>
  <c r="Y26" i="158" s="1"/>
  <c r="AE17" i="158"/>
  <c r="AE25" i="158" s="1"/>
  <c r="AC17" i="158"/>
  <c r="AA17" i="158"/>
  <c r="AA25" i="158" s="1"/>
  <c r="Y17" i="158"/>
  <c r="Y25" i="158" s="1"/>
  <c r="W17" i="158"/>
  <c r="W25" i="158" s="1"/>
  <c r="U17" i="158"/>
  <c r="U25" i="158" s="1"/>
  <c r="S17" i="158"/>
  <c r="S25" i="158" s="1"/>
  <c r="AE16" i="158"/>
  <c r="AC16" i="158"/>
  <c r="AC18" i="158" s="1"/>
  <c r="AC26" i="158" s="1"/>
  <c r="AA16" i="158"/>
  <c r="Y16" i="158"/>
  <c r="Y24" i="158" s="1"/>
  <c r="X16" i="158"/>
  <c r="W16" i="158"/>
  <c r="W18" i="158" s="1"/>
  <c r="W26" i="158" s="1"/>
  <c r="U16" i="158"/>
  <c r="S16" i="158"/>
  <c r="T16" i="158" s="1"/>
  <c r="Q16" i="158"/>
  <c r="P16" i="158"/>
  <c r="O16" i="158"/>
  <c r="N16" i="158"/>
  <c r="L16" i="158"/>
  <c r="K16" i="158"/>
  <c r="J16" i="158"/>
  <c r="H16" i="158"/>
  <c r="G16" i="158"/>
  <c r="F16" i="158"/>
  <c r="P15" i="158"/>
  <c r="AF14" i="158"/>
  <c r="AD14" i="158"/>
  <c r="AB14" i="158"/>
  <c r="Z14" i="158"/>
  <c r="X14" i="158"/>
  <c r="V14" i="158"/>
  <c r="T14" i="158"/>
  <c r="R14" i="158"/>
  <c r="M14" i="158"/>
  <c r="I14" i="158"/>
  <c r="P13" i="158"/>
  <c r="AF12" i="158"/>
  <c r="AD12" i="158"/>
  <c r="AB12" i="158"/>
  <c r="Z12" i="158"/>
  <c r="X12" i="158"/>
  <c r="V12" i="158"/>
  <c r="T12" i="158"/>
  <c r="R12" i="158"/>
  <c r="M12" i="158"/>
  <c r="I12" i="158"/>
  <c r="P11" i="158"/>
  <c r="AF10" i="158"/>
  <c r="AD10" i="158"/>
  <c r="AB10" i="158"/>
  <c r="Z10" i="158"/>
  <c r="X10" i="158"/>
  <c r="V10" i="158"/>
  <c r="T10" i="158"/>
  <c r="R10" i="158"/>
  <c r="M10" i="158"/>
  <c r="I10" i="158"/>
  <c r="P9" i="158"/>
  <c r="AF8" i="158"/>
  <c r="AD8" i="158"/>
  <c r="AB8" i="158"/>
  <c r="Z8" i="158"/>
  <c r="X8" i="158"/>
  <c r="V8" i="158"/>
  <c r="T8" i="158"/>
  <c r="R8" i="158"/>
  <c r="M8" i="158"/>
  <c r="I8" i="158"/>
  <c r="P7" i="158"/>
  <c r="AF6" i="158"/>
  <c r="AD6" i="158"/>
  <c r="AB6" i="158"/>
  <c r="Z6" i="158"/>
  <c r="X6" i="158"/>
  <c r="V6" i="158"/>
  <c r="T6" i="158"/>
  <c r="R6" i="158"/>
  <c r="R16" i="158" s="1"/>
  <c r="M6" i="158"/>
  <c r="I6" i="158"/>
  <c r="C3" i="158"/>
  <c r="AF64" i="157"/>
  <c r="AD64" i="157"/>
  <c r="AB64" i="157"/>
  <c r="Z64" i="157"/>
  <c r="X64" i="157"/>
  <c r="V64" i="157"/>
  <c r="T64" i="157"/>
  <c r="AF63" i="157"/>
  <c r="AD63" i="157"/>
  <c r="AB63" i="157"/>
  <c r="Z63" i="157"/>
  <c r="X63" i="157"/>
  <c r="V63" i="157"/>
  <c r="T63" i="157"/>
  <c r="AF62" i="157"/>
  <c r="AD62" i="157"/>
  <c r="AB62" i="157"/>
  <c r="Z62" i="157"/>
  <c r="X62" i="157"/>
  <c r="V62" i="157"/>
  <c r="T62" i="157"/>
  <c r="AF61" i="157"/>
  <c r="AD61" i="157"/>
  <c r="AB61" i="157"/>
  <c r="Z61" i="157"/>
  <c r="X61" i="157"/>
  <c r="V61" i="157"/>
  <c r="T61" i="157"/>
  <c r="AF60" i="157"/>
  <c r="AD60" i="157"/>
  <c r="AB60" i="157"/>
  <c r="Z60" i="157"/>
  <c r="X60" i="157"/>
  <c r="V60" i="157"/>
  <c r="T60" i="157"/>
  <c r="AF59" i="157"/>
  <c r="AD59" i="157"/>
  <c r="AB59" i="157"/>
  <c r="Z59" i="157"/>
  <c r="X59" i="157"/>
  <c r="V59" i="157"/>
  <c r="T59" i="157"/>
  <c r="AF58" i="157"/>
  <c r="AD58" i="157"/>
  <c r="AB58" i="157"/>
  <c r="Z58" i="157"/>
  <c r="X58" i="157"/>
  <c r="V58" i="157"/>
  <c r="T58" i="157"/>
  <c r="AF57" i="157"/>
  <c r="AD57" i="157"/>
  <c r="AB57" i="157"/>
  <c r="Z57" i="157"/>
  <c r="X57" i="157"/>
  <c r="V57" i="157"/>
  <c r="T57" i="157"/>
  <c r="AF56" i="157"/>
  <c r="AD56" i="157"/>
  <c r="AB56" i="157"/>
  <c r="Z56" i="157"/>
  <c r="X56" i="157"/>
  <c r="V56" i="157"/>
  <c r="T56" i="157"/>
  <c r="AF55" i="157"/>
  <c r="AD55" i="157"/>
  <c r="AB55" i="157"/>
  <c r="Z55" i="157"/>
  <c r="X55" i="157"/>
  <c r="V55" i="157"/>
  <c r="T55" i="157"/>
  <c r="AF54" i="157"/>
  <c r="AD54" i="157"/>
  <c r="AB54" i="157"/>
  <c r="Z54" i="157"/>
  <c r="X54" i="157"/>
  <c r="V54" i="157"/>
  <c r="T54" i="157"/>
  <c r="AF53" i="157"/>
  <c r="AD53" i="157"/>
  <c r="AB53" i="157"/>
  <c r="Z53" i="157"/>
  <c r="X53" i="157"/>
  <c r="V53" i="157"/>
  <c r="T53" i="157"/>
  <c r="AF52" i="157"/>
  <c r="AD52" i="157"/>
  <c r="AB52" i="157"/>
  <c r="Z52" i="157"/>
  <c r="X52" i="157"/>
  <c r="V52" i="157"/>
  <c r="T52" i="157"/>
  <c r="AF51" i="157"/>
  <c r="AD51" i="157"/>
  <c r="AB51" i="157"/>
  <c r="Z51" i="157"/>
  <c r="X51" i="157"/>
  <c r="V51" i="157"/>
  <c r="T51" i="157"/>
  <c r="AF50" i="157"/>
  <c r="AD50" i="157"/>
  <c r="AB50" i="157"/>
  <c r="Z50" i="157"/>
  <c r="X50" i="157"/>
  <c r="V50" i="157"/>
  <c r="T50" i="157"/>
  <c r="AF49" i="157"/>
  <c r="AD49" i="157"/>
  <c r="AB49" i="157"/>
  <c r="Z49" i="157"/>
  <c r="X49" i="157"/>
  <c r="V49" i="157"/>
  <c r="T49" i="157"/>
  <c r="AF48" i="157"/>
  <c r="AD48" i="157"/>
  <c r="AB48" i="157"/>
  <c r="Z48" i="157"/>
  <c r="X48" i="157"/>
  <c r="V48" i="157"/>
  <c r="T48" i="157"/>
  <c r="AF47" i="157"/>
  <c r="AD47" i="157"/>
  <c r="AB47" i="157"/>
  <c r="Z47" i="157"/>
  <c r="X47" i="157"/>
  <c r="V47" i="157"/>
  <c r="T47" i="157"/>
  <c r="AF46" i="157"/>
  <c r="AD46" i="157"/>
  <c r="AB46" i="157"/>
  <c r="Z46" i="157"/>
  <c r="X46" i="157"/>
  <c r="V46" i="157"/>
  <c r="T46" i="157"/>
  <c r="AF45" i="157"/>
  <c r="AD45" i="157"/>
  <c r="AB45" i="157"/>
  <c r="Z45" i="157"/>
  <c r="X45" i="157"/>
  <c r="V45" i="157"/>
  <c r="T45" i="157"/>
  <c r="AF44" i="157"/>
  <c r="AD44" i="157"/>
  <c r="AB44" i="157"/>
  <c r="Z44" i="157"/>
  <c r="X44" i="157"/>
  <c r="V44" i="157"/>
  <c r="T44" i="157"/>
  <c r="AF43" i="157"/>
  <c r="AD43" i="157"/>
  <c r="AB43" i="157"/>
  <c r="Z43" i="157"/>
  <c r="X43" i="157"/>
  <c r="V43" i="157"/>
  <c r="T43" i="157"/>
  <c r="AF42" i="157"/>
  <c r="AD42" i="157"/>
  <c r="AB42" i="157"/>
  <c r="Z42" i="157"/>
  <c r="X42" i="157"/>
  <c r="V42" i="157"/>
  <c r="T42" i="157"/>
  <c r="AF41" i="157"/>
  <c r="AD41" i="157"/>
  <c r="AB41" i="157"/>
  <c r="Z41" i="157"/>
  <c r="X41" i="157"/>
  <c r="V41" i="157"/>
  <c r="T41" i="157"/>
  <c r="AF40" i="157"/>
  <c r="AD40" i="157"/>
  <c r="AB40" i="157"/>
  <c r="Z40" i="157"/>
  <c r="X40" i="157"/>
  <c r="V40" i="157"/>
  <c r="T40" i="157"/>
  <c r="AF39" i="157"/>
  <c r="AD39" i="157"/>
  <c r="AB39" i="157"/>
  <c r="Z39" i="157"/>
  <c r="X39" i="157"/>
  <c r="V39" i="157"/>
  <c r="T39" i="157"/>
  <c r="AF38" i="157"/>
  <c r="AD38" i="157"/>
  <c r="AB38" i="157"/>
  <c r="Z38" i="157"/>
  <c r="X38" i="157"/>
  <c r="V38" i="157"/>
  <c r="T38" i="157"/>
  <c r="AF37" i="157"/>
  <c r="AD37" i="157"/>
  <c r="AB37" i="157"/>
  <c r="Z37" i="157"/>
  <c r="X37" i="157"/>
  <c r="V37" i="157"/>
  <c r="T37" i="157"/>
  <c r="AF36" i="157"/>
  <c r="AD36" i="157"/>
  <c r="AB36" i="157"/>
  <c r="Z36" i="157"/>
  <c r="X36" i="157"/>
  <c r="V36" i="157"/>
  <c r="T36" i="157"/>
  <c r="AF35" i="157"/>
  <c r="AD35" i="157"/>
  <c r="AB35" i="157"/>
  <c r="Z35" i="157"/>
  <c r="X35" i="157"/>
  <c r="V35" i="157"/>
  <c r="T35" i="157"/>
  <c r="D31" i="157"/>
  <c r="E31" i="157" s="1"/>
  <c r="D30" i="157"/>
  <c r="E30" i="157" s="1"/>
  <c r="D29" i="157"/>
  <c r="E29" i="157" s="1"/>
  <c r="D28" i="157"/>
  <c r="E28" i="157" s="1"/>
  <c r="D27" i="157"/>
  <c r="E27" i="157" s="1"/>
  <c r="D26" i="157"/>
  <c r="E26" i="157" s="1"/>
  <c r="AE25" i="157"/>
  <c r="AC25" i="157"/>
  <c r="Y25" i="157"/>
  <c r="Y24" i="157"/>
  <c r="AA18" i="157"/>
  <c r="AA26" i="157" s="1"/>
  <c r="Y18" i="157"/>
  <c r="Y26" i="157" s="1"/>
  <c r="AE17" i="157"/>
  <c r="AC17" i="157"/>
  <c r="AA17" i="157"/>
  <c r="AA25" i="157" s="1"/>
  <c r="Y17" i="157"/>
  <c r="W17" i="157"/>
  <c r="W25" i="157" s="1"/>
  <c r="U17" i="157"/>
  <c r="U25" i="157" s="1"/>
  <c r="S17" i="157"/>
  <c r="S25" i="157" s="1"/>
  <c r="AE16" i="157"/>
  <c r="AE18" i="157" s="1"/>
  <c r="AE26" i="157" s="1"/>
  <c r="AD16" i="157"/>
  <c r="AC16" i="157"/>
  <c r="AC18" i="157" s="1"/>
  <c r="AC26" i="157" s="1"/>
  <c r="AB16" i="157"/>
  <c r="AA16" i="157"/>
  <c r="AA24" i="157" s="1"/>
  <c r="Y16" i="157"/>
  <c r="Z16" i="157" s="1"/>
  <c r="W16" i="157"/>
  <c r="U16" i="157"/>
  <c r="U24" i="157" s="1"/>
  <c r="T16" i="157"/>
  <c r="S16" i="157"/>
  <c r="S18" i="157" s="1"/>
  <c r="S26" i="157" s="1"/>
  <c r="Q16" i="157"/>
  <c r="P16" i="157"/>
  <c r="O16" i="157"/>
  <c r="N16" i="157"/>
  <c r="H16" i="157"/>
  <c r="G16" i="157"/>
  <c r="F16" i="157"/>
  <c r="P15" i="157"/>
  <c r="AF14" i="157"/>
  <c r="AD14" i="157"/>
  <c r="AB14" i="157"/>
  <c r="Z14" i="157"/>
  <c r="X14" i="157"/>
  <c r="V14" i="157"/>
  <c r="T14" i="157"/>
  <c r="R14" i="157"/>
  <c r="M14" i="157"/>
  <c r="I14" i="157"/>
  <c r="P13" i="157"/>
  <c r="AF12" i="157"/>
  <c r="AD12" i="157"/>
  <c r="AB12" i="157"/>
  <c r="Z12" i="157"/>
  <c r="X12" i="157"/>
  <c r="V12" i="157"/>
  <c r="T12" i="157"/>
  <c r="R12" i="157"/>
  <c r="M12" i="157"/>
  <c r="I12" i="157"/>
  <c r="P11" i="157"/>
  <c r="AF10" i="157"/>
  <c r="AD10" i="157"/>
  <c r="AB10" i="157"/>
  <c r="Z10" i="157"/>
  <c r="X10" i="157"/>
  <c r="V10" i="157"/>
  <c r="T10" i="157"/>
  <c r="R10" i="157"/>
  <c r="M10" i="157"/>
  <c r="I10" i="157"/>
  <c r="P9" i="157"/>
  <c r="AF8" i="157"/>
  <c r="AD8" i="157"/>
  <c r="AB8" i="157"/>
  <c r="Z8" i="157"/>
  <c r="X8" i="157"/>
  <c r="V8" i="157"/>
  <c r="T8" i="157"/>
  <c r="R8" i="157"/>
  <c r="M8" i="157"/>
  <c r="I8" i="157"/>
  <c r="P7" i="157"/>
  <c r="AF6" i="157"/>
  <c r="AD6" i="157"/>
  <c r="AB6" i="157"/>
  <c r="Z6" i="157"/>
  <c r="X6" i="157"/>
  <c r="V6" i="157"/>
  <c r="T6" i="157"/>
  <c r="R6" i="157"/>
  <c r="M6" i="157"/>
  <c r="I6" i="157"/>
  <c r="I16" i="157" s="1"/>
  <c r="C3" i="157"/>
  <c r="AF64" i="156"/>
  <c r="AD64" i="156"/>
  <c r="AB64" i="156"/>
  <c r="Z64" i="156"/>
  <c r="X64" i="156"/>
  <c r="V64" i="156"/>
  <c r="T64" i="156"/>
  <c r="AF63" i="156"/>
  <c r="AD63" i="156"/>
  <c r="AB63" i="156"/>
  <c r="Z63" i="156"/>
  <c r="X63" i="156"/>
  <c r="V63" i="156"/>
  <c r="T63" i="156"/>
  <c r="AF62" i="156"/>
  <c r="AD62" i="156"/>
  <c r="AB62" i="156"/>
  <c r="Z62" i="156"/>
  <c r="X62" i="156"/>
  <c r="V62" i="156"/>
  <c r="T62" i="156"/>
  <c r="AF61" i="156"/>
  <c r="AD61" i="156"/>
  <c r="AB61" i="156"/>
  <c r="Z61" i="156"/>
  <c r="X61" i="156"/>
  <c r="V61" i="156"/>
  <c r="T61" i="156"/>
  <c r="AF60" i="156"/>
  <c r="AD60" i="156"/>
  <c r="AB60" i="156"/>
  <c r="Z60" i="156"/>
  <c r="X60" i="156"/>
  <c r="V60" i="156"/>
  <c r="T60" i="156"/>
  <c r="AF59" i="156"/>
  <c r="AD59" i="156"/>
  <c r="AB59" i="156"/>
  <c r="Z59" i="156"/>
  <c r="X59" i="156"/>
  <c r="V59" i="156"/>
  <c r="T59" i="156"/>
  <c r="AF58" i="156"/>
  <c r="AD58" i="156"/>
  <c r="AB58" i="156"/>
  <c r="Z58" i="156"/>
  <c r="X58" i="156"/>
  <c r="V58" i="156"/>
  <c r="T58" i="156"/>
  <c r="AF57" i="156"/>
  <c r="AD57" i="156"/>
  <c r="AB57" i="156"/>
  <c r="Z57" i="156"/>
  <c r="X57" i="156"/>
  <c r="V57" i="156"/>
  <c r="T57" i="156"/>
  <c r="AF56" i="156"/>
  <c r="AD56" i="156"/>
  <c r="AB56" i="156"/>
  <c r="Z56" i="156"/>
  <c r="X56" i="156"/>
  <c r="V56" i="156"/>
  <c r="T56" i="156"/>
  <c r="AF55" i="156"/>
  <c r="AD55" i="156"/>
  <c r="AB55" i="156"/>
  <c r="Z55" i="156"/>
  <c r="X55" i="156"/>
  <c r="V55" i="156"/>
  <c r="T55" i="156"/>
  <c r="AF54" i="156"/>
  <c r="AD54" i="156"/>
  <c r="AB54" i="156"/>
  <c r="Z54" i="156"/>
  <c r="X54" i="156"/>
  <c r="V54" i="156"/>
  <c r="T54" i="156"/>
  <c r="AF53" i="156"/>
  <c r="AD53" i="156"/>
  <c r="AB53" i="156"/>
  <c r="Z53" i="156"/>
  <c r="X53" i="156"/>
  <c r="V53" i="156"/>
  <c r="T53" i="156"/>
  <c r="AF52" i="156"/>
  <c r="AD52" i="156"/>
  <c r="AB52" i="156"/>
  <c r="Z52" i="156"/>
  <c r="X52" i="156"/>
  <c r="V52" i="156"/>
  <c r="T52" i="156"/>
  <c r="AF51" i="156"/>
  <c r="AD51" i="156"/>
  <c r="AB51" i="156"/>
  <c r="Z51" i="156"/>
  <c r="X51" i="156"/>
  <c r="V51" i="156"/>
  <c r="T51" i="156"/>
  <c r="AF50" i="156"/>
  <c r="AD50" i="156"/>
  <c r="AB50" i="156"/>
  <c r="Z50" i="156"/>
  <c r="X50" i="156"/>
  <c r="V50" i="156"/>
  <c r="T50" i="156"/>
  <c r="AF49" i="156"/>
  <c r="AD49" i="156"/>
  <c r="AB49" i="156"/>
  <c r="Z49" i="156"/>
  <c r="X49" i="156"/>
  <c r="V49" i="156"/>
  <c r="T49" i="156"/>
  <c r="AF48" i="156"/>
  <c r="AD48" i="156"/>
  <c r="AB48" i="156"/>
  <c r="Z48" i="156"/>
  <c r="X48" i="156"/>
  <c r="V48" i="156"/>
  <c r="T48" i="156"/>
  <c r="AF47" i="156"/>
  <c r="AD47" i="156"/>
  <c r="AB47" i="156"/>
  <c r="Z47" i="156"/>
  <c r="X47" i="156"/>
  <c r="V47" i="156"/>
  <c r="T47" i="156"/>
  <c r="AF46" i="156"/>
  <c r="AD46" i="156"/>
  <c r="AB46" i="156"/>
  <c r="Z46" i="156"/>
  <c r="X46" i="156"/>
  <c r="V46" i="156"/>
  <c r="T46" i="156"/>
  <c r="AF45" i="156"/>
  <c r="AD45" i="156"/>
  <c r="AB45" i="156"/>
  <c r="Z45" i="156"/>
  <c r="X45" i="156"/>
  <c r="V45" i="156"/>
  <c r="T45" i="156"/>
  <c r="AF44" i="156"/>
  <c r="AD44" i="156"/>
  <c r="AB44" i="156"/>
  <c r="Z44" i="156"/>
  <c r="X44" i="156"/>
  <c r="V44" i="156"/>
  <c r="T44" i="156"/>
  <c r="AF43" i="156"/>
  <c r="AD43" i="156"/>
  <c r="AB43" i="156"/>
  <c r="Z43" i="156"/>
  <c r="X43" i="156"/>
  <c r="V43" i="156"/>
  <c r="T43" i="156"/>
  <c r="AF42" i="156"/>
  <c r="AD42" i="156"/>
  <c r="AB42" i="156"/>
  <c r="Z42" i="156"/>
  <c r="X42" i="156"/>
  <c r="V42" i="156"/>
  <c r="T42" i="156"/>
  <c r="AF41" i="156"/>
  <c r="AD41" i="156"/>
  <c r="AB41" i="156"/>
  <c r="Z41" i="156"/>
  <c r="X41" i="156"/>
  <c r="V41" i="156"/>
  <c r="T41" i="156"/>
  <c r="AF40" i="156"/>
  <c r="AD40" i="156"/>
  <c r="AB40" i="156"/>
  <c r="Z40" i="156"/>
  <c r="X40" i="156"/>
  <c r="V40" i="156"/>
  <c r="T40" i="156"/>
  <c r="AF39" i="156"/>
  <c r="AD39" i="156"/>
  <c r="AB39" i="156"/>
  <c r="Z39" i="156"/>
  <c r="X39" i="156"/>
  <c r="V39" i="156"/>
  <c r="T39" i="156"/>
  <c r="AF38" i="156"/>
  <c r="AD38" i="156"/>
  <c r="AB38" i="156"/>
  <c r="Z38" i="156"/>
  <c r="X38" i="156"/>
  <c r="V38" i="156"/>
  <c r="T38" i="156"/>
  <c r="AF37" i="156"/>
  <c r="AD37" i="156"/>
  <c r="AB37" i="156"/>
  <c r="Z37" i="156"/>
  <c r="X37" i="156"/>
  <c r="V37" i="156"/>
  <c r="T37" i="156"/>
  <c r="AF36" i="156"/>
  <c r="AD36" i="156"/>
  <c r="AB36" i="156"/>
  <c r="Z36" i="156"/>
  <c r="X36" i="156"/>
  <c r="V36" i="156"/>
  <c r="T36" i="156"/>
  <c r="AF35" i="156"/>
  <c r="AD35" i="156"/>
  <c r="AB35" i="156"/>
  <c r="Z35" i="156"/>
  <c r="X35" i="156"/>
  <c r="V35" i="156"/>
  <c r="T35" i="156"/>
  <c r="E31" i="156"/>
  <c r="D31" i="156"/>
  <c r="D30" i="156"/>
  <c r="E30" i="156" s="1"/>
  <c r="D29" i="156"/>
  <c r="E29" i="156" s="1"/>
  <c r="D28" i="156"/>
  <c r="E28" i="156" s="1"/>
  <c r="E27" i="156"/>
  <c r="D27" i="156"/>
  <c r="D26" i="156"/>
  <c r="E26" i="156" s="1"/>
  <c r="S25" i="156"/>
  <c r="AC24" i="156"/>
  <c r="U24" i="156"/>
  <c r="S24" i="156"/>
  <c r="AC18" i="156"/>
  <c r="AC26" i="156" s="1"/>
  <c r="AE17" i="156"/>
  <c r="AE25" i="156" s="1"/>
  <c r="AC17" i="156"/>
  <c r="AC25" i="156" s="1"/>
  <c r="AA17" i="156"/>
  <c r="AA25" i="156" s="1"/>
  <c r="Y17" i="156"/>
  <c r="Y25" i="156" s="1"/>
  <c r="W17" i="156"/>
  <c r="W25" i="156" s="1"/>
  <c r="U17" i="156"/>
  <c r="U25" i="156" s="1"/>
  <c r="S17" i="156"/>
  <c r="AE16" i="156"/>
  <c r="AE24" i="156" s="1"/>
  <c r="AD16" i="156"/>
  <c r="AC16" i="156"/>
  <c r="AA16" i="156"/>
  <c r="Y16" i="156"/>
  <c r="Y18" i="156" s="1"/>
  <c r="Y26" i="156" s="1"/>
  <c r="W16" i="156"/>
  <c r="U16" i="156"/>
  <c r="U18" i="156" s="1"/>
  <c r="U26" i="156" s="1"/>
  <c r="T16" i="156"/>
  <c r="S16" i="156"/>
  <c r="S18" i="156" s="1"/>
  <c r="S26" i="156" s="1"/>
  <c r="Q16" i="156"/>
  <c r="P16" i="156"/>
  <c r="O16" i="156"/>
  <c r="N16" i="156"/>
  <c r="L16" i="156"/>
  <c r="K16" i="156"/>
  <c r="J16" i="156"/>
  <c r="H16" i="156"/>
  <c r="G16" i="156"/>
  <c r="F16" i="156"/>
  <c r="P15" i="156"/>
  <c r="AF14" i="156"/>
  <c r="AD14" i="156"/>
  <c r="AB14" i="156"/>
  <c r="Z14" i="156"/>
  <c r="X14" i="156"/>
  <c r="V14" i="156"/>
  <c r="T14" i="156"/>
  <c r="R14" i="156"/>
  <c r="M14" i="156"/>
  <c r="I14" i="156"/>
  <c r="P13" i="156"/>
  <c r="AF12" i="156"/>
  <c r="AD12" i="156"/>
  <c r="AB12" i="156"/>
  <c r="Z12" i="156"/>
  <c r="X12" i="156"/>
  <c r="V12" i="156"/>
  <c r="T12" i="156"/>
  <c r="R12" i="156"/>
  <c r="M12" i="156"/>
  <c r="I12" i="156"/>
  <c r="P11" i="156"/>
  <c r="AF10" i="156"/>
  <c r="AD10" i="156"/>
  <c r="AB10" i="156"/>
  <c r="Z10" i="156"/>
  <c r="X10" i="156"/>
  <c r="V10" i="156"/>
  <c r="T10" i="156"/>
  <c r="R10" i="156"/>
  <c r="M10" i="156"/>
  <c r="I10" i="156"/>
  <c r="P9" i="156"/>
  <c r="AF8" i="156"/>
  <c r="AD8" i="156"/>
  <c r="AB8" i="156"/>
  <c r="Z8" i="156"/>
  <c r="X8" i="156"/>
  <c r="V8" i="156"/>
  <c r="T8" i="156"/>
  <c r="R8" i="156"/>
  <c r="M8" i="156"/>
  <c r="I8" i="156"/>
  <c r="P7" i="156"/>
  <c r="AF6" i="156"/>
  <c r="AD6" i="156"/>
  <c r="AB6" i="156"/>
  <c r="Z6" i="156"/>
  <c r="X6" i="156"/>
  <c r="V6" i="156"/>
  <c r="T6" i="156"/>
  <c r="R6" i="156"/>
  <c r="M6" i="156"/>
  <c r="I6" i="156"/>
  <c r="C3" i="156"/>
  <c r="AF64" i="155"/>
  <c r="AD64" i="155"/>
  <c r="AB64" i="155"/>
  <c r="Z64" i="155"/>
  <c r="X64" i="155"/>
  <c r="V64" i="155"/>
  <c r="T64" i="155"/>
  <c r="AF63" i="155"/>
  <c r="AD63" i="155"/>
  <c r="AB63" i="155"/>
  <c r="Z63" i="155"/>
  <c r="X63" i="155"/>
  <c r="V63" i="155"/>
  <c r="T63" i="155"/>
  <c r="AF62" i="155"/>
  <c r="AD62" i="155"/>
  <c r="AB62" i="155"/>
  <c r="Z62" i="155"/>
  <c r="X62" i="155"/>
  <c r="V62" i="155"/>
  <c r="T62" i="155"/>
  <c r="AF61" i="155"/>
  <c r="AD61" i="155"/>
  <c r="AB61" i="155"/>
  <c r="Z61" i="155"/>
  <c r="X61" i="155"/>
  <c r="V61" i="155"/>
  <c r="T61" i="155"/>
  <c r="AF60" i="155"/>
  <c r="AD60" i="155"/>
  <c r="AB60" i="155"/>
  <c r="Z60" i="155"/>
  <c r="X60" i="155"/>
  <c r="V60" i="155"/>
  <c r="T60" i="155"/>
  <c r="AF59" i="155"/>
  <c r="AD59" i="155"/>
  <c r="AB59" i="155"/>
  <c r="Z59" i="155"/>
  <c r="X59" i="155"/>
  <c r="V59" i="155"/>
  <c r="T59" i="155"/>
  <c r="AF58" i="155"/>
  <c r="AD58" i="155"/>
  <c r="AB58" i="155"/>
  <c r="Z58" i="155"/>
  <c r="X58" i="155"/>
  <c r="V58" i="155"/>
  <c r="T58" i="155"/>
  <c r="AF57" i="155"/>
  <c r="AD57" i="155"/>
  <c r="AB57" i="155"/>
  <c r="Z57" i="155"/>
  <c r="X57" i="155"/>
  <c r="V57" i="155"/>
  <c r="T57" i="155"/>
  <c r="AF56" i="155"/>
  <c r="AD56" i="155"/>
  <c r="AB56" i="155"/>
  <c r="Z56" i="155"/>
  <c r="X56" i="155"/>
  <c r="V56" i="155"/>
  <c r="T56" i="155"/>
  <c r="AF55" i="155"/>
  <c r="AD55" i="155"/>
  <c r="AB55" i="155"/>
  <c r="Z55" i="155"/>
  <c r="X55" i="155"/>
  <c r="V55" i="155"/>
  <c r="T55" i="155"/>
  <c r="AF54" i="155"/>
  <c r="AD54" i="155"/>
  <c r="AB54" i="155"/>
  <c r="Z54" i="155"/>
  <c r="X54" i="155"/>
  <c r="V54" i="155"/>
  <c r="T54" i="155"/>
  <c r="AF53" i="155"/>
  <c r="AD53" i="155"/>
  <c r="AB53" i="155"/>
  <c r="Z53" i="155"/>
  <c r="X53" i="155"/>
  <c r="V53" i="155"/>
  <c r="T53" i="155"/>
  <c r="AF52" i="155"/>
  <c r="AD52" i="155"/>
  <c r="AB52" i="155"/>
  <c r="Z52" i="155"/>
  <c r="X52" i="155"/>
  <c r="V52" i="155"/>
  <c r="T52" i="155"/>
  <c r="AF51" i="155"/>
  <c r="AD51" i="155"/>
  <c r="AB51" i="155"/>
  <c r="Z51" i="155"/>
  <c r="X51" i="155"/>
  <c r="V51" i="155"/>
  <c r="T51" i="155"/>
  <c r="AF50" i="155"/>
  <c r="AD50" i="155"/>
  <c r="AB50" i="155"/>
  <c r="Z50" i="155"/>
  <c r="X50" i="155"/>
  <c r="V50" i="155"/>
  <c r="T50" i="155"/>
  <c r="AF49" i="155"/>
  <c r="AD49" i="155"/>
  <c r="AB49" i="155"/>
  <c r="Z49" i="155"/>
  <c r="X49" i="155"/>
  <c r="V49" i="155"/>
  <c r="T49" i="155"/>
  <c r="AF48" i="155"/>
  <c r="AD48" i="155"/>
  <c r="AB48" i="155"/>
  <c r="Z48" i="155"/>
  <c r="X48" i="155"/>
  <c r="V48" i="155"/>
  <c r="T48" i="155"/>
  <c r="AF47" i="155"/>
  <c r="AD47" i="155"/>
  <c r="AB47" i="155"/>
  <c r="Z47" i="155"/>
  <c r="X47" i="155"/>
  <c r="V47" i="155"/>
  <c r="T47" i="155"/>
  <c r="AF46" i="155"/>
  <c r="AD46" i="155"/>
  <c r="AB46" i="155"/>
  <c r="Z46" i="155"/>
  <c r="X46" i="155"/>
  <c r="V46" i="155"/>
  <c r="T46" i="155"/>
  <c r="AF45" i="155"/>
  <c r="AD45" i="155"/>
  <c r="AB45" i="155"/>
  <c r="Z45" i="155"/>
  <c r="X45" i="155"/>
  <c r="V45" i="155"/>
  <c r="T45" i="155"/>
  <c r="AF44" i="155"/>
  <c r="AD44" i="155"/>
  <c r="AB44" i="155"/>
  <c r="Z44" i="155"/>
  <c r="X44" i="155"/>
  <c r="V44" i="155"/>
  <c r="T44" i="155"/>
  <c r="AF43" i="155"/>
  <c r="AD43" i="155"/>
  <c r="AB43" i="155"/>
  <c r="Z43" i="155"/>
  <c r="X43" i="155"/>
  <c r="V43" i="155"/>
  <c r="T43" i="155"/>
  <c r="AF42" i="155"/>
  <c r="AD42" i="155"/>
  <c r="AB42" i="155"/>
  <c r="Z42" i="155"/>
  <c r="X42" i="155"/>
  <c r="V42" i="155"/>
  <c r="T42" i="155"/>
  <c r="AF41" i="155"/>
  <c r="AD41" i="155"/>
  <c r="AB41" i="155"/>
  <c r="Z41" i="155"/>
  <c r="X41" i="155"/>
  <c r="V41" i="155"/>
  <c r="T41" i="155"/>
  <c r="AF40" i="155"/>
  <c r="AD40" i="155"/>
  <c r="AB40" i="155"/>
  <c r="Z40" i="155"/>
  <c r="X40" i="155"/>
  <c r="V40" i="155"/>
  <c r="T40" i="155"/>
  <c r="AF39" i="155"/>
  <c r="AD39" i="155"/>
  <c r="AB39" i="155"/>
  <c r="Z39" i="155"/>
  <c r="X39" i="155"/>
  <c r="V39" i="155"/>
  <c r="T39" i="155"/>
  <c r="AF38" i="155"/>
  <c r="AD38" i="155"/>
  <c r="AB38" i="155"/>
  <c r="Z38" i="155"/>
  <c r="X38" i="155"/>
  <c r="V38" i="155"/>
  <c r="T38" i="155"/>
  <c r="AF37" i="155"/>
  <c r="AD37" i="155"/>
  <c r="AB37" i="155"/>
  <c r="Z37" i="155"/>
  <c r="X37" i="155"/>
  <c r="V37" i="155"/>
  <c r="T37" i="155"/>
  <c r="AF36" i="155"/>
  <c r="AD36" i="155"/>
  <c r="AB36" i="155"/>
  <c r="Z36" i="155"/>
  <c r="X36" i="155"/>
  <c r="V36" i="155"/>
  <c r="T36" i="155"/>
  <c r="AF35" i="155"/>
  <c r="AD35" i="155"/>
  <c r="AB35" i="155"/>
  <c r="Z35" i="155"/>
  <c r="X35" i="155"/>
  <c r="V35" i="155"/>
  <c r="T35" i="155"/>
  <c r="D31" i="155"/>
  <c r="E31" i="155" s="1"/>
  <c r="E30" i="155"/>
  <c r="D30" i="155"/>
  <c r="D29" i="155"/>
  <c r="E29" i="155" s="1"/>
  <c r="D28" i="155"/>
  <c r="E28" i="155" s="1"/>
  <c r="D27" i="155"/>
  <c r="E27" i="155" s="1"/>
  <c r="D26" i="155"/>
  <c r="E26" i="155" s="1"/>
  <c r="S25" i="155"/>
  <c r="AA24" i="155"/>
  <c r="AA18" i="155"/>
  <c r="AA26" i="155" s="1"/>
  <c r="AE17" i="155"/>
  <c r="AE25" i="155" s="1"/>
  <c r="AC17" i="155"/>
  <c r="AC25" i="155" s="1"/>
  <c r="AA17" i="155"/>
  <c r="AA25" i="155" s="1"/>
  <c r="Y17" i="155"/>
  <c r="Y25" i="155" s="1"/>
  <c r="W17" i="155"/>
  <c r="W25" i="155" s="1"/>
  <c r="U17" i="155"/>
  <c r="U25" i="155" s="1"/>
  <c r="S17" i="155"/>
  <c r="AE16" i="155"/>
  <c r="AE18" i="155" s="1"/>
  <c r="AE26" i="155" s="1"/>
  <c r="AC16" i="155"/>
  <c r="AB16" i="155"/>
  <c r="AA16" i="155"/>
  <c r="Z16" i="155"/>
  <c r="Y16" i="155"/>
  <c r="Y18" i="155" s="1"/>
  <c r="Y26" i="155" s="1"/>
  <c r="W16" i="155"/>
  <c r="W18" i="155" s="1"/>
  <c r="W26" i="155" s="1"/>
  <c r="U16" i="155"/>
  <c r="S16" i="155"/>
  <c r="S24" i="155" s="1"/>
  <c r="Q16" i="155"/>
  <c r="P16" i="155"/>
  <c r="O16" i="155"/>
  <c r="N16" i="155"/>
  <c r="L16" i="155"/>
  <c r="K16" i="155"/>
  <c r="J16" i="155"/>
  <c r="H16" i="155"/>
  <c r="G16" i="155"/>
  <c r="F16" i="155"/>
  <c r="P15" i="155"/>
  <c r="AF14" i="155"/>
  <c r="AD14" i="155"/>
  <c r="AB14" i="155"/>
  <c r="Z14" i="155"/>
  <c r="X14" i="155"/>
  <c r="V14" i="155"/>
  <c r="T14" i="155"/>
  <c r="R14" i="155"/>
  <c r="M14" i="155"/>
  <c r="I14" i="155"/>
  <c r="P13" i="155"/>
  <c r="AF12" i="155"/>
  <c r="AD12" i="155"/>
  <c r="AB12" i="155"/>
  <c r="Z12" i="155"/>
  <c r="X12" i="155"/>
  <c r="V12" i="155"/>
  <c r="T12" i="155"/>
  <c r="R12" i="155"/>
  <c r="M12" i="155"/>
  <c r="I12" i="155"/>
  <c r="P11" i="155"/>
  <c r="AF10" i="155"/>
  <c r="AD10" i="155"/>
  <c r="AB10" i="155"/>
  <c r="Z10" i="155"/>
  <c r="X10" i="155"/>
  <c r="V10" i="155"/>
  <c r="T10" i="155"/>
  <c r="R10" i="155"/>
  <c r="M10" i="155"/>
  <c r="I10" i="155"/>
  <c r="P9" i="155"/>
  <c r="AF8" i="155"/>
  <c r="AD8" i="155"/>
  <c r="AB8" i="155"/>
  <c r="Z8" i="155"/>
  <c r="X8" i="155"/>
  <c r="V8" i="155"/>
  <c r="T8" i="155"/>
  <c r="R8" i="155"/>
  <c r="M8" i="155"/>
  <c r="I8" i="155"/>
  <c r="P7" i="155"/>
  <c r="AF6" i="155"/>
  <c r="AD6" i="155"/>
  <c r="AB6" i="155"/>
  <c r="Z6" i="155"/>
  <c r="X6" i="155"/>
  <c r="V6" i="155"/>
  <c r="T6" i="155"/>
  <c r="R6" i="155"/>
  <c r="M6" i="155"/>
  <c r="M16" i="155" s="1"/>
  <c r="I6" i="155"/>
  <c r="C3" i="155"/>
  <c r="AF64" i="154"/>
  <c r="AD64" i="154"/>
  <c r="AB64" i="154"/>
  <c r="Z64" i="154"/>
  <c r="X64" i="154"/>
  <c r="V64" i="154"/>
  <c r="T64" i="154"/>
  <c r="AF63" i="154"/>
  <c r="AD63" i="154"/>
  <c r="AB63" i="154"/>
  <c r="Z63" i="154"/>
  <c r="X63" i="154"/>
  <c r="V63" i="154"/>
  <c r="T63" i="154"/>
  <c r="AF62" i="154"/>
  <c r="AD62" i="154"/>
  <c r="AB62" i="154"/>
  <c r="Z62" i="154"/>
  <c r="X62" i="154"/>
  <c r="V62" i="154"/>
  <c r="T62" i="154"/>
  <c r="AF61" i="154"/>
  <c r="AD61" i="154"/>
  <c r="AB61" i="154"/>
  <c r="Z61" i="154"/>
  <c r="X61" i="154"/>
  <c r="V61" i="154"/>
  <c r="T61" i="154"/>
  <c r="AF60" i="154"/>
  <c r="AD60" i="154"/>
  <c r="AB60" i="154"/>
  <c r="Z60" i="154"/>
  <c r="X60" i="154"/>
  <c r="V60" i="154"/>
  <c r="T60" i="154"/>
  <c r="AF59" i="154"/>
  <c r="AD59" i="154"/>
  <c r="AB59" i="154"/>
  <c r="Z59" i="154"/>
  <c r="X59" i="154"/>
  <c r="V59" i="154"/>
  <c r="T59" i="154"/>
  <c r="AF58" i="154"/>
  <c r="AD58" i="154"/>
  <c r="AB58" i="154"/>
  <c r="Z58" i="154"/>
  <c r="X58" i="154"/>
  <c r="V58" i="154"/>
  <c r="T58" i="154"/>
  <c r="AF57" i="154"/>
  <c r="AD57" i="154"/>
  <c r="AB57" i="154"/>
  <c r="Z57" i="154"/>
  <c r="X57" i="154"/>
  <c r="V57" i="154"/>
  <c r="T57" i="154"/>
  <c r="AF56" i="154"/>
  <c r="AD56" i="154"/>
  <c r="AB56" i="154"/>
  <c r="Z56" i="154"/>
  <c r="X56" i="154"/>
  <c r="V56" i="154"/>
  <c r="T56" i="154"/>
  <c r="AF55" i="154"/>
  <c r="AD55" i="154"/>
  <c r="AB55" i="154"/>
  <c r="Z55" i="154"/>
  <c r="X55" i="154"/>
  <c r="V55" i="154"/>
  <c r="T55" i="154"/>
  <c r="AF54" i="154"/>
  <c r="AD54" i="154"/>
  <c r="AB54" i="154"/>
  <c r="Z54" i="154"/>
  <c r="X54" i="154"/>
  <c r="V54" i="154"/>
  <c r="T54" i="154"/>
  <c r="AF53" i="154"/>
  <c r="AD53" i="154"/>
  <c r="AB53" i="154"/>
  <c r="Z53" i="154"/>
  <c r="X53" i="154"/>
  <c r="V53" i="154"/>
  <c r="T53" i="154"/>
  <c r="AF52" i="154"/>
  <c r="AD52" i="154"/>
  <c r="AB52" i="154"/>
  <c r="Z52" i="154"/>
  <c r="X52" i="154"/>
  <c r="V52" i="154"/>
  <c r="T52" i="154"/>
  <c r="AF51" i="154"/>
  <c r="AD51" i="154"/>
  <c r="AB51" i="154"/>
  <c r="Z51" i="154"/>
  <c r="X51" i="154"/>
  <c r="V51" i="154"/>
  <c r="T51" i="154"/>
  <c r="AF50" i="154"/>
  <c r="AD50" i="154"/>
  <c r="AB50" i="154"/>
  <c r="Z50" i="154"/>
  <c r="X50" i="154"/>
  <c r="V50" i="154"/>
  <c r="T50" i="154"/>
  <c r="AF49" i="154"/>
  <c r="AD49" i="154"/>
  <c r="AB49" i="154"/>
  <c r="Z49" i="154"/>
  <c r="X49" i="154"/>
  <c r="V49" i="154"/>
  <c r="T49" i="154"/>
  <c r="AF48" i="154"/>
  <c r="AD48" i="154"/>
  <c r="AB48" i="154"/>
  <c r="Z48" i="154"/>
  <c r="X48" i="154"/>
  <c r="V48" i="154"/>
  <c r="T48" i="154"/>
  <c r="AF47" i="154"/>
  <c r="AD47" i="154"/>
  <c r="AB47" i="154"/>
  <c r="Z47" i="154"/>
  <c r="X47" i="154"/>
  <c r="V47" i="154"/>
  <c r="T47" i="154"/>
  <c r="AF46" i="154"/>
  <c r="AD46" i="154"/>
  <c r="AB46" i="154"/>
  <c r="Z46" i="154"/>
  <c r="X46" i="154"/>
  <c r="V46" i="154"/>
  <c r="T46" i="154"/>
  <c r="AF45" i="154"/>
  <c r="AD45" i="154"/>
  <c r="AB45" i="154"/>
  <c r="Z45" i="154"/>
  <c r="X45" i="154"/>
  <c r="V45" i="154"/>
  <c r="T45" i="154"/>
  <c r="AF44" i="154"/>
  <c r="AD44" i="154"/>
  <c r="AB44" i="154"/>
  <c r="Z44" i="154"/>
  <c r="X44" i="154"/>
  <c r="V44" i="154"/>
  <c r="T44" i="154"/>
  <c r="AF43" i="154"/>
  <c r="AD43" i="154"/>
  <c r="AB43" i="154"/>
  <c r="Z43" i="154"/>
  <c r="X43" i="154"/>
  <c r="V43" i="154"/>
  <c r="T43" i="154"/>
  <c r="AF42" i="154"/>
  <c r="AD42" i="154"/>
  <c r="AB42" i="154"/>
  <c r="Z42" i="154"/>
  <c r="X42" i="154"/>
  <c r="V42" i="154"/>
  <c r="T42" i="154"/>
  <c r="AF41" i="154"/>
  <c r="AD41" i="154"/>
  <c r="AB41" i="154"/>
  <c r="Z41" i="154"/>
  <c r="X41" i="154"/>
  <c r="V41" i="154"/>
  <c r="T41" i="154"/>
  <c r="AF40" i="154"/>
  <c r="AD40" i="154"/>
  <c r="AB40" i="154"/>
  <c r="Z40" i="154"/>
  <c r="X40" i="154"/>
  <c r="V40" i="154"/>
  <c r="T40" i="154"/>
  <c r="AF39" i="154"/>
  <c r="AD39" i="154"/>
  <c r="AB39" i="154"/>
  <c r="Z39" i="154"/>
  <c r="X39" i="154"/>
  <c r="V39" i="154"/>
  <c r="T39" i="154"/>
  <c r="AF38" i="154"/>
  <c r="AD38" i="154"/>
  <c r="AB38" i="154"/>
  <c r="Z38" i="154"/>
  <c r="X38" i="154"/>
  <c r="V38" i="154"/>
  <c r="T38" i="154"/>
  <c r="AF37" i="154"/>
  <c r="AD37" i="154"/>
  <c r="AB37" i="154"/>
  <c r="Z37" i="154"/>
  <c r="X37" i="154"/>
  <c r="V37" i="154"/>
  <c r="T37" i="154"/>
  <c r="AF36" i="154"/>
  <c r="AD36" i="154"/>
  <c r="AB36" i="154"/>
  <c r="Z36" i="154"/>
  <c r="X36" i="154"/>
  <c r="V36" i="154"/>
  <c r="T36" i="154"/>
  <c r="AF35" i="154"/>
  <c r="AD35" i="154"/>
  <c r="AB35" i="154"/>
  <c r="Z35" i="154"/>
  <c r="X35" i="154"/>
  <c r="V35" i="154"/>
  <c r="T35" i="154"/>
  <c r="D31" i="154"/>
  <c r="E31" i="154" s="1"/>
  <c r="D30" i="154"/>
  <c r="E30" i="154" s="1"/>
  <c r="D29" i="154"/>
  <c r="E29" i="154" s="1"/>
  <c r="D28" i="154"/>
  <c r="E28" i="154" s="1"/>
  <c r="D27" i="154"/>
  <c r="E27" i="154" s="1"/>
  <c r="E26" i="154"/>
  <c r="D26" i="154"/>
  <c r="AE25" i="154"/>
  <c r="AC25" i="154"/>
  <c r="AE18" i="154"/>
  <c r="AE26" i="154" s="1"/>
  <c r="AE17" i="154"/>
  <c r="AC17" i="154"/>
  <c r="AA17" i="154"/>
  <c r="AA25" i="154" s="1"/>
  <c r="Y17" i="154"/>
  <c r="Y25" i="154" s="1"/>
  <c r="W17" i="154"/>
  <c r="W25" i="154" s="1"/>
  <c r="U17" i="154"/>
  <c r="U25" i="154" s="1"/>
  <c r="S17" i="154"/>
  <c r="S25" i="154" s="1"/>
  <c r="AF16" i="154"/>
  <c r="AE16" i="154"/>
  <c r="AE24" i="154" s="1"/>
  <c r="AC16" i="154"/>
  <c r="AC18" i="154" s="1"/>
  <c r="AC26" i="154" s="1"/>
  <c r="AA16" i="154"/>
  <c r="Y16" i="154"/>
  <c r="Y24" i="154" s="1"/>
  <c r="W16" i="154"/>
  <c r="W24" i="154" s="1"/>
  <c r="U16" i="154"/>
  <c r="U24" i="154" s="1"/>
  <c r="S16" i="154"/>
  <c r="Q16" i="154"/>
  <c r="P16" i="154"/>
  <c r="O16" i="154"/>
  <c r="N16" i="154"/>
  <c r="L16" i="154"/>
  <c r="K16" i="154"/>
  <c r="J16" i="154"/>
  <c r="H16" i="154"/>
  <c r="G16" i="154"/>
  <c r="F16" i="154"/>
  <c r="P15" i="154"/>
  <c r="AF14" i="154"/>
  <c r="AD14" i="154"/>
  <c r="AB14" i="154"/>
  <c r="Z14" i="154"/>
  <c r="X14" i="154"/>
  <c r="V14" i="154"/>
  <c r="T14" i="154"/>
  <c r="R14" i="154"/>
  <c r="M14" i="154"/>
  <c r="I14" i="154"/>
  <c r="P13" i="154"/>
  <c r="AF12" i="154"/>
  <c r="AD12" i="154"/>
  <c r="AB12" i="154"/>
  <c r="Z12" i="154"/>
  <c r="X12" i="154"/>
  <c r="V12" i="154"/>
  <c r="T12" i="154"/>
  <c r="R12" i="154"/>
  <c r="M12" i="154"/>
  <c r="I12" i="154"/>
  <c r="P11" i="154"/>
  <c r="AF10" i="154"/>
  <c r="AD10" i="154"/>
  <c r="AB10" i="154"/>
  <c r="Z10" i="154"/>
  <c r="X10" i="154"/>
  <c r="V10" i="154"/>
  <c r="T10" i="154"/>
  <c r="R10" i="154"/>
  <c r="M10" i="154"/>
  <c r="I10" i="154"/>
  <c r="P9" i="154"/>
  <c r="AF8" i="154"/>
  <c r="AD8" i="154"/>
  <c r="AB8" i="154"/>
  <c r="Z8" i="154"/>
  <c r="X8" i="154"/>
  <c r="V8" i="154"/>
  <c r="T8" i="154"/>
  <c r="R8" i="154"/>
  <c r="M8" i="154"/>
  <c r="I8" i="154"/>
  <c r="P7" i="154"/>
  <c r="AF6" i="154"/>
  <c r="AD6" i="154"/>
  <c r="AB6" i="154"/>
  <c r="Z6" i="154"/>
  <c r="X6" i="154"/>
  <c r="V6" i="154"/>
  <c r="T6" i="154"/>
  <c r="R6" i="154"/>
  <c r="M6" i="154"/>
  <c r="I6" i="154"/>
  <c r="C3" i="154"/>
  <c r="AF64" i="153"/>
  <c r="AD64" i="153"/>
  <c r="AB64" i="153"/>
  <c r="Z64" i="153"/>
  <c r="X64" i="153"/>
  <c r="V64" i="153"/>
  <c r="T64" i="153"/>
  <c r="AF63" i="153"/>
  <c r="AD63" i="153"/>
  <c r="AB63" i="153"/>
  <c r="Z63" i="153"/>
  <c r="X63" i="153"/>
  <c r="V63" i="153"/>
  <c r="T63" i="153"/>
  <c r="AF62" i="153"/>
  <c r="AD62" i="153"/>
  <c r="AB62" i="153"/>
  <c r="Z62" i="153"/>
  <c r="X62" i="153"/>
  <c r="V62" i="153"/>
  <c r="T62" i="153"/>
  <c r="AF61" i="153"/>
  <c r="AD61" i="153"/>
  <c r="AB61" i="153"/>
  <c r="Z61" i="153"/>
  <c r="X61" i="153"/>
  <c r="V61" i="153"/>
  <c r="T61" i="153"/>
  <c r="AF60" i="153"/>
  <c r="AD60" i="153"/>
  <c r="AB60" i="153"/>
  <c r="Z60" i="153"/>
  <c r="X60" i="153"/>
  <c r="V60" i="153"/>
  <c r="T60" i="153"/>
  <c r="AF59" i="153"/>
  <c r="AD59" i="153"/>
  <c r="AB59" i="153"/>
  <c r="Z59" i="153"/>
  <c r="X59" i="153"/>
  <c r="V59" i="153"/>
  <c r="T59" i="153"/>
  <c r="AF58" i="153"/>
  <c r="AD58" i="153"/>
  <c r="AB58" i="153"/>
  <c r="Z58" i="153"/>
  <c r="X58" i="153"/>
  <c r="V58" i="153"/>
  <c r="T58" i="153"/>
  <c r="AF57" i="153"/>
  <c r="AD57" i="153"/>
  <c r="AB57" i="153"/>
  <c r="Z57" i="153"/>
  <c r="X57" i="153"/>
  <c r="V57" i="153"/>
  <c r="T57" i="153"/>
  <c r="AF56" i="153"/>
  <c r="AD56" i="153"/>
  <c r="AB56" i="153"/>
  <c r="Z56" i="153"/>
  <c r="X56" i="153"/>
  <c r="V56" i="153"/>
  <c r="T56" i="153"/>
  <c r="AF55" i="153"/>
  <c r="AD55" i="153"/>
  <c r="AB55" i="153"/>
  <c r="Z55" i="153"/>
  <c r="X55" i="153"/>
  <c r="V55" i="153"/>
  <c r="T55" i="153"/>
  <c r="AF54" i="153"/>
  <c r="AD54" i="153"/>
  <c r="AB54" i="153"/>
  <c r="Z54" i="153"/>
  <c r="X54" i="153"/>
  <c r="V54" i="153"/>
  <c r="T54" i="153"/>
  <c r="AF53" i="153"/>
  <c r="AD53" i="153"/>
  <c r="AB53" i="153"/>
  <c r="Z53" i="153"/>
  <c r="X53" i="153"/>
  <c r="V53" i="153"/>
  <c r="T53" i="153"/>
  <c r="AF52" i="153"/>
  <c r="AD52" i="153"/>
  <c r="AB52" i="153"/>
  <c r="Z52" i="153"/>
  <c r="X52" i="153"/>
  <c r="V52" i="153"/>
  <c r="T52" i="153"/>
  <c r="AF51" i="153"/>
  <c r="AD51" i="153"/>
  <c r="AB51" i="153"/>
  <c r="Z51" i="153"/>
  <c r="X51" i="153"/>
  <c r="V51" i="153"/>
  <c r="T51" i="153"/>
  <c r="AF50" i="153"/>
  <c r="AD50" i="153"/>
  <c r="AB50" i="153"/>
  <c r="Z50" i="153"/>
  <c r="X50" i="153"/>
  <c r="V50" i="153"/>
  <c r="T50" i="153"/>
  <c r="AF49" i="153"/>
  <c r="AD49" i="153"/>
  <c r="AB49" i="153"/>
  <c r="Z49" i="153"/>
  <c r="X49" i="153"/>
  <c r="V49" i="153"/>
  <c r="T49" i="153"/>
  <c r="AF48" i="153"/>
  <c r="AD48" i="153"/>
  <c r="AB48" i="153"/>
  <c r="Z48" i="153"/>
  <c r="X48" i="153"/>
  <c r="V48" i="153"/>
  <c r="T48" i="153"/>
  <c r="AF47" i="153"/>
  <c r="AD47" i="153"/>
  <c r="AB47" i="153"/>
  <c r="Z47" i="153"/>
  <c r="X47" i="153"/>
  <c r="V47" i="153"/>
  <c r="T47" i="153"/>
  <c r="AF46" i="153"/>
  <c r="AD46" i="153"/>
  <c r="AB46" i="153"/>
  <c r="Z46" i="153"/>
  <c r="X46" i="153"/>
  <c r="V46" i="153"/>
  <c r="T46" i="153"/>
  <c r="AF45" i="153"/>
  <c r="AD45" i="153"/>
  <c r="AB45" i="153"/>
  <c r="Z45" i="153"/>
  <c r="X45" i="153"/>
  <c r="V45" i="153"/>
  <c r="T45" i="153"/>
  <c r="AF44" i="153"/>
  <c r="AD44" i="153"/>
  <c r="AB44" i="153"/>
  <c r="Z44" i="153"/>
  <c r="X44" i="153"/>
  <c r="V44" i="153"/>
  <c r="T44" i="153"/>
  <c r="AF43" i="153"/>
  <c r="AD43" i="153"/>
  <c r="AB43" i="153"/>
  <c r="Z43" i="153"/>
  <c r="X43" i="153"/>
  <c r="V43" i="153"/>
  <c r="T43" i="153"/>
  <c r="AF42" i="153"/>
  <c r="AD42" i="153"/>
  <c r="AB42" i="153"/>
  <c r="Z42" i="153"/>
  <c r="X42" i="153"/>
  <c r="V42" i="153"/>
  <c r="T42" i="153"/>
  <c r="AF41" i="153"/>
  <c r="AD41" i="153"/>
  <c r="AB41" i="153"/>
  <c r="Z41" i="153"/>
  <c r="X41" i="153"/>
  <c r="V41" i="153"/>
  <c r="T41" i="153"/>
  <c r="AF40" i="153"/>
  <c r="AD40" i="153"/>
  <c r="AB40" i="153"/>
  <c r="Z40" i="153"/>
  <c r="X40" i="153"/>
  <c r="V40" i="153"/>
  <c r="T40" i="153"/>
  <c r="AF39" i="153"/>
  <c r="AD39" i="153"/>
  <c r="AB39" i="153"/>
  <c r="Z39" i="153"/>
  <c r="X39" i="153"/>
  <c r="V39" i="153"/>
  <c r="T39" i="153"/>
  <c r="AF38" i="153"/>
  <c r="AD38" i="153"/>
  <c r="AB38" i="153"/>
  <c r="Z38" i="153"/>
  <c r="X38" i="153"/>
  <c r="V38" i="153"/>
  <c r="T38" i="153"/>
  <c r="AF37" i="153"/>
  <c r="AD37" i="153"/>
  <c r="AB37" i="153"/>
  <c r="Z37" i="153"/>
  <c r="X37" i="153"/>
  <c r="V37" i="153"/>
  <c r="T37" i="153"/>
  <c r="AF36" i="153"/>
  <c r="AD36" i="153"/>
  <c r="AB36" i="153"/>
  <c r="Z36" i="153"/>
  <c r="X36" i="153"/>
  <c r="V36" i="153"/>
  <c r="T36" i="153"/>
  <c r="AF35" i="153"/>
  <c r="AD35" i="153"/>
  <c r="AB35" i="153"/>
  <c r="Z35" i="153"/>
  <c r="X35" i="153"/>
  <c r="V35" i="153"/>
  <c r="T35" i="153"/>
  <c r="D31" i="153"/>
  <c r="E31" i="153" s="1"/>
  <c r="D30" i="153"/>
  <c r="E30" i="153" s="1"/>
  <c r="D29" i="153"/>
  <c r="E29" i="153" s="1"/>
  <c r="E28" i="153"/>
  <c r="D28" i="153"/>
  <c r="D27" i="153"/>
  <c r="E27" i="153" s="1"/>
  <c r="D26" i="153"/>
  <c r="E26" i="153" s="1"/>
  <c r="W25" i="153"/>
  <c r="S25" i="153"/>
  <c r="U24" i="153"/>
  <c r="AE17" i="153"/>
  <c r="AE25" i="153" s="1"/>
  <c r="AC17" i="153"/>
  <c r="AC25" i="153" s="1"/>
  <c r="AA17" i="153"/>
  <c r="AA25" i="153" s="1"/>
  <c r="Y17" i="153"/>
  <c r="Y25" i="153" s="1"/>
  <c r="W17" i="153"/>
  <c r="U17" i="153"/>
  <c r="U25" i="153" s="1"/>
  <c r="S17" i="153"/>
  <c r="AE16" i="153"/>
  <c r="AE24" i="153" s="1"/>
  <c r="AC16" i="153"/>
  <c r="AC18" i="153" s="1"/>
  <c r="AC26" i="153" s="1"/>
  <c r="AA16" i="153"/>
  <c r="AA18" i="153" s="1"/>
  <c r="AA26" i="153" s="1"/>
  <c r="Y16" i="153"/>
  <c r="X16" i="153"/>
  <c r="W16" i="153"/>
  <c r="W18" i="153" s="1"/>
  <c r="W26" i="153" s="1"/>
  <c r="U16" i="153"/>
  <c r="U18" i="153" s="1"/>
  <c r="U26" i="153" s="1"/>
  <c r="S16" i="153"/>
  <c r="S24" i="153" s="1"/>
  <c r="Q16" i="153"/>
  <c r="P16" i="153"/>
  <c r="O16" i="153"/>
  <c r="N16" i="153"/>
  <c r="H16" i="153"/>
  <c r="G16" i="153"/>
  <c r="F16" i="153"/>
  <c r="P15" i="153"/>
  <c r="AF14" i="153"/>
  <c r="AD14" i="153"/>
  <c r="AB14" i="153"/>
  <c r="Z14" i="153"/>
  <c r="X14" i="153"/>
  <c r="V14" i="153"/>
  <c r="T14" i="153"/>
  <c r="R14" i="153"/>
  <c r="M14" i="153"/>
  <c r="I14" i="153"/>
  <c r="P13" i="153"/>
  <c r="C13" i="153"/>
  <c r="AF12" i="153"/>
  <c r="AD12" i="153"/>
  <c r="AB12" i="153"/>
  <c r="Z12" i="153"/>
  <c r="X12" i="153"/>
  <c r="V12" i="153"/>
  <c r="T12" i="153"/>
  <c r="R12" i="153"/>
  <c r="M12" i="153"/>
  <c r="I12" i="153"/>
  <c r="P11" i="153"/>
  <c r="AF10" i="153"/>
  <c r="AD10" i="153"/>
  <c r="AB10" i="153"/>
  <c r="Z10" i="153"/>
  <c r="X10" i="153"/>
  <c r="V10" i="153"/>
  <c r="T10" i="153"/>
  <c r="R10" i="153"/>
  <c r="M10" i="153"/>
  <c r="I10" i="153"/>
  <c r="P9" i="153"/>
  <c r="AF8" i="153"/>
  <c r="AD8" i="153"/>
  <c r="AB8" i="153"/>
  <c r="Z8" i="153"/>
  <c r="X8" i="153"/>
  <c r="V8" i="153"/>
  <c r="T8" i="153"/>
  <c r="R8" i="153"/>
  <c r="M8" i="153"/>
  <c r="I8" i="153"/>
  <c r="P7" i="153"/>
  <c r="AF6" i="153"/>
  <c r="AD6" i="153"/>
  <c r="AB6" i="153"/>
  <c r="Z6" i="153"/>
  <c r="X6" i="153"/>
  <c r="V6" i="153"/>
  <c r="T6" i="153"/>
  <c r="R6" i="153"/>
  <c r="M6" i="153"/>
  <c r="I6" i="153"/>
  <c r="C3" i="153"/>
  <c r="AF64" i="152"/>
  <c r="AD64" i="152"/>
  <c r="AB64" i="152"/>
  <c r="Z64" i="152"/>
  <c r="X64" i="152"/>
  <c r="V64" i="152"/>
  <c r="T64" i="152"/>
  <c r="AF63" i="152"/>
  <c r="AD63" i="152"/>
  <c r="AB63" i="152"/>
  <c r="Z63" i="152"/>
  <c r="X63" i="152"/>
  <c r="V63" i="152"/>
  <c r="T63" i="152"/>
  <c r="AF62" i="152"/>
  <c r="AD62" i="152"/>
  <c r="AB62" i="152"/>
  <c r="Z62" i="152"/>
  <c r="X62" i="152"/>
  <c r="V62" i="152"/>
  <c r="T62" i="152"/>
  <c r="AF61" i="152"/>
  <c r="AD61" i="152"/>
  <c r="AB61" i="152"/>
  <c r="Z61" i="152"/>
  <c r="X61" i="152"/>
  <c r="V61" i="152"/>
  <c r="T61" i="152"/>
  <c r="AF60" i="152"/>
  <c r="AD60" i="152"/>
  <c r="AB60" i="152"/>
  <c r="Z60" i="152"/>
  <c r="X60" i="152"/>
  <c r="V60" i="152"/>
  <c r="T60" i="152"/>
  <c r="AF59" i="152"/>
  <c r="AD59" i="152"/>
  <c r="AB59" i="152"/>
  <c r="Z59" i="152"/>
  <c r="X59" i="152"/>
  <c r="V59" i="152"/>
  <c r="T59" i="152"/>
  <c r="AF58" i="152"/>
  <c r="AD58" i="152"/>
  <c r="AB58" i="152"/>
  <c r="Z58" i="152"/>
  <c r="X58" i="152"/>
  <c r="V58" i="152"/>
  <c r="T58" i="152"/>
  <c r="AF57" i="152"/>
  <c r="AD57" i="152"/>
  <c r="AB57" i="152"/>
  <c r="Z57" i="152"/>
  <c r="X57" i="152"/>
  <c r="V57" i="152"/>
  <c r="T57" i="152"/>
  <c r="AF56" i="152"/>
  <c r="AD56" i="152"/>
  <c r="AB56" i="152"/>
  <c r="Z56" i="152"/>
  <c r="X56" i="152"/>
  <c r="V56" i="152"/>
  <c r="T56" i="152"/>
  <c r="AF55" i="152"/>
  <c r="AD55" i="152"/>
  <c r="AB55" i="152"/>
  <c r="Z55" i="152"/>
  <c r="X55" i="152"/>
  <c r="V55" i="152"/>
  <c r="T55" i="152"/>
  <c r="AF54" i="152"/>
  <c r="AD54" i="152"/>
  <c r="AB54" i="152"/>
  <c r="Z54" i="152"/>
  <c r="X54" i="152"/>
  <c r="V54" i="152"/>
  <c r="T54" i="152"/>
  <c r="AF53" i="152"/>
  <c r="AD53" i="152"/>
  <c r="AB53" i="152"/>
  <c r="Z53" i="152"/>
  <c r="X53" i="152"/>
  <c r="V53" i="152"/>
  <c r="T53" i="152"/>
  <c r="AF52" i="152"/>
  <c r="AD52" i="152"/>
  <c r="AB52" i="152"/>
  <c r="Z52" i="152"/>
  <c r="X52" i="152"/>
  <c r="V52" i="152"/>
  <c r="T52" i="152"/>
  <c r="AF51" i="152"/>
  <c r="AD51" i="152"/>
  <c r="AB51" i="152"/>
  <c r="Z51" i="152"/>
  <c r="X51" i="152"/>
  <c r="V51" i="152"/>
  <c r="T51" i="152"/>
  <c r="AF50" i="152"/>
  <c r="AD50" i="152"/>
  <c r="AB50" i="152"/>
  <c r="Z50" i="152"/>
  <c r="X50" i="152"/>
  <c r="V50" i="152"/>
  <c r="T50" i="152"/>
  <c r="AF49" i="152"/>
  <c r="AD49" i="152"/>
  <c r="AB49" i="152"/>
  <c r="Z49" i="152"/>
  <c r="X49" i="152"/>
  <c r="V49" i="152"/>
  <c r="T49" i="152"/>
  <c r="AF48" i="152"/>
  <c r="AD48" i="152"/>
  <c r="AB48" i="152"/>
  <c r="Z48" i="152"/>
  <c r="X48" i="152"/>
  <c r="V48" i="152"/>
  <c r="T48" i="152"/>
  <c r="AF47" i="152"/>
  <c r="AD47" i="152"/>
  <c r="AB47" i="152"/>
  <c r="Z47" i="152"/>
  <c r="X47" i="152"/>
  <c r="V47" i="152"/>
  <c r="T47" i="152"/>
  <c r="AF46" i="152"/>
  <c r="AD46" i="152"/>
  <c r="AB46" i="152"/>
  <c r="Z46" i="152"/>
  <c r="X46" i="152"/>
  <c r="V46" i="152"/>
  <c r="T46" i="152"/>
  <c r="AF45" i="152"/>
  <c r="AD45" i="152"/>
  <c r="AB45" i="152"/>
  <c r="Z45" i="152"/>
  <c r="X45" i="152"/>
  <c r="V45" i="152"/>
  <c r="T45" i="152"/>
  <c r="AF44" i="152"/>
  <c r="AD44" i="152"/>
  <c r="AB44" i="152"/>
  <c r="Z44" i="152"/>
  <c r="X44" i="152"/>
  <c r="V44" i="152"/>
  <c r="T44" i="152"/>
  <c r="AF43" i="152"/>
  <c r="AD43" i="152"/>
  <c r="AB43" i="152"/>
  <c r="Z43" i="152"/>
  <c r="X43" i="152"/>
  <c r="V43" i="152"/>
  <c r="T43" i="152"/>
  <c r="AF42" i="152"/>
  <c r="AD42" i="152"/>
  <c r="AB42" i="152"/>
  <c r="Z42" i="152"/>
  <c r="X42" i="152"/>
  <c r="V42" i="152"/>
  <c r="T42" i="152"/>
  <c r="AF41" i="152"/>
  <c r="AD41" i="152"/>
  <c r="AB41" i="152"/>
  <c r="Z41" i="152"/>
  <c r="X41" i="152"/>
  <c r="V41" i="152"/>
  <c r="T41" i="152"/>
  <c r="AF40" i="152"/>
  <c r="AD40" i="152"/>
  <c r="AB40" i="152"/>
  <c r="Z40" i="152"/>
  <c r="X40" i="152"/>
  <c r="V40" i="152"/>
  <c r="T40" i="152"/>
  <c r="AF39" i="152"/>
  <c r="AD39" i="152"/>
  <c r="AB39" i="152"/>
  <c r="Z39" i="152"/>
  <c r="X39" i="152"/>
  <c r="V39" i="152"/>
  <c r="T39" i="152"/>
  <c r="AF38" i="152"/>
  <c r="AD38" i="152"/>
  <c r="AB38" i="152"/>
  <c r="Z38" i="152"/>
  <c r="X38" i="152"/>
  <c r="V38" i="152"/>
  <c r="T38" i="152"/>
  <c r="AF37" i="152"/>
  <c r="AD37" i="152"/>
  <c r="AB37" i="152"/>
  <c r="Z37" i="152"/>
  <c r="X37" i="152"/>
  <c r="V37" i="152"/>
  <c r="T37" i="152"/>
  <c r="AF36" i="152"/>
  <c r="AD36" i="152"/>
  <c r="AB36" i="152"/>
  <c r="Z36" i="152"/>
  <c r="X36" i="152"/>
  <c r="V36" i="152"/>
  <c r="T36" i="152"/>
  <c r="AF35" i="152"/>
  <c r="AD35" i="152"/>
  <c r="AB35" i="152"/>
  <c r="Z35" i="152"/>
  <c r="X35" i="152"/>
  <c r="V35" i="152"/>
  <c r="T35" i="152"/>
  <c r="D31" i="152"/>
  <c r="E31" i="152" s="1"/>
  <c r="E30" i="152"/>
  <c r="D30" i="152"/>
  <c r="D29" i="152"/>
  <c r="E29" i="152" s="1"/>
  <c r="D28" i="152"/>
  <c r="E28" i="152" s="1"/>
  <c r="D27" i="152"/>
  <c r="E27" i="152" s="1"/>
  <c r="D26" i="152"/>
  <c r="E26" i="152" s="1"/>
  <c r="AE25" i="152"/>
  <c r="AC25" i="152"/>
  <c r="S25" i="152"/>
  <c r="AA18" i="152"/>
  <c r="AA26" i="152" s="1"/>
  <c r="S18" i="152"/>
  <c r="S26" i="152" s="1"/>
  <c r="AE17" i="152"/>
  <c r="AC17" i="152"/>
  <c r="AA17" i="152"/>
  <c r="AA25" i="152" s="1"/>
  <c r="Y17" i="152"/>
  <c r="Y25" i="152" s="1"/>
  <c r="W17" i="152"/>
  <c r="W25" i="152" s="1"/>
  <c r="U17" i="152"/>
  <c r="U25" i="152" s="1"/>
  <c r="S17" i="152"/>
  <c r="AE16" i="152"/>
  <c r="AC16" i="152"/>
  <c r="AC18" i="152" s="1"/>
  <c r="AC26" i="152" s="1"/>
  <c r="AA16" i="152"/>
  <c r="AB16" i="152" s="1"/>
  <c r="Y16" i="152"/>
  <c r="Z16" i="152" s="1"/>
  <c r="W16" i="152"/>
  <c r="U16" i="152"/>
  <c r="T16" i="152"/>
  <c r="S16" i="152"/>
  <c r="S24" i="152" s="1"/>
  <c r="Q16" i="152"/>
  <c r="P16" i="152"/>
  <c r="O16" i="152"/>
  <c r="N16" i="152"/>
  <c r="L16" i="152"/>
  <c r="K16" i="152"/>
  <c r="J16" i="152"/>
  <c r="H16" i="152"/>
  <c r="G16" i="152"/>
  <c r="F16" i="152"/>
  <c r="P15" i="152"/>
  <c r="AF14" i="152"/>
  <c r="AD14" i="152"/>
  <c r="AB14" i="152"/>
  <c r="Z14" i="152"/>
  <c r="X14" i="152"/>
  <c r="V14" i="152"/>
  <c r="T14" i="152"/>
  <c r="R14" i="152"/>
  <c r="M14" i="152"/>
  <c r="M16" i="152" s="1"/>
  <c r="I14" i="152"/>
  <c r="P13" i="152"/>
  <c r="AF12" i="152"/>
  <c r="AD12" i="152"/>
  <c r="AB12" i="152"/>
  <c r="Z12" i="152"/>
  <c r="X12" i="152"/>
  <c r="V12" i="152"/>
  <c r="T12" i="152"/>
  <c r="R12" i="152"/>
  <c r="M12" i="152"/>
  <c r="I12" i="152"/>
  <c r="P11" i="152"/>
  <c r="AF10" i="152"/>
  <c r="AD10" i="152"/>
  <c r="AB10" i="152"/>
  <c r="Z10" i="152"/>
  <c r="X10" i="152"/>
  <c r="V10" i="152"/>
  <c r="T10" i="152"/>
  <c r="R10" i="152"/>
  <c r="M10" i="152"/>
  <c r="I10" i="152"/>
  <c r="P9" i="152"/>
  <c r="AF8" i="152"/>
  <c r="AD8" i="152"/>
  <c r="AB8" i="152"/>
  <c r="Z8" i="152"/>
  <c r="X8" i="152"/>
  <c r="V8" i="152"/>
  <c r="T8" i="152"/>
  <c r="R8" i="152"/>
  <c r="R16" i="152" s="1"/>
  <c r="M8" i="152"/>
  <c r="I8" i="152"/>
  <c r="P7" i="152"/>
  <c r="AF6" i="152"/>
  <c r="AD6" i="152"/>
  <c r="AB6" i="152"/>
  <c r="Z6" i="152"/>
  <c r="X6" i="152"/>
  <c r="V6" i="152"/>
  <c r="T6" i="152"/>
  <c r="R6" i="152"/>
  <c r="M6" i="152"/>
  <c r="I6" i="152"/>
  <c r="I16" i="152" s="1"/>
  <c r="C3" i="152"/>
  <c r="AF64" i="151"/>
  <c r="AD64" i="151"/>
  <c r="AB64" i="151"/>
  <c r="Z64" i="151"/>
  <c r="X64" i="151"/>
  <c r="V64" i="151"/>
  <c r="T64" i="151"/>
  <c r="AF63" i="151"/>
  <c r="AD63" i="151"/>
  <c r="AB63" i="151"/>
  <c r="Z63" i="151"/>
  <c r="X63" i="151"/>
  <c r="V63" i="151"/>
  <c r="T63" i="151"/>
  <c r="AF62" i="151"/>
  <c r="AD62" i="151"/>
  <c r="AB62" i="151"/>
  <c r="Z62" i="151"/>
  <c r="X62" i="151"/>
  <c r="V62" i="151"/>
  <c r="T62" i="151"/>
  <c r="AF61" i="151"/>
  <c r="AD61" i="151"/>
  <c r="AB61" i="151"/>
  <c r="Z61" i="151"/>
  <c r="X61" i="151"/>
  <c r="V61" i="151"/>
  <c r="T61" i="151"/>
  <c r="AF60" i="151"/>
  <c r="AD60" i="151"/>
  <c r="AB60" i="151"/>
  <c r="Z60" i="151"/>
  <c r="X60" i="151"/>
  <c r="V60" i="151"/>
  <c r="T60" i="151"/>
  <c r="AF59" i="151"/>
  <c r="AD59" i="151"/>
  <c r="AB59" i="151"/>
  <c r="Z59" i="151"/>
  <c r="X59" i="151"/>
  <c r="V59" i="151"/>
  <c r="T59" i="151"/>
  <c r="AF58" i="151"/>
  <c r="AD58" i="151"/>
  <c r="AB58" i="151"/>
  <c r="Z58" i="151"/>
  <c r="X58" i="151"/>
  <c r="V58" i="151"/>
  <c r="T58" i="151"/>
  <c r="AF57" i="151"/>
  <c r="AD57" i="151"/>
  <c r="AB57" i="151"/>
  <c r="Z57" i="151"/>
  <c r="X57" i="151"/>
  <c r="V57" i="151"/>
  <c r="T57" i="151"/>
  <c r="AF56" i="151"/>
  <c r="AD56" i="151"/>
  <c r="AB56" i="151"/>
  <c r="Z56" i="151"/>
  <c r="X56" i="151"/>
  <c r="V56" i="151"/>
  <c r="T56" i="151"/>
  <c r="AF55" i="151"/>
  <c r="AD55" i="151"/>
  <c r="AB55" i="151"/>
  <c r="Z55" i="151"/>
  <c r="X55" i="151"/>
  <c r="V55" i="151"/>
  <c r="T55" i="151"/>
  <c r="AF54" i="151"/>
  <c r="AD54" i="151"/>
  <c r="AB54" i="151"/>
  <c r="Z54" i="151"/>
  <c r="X54" i="151"/>
  <c r="V54" i="151"/>
  <c r="T54" i="151"/>
  <c r="AF53" i="151"/>
  <c r="AD53" i="151"/>
  <c r="AB53" i="151"/>
  <c r="Z53" i="151"/>
  <c r="X53" i="151"/>
  <c r="V53" i="151"/>
  <c r="T53" i="151"/>
  <c r="AF52" i="151"/>
  <c r="AD52" i="151"/>
  <c r="AB52" i="151"/>
  <c r="Z52" i="151"/>
  <c r="X52" i="151"/>
  <c r="V52" i="151"/>
  <c r="T52" i="151"/>
  <c r="AF51" i="151"/>
  <c r="AD51" i="151"/>
  <c r="AB51" i="151"/>
  <c r="Z51" i="151"/>
  <c r="X51" i="151"/>
  <c r="V51" i="151"/>
  <c r="T51" i="151"/>
  <c r="AF50" i="151"/>
  <c r="AD50" i="151"/>
  <c r="AB50" i="151"/>
  <c r="Z50" i="151"/>
  <c r="X50" i="151"/>
  <c r="V50" i="151"/>
  <c r="T50" i="151"/>
  <c r="AF49" i="151"/>
  <c r="AD49" i="151"/>
  <c r="AB49" i="151"/>
  <c r="Z49" i="151"/>
  <c r="X49" i="151"/>
  <c r="V49" i="151"/>
  <c r="T49" i="151"/>
  <c r="AF48" i="151"/>
  <c r="AD48" i="151"/>
  <c r="AB48" i="151"/>
  <c r="Z48" i="151"/>
  <c r="X48" i="151"/>
  <c r="V48" i="151"/>
  <c r="T48" i="151"/>
  <c r="AF47" i="151"/>
  <c r="AD47" i="151"/>
  <c r="AB47" i="151"/>
  <c r="Z47" i="151"/>
  <c r="X47" i="151"/>
  <c r="V47" i="151"/>
  <c r="T47" i="151"/>
  <c r="AF46" i="151"/>
  <c r="AD46" i="151"/>
  <c r="AB46" i="151"/>
  <c r="Z46" i="151"/>
  <c r="X46" i="151"/>
  <c r="V46" i="151"/>
  <c r="T46" i="151"/>
  <c r="AF45" i="151"/>
  <c r="AD45" i="151"/>
  <c r="AB45" i="151"/>
  <c r="Z45" i="151"/>
  <c r="X45" i="151"/>
  <c r="V45" i="151"/>
  <c r="T45" i="151"/>
  <c r="AF44" i="151"/>
  <c r="AD44" i="151"/>
  <c r="AB44" i="151"/>
  <c r="Z44" i="151"/>
  <c r="X44" i="151"/>
  <c r="V44" i="151"/>
  <c r="T44" i="151"/>
  <c r="AF43" i="151"/>
  <c r="AD43" i="151"/>
  <c r="AB43" i="151"/>
  <c r="Z43" i="151"/>
  <c r="X43" i="151"/>
  <c r="V43" i="151"/>
  <c r="T43" i="151"/>
  <c r="AF42" i="151"/>
  <c r="AD42" i="151"/>
  <c r="AB42" i="151"/>
  <c r="Z42" i="151"/>
  <c r="X42" i="151"/>
  <c r="V42" i="151"/>
  <c r="T42" i="151"/>
  <c r="AF41" i="151"/>
  <c r="AD41" i="151"/>
  <c r="AB41" i="151"/>
  <c r="Z41" i="151"/>
  <c r="X41" i="151"/>
  <c r="V41" i="151"/>
  <c r="T41" i="151"/>
  <c r="AF40" i="151"/>
  <c r="AD40" i="151"/>
  <c r="AB40" i="151"/>
  <c r="Z40" i="151"/>
  <c r="X40" i="151"/>
  <c r="V40" i="151"/>
  <c r="T40" i="151"/>
  <c r="AF39" i="151"/>
  <c r="AD39" i="151"/>
  <c r="AB39" i="151"/>
  <c r="Z39" i="151"/>
  <c r="X39" i="151"/>
  <c r="V39" i="151"/>
  <c r="T39" i="151"/>
  <c r="AF38" i="151"/>
  <c r="AD38" i="151"/>
  <c r="AB38" i="151"/>
  <c r="Z38" i="151"/>
  <c r="X38" i="151"/>
  <c r="V38" i="151"/>
  <c r="T38" i="151"/>
  <c r="AF37" i="151"/>
  <c r="AD37" i="151"/>
  <c r="AB37" i="151"/>
  <c r="Z37" i="151"/>
  <c r="X37" i="151"/>
  <c r="V37" i="151"/>
  <c r="T37" i="151"/>
  <c r="AF36" i="151"/>
  <c r="AD36" i="151"/>
  <c r="AB36" i="151"/>
  <c r="Z36" i="151"/>
  <c r="X36" i="151"/>
  <c r="V36" i="151"/>
  <c r="T36" i="151"/>
  <c r="AF35" i="151"/>
  <c r="AD35" i="151"/>
  <c r="AB35" i="151"/>
  <c r="Z35" i="151"/>
  <c r="X35" i="151"/>
  <c r="V35" i="151"/>
  <c r="T35" i="151"/>
  <c r="D31" i="151"/>
  <c r="E31" i="151" s="1"/>
  <c r="D30" i="151"/>
  <c r="E30" i="151" s="1"/>
  <c r="E29" i="151"/>
  <c r="D29" i="151"/>
  <c r="E28" i="151"/>
  <c r="D28" i="151"/>
  <c r="D27" i="151"/>
  <c r="E27" i="151" s="1"/>
  <c r="W26" i="151"/>
  <c r="D26" i="151"/>
  <c r="E26" i="151" s="1"/>
  <c r="AE25" i="151"/>
  <c r="W24" i="151"/>
  <c r="AE18" i="151"/>
  <c r="AE26" i="151" s="1"/>
  <c r="W18" i="151"/>
  <c r="AE17" i="151"/>
  <c r="AC17" i="151"/>
  <c r="AC25" i="151" s="1"/>
  <c r="AA17" i="151"/>
  <c r="AA25" i="151" s="1"/>
  <c r="Y17" i="151"/>
  <c r="Y25" i="151" s="1"/>
  <c r="W17" i="151"/>
  <c r="W25" i="151" s="1"/>
  <c r="U17" i="151"/>
  <c r="U25" i="151" s="1"/>
  <c r="S17" i="151"/>
  <c r="S25" i="151" s="1"/>
  <c r="AF16" i="151"/>
  <c r="AE16" i="151"/>
  <c r="AE24" i="151" s="1"/>
  <c r="AC16" i="151"/>
  <c r="AA16" i="151"/>
  <c r="AA24" i="151" s="1"/>
  <c r="Y16" i="151"/>
  <c r="Y18" i="151" s="1"/>
  <c r="Y26" i="151" s="1"/>
  <c r="X16" i="151"/>
  <c r="W16" i="151"/>
  <c r="U16" i="151"/>
  <c r="S16" i="151"/>
  <c r="Q16" i="151"/>
  <c r="P16" i="151"/>
  <c r="O16" i="151"/>
  <c r="N16" i="151"/>
  <c r="L16" i="151"/>
  <c r="K16" i="151"/>
  <c r="J16" i="151"/>
  <c r="H16" i="151"/>
  <c r="G16" i="151"/>
  <c r="F16" i="151"/>
  <c r="P15" i="151"/>
  <c r="AF14" i="151"/>
  <c r="AD14" i="151"/>
  <c r="AB14" i="151"/>
  <c r="Z14" i="151"/>
  <c r="X14" i="151"/>
  <c r="V14" i="151"/>
  <c r="T14" i="151"/>
  <c r="R14" i="151"/>
  <c r="M14" i="151"/>
  <c r="M16" i="151" s="1"/>
  <c r="I14" i="151"/>
  <c r="P13" i="151"/>
  <c r="AF12" i="151"/>
  <c r="AD12" i="151"/>
  <c r="AB12" i="151"/>
  <c r="Z12" i="151"/>
  <c r="X12" i="151"/>
  <c r="V12" i="151"/>
  <c r="T12" i="151"/>
  <c r="R12" i="151"/>
  <c r="M12" i="151"/>
  <c r="I12" i="151"/>
  <c r="P11" i="151"/>
  <c r="AF10" i="151"/>
  <c r="AD10" i="151"/>
  <c r="AB10" i="151"/>
  <c r="Z10" i="151"/>
  <c r="X10" i="151"/>
  <c r="V10" i="151"/>
  <c r="T10" i="151"/>
  <c r="R10" i="151"/>
  <c r="M10" i="151"/>
  <c r="I10" i="151"/>
  <c r="P9" i="151"/>
  <c r="AF8" i="151"/>
  <c r="AD8" i="151"/>
  <c r="AB8" i="151"/>
  <c r="Z8" i="151"/>
  <c r="X8" i="151"/>
  <c r="V8" i="151"/>
  <c r="T8" i="151"/>
  <c r="R8" i="151"/>
  <c r="M8" i="151"/>
  <c r="I8" i="151"/>
  <c r="P7" i="151"/>
  <c r="AF6" i="151"/>
  <c r="AD6" i="151"/>
  <c r="AB6" i="151"/>
  <c r="Z6" i="151"/>
  <c r="X6" i="151"/>
  <c r="V6" i="151"/>
  <c r="T6" i="151"/>
  <c r="R6" i="151"/>
  <c r="M6" i="151"/>
  <c r="I6" i="151"/>
  <c r="I16" i="151" s="1"/>
  <c r="C3" i="151"/>
  <c r="AF64" i="150"/>
  <c r="AD64" i="150"/>
  <c r="AB64" i="150"/>
  <c r="Z64" i="150"/>
  <c r="X64" i="150"/>
  <c r="V64" i="150"/>
  <c r="T64" i="150"/>
  <c r="AF63" i="150"/>
  <c r="AD63" i="150"/>
  <c r="AB63" i="150"/>
  <c r="Z63" i="150"/>
  <c r="X63" i="150"/>
  <c r="V63" i="150"/>
  <c r="T63" i="150"/>
  <c r="AF62" i="150"/>
  <c r="AD62" i="150"/>
  <c r="AB62" i="150"/>
  <c r="Z62" i="150"/>
  <c r="X62" i="150"/>
  <c r="V62" i="150"/>
  <c r="T62" i="150"/>
  <c r="AF61" i="150"/>
  <c r="AD61" i="150"/>
  <c r="AB61" i="150"/>
  <c r="Z61" i="150"/>
  <c r="X61" i="150"/>
  <c r="V61" i="150"/>
  <c r="T61" i="150"/>
  <c r="AF60" i="150"/>
  <c r="AD60" i="150"/>
  <c r="AB60" i="150"/>
  <c r="Z60" i="150"/>
  <c r="X60" i="150"/>
  <c r="V60" i="150"/>
  <c r="T60" i="150"/>
  <c r="AF59" i="150"/>
  <c r="AD59" i="150"/>
  <c r="AB59" i="150"/>
  <c r="Z59" i="150"/>
  <c r="X59" i="150"/>
  <c r="V59" i="150"/>
  <c r="T59" i="150"/>
  <c r="AF58" i="150"/>
  <c r="AD58" i="150"/>
  <c r="AB58" i="150"/>
  <c r="Z58" i="150"/>
  <c r="X58" i="150"/>
  <c r="V58" i="150"/>
  <c r="T58" i="150"/>
  <c r="AF57" i="150"/>
  <c r="AD57" i="150"/>
  <c r="AB57" i="150"/>
  <c r="Z57" i="150"/>
  <c r="X57" i="150"/>
  <c r="V57" i="150"/>
  <c r="T57" i="150"/>
  <c r="AF56" i="150"/>
  <c r="AD56" i="150"/>
  <c r="AB56" i="150"/>
  <c r="Z56" i="150"/>
  <c r="X56" i="150"/>
  <c r="V56" i="150"/>
  <c r="T56" i="150"/>
  <c r="AF55" i="150"/>
  <c r="AD55" i="150"/>
  <c r="AB55" i="150"/>
  <c r="Z55" i="150"/>
  <c r="X55" i="150"/>
  <c r="V55" i="150"/>
  <c r="T55" i="150"/>
  <c r="AF54" i="150"/>
  <c r="AD54" i="150"/>
  <c r="AB54" i="150"/>
  <c r="Z54" i="150"/>
  <c r="X54" i="150"/>
  <c r="V54" i="150"/>
  <c r="T54" i="150"/>
  <c r="AF53" i="150"/>
  <c r="AD53" i="150"/>
  <c r="AB53" i="150"/>
  <c r="Z53" i="150"/>
  <c r="X53" i="150"/>
  <c r="V53" i="150"/>
  <c r="T53" i="150"/>
  <c r="AF52" i="150"/>
  <c r="AD52" i="150"/>
  <c r="AB52" i="150"/>
  <c r="Z52" i="150"/>
  <c r="X52" i="150"/>
  <c r="V52" i="150"/>
  <c r="T52" i="150"/>
  <c r="AF51" i="150"/>
  <c r="AD51" i="150"/>
  <c r="AB51" i="150"/>
  <c r="Z51" i="150"/>
  <c r="X51" i="150"/>
  <c r="V51" i="150"/>
  <c r="T51" i="150"/>
  <c r="AF50" i="150"/>
  <c r="AD50" i="150"/>
  <c r="AB50" i="150"/>
  <c r="Z50" i="150"/>
  <c r="X50" i="150"/>
  <c r="V50" i="150"/>
  <c r="T50" i="150"/>
  <c r="AF49" i="150"/>
  <c r="AD49" i="150"/>
  <c r="AB49" i="150"/>
  <c r="Z49" i="150"/>
  <c r="X49" i="150"/>
  <c r="V49" i="150"/>
  <c r="T49" i="150"/>
  <c r="AF48" i="150"/>
  <c r="AD48" i="150"/>
  <c r="AB48" i="150"/>
  <c r="Z48" i="150"/>
  <c r="X48" i="150"/>
  <c r="V48" i="150"/>
  <c r="T48" i="150"/>
  <c r="AF47" i="150"/>
  <c r="AD47" i="150"/>
  <c r="AB47" i="150"/>
  <c r="Z47" i="150"/>
  <c r="X47" i="150"/>
  <c r="V47" i="150"/>
  <c r="T47" i="150"/>
  <c r="AF46" i="150"/>
  <c r="AD46" i="150"/>
  <c r="AB46" i="150"/>
  <c r="Z46" i="150"/>
  <c r="X46" i="150"/>
  <c r="V46" i="150"/>
  <c r="T46" i="150"/>
  <c r="AF45" i="150"/>
  <c r="AD45" i="150"/>
  <c r="AB45" i="150"/>
  <c r="Z45" i="150"/>
  <c r="X45" i="150"/>
  <c r="V45" i="150"/>
  <c r="T45" i="150"/>
  <c r="AF44" i="150"/>
  <c r="AD44" i="150"/>
  <c r="AB44" i="150"/>
  <c r="Z44" i="150"/>
  <c r="X44" i="150"/>
  <c r="V44" i="150"/>
  <c r="T44" i="150"/>
  <c r="AF43" i="150"/>
  <c r="AD43" i="150"/>
  <c r="AB43" i="150"/>
  <c r="Z43" i="150"/>
  <c r="X43" i="150"/>
  <c r="V43" i="150"/>
  <c r="T43" i="150"/>
  <c r="AF42" i="150"/>
  <c r="AD42" i="150"/>
  <c r="AB42" i="150"/>
  <c r="Z42" i="150"/>
  <c r="X42" i="150"/>
  <c r="V42" i="150"/>
  <c r="T42" i="150"/>
  <c r="AF41" i="150"/>
  <c r="AD41" i="150"/>
  <c r="AB41" i="150"/>
  <c r="Z41" i="150"/>
  <c r="X41" i="150"/>
  <c r="V41" i="150"/>
  <c r="T41" i="150"/>
  <c r="AF40" i="150"/>
  <c r="AD40" i="150"/>
  <c r="AB40" i="150"/>
  <c r="Z40" i="150"/>
  <c r="X40" i="150"/>
  <c r="V40" i="150"/>
  <c r="T40" i="150"/>
  <c r="AF39" i="150"/>
  <c r="AD39" i="150"/>
  <c r="AB39" i="150"/>
  <c r="Z39" i="150"/>
  <c r="X39" i="150"/>
  <c r="V39" i="150"/>
  <c r="T39" i="150"/>
  <c r="AF38" i="150"/>
  <c r="AD38" i="150"/>
  <c r="AB38" i="150"/>
  <c r="Z38" i="150"/>
  <c r="X38" i="150"/>
  <c r="V38" i="150"/>
  <c r="T38" i="150"/>
  <c r="AF37" i="150"/>
  <c r="AD37" i="150"/>
  <c r="AB37" i="150"/>
  <c r="Z37" i="150"/>
  <c r="X37" i="150"/>
  <c r="V37" i="150"/>
  <c r="T37" i="150"/>
  <c r="AF36" i="150"/>
  <c r="AD36" i="150"/>
  <c r="AB36" i="150"/>
  <c r="Z36" i="150"/>
  <c r="X36" i="150"/>
  <c r="V36" i="150"/>
  <c r="T36" i="150"/>
  <c r="AF35" i="150"/>
  <c r="AD35" i="150"/>
  <c r="AB35" i="150"/>
  <c r="Z35" i="150"/>
  <c r="X35" i="150"/>
  <c r="V35" i="150"/>
  <c r="T35" i="150"/>
  <c r="D31" i="150"/>
  <c r="E31" i="150" s="1"/>
  <c r="D30" i="150"/>
  <c r="E30" i="150" s="1"/>
  <c r="D29" i="150"/>
  <c r="E29" i="150" s="1"/>
  <c r="E28" i="150"/>
  <c r="D28" i="150"/>
  <c r="E27" i="150"/>
  <c r="D27" i="150"/>
  <c r="E26" i="150"/>
  <c r="D26" i="150"/>
  <c r="Y25" i="150"/>
  <c r="S25" i="150"/>
  <c r="U24" i="150"/>
  <c r="U18" i="150"/>
  <c r="U26" i="150" s="1"/>
  <c r="AE17" i="150"/>
  <c r="AE25" i="150" s="1"/>
  <c r="AC17" i="150"/>
  <c r="AC25" i="150" s="1"/>
  <c r="AA17" i="150"/>
  <c r="AA25" i="150" s="1"/>
  <c r="Y17" i="150"/>
  <c r="W17" i="150"/>
  <c r="W25" i="150" s="1"/>
  <c r="U17" i="150"/>
  <c r="U25" i="150" s="1"/>
  <c r="S17" i="150"/>
  <c r="AF16" i="150"/>
  <c r="AE16" i="150"/>
  <c r="AE24" i="150" s="1"/>
  <c r="AD16" i="150"/>
  <c r="AC16" i="150"/>
  <c r="AC18" i="150" s="1"/>
  <c r="AC26" i="150" s="1"/>
  <c r="AA16" i="150"/>
  <c r="Y16" i="150"/>
  <c r="W16" i="150"/>
  <c r="W24" i="150" s="1"/>
  <c r="V16" i="150"/>
  <c r="U16" i="150"/>
  <c r="S16" i="150"/>
  <c r="Q16" i="150"/>
  <c r="P16" i="150"/>
  <c r="O16" i="150"/>
  <c r="N16" i="150"/>
  <c r="M16" i="150"/>
  <c r="L16" i="150"/>
  <c r="K16" i="150"/>
  <c r="J16" i="150"/>
  <c r="H16" i="150"/>
  <c r="G16" i="150"/>
  <c r="F16" i="150"/>
  <c r="P15" i="150"/>
  <c r="AF14" i="150"/>
  <c r="AD14" i="150"/>
  <c r="AB14" i="150"/>
  <c r="Z14" i="150"/>
  <c r="X14" i="150"/>
  <c r="V14" i="150"/>
  <c r="T14" i="150"/>
  <c r="R14" i="150"/>
  <c r="I14" i="150"/>
  <c r="P13" i="150"/>
  <c r="AF12" i="150"/>
  <c r="AD12" i="150"/>
  <c r="AB12" i="150"/>
  <c r="Z12" i="150"/>
  <c r="X12" i="150"/>
  <c r="V12" i="150"/>
  <c r="T12" i="150"/>
  <c r="R12" i="150"/>
  <c r="I12" i="150"/>
  <c r="P11" i="150"/>
  <c r="AF10" i="150"/>
  <c r="AD10" i="150"/>
  <c r="AB10" i="150"/>
  <c r="Z10" i="150"/>
  <c r="X10" i="150"/>
  <c r="V10" i="150"/>
  <c r="T10" i="150"/>
  <c r="R10" i="150"/>
  <c r="I10" i="150"/>
  <c r="P9" i="150"/>
  <c r="AF8" i="150"/>
  <c r="AD8" i="150"/>
  <c r="AB8" i="150"/>
  <c r="Z8" i="150"/>
  <c r="X8" i="150"/>
  <c r="V8" i="150"/>
  <c r="T8" i="150"/>
  <c r="R8" i="150"/>
  <c r="I8" i="150"/>
  <c r="P7" i="150"/>
  <c r="AF6" i="150"/>
  <c r="AD6" i="150"/>
  <c r="AB6" i="150"/>
  <c r="Z6" i="150"/>
  <c r="X6" i="150"/>
  <c r="V6" i="150"/>
  <c r="T6" i="150"/>
  <c r="R6" i="150"/>
  <c r="I6" i="150"/>
  <c r="I16" i="150" s="1"/>
  <c r="C3" i="150"/>
  <c r="AF64" i="149"/>
  <c r="AD64" i="149"/>
  <c r="AB64" i="149"/>
  <c r="Z64" i="149"/>
  <c r="X64" i="149"/>
  <c r="V64" i="149"/>
  <c r="T64" i="149"/>
  <c r="AF63" i="149"/>
  <c r="AD63" i="149"/>
  <c r="AB63" i="149"/>
  <c r="Z63" i="149"/>
  <c r="X63" i="149"/>
  <c r="V63" i="149"/>
  <c r="T63" i="149"/>
  <c r="AF62" i="149"/>
  <c r="AD62" i="149"/>
  <c r="AB62" i="149"/>
  <c r="Z62" i="149"/>
  <c r="X62" i="149"/>
  <c r="V62" i="149"/>
  <c r="T62" i="149"/>
  <c r="AF61" i="149"/>
  <c r="AD61" i="149"/>
  <c r="AB61" i="149"/>
  <c r="Z61" i="149"/>
  <c r="X61" i="149"/>
  <c r="V61" i="149"/>
  <c r="T61" i="149"/>
  <c r="AF60" i="149"/>
  <c r="AD60" i="149"/>
  <c r="AB60" i="149"/>
  <c r="Z60" i="149"/>
  <c r="X60" i="149"/>
  <c r="V60" i="149"/>
  <c r="T60" i="149"/>
  <c r="AF59" i="149"/>
  <c r="AD59" i="149"/>
  <c r="AB59" i="149"/>
  <c r="Z59" i="149"/>
  <c r="X59" i="149"/>
  <c r="V59" i="149"/>
  <c r="T59" i="149"/>
  <c r="AF58" i="149"/>
  <c r="AD58" i="149"/>
  <c r="AB58" i="149"/>
  <c r="Z58" i="149"/>
  <c r="X58" i="149"/>
  <c r="V58" i="149"/>
  <c r="T58" i="149"/>
  <c r="AF57" i="149"/>
  <c r="AD57" i="149"/>
  <c r="AB57" i="149"/>
  <c r="Z57" i="149"/>
  <c r="X57" i="149"/>
  <c r="V57" i="149"/>
  <c r="T57" i="149"/>
  <c r="AF56" i="149"/>
  <c r="AD56" i="149"/>
  <c r="AB56" i="149"/>
  <c r="Z56" i="149"/>
  <c r="X56" i="149"/>
  <c r="V56" i="149"/>
  <c r="T56" i="149"/>
  <c r="AF55" i="149"/>
  <c r="AD55" i="149"/>
  <c r="AB55" i="149"/>
  <c r="Z55" i="149"/>
  <c r="X55" i="149"/>
  <c r="V55" i="149"/>
  <c r="T55" i="149"/>
  <c r="AF54" i="149"/>
  <c r="AD54" i="149"/>
  <c r="AB54" i="149"/>
  <c r="Z54" i="149"/>
  <c r="X54" i="149"/>
  <c r="V54" i="149"/>
  <c r="T54" i="149"/>
  <c r="AF53" i="149"/>
  <c r="AD53" i="149"/>
  <c r="AB53" i="149"/>
  <c r="Z53" i="149"/>
  <c r="X53" i="149"/>
  <c r="V53" i="149"/>
  <c r="T53" i="149"/>
  <c r="AF52" i="149"/>
  <c r="AD52" i="149"/>
  <c r="AB52" i="149"/>
  <c r="Z52" i="149"/>
  <c r="X52" i="149"/>
  <c r="V52" i="149"/>
  <c r="T52" i="149"/>
  <c r="AF51" i="149"/>
  <c r="AD51" i="149"/>
  <c r="AB51" i="149"/>
  <c r="Z51" i="149"/>
  <c r="X51" i="149"/>
  <c r="V51" i="149"/>
  <c r="T51" i="149"/>
  <c r="AF50" i="149"/>
  <c r="AD50" i="149"/>
  <c r="AB50" i="149"/>
  <c r="Z50" i="149"/>
  <c r="X50" i="149"/>
  <c r="V50" i="149"/>
  <c r="T50" i="149"/>
  <c r="AF49" i="149"/>
  <c r="AD49" i="149"/>
  <c r="AB49" i="149"/>
  <c r="Z49" i="149"/>
  <c r="X49" i="149"/>
  <c r="V49" i="149"/>
  <c r="T49" i="149"/>
  <c r="AF48" i="149"/>
  <c r="AD48" i="149"/>
  <c r="AB48" i="149"/>
  <c r="Z48" i="149"/>
  <c r="X48" i="149"/>
  <c r="V48" i="149"/>
  <c r="T48" i="149"/>
  <c r="AF47" i="149"/>
  <c r="AD47" i="149"/>
  <c r="AB47" i="149"/>
  <c r="Z47" i="149"/>
  <c r="X47" i="149"/>
  <c r="V47" i="149"/>
  <c r="T47" i="149"/>
  <c r="AF46" i="149"/>
  <c r="AD46" i="149"/>
  <c r="AB46" i="149"/>
  <c r="Z46" i="149"/>
  <c r="X46" i="149"/>
  <c r="V46" i="149"/>
  <c r="T46" i="149"/>
  <c r="AF45" i="149"/>
  <c r="AD45" i="149"/>
  <c r="AB45" i="149"/>
  <c r="Z45" i="149"/>
  <c r="X45" i="149"/>
  <c r="V45" i="149"/>
  <c r="T45" i="149"/>
  <c r="AF44" i="149"/>
  <c r="AD44" i="149"/>
  <c r="AB44" i="149"/>
  <c r="Z44" i="149"/>
  <c r="X44" i="149"/>
  <c r="V44" i="149"/>
  <c r="T44" i="149"/>
  <c r="AF43" i="149"/>
  <c r="AD43" i="149"/>
  <c r="AB43" i="149"/>
  <c r="Z43" i="149"/>
  <c r="X43" i="149"/>
  <c r="V43" i="149"/>
  <c r="T43" i="149"/>
  <c r="AF42" i="149"/>
  <c r="AD42" i="149"/>
  <c r="AB42" i="149"/>
  <c r="Z42" i="149"/>
  <c r="X42" i="149"/>
  <c r="V42" i="149"/>
  <c r="T42" i="149"/>
  <c r="AF41" i="149"/>
  <c r="AD41" i="149"/>
  <c r="AB41" i="149"/>
  <c r="Z41" i="149"/>
  <c r="X41" i="149"/>
  <c r="V41" i="149"/>
  <c r="T41" i="149"/>
  <c r="AF40" i="149"/>
  <c r="AD40" i="149"/>
  <c r="AB40" i="149"/>
  <c r="Z40" i="149"/>
  <c r="X40" i="149"/>
  <c r="V40" i="149"/>
  <c r="T40" i="149"/>
  <c r="AF39" i="149"/>
  <c r="AD39" i="149"/>
  <c r="AB39" i="149"/>
  <c r="Z39" i="149"/>
  <c r="X39" i="149"/>
  <c r="V39" i="149"/>
  <c r="T39" i="149"/>
  <c r="AF38" i="149"/>
  <c r="AD38" i="149"/>
  <c r="AB38" i="149"/>
  <c r="Z38" i="149"/>
  <c r="X38" i="149"/>
  <c r="V38" i="149"/>
  <c r="T38" i="149"/>
  <c r="AF37" i="149"/>
  <c r="AD37" i="149"/>
  <c r="AB37" i="149"/>
  <c r="Z37" i="149"/>
  <c r="X37" i="149"/>
  <c r="V37" i="149"/>
  <c r="T37" i="149"/>
  <c r="AF36" i="149"/>
  <c r="AD36" i="149"/>
  <c r="AB36" i="149"/>
  <c r="Z36" i="149"/>
  <c r="X36" i="149"/>
  <c r="V36" i="149"/>
  <c r="T36" i="149"/>
  <c r="AF35" i="149"/>
  <c r="AD35" i="149"/>
  <c r="AB35" i="149"/>
  <c r="Z35" i="149"/>
  <c r="X35" i="149"/>
  <c r="V35" i="149"/>
  <c r="T35" i="149"/>
  <c r="D31" i="149"/>
  <c r="E31" i="149" s="1"/>
  <c r="D30" i="149"/>
  <c r="E30" i="149" s="1"/>
  <c r="D29" i="149"/>
  <c r="E29" i="149" s="1"/>
  <c r="D28" i="149"/>
  <c r="E28" i="149" s="1"/>
  <c r="E27" i="149"/>
  <c r="D27" i="149"/>
  <c r="D26" i="149"/>
  <c r="E26" i="149" s="1"/>
  <c r="AA25" i="149"/>
  <c r="Y25" i="149"/>
  <c r="U25" i="149"/>
  <c r="Y24" i="149"/>
  <c r="AE17" i="149"/>
  <c r="AE25" i="149" s="1"/>
  <c r="AC17" i="149"/>
  <c r="AC25" i="149" s="1"/>
  <c r="AA17" i="149"/>
  <c r="Y17" i="149"/>
  <c r="W17" i="149"/>
  <c r="W25" i="149" s="1"/>
  <c r="U17" i="149"/>
  <c r="S17" i="149"/>
  <c r="S25" i="149" s="1"/>
  <c r="AE16" i="149"/>
  <c r="AE18" i="149" s="1"/>
  <c r="AE26" i="149" s="1"/>
  <c r="AC16" i="149"/>
  <c r="AC18" i="149" s="1"/>
  <c r="AC26" i="149" s="1"/>
  <c r="AB16" i="149"/>
  <c r="AA16" i="149"/>
  <c r="AA18" i="149" s="1"/>
  <c r="AA26" i="149" s="1"/>
  <c r="Z16" i="149"/>
  <c r="Y16" i="149"/>
  <c r="Y18" i="149" s="1"/>
  <c r="Y26" i="149" s="1"/>
  <c r="W16" i="149"/>
  <c r="X16" i="149" s="1"/>
  <c r="U16" i="149"/>
  <c r="V16" i="149" s="1"/>
  <c r="S16" i="149"/>
  <c r="S24" i="149" s="1"/>
  <c r="Q16" i="149"/>
  <c r="P16" i="149"/>
  <c r="O16" i="149"/>
  <c r="N16" i="149"/>
  <c r="L16" i="149"/>
  <c r="K16" i="149"/>
  <c r="J16" i="149"/>
  <c r="H16" i="149"/>
  <c r="G16" i="149"/>
  <c r="F16" i="149"/>
  <c r="P15" i="149"/>
  <c r="AF14" i="149"/>
  <c r="AD14" i="149"/>
  <c r="AB14" i="149"/>
  <c r="Z14" i="149"/>
  <c r="X14" i="149"/>
  <c r="V14" i="149"/>
  <c r="T14" i="149"/>
  <c r="R14" i="149"/>
  <c r="M14" i="149"/>
  <c r="I14" i="149"/>
  <c r="P13" i="149"/>
  <c r="P17" i="149" s="1"/>
  <c r="P18" i="149" s="1"/>
  <c r="AF12" i="149"/>
  <c r="AD12" i="149"/>
  <c r="AB12" i="149"/>
  <c r="Z12" i="149"/>
  <c r="X12" i="149"/>
  <c r="V12" i="149"/>
  <c r="T12" i="149"/>
  <c r="R12" i="149"/>
  <c r="M12" i="149"/>
  <c r="I12" i="149"/>
  <c r="P11" i="149"/>
  <c r="AF10" i="149"/>
  <c r="AD10" i="149"/>
  <c r="AB10" i="149"/>
  <c r="Z10" i="149"/>
  <c r="X10" i="149"/>
  <c r="V10" i="149"/>
  <c r="T10" i="149"/>
  <c r="R10" i="149"/>
  <c r="M10" i="149"/>
  <c r="I10" i="149"/>
  <c r="P9" i="149"/>
  <c r="AF8" i="149"/>
  <c r="AD8" i="149"/>
  <c r="AB8" i="149"/>
  <c r="Z8" i="149"/>
  <c r="X8" i="149"/>
  <c r="V8" i="149"/>
  <c r="T8" i="149"/>
  <c r="R8" i="149"/>
  <c r="M8" i="149"/>
  <c r="I8" i="149"/>
  <c r="I16" i="149" s="1"/>
  <c r="P7" i="149"/>
  <c r="AF6" i="149"/>
  <c r="AD6" i="149"/>
  <c r="AB6" i="149"/>
  <c r="Z6" i="149"/>
  <c r="X6" i="149"/>
  <c r="V6" i="149"/>
  <c r="T6" i="149"/>
  <c r="R6" i="149"/>
  <c r="M6" i="149"/>
  <c r="I6" i="149"/>
  <c r="C3" i="149"/>
  <c r="AF64" i="148"/>
  <c r="AD64" i="148"/>
  <c r="AB64" i="148"/>
  <c r="Z64" i="148"/>
  <c r="X64" i="148"/>
  <c r="V64" i="148"/>
  <c r="T64" i="148"/>
  <c r="AF63" i="148"/>
  <c r="AD63" i="148"/>
  <c r="AB63" i="148"/>
  <c r="Z63" i="148"/>
  <c r="X63" i="148"/>
  <c r="V63" i="148"/>
  <c r="T63" i="148"/>
  <c r="AF62" i="148"/>
  <c r="AD62" i="148"/>
  <c r="AB62" i="148"/>
  <c r="Z62" i="148"/>
  <c r="X62" i="148"/>
  <c r="V62" i="148"/>
  <c r="T62" i="148"/>
  <c r="AF61" i="148"/>
  <c r="AD61" i="148"/>
  <c r="AB61" i="148"/>
  <c r="Z61" i="148"/>
  <c r="X61" i="148"/>
  <c r="V61" i="148"/>
  <c r="T61" i="148"/>
  <c r="AF60" i="148"/>
  <c r="AD60" i="148"/>
  <c r="AB60" i="148"/>
  <c r="Z60" i="148"/>
  <c r="X60" i="148"/>
  <c r="V60" i="148"/>
  <c r="T60" i="148"/>
  <c r="AF59" i="148"/>
  <c r="AD59" i="148"/>
  <c r="AB59" i="148"/>
  <c r="Z59" i="148"/>
  <c r="X59" i="148"/>
  <c r="V59" i="148"/>
  <c r="T59" i="148"/>
  <c r="AF58" i="148"/>
  <c r="AD58" i="148"/>
  <c r="AB58" i="148"/>
  <c r="Z58" i="148"/>
  <c r="X58" i="148"/>
  <c r="V58" i="148"/>
  <c r="T58" i="148"/>
  <c r="AF57" i="148"/>
  <c r="AD57" i="148"/>
  <c r="AB57" i="148"/>
  <c r="Z57" i="148"/>
  <c r="X57" i="148"/>
  <c r="V57" i="148"/>
  <c r="T57" i="148"/>
  <c r="AF56" i="148"/>
  <c r="AD56" i="148"/>
  <c r="AB56" i="148"/>
  <c r="Z56" i="148"/>
  <c r="X56" i="148"/>
  <c r="V56" i="148"/>
  <c r="T56" i="148"/>
  <c r="AF55" i="148"/>
  <c r="AD55" i="148"/>
  <c r="AB55" i="148"/>
  <c r="Z55" i="148"/>
  <c r="X55" i="148"/>
  <c r="V55" i="148"/>
  <c r="T55" i="148"/>
  <c r="AF54" i="148"/>
  <c r="AD54" i="148"/>
  <c r="AB54" i="148"/>
  <c r="Z54" i="148"/>
  <c r="X54" i="148"/>
  <c r="V54" i="148"/>
  <c r="T54" i="148"/>
  <c r="AF53" i="148"/>
  <c r="AD53" i="148"/>
  <c r="AB53" i="148"/>
  <c r="Z53" i="148"/>
  <c r="X53" i="148"/>
  <c r="V53" i="148"/>
  <c r="T53" i="148"/>
  <c r="AF52" i="148"/>
  <c r="AD52" i="148"/>
  <c r="AB52" i="148"/>
  <c r="Z52" i="148"/>
  <c r="X52" i="148"/>
  <c r="V52" i="148"/>
  <c r="T52" i="148"/>
  <c r="AF51" i="148"/>
  <c r="AD51" i="148"/>
  <c r="AB51" i="148"/>
  <c r="Z51" i="148"/>
  <c r="X51" i="148"/>
  <c r="V51" i="148"/>
  <c r="T51" i="148"/>
  <c r="AF50" i="148"/>
  <c r="AD50" i="148"/>
  <c r="AB50" i="148"/>
  <c r="Z50" i="148"/>
  <c r="X50" i="148"/>
  <c r="V50" i="148"/>
  <c r="T50" i="148"/>
  <c r="AF49" i="148"/>
  <c r="AD49" i="148"/>
  <c r="AB49" i="148"/>
  <c r="Z49" i="148"/>
  <c r="X49" i="148"/>
  <c r="V49" i="148"/>
  <c r="T49" i="148"/>
  <c r="AF48" i="148"/>
  <c r="AD48" i="148"/>
  <c r="AB48" i="148"/>
  <c r="Z48" i="148"/>
  <c r="X48" i="148"/>
  <c r="V48" i="148"/>
  <c r="T48" i="148"/>
  <c r="AF47" i="148"/>
  <c r="AD47" i="148"/>
  <c r="AB47" i="148"/>
  <c r="Z47" i="148"/>
  <c r="X47" i="148"/>
  <c r="V47" i="148"/>
  <c r="T47" i="148"/>
  <c r="AF46" i="148"/>
  <c r="AD46" i="148"/>
  <c r="AB46" i="148"/>
  <c r="Z46" i="148"/>
  <c r="X46" i="148"/>
  <c r="V46" i="148"/>
  <c r="T46" i="148"/>
  <c r="AF45" i="148"/>
  <c r="AD45" i="148"/>
  <c r="AB45" i="148"/>
  <c r="Z45" i="148"/>
  <c r="X45" i="148"/>
  <c r="V45" i="148"/>
  <c r="T45" i="148"/>
  <c r="AF44" i="148"/>
  <c r="AD44" i="148"/>
  <c r="AB44" i="148"/>
  <c r="Z44" i="148"/>
  <c r="X44" i="148"/>
  <c r="V44" i="148"/>
  <c r="T44" i="148"/>
  <c r="AF43" i="148"/>
  <c r="AD43" i="148"/>
  <c r="AB43" i="148"/>
  <c r="Z43" i="148"/>
  <c r="X43" i="148"/>
  <c r="V43" i="148"/>
  <c r="T43" i="148"/>
  <c r="AF42" i="148"/>
  <c r="AD42" i="148"/>
  <c r="AB42" i="148"/>
  <c r="Z42" i="148"/>
  <c r="X42" i="148"/>
  <c r="V42" i="148"/>
  <c r="T42" i="148"/>
  <c r="AF41" i="148"/>
  <c r="AD41" i="148"/>
  <c r="AB41" i="148"/>
  <c r="Z41" i="148"/>
  <c r="X41" i="148"/>
  <c r="V41" i="148"/>
  <c r="T41" i="148"/>
  <c r="AF40" i="148"/>
  <c r="AD40" i="148"/>
  <c r="AB40" i="148"/>
  <c r="Z40" i="148"/>
  <c r="X40" i="148"/>
  <c r="V40" i="148"/>
  <c r="T40" i="148"/>
  <c r="AF39" i="148"/>
  <c r="AD39" i="148"/>
  <c r="AB39" i="148"/>
  <c r="Z39" i="148"/>
  <c r="X39" i="148"/>
  <c r="V39" i="148"/>
  <c r="T39" i="148"/>
  <c r="AF38" i="148"/>
  <c r="AD38" i="148"/>
  <c r="AB38" i="148"/>
  <c r="Z38" i="148"/>
  <c r="X38" i="148"/>
  <c r="V38" i="148"/>
  <c r="T38" i="148"/>
  <c r="AF37" i="148"/>
  <c r="AD37" i="148"/>
  <c r="AB37" i="148"/>
  <c r="Z37" i="148"/>
  <c r="X37" i="148"/>
  <c r="V37" i="148"/>
  <c r="T37" i="148"/>
  <c r="AF36" i="148"/>
  <c r="AD36" i="148"/>
  <c r="AB36" i="148"/>
  <c r="Z36" i="148"/>
  <c r="X36" i="148"/>
  <c r="V36" i="148"/>
  <c r="T36" i="148"/>
  <c r="AF35" i="148"/>
  <c r="AD35" i="148"/>
  <c r="AB35" i="148"/>
  <c r="Z35" i="148"/>
  <c r="X35" i="148"/>
  <c r="V35" i="148"/>
  <c r="T35" i="148"/>
  <c r="D31" i="148"/>
  <c r="E31" i="148" s="1"/>
  <c r="E30" i="148"/>
  <c r="D30" i="148"/>
  <c r="E29" i="148"/>
  <c r="D29" i="148"/>
  <c r="D28" i="148"/>
  <c r="E28" i="148" s="1"/>
  <c r="D27" i="148"/>
  <c r="E27" i="148" s="1"/>
  <c r="D26" i="148"/>
  <c r="E26" i="148" s="1"/>
  <c r="W25" i="148"/>
  <c r="U24" i="148"/>
  <c r="AC18" i="148"/>
  <c r="AC26" i="148" s="1"/>
  <c r="AE17" i="148"/>
  <c r="AE25" i="148" s="1"/>
  <c r="AC17" i="148"/>
  <c r="AC25" i="148" s="1"/>
  <c r="AA17" i="148"/>
  <c r="AA25" i="148" s="1"/>
  <c r="Y17" i="148"/>
  <c r="Y25" i="148" s="1"/>
  <c r="W17" i="148"/>
  <c r="U17" i="148"/>
  <c r="U25" i="148" s="1"/>
  <c r="S17" i="148"/>
  <c r="S25" i="148" s="1"/>
  <c r="AE16" i="148"/>
  <c r="AE24" i="148" s="1"/>
  <c r="AC16" i="148"/>
  <c r="AC24" i="148" s="1"/>
  <c r="AA16" i="148"/>
  <c r="AA18" i="148" s="1"/>
  <c r="AA26" i="148" s="1"/>
  <c r="Z16" i="148"/>
  <c r="Y16" i="148"/>
  <c r="Y18" i="148" s="1"/>
  <c r="Y26" i="148" s="1"/>
  <c r="X16" i="148"/>
  <c r="W16" i="148"/>
  <c r="W18" i="148" s="1"/>
  <c r="W26" i="148" s="1"/>
  <c r="U16" i="148"/>
  <c r="V16" i="148" s="1"/>
  <c r="S16" i="148"/>
  <c r="T16" i="148" s="1"/>
  <c r="Q16" i="148"/>
  <c r="P16" i="148"/>
  <c r="O16" i="148"/>
  <c r="N16" i="148"/>
  <c r="L16" i="148"/>
  <c r="K16" i="148"/>
  <c r="J16" i="148"/>
  <c r="H16" i="148"/>
  <c r="G16" i="148"/>
  <c r="F16" i="148"/>
  <c r="P15" i="148"/>
  <c r="AF14" i="148"/>
  <c r="AD14" i="148"/>
  <c r="AB14" i="148"/>
  <c r="Z14" i="148"/>
  <c r="X14" i="148"/>
  <c r="V14" i="148"/>
  <c r="T14" i="148"/>
  <c r="R14" i="148"/>
  <c r="M14" i="148"/>
  <c r="I14" i="148"/>
  <c r="P13" i="148"/>
  <c r="AF12" i="148"/>
  <c r="AD12" i="148"/>
  <c r="AB12" i="148"/>
  <c r="Z12" i="148"/>
  <c r="X12" i="148"/>
  <c r="V12" i="148"/>
  <c r="T12" i="148"/>
  <c r="R12" i="148"/>
  <c r="M12" i="148"/>
  <c r="I12" i="148"/>
  <c r="P11" i="148"/>
  <c r="AF10" i="148"/>
  <c r="AD10" i="148"/>
  <c r="AB10" i="148"/>
  <c r="Z10" i="148"/>
  <c r="X10" i="148"/>
  <c r="V10" i="148"/>
  <c r="T10" i="148"/>
  <c r="R10" i="148"/>
  <c r="M10" i="148"/>
  <c r="I10" i="148"/>
  <c r="P9" i="148"/>
  <c r="AF8" i="148"/>
  <c r="AD8" i="148"/>
  <c r="AB8" i="148"/>
  <c r="Z8" i="148"/>
  <c r="X8" i="148"/>
  <c r="V8" i="148"/>
  <c r="T8" i="148"/>
  <c r="R8" i="148"/>
  <c r="M8" i="148"/>
  <c r="I8" i="148"/>
  <c r="P7" i="148"/>
  <c r="AF6" i="148"/>
  <c r="AD6" i="148"/>
  <c r="AB6" i="148"/>
  <c r="Z6" i="148"/>
  <c r="X6" i="148"/>
  <c r="V6" i="148"/>
  <c r="T6" i="148"/>
  <c r="R6" i="148"/>
  <c r="M6" i="148"/>
  <c r="M16" i="148" s="1"/>
  <c r="I6" i="148"/>
  <c r="C3" i="148"/>
  <c r="AF64" i="147"/>
  <c r="AD64" i="147"/>
  <c r="AB64" i="147"/>
  <c r="Z64" i="147"/>
  <c r="X64" i="147"/>
  <c r="V64" i="147"/>
  <c r="T64" i="147"/>
  <c r="AF63" i="147"/>
  <c r="AD63" i="147"/>
  <c r="AB63" i="147"/>
  <c r="Z63" i="147"/>
  <c r="X63" i="147"/>
  <c r="V63" i="147"/>
  <c r="T63" i="147"/>
  <c r="AF62" i="147"/>
  <c r="AD62" i="147"/>
  <c r="AB62" i="147"/>
  <c r="Z62" i="147"/>
  <c r="X62" i="147"/>
  <c r="V62" i="147"/>
  <c r="T62" i="147"/>
  <c r="AF61" i="147"/>
  <c r="AD61" i="147"/>
  <c r="AB61" i="147"/>
  <c r="Z61" i="147"/>
  <c r="X61" i="147"/>
  <c r="V61" i="147"/>
  <c r="T61" i="147"/>
  <c r="AF60" i="147"/>
  <c r="AD60" i="147"/>
  <c r="AB60" i="147"/>
  <c r="Z60" i="147"/>
  <c r="X60" i="147"/>
  <c r="V60" i="147"/>
  <c r="T60" i="147"/>
  <c r="AF59" i="147"/>
  <c r="AD59" i="147"/>
  <c r="AB59" i="147"/>
  <c r="Z59" i="147"/>
  <c r="X59" i="147"/>
  <c r="V59" i="147"/>
  <c r="T59" i="147"/>
  <c r="AF58" i="147"/>
  <c r="AD58" i="147"/>
  <c r="AB58" i="147"/>
  <c r="Z58" i="147"/>
  <c r="X58" i="147"/>
  <c r="V58" i="147"/>
  <c r="T58" i="147"/>
  <c r="AF57" i="147"/>
  <c r="AD57" i="147"/>
  <c r="AB57" i="147"/>
  <c r="Z57" i="147"/>
  <c r="X57" i="147"/>
  <c r="V57" i="147"/>
  <c r="T57" i="147"/>
  <c r="AF56" i="147"/>
  <c r="AD56" i="147"/>
  <c r="AB56" i="147"/>
  <c r="Z56" i="147"/>
  <c r="X56" i="147"/>
  <c r="V56" i="147"/>
  <c r="T56" i="147"/>
  <c r="AF55" i="147"/>
  <c r="AD55" i="147"/>
  <c r="AB55" i="147"/>
  <c r="Z55" i="147"/>
  <c r="X55" i="147"/>
  <c r="V55" i="147"/>
  <c r="T55" i="147"/>
  <c r="AF54" i="147"/>
  <c r="AD54" i="147"/>
  <c r="AB54" i="147"/>
  <c r="Z54" i="147"/>
  <c r="X54" i="147"/>
  <c r="V54" i="147"/>
  <c r="T54" i="147"/>
  <c r="AF53" i="147"/>
  <c r="AD53" i="147"/>
  <c r="AB53" i="147"/>
  <c r="Z53" i="147"/>
  <c r="X53" i="147"/>
  <c r="V53" i="147"/>
  <c r="T53" i="147"/>
  <c r="AF52" i="147"/>
  <c r="AD52" i="147"/>
  <c r="AB52" i="147"/>
  <c r="Z52" i="147"/>
  <c r="X52" i="147"/>
  <c r="V52" i="147"/>
  <c r="T52" i="147"/>
  <c r="AF51" i="147"/>
  <c r="AD51" i="147"/>
  <c r="AB51" i="147"/>
  <c r="Z51" i="147"/>
  <c r="X51" i="147"/>
  <c r="V51" i="147"/>
  <c r="T51" i="147"/>
  <c r="AF50" i="147"/>
  <c r="AD50" i="147"/>
  <c r="AB50" i="147"/>
  <c r="Z50" i="147"/>
  <c r="X50" i="147"/>
  <c r="V50" i="147"/>
  <c r="T50" i="147"/>
  <c r="AF49" i="147"/>
  <c r="AD49" i="147"/>
  <c r="AB49" i="147"/>
  <c r="Z49" i="147"/>
  <c r="X49" i="147"/>
  <c r="V49" i="147"/>
  <c r="T49" i="147"/>
  <c r="AF48" i="147"/>
  <c r="AD48" i="147"/>
  <c r="AB48" i="147"/>
  <c r="Z48" i="147"/>
  <c r="X48" i="147"/>
  <c r="V48" i="147"/>
  <c r="T48" i="147"/>
  <c r="AF47" i="147"/>
  <c r="AD47" i="147"/>
  <c r="AB47" i="147"/>
  <c r="Z47" i="147"/>
  <c r="X47" i="147"/>
  <c r="V47" i="147"/>
  <c r="T47" i="147"/>
  <c r="AF46" i="147"/>
  <c r="AD46" i="147"/>
  <c r="AB46" i="147"/>
  <c r="Z46" i="147"/>
  <c r="X46" i="147"/>
  <c r="V46" i="147"/>
  <c r="T46" i="147"/>
  <c r="AF45" i="147"/>
  <c r="AD45" i="147"/>
  <c r="AB45" i="147"/>
  <c r="Z45" i="147"/>
  <c r="X45" i="147"/>
  <c r="V45" i="147"/>
  <c r="T45" i="147"/>
  <c r="AF44" i="147"/>
  <c r="AD44" i="147"/>
  <c r="AB44" i="147"/>
  <c r="Z44" i="147"/>
  <c r="X44" i="147"/>
  <c r="V44" i="147"/>
  <c r="T44" i="147"/>
  <c r="AF43" i="147"/>
  <c r="AD43" i="147"/>
  <c r="AB43" i="147"/>
  <c r="Z43" i="147"/>
  <c r="X43" i="147"/>
  <c r="V43" i="147"/>
  <c r="T43" i="147"/>
  <c r="AF42" i="147"/>
  <c r="AD42" i="147"/>
  <c r="AB42" i="147"/>
  <c r="Z42" i="147"/>
  <c r="X42" i="147"/>
  <c r="V42" i="147"/>
  <c r="T42" i="147"/>
  <c r="AF41" i="147"/>
  <c r="AD41" i="147"/>
  <c r="AB41" i="147"/>
  <c r="Z41" i="147"/>
  <c r="X41" i="147"/>
  <c r="V41" i="147"/>
  <c r="T41" i="147"/>
  <c r="AF40" i="147"/>
  <c r="AD40" i="147"/>
  <c r="AB40" i="147"/>
  <c r="Z40" i="147"/>
  <c r="X40" i="147"/>
  <c r="V40" i="147"/>
  <c r="T40" i="147"/>
  <c r="AF39" i="147"/>
  <c r="AD39" i="147"/>
  <c r="AB39" i="147"/>
  <c r="Z39" i="147"/>
  <c r="X39" i="147"/>
  <c r="V39" i="147"/>
  <c r="T39" i="147"/>
  <c r="AF38" i="147"/>
  <c r="AD38" i="147"/>
  <c r="AB38" i="147"/>
  <c r="Z38" i="147"/>
  <c r="X38" i="147"/>
  <c r="V38" i="147"/>
  <c r="T38" i="147"/>
  <c r="AF37" i="147"/>
  <c r="AD37" i="147"/>
  <c r="AB37" i="147"/>
  <c r="Z37" i="147"/>
  <c r="X37" i="147"/>
  <c r="V37" i="147"/>
  <c r="T37" i="147"/>
  <c r="AF36" i="147"/>
  <c r="AD36" i="147"/>
  <c r="AB36" i="147"/>
  <c r="Z36" i="147"/>
  <c r="X36" i="147"/>
  <c r="V36" i="147"/>
  <c r="T36" i="147"/>
  <c r="AF35" i="147"/>
  <c r="AD35" i="147"/>
  <c r="AB35" i="147"/>
  <c r="Z35" i="147"/>
  <c r="X35" i="147"/>
  <c r="V35" i="147"/>
  <c r="T35" i="147"/>
  <c r="D31" i="147"/>
  <c r="E31" i="147" s="1"/>
  <c r="D30" i="147"/>
  <c r="E30" i="147" s="1"/>
  <c r="D29" i="147"/>
  <c r="E29" i="147" s="1"/>
  <c r="D28" i="147"/>
  <c r="E28" i="147" s="1"/>
  <c r="D27" i="147"/>
  <c r="E27" i="147" s="1"/>
  <c r="E26" i="147"/>
  <c r="D26" i="147"/>
  <c r="U25" i="147"/>
  <c r="AA18" i="147"/>
  <c r="AA26" i="147" s="1"/>
  <c r="AE17" i="147"/>
  <c r="AE25" i="147" s="1"/>
  <c r="AC17" i="147"/>
  <c r="AC25" i="147" s="1"/>
  <c r="AA17" i="147"/>
  <c r="AA25" i="147" s="1"/>
  <c r="Y17" i="147"/>
  <c r="Y25" i="147" s="1"/>
  <c r="W17" i="147"/>
  <c r="W25" i="147" s="1"/>
  <c r="U17" i="147"/>
  <c r="S17" i="147"/>
  <c r="S25" i="147" s="1"/>
  <c r="AE16" i="147"/>
  <c r="AE24" i="147" s="1"/>
  <c r="AD16" i="147"/>
  <c r="AC16" i="147"/>
  <c r="AC18" i="147" s="1"/>
  <c r="AC26" i="147" s="1"/>
  <c r="AA16" i="147"/>
  <c r="AB16" i="147" s="1"/>
  <c r="Y16" i="147"/>
  <c r="Y24" i="147" s="1"/>
  <c r="W16" i="147"/>
  <c r="W18" i="147" s="1"/>
  <c r="W26" i="147" s="1"/>
  <c r="U16" i="147"/>
  <c r="V16" i="147" s="1"/>
  <c r="S16" i="147"/>
  <c r="T16" i="147" s="1"/>
  <c r="Q16" i="147"/>
  <c r="P16" i="147"/>
  <c r="O16" i="147"/>
  <c r="N16" i="147"/>
  <c r="L16" i="147"/>
  <c r="K16" i="147"/>
  <c r="J16" i="147"/>
  <c r="H16" i="147"/>
  <c r="G16" i="147"/>
  <c r="F16" i="147"/>
  <c r="P15" i="147"/>
  <c r="P17" i="147" s="1"/>
  <c r="P18" i="147" s="1"/>
  <c r="AF14" i="147"/>
  <c r="AD14" i="147"/>
  <c r="AB14" i="147"/>
  <c r="Z14" i="147"/>
  <c r="X14" i="147"/>
  <c r="V14" i="147"/>
  <c r="T14" i="147"/>
  <c r="R14" i="147"/>
  <c r="M14" i="147"/>
  <c r="I14" i="147"/>
  <c r="P13" i="147"/>
  <c r="AF12" i="147"/>
  <c r="AD12" i="147"/>
  <c r="AB12" i="147"/>
  <c r="Z12" i="147"/>
  <c r="X12" i="147"/>
  <c r="V12" i="147"/>
  <c r="T12" i="147"/>
  <c r="R12" i="147"/>
  <c r="M12" i="147"/>
  <c r="I12" i="147"/>
  <c r="P11" i="147"/>
  <c r="AF10" i="147"/>
  <c r="AD10" i="147"/>
  <c r="AB10" i="147"/>
  <c r="Z10" i="147"/>
  <c r="X10" i="147"/>
  <c r="V10" i="147"/>
  <c r="T10" i="147"/>
  <c r="R10" i="147"/>
  <c r="M10" i="147"/>
  <c r="I10" i="147"/>
  <c r="P9" i="147"/>
  <c r="AF8" i="147"/>
  <c r="AD8" i="147"/>
  <c r="AB8" i="147"/>
  <c r="Z8" i="147"/>
  <c r="X8" i="147"/>
  <c r="V8" i="147"/>
  <c r="T8" i="147"/>
  <c r="R8" i="147"/>
  <c r="M8" i="147"/>
  <c r="I8" i="147"/>
  <c r="P7" i="147"/>
  <c r="AF6" i="147"/>
  <c r="AD6" i="147"/>
  <c r="AB6" i="147"/>
  <c r="Z6" i="147"/>
  <c r="X6" i="147"/>
  <c r="V6" i="147"/>
  <c r="T6" i="147"/>
  <c r="R6" i="147"/>
  <c r="M6" i="147"/>
  <c r="I6" i="147"/>
  <c r="C3" i="147"/>
  <c r="AF64" i="146"/>
  <c r="AD64" i="146"/>
  <c r="AB64" i="146"/>
  <c r="Z64" i="146"/>
  <c r="X64" i="146"/>
  <c r="V64" i="146"/>
  <c r="T64" i="146"/>
  <c r="AF63" i="146"/>
  <c r="AD63" i="146"/>
  <c r="AB63" i="146"/>
  <c r="Z63" i="146"/>
  <c r="X63" i="146"/>
  <c r="V63" i="146"/>
  <c r="T63" i="146"/>
  <c r="AF62" i="146"/>
  <c r="AD62" i="146"/>
  <c r="AB62" i="146"/>
  <c r="Z62" i="146"/>
  <c r="X62" i="146"/>
  <c r="V62" i="146"/>
  <c r="T62" i="146"/>
  <c r="AF61" i="146"/>
  <c r="AD61" i="146"/>
  <c r="AB61" i="146"/>
  <c r="Z61" i="146"/>
  <c r="X61" i="146"/>
  <c r="V61" i="146"/>
  <c r="T61" i="146"/>
  <c r="AF60" i="146"/>
  <c r="AD60" i="146"/>
  <c r="AB60" i="146"/>
  <c r="Z60" i="146"/>
  <c r="X60" i="146"/>
  <c r="V60" i="146"/>
  <c r="T60" i="146"/>
  <c r="AF59" i="146"/>
  <c r="AD59" i="146"/>
  <c r="AB59" i="146"/>
  <c r="Z59" i="146"/>
  <c r="X59" i="146"/>
  <c r="V59" i="146"/>
  <c r="T59" i="146"/>
  <c r="AF58" i="146"/>
  <c r="AD58" i="146"/>
  <c r="AB58" i="146"/>
  <c r="Z58" i="146"/>
  <c r="X58" i="146"/>
  <c r="V58" i="146"/>
  <c r="T58" i="146"/>
  <c r="AF57" i="146"/>
  <c r="AD57" i="146"/>
  <c r="AB57" i="146"/>
  <c r="Z57" i="146"/>
  <c r="X57" i="146"/>
  <c r="V57" i="146"/>
  <c r="T57" i="146"/>
  <c r="AF56" i="146"/>
  <c r="AD56" i="146"/>
  <c r="AB56" i="146"/>
  <c r="Z56" i="146"/>
  <c r="X56" i="146"/>
  <c r="V56" i="146"/>
  <c r="T56" i="146"/>
  <c r="AF55" i="146"/>
  <c r="AD55" i="146"/>
  <c r="AB55" i="146"/>
  <c r="Z55" i="146"/>
  <c r="X55" i="146"/>
  <c r="V55" i="146"/>
  <c r="T55" i="146"/>
  <c r="AF54" i="146"/>
  <c r="AD54" i="146"/>
  <c r="AB54" i="146"/>
  <c r="Z54" i="146"/>
  <c r="X54" i="146"/>
  <c r="V54" i="146"/>
  <c r="T54" i="146"/>
  <c r="AF53" i="146"/>
  <c r="AD53" i="146"/>
  <c r="AB53" i="146"/>
  <c r="Z53" i="146"/>
  <c r="X53" i="146"/>
  <c r="V53" i="146"/>
  <c r="T53" i="146"/>
  <c r="AF52" i="146"/>
  <c r="AD52" i="146"/>
  <c r="AB52" i="146"/>
  <c r="Z52" i="146"/>
  <c r="X52" i="146"/>
  <c r="V52" i="146"/>
  <c r="T52" i="146"/>
  <c r="AF51" i="146"/>
  <c r="AD51" i="146"/>
  <c r="AB51" i="146"/>
  <c r="Z51" i="146"/>
  <c r="X51" i="146"/>
  <c r="V51" i="146"/>
  <c r="T51" i="146"/>
  <c r="AF50" i="146"/>
  <c r="AD50" i="146"/>
  <c r="AB50" i="146"/>
  <c r="Z50" i="146"/>
  <c r="X50" i="146"/>
  <c r="V50" i="146"/>
  <c r="T50" i="146"/>
  <c r="AF49" i="146"/>
  <c r="AD49" i="146"/>
  <c r="AB49" i="146"/>
  <c r="Z49" i="146"/>
  <c r="X49" i="146"/>
  <c r="V49" i="146"/>
  <c r="T49" i="146"/>
  <c r="AF48" i="146"/>
  <c r="AD48" i="146"/>
  <c r="AB48" i="146"/>
  <c r="Z48" i="146"/>
  <c r="X48" i="146"/>
  <c r="V48" i="146"/>
  <c r="T48" i="146"/>
  <c r="AF47" i="146"/>
  <c r="AD47" i="146"/>
  <c r="AB47" i="146"/>
  <c r="Z47" i="146"/>
  <c r="X47" i="146"/>
  <c r="V47" i="146"/>
  <c r="T47" i="146"/>
  <c r="AF46" i="146"/>
  <c r="AD46" i="146"/>
  <c r="AB46" i="146"/>
  <c r="Z46" i="146"/>
  <c r="X46" i="146"/>
  <c r="V46" i="146"/>
  <c r="T46" i="146"/>
  <c r="AF45" i="146"/>
  <c r="AD45" i="146"/>
  <c r="AB45" i="146"/>
  <c r="Z45" i="146"/>
  <c r="X45" i="146"/>
  <c r="V45" i="146"/>
  <c r="T45" i="146"/>
  <c r="AF44" i="146"/>
  <c r="AD44" i="146"/>
  <c r="AB44" i="146"/>
  <c r="Z44" i="146"/>
  <c r="X44" i="146"/>
  <c r="V44" i="146"/>
  <c r="T44" i="146"/>
  <c r="AF43" i="146"/>
  <c r="AD43" i="146"/>
  <c r="AB43" i="146"/>
  <c r="Z43" i="146"/>
  <c r="X43" i="146"/>
  <c r="V43" i="146"/>
  <c r="T43" i="146"/>
  <c r="AF42" i="146"/>
  <c r="AD42" i="146"/>
  <c r="AB42" i="146"/>
  <c r="Z42" i="146"/>
  <c r="X42" i="146"/>
  <c r="V42" i="146"/>
  <c r="T42" i="146"/>
  <c r="AF41" i="146"/>
  <c r="AD41" i="146"/>
  <c r="AB41" i="146"/>
  <c r="Z41" i="146"/>
  <c r="X41" i="146"/>
  <c r="V41" i="146"/>
  <c r="T41" i="146"/>
  <c r="AF40" i="146"/>
  <c r="AD40" i="146"/>
  <c r="AB40" i="146"/>
  <c r="Z40" i="146"/>
  <c r="X40" i="146"/>
  <c r="V40" i="146"/>
  <c r="T40" i="146"/>
  <c r="AF39" i="146"/>
  <c r="AD39" i="146"/>
  <c r="AB39" i="146"/>
  <c r="Z39" i="146"/>
  <c r="X39" i="146"/>
  <c r="V39" i="146"/>
  <c r="T39" i="146"/>
  <c r="AF38" i="146"/>
  <c r="AD38" i="146"/>
  <c r="AB38" i="146"/>
  <c r="Z38" i="146"/>
  <c r="X38" i="146"/>
  <c r="V38" i="146"/>
  <c r="T38" i="146"/>
  <c r="AF37" i="146"/>
  <c r="AD37" i="146"/>
  <c r="AB37" i="146"/>
  <c r="Z37" i="146"/>
  <c r="X37" i="146"/>
  <c r="V37" i="146"/>
  <c r="T37" i="146"/>
  <c r="AF36" i="146"/>
  <c r="AD36" i="146"/>
  <c r="AB36" i="146"/>
  <c r="Z36" i="146"/>
  <c r="X36" i="146"/>
  <c r="V36" i="146"/>
  <c r="T36" i="146"/>
  <c r="AF35" i="146"/>
  <c r="AD35" i="146"/>
  <c r="AB35" i="146"/>
  <c r="Z35" i="146"/>
  <c r="X35" i="146"/>
  <c r="V35" i="146"/>
  <c r="T35" i="146"/>
  <c r="E31" i="146"/>
  <c r="D31" i="146"/>
  <c r="D30" i="146"/>
  <c r="E30" i="146" s="1"/>
  <c r="D29" i="146"/>
  <c r="E29" i="146" s="1"/>
  <c r="E28" i="146"/>
  <c r="D28" i="146"/>
  <c r="D26" i="146"/>
  <c r="E26" i="146" s="1"/>
  <c r="AC24" i="146"/>
  <c r="Y24" i="146"/>
  <c r="AE17" i="146"/>
  <c r="AE25" i="146" s="1"/>
  <c r="AC17" i="146"/>
  <c r="AC25" i="146" s="1"/>
  <c r="AA17" i="146"/>
  <c r="AA25" i="146" s="1"/>
  <c r="Y17" i="146"/>
  <c r="Y25" i="146" s="1"/>
  <c r="W17" i="146"/>
  <c r="W25" i="146" s="1"/>
  <c r="U17" i="146"/>
  <c r="U25" i="146" s="1"/>
  <c r="S17" i="146"/>
  <c r="S25" i="146" s="1"/>
  <c r="AE16" i="146"/>
  <c r="AD16" i="146"/>
  <c r="AC16" i="146"/>
  <c r="AC18" i="146" s="1"/>
  <c r="AC26" i="146" s="1"/>
  <c r="AA16" i="146"/>
  <c r="AA24" i="146" s="1"/>
  <c r="Y16" i="146"/>
  <c r="Z16" i="146" s="1"/>
  <c r="W16" i="146"/>
  <c r="V16" i="146"/>
  <c r="U16" i="146"/>
  <c r="U24" i="146" s="1"/>
  <c r="T16" i="146"/>
  <c r="S16" i="146"/>
  <c r="Q16" i="146"/>
  <c r="P16" i="146"/>
  <c r="O16" i="146"/>
  <c r="N16" i="146"/>
  <c r="L16" i="146"/>
  <c r="K16" i="146"/>
  <c r="J16" i="146"/>
  <c r="H16" i="146"/>
  <c r="G16" i="146"/>
  <c r="F16" i="146"/>
  <c r="P15" i="146"/>
  <c r="AF14" i="146"/>
  <c r="AD14" i="146"/>
  <c r="AB14" i="146"/>
  <c r="Z14" i="146"/>
  <c r="X14" i="146"/>
  <c r="V14" i="146"/>
  <c r="T14" i="146"/>
  <c r="R14" i="146"/>
  <c r="M14" i="146"/>
  <c r="I14" i="146"/>
  <c r="P13" i="146"/>
  <c r="C13" i="146"/>
  <c r="D27" i="146" s="1"/>
  <c r="E27" i="146" s="1"/>
  <c r="AF12" i="146"/>
  <c r="AD12" i="146"/>
  <c r="AB12" i="146"/>
  <c r="Z12" i="146"/>
  <c r="X12" i="146"/>
  <c r="V12" i="146"/>
  <c r="T12" i="146"/>
  <c r="R12" i="146"/>
  <c r="M12" i="146"/>
  <c r="I12" i="146"/>
  <c r="P11" i="146"/>
  <c r="AF10" i="146"/>
  <c r="AD10" i="146"/>
  <c r="AB10" i="146"/>
  <c r="Z10" i="146"/>
  <c r="X10" i="146"/>
  <c r="V10" i="146"/>
  <c r="T10" i="146"/>
  <c r="R10" i="146"/>
  <c r="M10" i="146"/>
  <c r="I10" i="146"/>
  <c r="P9" i="146"/>
  <c r="AF8" i="146"/>
  <c r="AD8" i="146"/>
  <c r="AB8" i="146"/>
  <c r="Z8" i="146"/>
  <c r="X8" i="146"/>
  <c r="V8" i="146"/>
  <c r="T8" i="146"/>
  <c r="R8" i="146"/>
  <c r="M8" i="146"/>
  <c r="I8" i="146"/>
  <c r="P7" i="146"/>
  <c r="AF6" i="146"/>
  <c r="AD6" i="146"/>
  <c r="AB6" i="146"/>
  <c r="Z6" i="146"/>
  <c r="X6" i="146"/>
  <c r="V6" i="146"/>
  <c r="T6" i="146"/>
  <c r="R6" i="146"/>
  <c r="M6" i="146"/>
  <c r="I6" i="146"/>
  <c r="I16" i="146" s="1"/>
  <c r="C3" i="146"/>
  <c r="AF64" i="145"/>
  <c r="AD64" i="145"/>
  <c r="AB64" i="145"/>
  <c r="Z64" i="145"/>
  <c r="X64" i="145"/>
  <c r="V64" i="145"/>
  <c r="T64" i="145"/>
  <c r="AF63" i="145"/>
  <c r="AD63" i="145"/>
  <c r="AB63" i="145"/>
  <c r="Z63" i="145"/>
  <c r="X63" i="145"/>
  <c r="V63" i="145"/>
  <c r="T63" i="145"/>
  <c r="AF62" i="145"/>
  <c r="AD62" i="145"/>
  <c r="AB62" i="145"/>
  <c r="Z62" i="145"/>
  <c r="X62" i="145"/>
  <c r="V62" i="145"/>
  <c r="T62" i="145"/>
  <c r="AF61" i="145"/>
  <c r="AD61" i="145"/>
  <c r="AB61" i="145"/>
  <c r="Z61" i="145"/>
  <c r="X61" i="145"/>
  <c r="V61" i="145"/>
  <c r="T61" i="145"/>
  <c r="AF60" i="145"/>
  <c r="AD60" i="145"/>
  <c r="AB60" i="145"/>
  <c r="Z60" i="145"/>
  <c r="X60" i="145"/>
  <c r="V60" i="145"/>
  <c r="T60" i="145"/>
  <c r="AF59" i="145"/>
  <c r="AD59" i="145"/>
  <c r="AB59" i="145"/>
  <c r="Z59" i="145"/>
  <c r="X59" i="145"/>
  <c r="V59" i="145"/>
  <c r="T59" i="145"/>
  <c r="AF58" i="145"/>
  <c r="AD58" i="145"/>
  <c r="AB58" i="145"/>
  <c r="Z58" i="145"/>
  <c r="X58" i="145"/>
  <c r="V58" i="145"/>
  <c r="T58" i="145"/>
  <c r="AF57" i="145"/>
  <c r="AD57" i="145"/>
  <c r="AB57" i="145"/>
  <c r="Z57" i="145"/>
  <c r="X57" i="145"/>
  <c r="V57" i="145"/>
  <c r="T57" i="145"/>
  <c r="AF56" i="145"/>
  <c r="AD56" i="145"/>
  <c r="AB56" i="145"/>
  <c r="Z56" i="145"/>
  <c r="X56" i="145"/>
  <c r="V56" i="145"/>
  <c r="T56" i="145"/>
  <c r="AF55" i="145"/>
  <c r="AD55" i="145"/>
  <c r="AB55" i="145"/>
  <c r="Z55" i="145"/>
  <c r="X55" i="145"/>
  <c r="V55" i="145"/>
  <c r="T55" i="145"/>
  <c r="AF54" i="145"/>
  <c r="AD54" i="145"/>
  <c r="AB54" i="145"/>
  <c r="Z54" i="145"/>
  <c r="X54" i="145"/>
  <c r="V54" i="145"/>
  <c r="T54" i="145"/>
  <c r="AF53" i="145"/>
  <c r="AD53" i="145"/>
  <c r="AB53" i="145"/>
  <c r="Z53" i="145"/>
  <c r="X53" i="145"/>
  <c r="V53" i="145"/>
  <c r="T53" i="145"/>
  <c r="AF52" i="145"/>
  <c r="AD52" i="145"/>
  <c r="AB52" i="145"/>
  <c r="Z52" i="145"/>
  <c r="X52" i="145"/>
  <c r="V52" i="145"/>
  <c r="T52" i="145"/>
  <c r="AF51" i="145"/>
  <c r="AD51" i="145"/>
  <c r="AB51" i="145"/>
  <c r="Z51" i="145"/>
  <c r="X51" i="145"/>
  <c r="V51" i="145"/>
  <c r="T51" i="145"/>
  <c r="AF50" i="145"/>
  <c r="AD50" i="145"/>
  <c r="AB50" i="145"/>
  <c r="Z50" i="145"/>
  <c r="X50" i="145"/>
  <c r="V50" i="145"/>
  <c r="T50" i="145"/>
  <c r="AF49" i="145"/>
  <c r="AD49" i="145"/>
  <c r="AB49" i="145"/>
  <c r="Z49" i="145"/>
  <c r="X49" i="145"/>
  <c r="V49" i="145"/>
  <c r="T49" i="145"/>
  <c r="AF48" i="145"/>
  <c r="AD48" i="145"/>
  <c r="AB48" i="145"/>
  <c r="Z48" i="145"/>
  <c r="X48" i="145"/>
  <c r="V48" i="145"/>
  <c r="T48" i="145"/>
  <c r="AF47" i="145"/>
  <c r="AD47" i="145"/>
  <c r="AB47" i="145"/>
  <c r="Z47" i="145"/>
  <c r="X47" i="145"/>
  <c r="V47" i="145"/>
  <c r="T47" i="145"/>
  <c r="AF46" i="145"/>
  <c r="AD46" i="145"/>
  <c r="AB46" i="145"/>
  <c r="Z46" i="145"/>
  <c r="X46" i="145"/>
  <c r="V46" i="145"/>
  <c r="T46" i="145"/>
  <c r="AF45" i="145"/>
  <c r="AD45" i="145"/>
  <c r="AB45" i="145"/>
  <c r="Z45" i="145"/>
  <c r="X45" i="145"/>
  <c r="V45" i="145"/>
  <c r="T45" i="145"/>
  <c r="AF44" i="145"/>
  <c r="AD44" i="145"/>
  <c r="AB44" i="145"/>
  <c r="Z44" i="145"/>
  <c r="X44" i="145"/>
  <c r="V44" i="145"/>
  <c r="T44" i="145"/>
  <c r="AF43" i="145"/>
  <c r="AD43" i="145"/>
  <c r="AB43" i="145"/>
  <c r="Z43" i="145"/>
  <c r="X43" i="145"/>
  <c r="V43" i="145"/>
  <c r="T43" i="145"/>
  <c r="AF42" i="145"/>
  <c r="AD42" i="145"/>
  <c r="AB42" i="145"/>
  <c r="Z42" i="145"/>
  <c r="X42" i="145"/>
  <c r="V42" i="145"/>
  <c r="T42" i="145"/>
  <c r="AF41" i="145"/>
  <c r="AD41" i="145"/>
  <c r="AB41" i="145"/>
  <c r="Z41" i="145"/>
  <c r="X41" i="145"/>
  <c r="V41" i="145"/>
  <c r="T41" i="145"/>
  <c r="AF40" i="145"/>
  <c r="AD40" i="145"/>
  <c r="AB40" i="145"/>
  <c r="Z40" i="145"/>
  <c r="X40" i="145"/>
  <c r="V40" i="145"/>
  <c r="T40" i="145"/>
  <c r="AF39" i="145"/>
  <c r="AD39" i="145"/>
  <c r="AB39" i="145"/>
  <c r="Z39" i="145"/>
  <c r="X39" i="145"/>
  <c r="V39" i="145"/>
  <c r="T39" i="145"/>
  <c r="AF38" i="145"/>
  <c r="AD38" i="145"/>
  <c r="AB38" i="145"/>
  <c r="Z38" i="145"/>
  <c r="X38" i="145"/>
  <c r="V38" i="145"/>
  <c r="T38" i="145"/>
  <c r="AF37" i="145"/>
  <c r="AD37" i="145"/>
  <c r="AB37" i="145"/>
  <c r="Z37" i="145"/>
  <c r="X37" i="145"/>
  <c r="V37" i="145"/>
  <c r="T37" i="145"/>
  <c r="AF36" i="145"/>
  <c r="AD36" i="145"/>
  <c r="AB36" i="145"/>
  <c r="Z36" i="145"/>
  <c r="X36" i="145"/>
  <c r="V36" i="145"/>
  <c r="T36" i="145"/>
  <c r="AF35" i="145"/>
  <c r="AD35" i="145"/>
  <c r="AB35" i="145"/>
  <c r="Z35" i="145"/>
  <c r="X35" i="145"/>
  <c r="V35" i="145"/>
  <c r="T35" i="145"/>
  <c r="D31" i="145"/>
  <c r="E31" i="145" s="1"/>
  <c r="D30" i="145"/>
  <c r="E30" i="145" s="1"/>
  <c r="D29" i="145"/>
  <c r="E29" i="145" s="1"/>
  <c r="D28" i="145"/>
  <c r="E28" i="145" s="1"/>
  <c r="D27" i="145"/>
  <c r="E27" i="145" s="1"/>
  <c r="D26" i="145"/>
  <c r="E26" i="145" s="1"/>
  <c r="U18" i="145"/>
  <c r="U26" i="145" s="1"/>
  <c r="S18" i="145"/>
  <c r="S26" i="145" s="1"/>
  <c r="AE17" i="145"/>
  <c r="AE25" i="145" s="1"/>
  <c r="AC17" i="145"/>
  <c r="AC25" i="145" s="1"/>
  <c r="AA17" i="145"/>
  <c r="AA25" i="145" s="1"/>
  <c r="Y17" i="145"/>
  <c r="Y25" i="145" s="1"/>
  <c r="W17" i="145"/>
  <c r="W25" i="145" s="1"/>
  <c r="U17" i="145"/>
  <c r="U25" i="145" s="1"/>
  <c r="S17" i="145"/>
  <c r="S25" i="145" s="1"/>
  <c r="AF16" i="145"/>
  <c r="AE16" i="145"/>
  <c r="AE24" i="145" s="1"/>
  <c r="AC16" i="145"/>
  <c r="AC18" i="145" s="1"/>
  <c r="AC26" i="145" s="1"/>
  <c r="AA16" i="145"/>
  <c r="AA18" i="145" s="1"/>
  <c r="AA26" i="145" s="1"/>
  <c r="Y16" i="145"/>
  <c r="Y24" i="145" s="1"/>
  <c r="W16" i="145"/>
  <c r="W24" i="145" s="1"/>
  <c r="U16" i="145"/>
  <c r="U24" i="145" s="1"/>
  <c r="S16" i="145"/>
  <c r="S24" i="145" s="1"/>
  <c r="Q16" i="145"/>
  <c r="P16" i="145"/>
  <c r="O16" i="145"/>
  <c r="N16" i="145"/>
  <c r="L16" i="145"/>
  <c r="K16" i="145"/>
  <c r="J16" i="145"/>
  <c r="H16" i="145"/>
  <c r="G16" i="145"/>
  <c r="F16" i="145"/>
  <c r="P15" i="145"/>
  <c r="AF14" i="145"/>
  <c r="AD14" i="145"/>
  <c r="AB14" i="145"/>
  <c r="Z14" i="145"/>
  <c r="X14" i="145"/>
  <c r="V14" i="145"/>
  <c r="T14" i="145"/>
  <c r="R14" i="145"/>
  <c r="M14" i="145"/>
  <c r="I14" i="145"/>
  <c r="P13" i="145"/>
  <c r="C13" i="145"/>
  <c r="AF12" i="145"/>
  <c r="AD12" i="145"/>
  <c r="AB12" i="145"/>
  <c r="Z12" i="145"/>
  <c r="X12" i="145"/>
  <c r="V12" i="145"/>
  <c r="T12" i="145"/>
  <c r="R12" i="145"/>
  <c r="M12" i="145"/>
  <c r="I12" i="145"/>
  <c r="P11" i="145"/>
  <c r="AF10" i="145"/>
  <c r="AD10" i="145"/>
  <c r="AB10" i="145"/>
  <c r="Z10" i="145"/>
  <c r="X10" i="145"/>
  <c r="V10" i="145"/>
  <c r="T10" i="145"/>
  <c r="R10" i="145"/>
  <c r="M10" i="145"/>
  <c r="I10" i="145"/>
  <c r="P9" i="145"/>
  <c r="AF8" i="145"/>
  <c r="AD8" i="145"/>
  <c r="AB8" i="145"/>
  <c r="Z8" i="145"/>
  <c r="X8" i="145"/>
  <c r="V8" i="145"/>
  <c r="T8" i="145"/>
  <c r="R8" i="145"/>
  <c r="M8" i="145"/>
  <c r="I8" i="145"/>
  <c r="P7" i="145"/>
  <c r="AF6" i="145"/>
  <c r="AD6" i="145"/>
  <c r="AB6" i="145"/>
  <c r="Z6" i="145"/>
  <c r="X6" i="145"/>
  <c r="V6" i="145"/>
  <c r="T6" i="145"/>
  <c r="R6" i="145"/>
  <c r="M6" i="145"/>
  <c r="I6" i="145"/>
  <c r="C3" i="145"/>
  <c r="AF64" i="144"/>
  <c r="AD64" i="144"/>
  <c r="AB64" i="144"/>
  <c r="Z64" i="144"/>
  <c r="X64" i="144"/>
  <c r="V64" i="144"/>
  <c r="T64" i="144"/>
  <c r="AF63" i="144"/>
  <c r="AD63" i="144"/>
  <c r="AB63" i="144"/>
  <c r="Z63" i="144"/>
  <c r="X63" i="144"/>
  <c r="V63" i="144"/>
  <c r="T63" i="144"/>
  <c r="AF62" i="144"/>
  <c r="AD62" i="144"/>
  <c r="AB62" i="144"/>
  <c r="Z62" i="144"/>
  <c r="X62" i="144"/>
  <c r="V62" i="144"/>
  <c r="T62" i="144"/>
  <c r="AF61" i="144"/>
  <c r="AD61" i="144"/>
  <c r="AB61" i="144"/>
  <c r="Z61" i="144"/>
  <c r="X61" i="144"/>
  <c r="V61" i="144"/>
  <c r="T61" i="144"/>
  <c r="AF60" i="144"/>
  <c r="AD60" i="144"/>
  <c r="AB60" i="144"/>
  <c r="Z60" i="144"/>
  <c r="X60" i="144"/>
  <c r="V60" i="144"/>
  <c r="T60" i="144"/>
  <c r="AF59" i="144"/>
  <c r="AD59" i="144"/>
  <c r="AB59" i="144"/>
  <c r="Z59" i="144"/>
  <c r="X59" i="144"/>
  <c r="V59" i="144"/>
  <c r="T59" i="144"/>
  <c r="AF58" i="144"/>
  <c r="AD58" i="144"/>
  <c r="AB58" i="144"/>
  <c r="Z58" i="144"/>
  <c r="X58" i="144"/>
  <c r="V58" i="144"/>
  <c r="T58" i="144"/>
  <c r="AF57" i="144"/>
  <c r="AD57" i="144"/>
  <c r="AB57" i="144"/>
  <c r="Z57" i="144"/>
  <c r="X57" i="144"/>
  <c r="V57" i="144"/>
  <c r="T57" i="144"/>
  <c r="AF56" i="144"/>
  <c r="AD56" i="144"/>
  <c r="AB56" i="144"/>
  <c r="Z56" i="144"/>
  <c r="X56" i="144"/>
  <c r="V56" i="144"/>
  <c r="T56" i="144"/>
  <c r="AF55" i="144"/>
  <c r="AD55" i="144"/>
  <c r="AB55" i="144"/>
  <c r="Z55" i="144"/>
  <c r="X55" i="144"/>
  <c r="V55" i="144"/>
  <c r="T55" i="144"/>
  <c r="AF54" i="144"/>
  <c r="AD54" i="144"/>
  <c r="AB54" i="144"/>
  <c r="Z54" i="144"/>
  <c r="X54" i="144"/>
  <c r="V54" i="144"/>
  <c r="T54" i="144"/>
  <c r="AF53" i="144"/>
  <c r="AD53" i="144"/>
  <c r="AB53" i="144"/>
  <c r="Z53" i="144"/>
  <c r="X53" i="144"/>
  <c r="V53" i="144"/>
  <c r="T53" i="144"/>
  <c r="AF52" i="144"/>
  <c r="AD52" i="144"/>
  <c r="AB52" i="144"/>
  <c r="Z52" i="144"/>
  <c r="X52" i="144"/>
  <c r="V52" i="144"/>
  <c r="T52" i="144"/>
  <c r="AF51" i="144"/>
  <c r="AD51" i="144"/>
  <c r="AB51" i="144"/>
  <c r="Z51" i="144"/>
  <c r="X51" i="144"/>
  <c r="V51" i="144"/>
  <c r="T51" i="144"/>
  <c r="AF50" i="144"/>
  <c r="AD50" i="144"/>
  <c r="AB50" i="144"/>
  <c r="Z50" i="144"/>
  <c r="X50" i="144"/>
  <c r="V50" i="144"/>
  <c r="T50" i="144"/>
  <c r="AF49" i="144"/>
  <c r="AD49" i="144"/>
  <c r="AB49" i="144"/>
  <c r="Z49" i="144"/>
  <c r="X49" i="144"/>
  <c r="V49" i="144"/>
  <c r="T49" i="144"/>
  <c r="AF48" i="144"/>
  <c r="AD48" i="144"/>
  <c r="AB48" i="144"/>
  <c r="Z48" i="144"/>
  <c r="X48" i="144"/>
  <c r="V48" i="144"/>
  <c r="T48" i="144"/>
  <c r="AF47" i="144"/>
  <c r="AD47" i="144"/>
  <c r="AB47" i="144"/>
  <c r="Z47" i="144"/>
  <c r="X47" i="144"/>
  <c r="V47" i="144"/>
  <c r="T47" i="144"/>
  <c r="AF46" i="144"/>
  <c r="AD46" i="144"/>
  <c r="AB46" i="144"/>
  <c r="Z46" i="144"/>
  <c r="X46" i="144"/>
  <c r="V46" i="144"/>
  <c r="T46" i="144"/>
  <c r="AF45" i="144"/>
  <c r="AD45" i="144"/>
  <c r="AB45" i="144"/>
  <c r="Z45" i="144"/>
  <c r="X45" i="144"/>
  <c r="V45" i="144"/>
  <c r="T45" i="144"/>
  <c r="AF44" i="144"/>
  <c r="AD44" i="144"/>
  <c r="AB44" i="144"/>
  <c r="Z44" i="144"/>
  <c r="X44" i="144"/>
  <c r="V44" i="144"/>
  <c r="T44" i="144"/>
  <c r="AF43" i="144"/>
  <c r="AD43" i="144"/>
  <c r="AB43" i="144"/>
  <c r="Z43" i="144"/>
  <c r="X43" i="144"/>
  <c r="V43" i="144"/>
  <c r="T43" i="144"/>
  <c r="AF42" i="144"/>
  <c r="AD42" i="144"/>
  <c r="AB42" i="144"/>
  <c r="Z42" i="144"/>
  <c r="X42" i="144"/>
  <c r="V42" i="144"/>
  <c r="T42" i="144"/>
  <c r="AF41" i="144"/>
  <c r="AD41" i="144"/>
  <c r="AB41" i="144"/>
  <c r="Z41" i="144"/>
  <c r="X41" i="144"/>
  <c r="V41" i="144"/>
  <c r="T41" i="144"/>
  <c r="AF40" i="144"/>
  <c r="AD40" i="144"/>
  <c r="AB40" i="144"/>
  <c r="Z40" i="144"/>
  <c r="X40" i="144"/>
  <c r="V40" i="144"/>
  <c r="T40" i="144"/>
  <c r="AF39" i="144"/>
  <c r="AD39" i="144"/>
  <c r="AB39" i="144"/>
  <c r="Z39" i="144"/>
  <c r="X39" i="144"/>
  <c r="V39" i="144"/>
  <c r="T39" i="144"/>
  <c r="AF38" i="144"/>
  <c r="AD38" i="144"/>
  <c r="AB38" i="144"/>
  <c r="Z38" i="144"/>
  <c r="X38" i="144"/>
  <c r="V38" i="144"/>
  <c r="T38" i="144"/>
  <c r="AF37" i="144"/>
  <c r="AD37" i="144"/>
  <c r="AB37" i="144"/>
  <c r="Z37" i="144"/>
  <c r="X37" i="144"/>
  <c r="V37" i="144"/>
  <c r="T37" i="144"/>
  <c r="AF36" i="144"/>
  <c r="AD36" i="144"/>
  <c r="AB36" i="144"/>
  <c r="Z36" i="144"/>
  <c r="X36" i="144"/>
  <c r="V36" i="144"/>
  <c r="T36" i="144"/>
  <c r="AF35" i="144"/>
  <c r="AD35" i="144"/>
  <c r="AB35" i="144"/>
  <c r="Z35" i="144"/>
  <c r="X35" i="144"/>
  <c r="V35" i="144"/>
  <c r="T35" i="144"/>
  <c r="E31" i="144"/>
  <c r="D31" i="144"/>
  <c r="D30" i="144"/>
  <c r="E30" i="144" s="1"/>
  <c r="D29" i="144"/>
  <c r="E29" i="144" s="1"/>
  <c r="E28" i="144"/>
  <c r="D28" i="144"/>
  <c r="AA26" i="144"/>
  <c r="D26" i="144"/>
  <c r="E26" i="144" s="1"/>
  <c r="Y25" i="144"/>
  <c r="W25" i="144"/>
  <c r="AA24" i="144"/>
  <c r="Y24" i="144"/>
  <c r="S24" i="144"/>
  <c r="S18" i="144"/>
  <c r="S26" i="144" s="1"/>
  <c r="AE17" i="144"/>
  <c r="AE25" i="144" s="1"/>
  <c r="AC17" i="144"/>
  <c r="AC25" i="144" s="1"/>
  <c r="AA17" i="144"/>
  <c r="AA25" i="144" s="1"/>
  <c r="Y17" i="144"/>
  <c r="W17" i="144"/>
  <c r="U17" i="144"/>
  <c r="U25" i="144" s="1"/>
  <c r="S17" i="144"/>
  <c r="S25" i="144" s="1"/>
  <c r="AE16" i="144"/>
  <c r="AC16" i="144"/>
  <c r="AC24" i="144" s="1"/>
  <c r="AB16" i="144"/>
  <c r="AA16" i="144"/>
  <c r="AA18" i="144" s="1"/>
  <c r="Z16" i="144"/>
  <c r="Y16" i="144"/>
  <c r="Y18" i="144" s="1"/>
  <c r="Y26" i="144" s="1"/>
  <c r="W16" i="144"/>
  <c r="V16" i="144"/>
  <c r="U16" i="144"/>
  <c r="U24" i="144" s="1"/>
  <c r="T16" i="144"/>
  <c r="S16" i="144"/>
  <c r="Q16" i="144"/>
  <c r="P16" i="144"/>
  <c r="O16" i="144"/>
  <c r="N16" i="144"/>
  <c r="L16" i="144"/>
  <c r="K16" i="144"/>
  <c r="J16" i="144"/>
  <c r="H16" i="144"/>
  <c r="G16" i="144"/>
  <c r="F16" i="144"/>
  <c r="P15" i="144"/>
  <c r="AF14" i="144"/>
  <c r="AD14" i="144"/>
  <c r="AB14" i="144"/>
  <c r="Z14" i="144"/>
  <c r="X14" i="144"/>
  <c r="V14" i="144"/>
  <c r="T14" i="144"/>
  <c r="R14" i="144"/>
  <c r="M14" i="144"/>
  <c r="I14" i="144"/>
  <c r="P13" i="144"/>
  <c r="C13" i="144"/>
  <c r="D27" i="144" s="1"/>
  <c r="E27" i="144" s="1"/>
  <c r="AF12" i="144"/>
  <c r="AD12" i="144"/>
  <c r="AB12" i="144"/>
  <c r="Z12" i="144"/>
  <c r="X12" i="144"/>
  <c r="V12" i="144"/>
  <c r="T12" i="144"/>
  <c r="R12" i="144"/>
  <c r="M12" i="144"/>
  <c r="I12" i="144"/>
  <c r="P11" i="144"/>
  <c r="AF10" i="144"/>
  <c r="AD10" i="144"/>
  <c r="AB10" i="144"/>
  <c r="Z10" i="144"/>
  <c r="X10" i="144"/>
  <c r="V10" i="144"/>
  <c r="T10" i="144"/>
  <c r="R10" i="144"/>
  <c r="M10" i="144"/>
  <c r="I10" i="144"/>
  <c r="P9" i="144"/>
  <c r="AF8" i="144"/>
  <c r="AD8" i="144"/>
  <c r="AB8" i="144"/>
  <c r="Z8" i="144"/>
  <c r="X8" i="144"/>
  <c r="V8" i="144"/>
  <c r="T8" i="144"/>
  <c r="R8" i="144"/>
  <c r="M8" i="144"/>
  <c r="I8" i="144"/>
  <c r="P7" i="144"/>
  <c r="AF6" i="144"/>
  <c r="AD6" i="144"/>
  <c r="AB6" i="144"/>
  <c r="Z6" i="144"/>
  <c r="X6" i="144"/>
  <c r="V6" i="144"/>
  <c r="T6" i="144"/>
  <c r="R6" i="144"/>
  <c r="M6" i="144"/>
  <c r="I6" i="144"/>
  <c r="C3" i="144"/>
  <c r="AF64" i="143"/>
  <c r="AD64" i="143"/>
  <c r="AB64" i="143"/>
  <c r="Z64" i="143"/>
  <c r="X64" i="143"/>
  <c r="V64" i="143"/>
  <c r="T64" i="143"/>
  <c r="AF63" i="143"/>
  <c r="AD63" i="143"/>
  <c r="AB63" i="143"/>
  <c r="Z63" i="143"/>
  <c r="X63" i="143"/>
  <c r="V63" i="143"/>
  <c r="T63" i="143"/>
  <c r="AF62" i="143"/>
  <c r="AD62" i="143"/>
  <c r="AB62" i="143"/>
  <c r="Z62" i="143"/>
  <c r="X62" i="143"/>
  <c r="V62" i="143"/>
  <c r="T62" i="143"/>
  <c r="AF61" i="143"/>
  <c r="AD61" i="143"/>
  <c r="AB61" i="143"/>
  <c r="Z61" i="143"/>
  <c r="X61" i="143"/>
  <c r="V61" i="143"/>
  <c r="T61" i="143"/>
  <c r="AF60" i="143"/>
  <c r="AD60" i="143"/>
  <c r="AB60" i="143"/>
  <c r="Z60" i="143"/>
  <c r="X60" i="143"/>
  <c r="V60" i="143"/>
  <c r="T60" i="143"/>
  <c r="AF59" i="143"/>
  <c r="AD59" i="143"/>
  <c r="AB59" i="143"/>
  <c r="Z59" i="143"/>
  <c r="X59" i="143"/>
  <c r="V59" i="143"/>
  <c r="T59" i="143"/>
  <c r="AF58" i="143"/>
  <c r="AD58" i="143"/>
  <c r="AB58" i="143"/>
  <c r="Z58" i="143"/>
  <c r="X58" i="143"/>
  <c r="V58" i="143"/>
  <c r="T58" i="143"/>
  <c r="AF57" i="143"/>
  <c r="AD57" i="143"/>
  <c r="AB57" i="143"/>
  <c r="Z57" i="143"/>
  <c r="X57" i="143"/>
  <c r="V57" i="143"/>
  <c r="T57" i="143"/>
  <c r="AF56" i="143"/>
  <c r="AD56" i="143"/>
  <c r="AB56" i="143"/>
  <c r="Z56" i="143"/>
  <c r="X56" i="143"/>
  <c r="V56" i="143"/>
  <c r="T56" i="143"/>
  <c r="AF55" i="143"/>
  <c r="AD55" i="143"/>
  <c r="AB55" i="143"/>
  <c r="Z55" i="143"/>
  <c r="X55" i="143"/>
  <c r="V55" i="143"/>
  <c r="T55" i="143"/>
  <c r="AF54" i="143"/>
  <c r="AD54" i="143"/>
  <c r="AB54" i="143"/>
  <c r="Z54" i="143"/>
  <c r="X54" i="143"/>
  <c r="V54" i="143"/>
  <c r="T54" i="143"/>
  <c r="AF53" i="143"/>
  <c r="AD53" i="143"/>
  <c r="AB53" i="143"/>
  <c r="Z53" i="143"/>
  <c r="X53" i="143"/>
  <c r="V53" i="143"/>
  <c r="T53" i="143"/>
  <c r="AF52" i="143"/>
  <c r="AD52" i="143"/>
  <c r="AB52" i="143"/>
  <c r="Z52" i="143"/>
  <c r="X52" i="143"/>
  <c r="V52" i="143"/>
  <c r="T52" i="143"/>
  <c r="AF51" i="143"/>
  <c r="AD51" i="143"/>
  <c r="AB51" i="143"/>
  <c r="Z51" i="143"/>
  <c r="X51" i="143"/>
  <c r="V51" i="143"/>
  <c r="T51" i="143"/>
  <c r="AF50" i="143"/>
  <c r="AD50" i="143"/>
  <c r="AB50" i="143"/>
  <c r="Z50" i="143"/>
  <c r="X50" i="143"/>
  <c r="V50" i="143"/>
  <c r="T50" i="143"/>
  <c r="AF49" i="143"/>
  <c r="AD49" i="143"/>
  <c r="AB49" i="143"/>
  <c r="Z49" i="143"/>
  <c r="X49" i="143"/>
  <c r="V49" i="143"/>
  <c r="T49" i="143"/>
  <c r="AF48" i="143"/>
  <c r="AD48" i="143"/>
  <c r="AB48" i="143"/>
  <c r="Z48" i="143"/>
  <c r="X48" i="143"/>
  <c r="V48" i="143"/>
  <c r="T48" i="143"/>
  <c r="AF47" i="143"/>
  <c r="AD47" i="143"/>
  <c r="AB47" i="143"/>
  <c r="Z47" i="143"/>
  <c r="X47" i="143"/>
  <c r="V47" i="143"/>
  <c r="T47" i="143"/>
  <c r="AF46" i="143"/>
  <c r="AD46" i="143"/>
  <c r="AB46" i="143"/>
  <c r="Z46" i="143"/>
  <c r="X46" i="143"/>
  <c r="V46" i="143"/>
  <c r="T46" i="143"/>
  <c r="AF45" i="143"/>
  <c r="AD45" i="143"/>
  <c r="AB45" i="143"/>
  <c r="Z45" i="143"/>
  <c r="X45" i="143"/>
  <c r="V45" i="143"/>
  <c r="T45" i="143"/>
  <c r="AF44" i="143"/>
  <c r="AD44" i="143"/>
  <c r="AB44" i="143"/>
  <c r="Z44" i="143"/>
  <c r="X44" i="143"/>
  <c r="V44" i="143"/>
  <c r="T44" i="143"/>
  <c r="AF43" i="143"/>
  <c r="AD43" i="143"/>
  <c r="AB43" i="143"/>
  <c r="Z43" i="143"/>
  <c r="X43" i="143"/>
  <c r="V43" i="143"/>
  <c r="T43" i="143"/>
  <c r="AF42" i="143"/>
  <c r="AD42" i="143"/>
  <c r="AB42" i="143"/>
  <c r="Z42" i="143"/>
  <c r="X42" i="143"/>
  <c r="V42" i="143"/>
  <c r="T42" i="143"/>
  <c r="AF41" i="143"/>
  <c r="AD41" i="143"/>
  <c r="AB41" i="143"/>
  <c r="Z41" i="143"/>
  <c r="X41" i="143"/>
  <c r="V41" i="143"/>
  <c r="T41" i="143"/>
  <c r="AF40" i="143"/>
  <c r="AD40" i="143"/>
  <c r="AB40" i="143"/>
  <c r="Z40" i="143"/>
  <c r="X40" i="143"/>
  <c r="V40" i="143"/>
  <c r="T40" i="143"/>
  <c r="AF39" i="143"/>
  <c r="AD39" i="143"/>
  <c r="AB39" i="143"/>
  <c r="Z39" i="143"/>
  <c r="X39" i="143"/>
  <c r="V39" i="143"/>
  <c r="T39" i="143"/>
  <c r="AF38" i="143"/>
  <c r="AD38" i="143"/>
  <c r="AB38" i="143"/>
  <c r="Z38" i="143"/>
  <c r="X38" i="143"/>
  <c r="V38" i="143"/>
  <c r="T38" i="143"/>
  <c r="AF37" i="143"/>
  <c r="AD37" i="143"/>
  <c r="AB37" i="143"/>
  <c r="Z37" i="143"/>
  <c r="X37" i="143"/>
  <c r="V37" i="143"/>
  <c r="T37" i="143"/>
  <c r="AF36" i="143"/>
  <c r="AD36" i="143"/>
  <c r="AB36" i="143"/>
  <c r="Z36" i="143"/>
  <c r="X36" i="143"/>
  <c r="V36" i="143"/>
  <c r="T36" i="143"/>
  <c r="AF35" i="143"/>
  <c r="AD35" i="143"/>
  <c r="AB35" i="143"/>
  <c r="Z35" i="143"/>
  <c r="X35" i="143"/>
  <c r="V35" i="143"/>
  <c r="T35" i="143"/>
  <c r="D31" i="143"/>
  <c r="E31" i="143" s="1"/>
  <c r="D30" i="143"/>
  <c r="E30" i="143" s="1"/>
  <c r="D29" i="143"/>
  <c r="E29" i="143" s="1"/>
  <c r="E28" i="143"/>
  <c r="D28" i="143"/>
  <c r="E27" i="143"/>
  <c r="D27" i="143"/>
  <c r="D26" i="143"/>
  <c r="E26" i="143" s="1"/>
  <c r="W25" i="143"/>
  <c r="AC18" i="143"/>
  <c r="AC26" i="143" s="1"/>
  <c r="Y18" i="143"/>
  <c r="Y26" i="143" s="1"/>
  <c r="AE17" i="143"/>
  <c r="AE25" i="143" s="1"/>
  <c r="AC17" i="143"/>
  <c r="AC25" i="143" s="1"/>
  <c r="AA17" i="143"/>
  <c r="AA25" i="143" s="1"/>
  <c r="Y17" i="143"/>
  <c r="Y25" i="143" s="1"/>
  <c r="W17" i="143"/>
  <c r="U17" i="143"/>
  <c r="U25" i="143" s="1"/>
  <c r="S17" i="143"/>
  <c r="S25" i="143" s="1"/>
  <c r="AE16" i="143"/>
  <c r="AE18" i="143" s="1"/>
  <c r="AE26" i="143" s="1"/>
  <c r="AD16" i="143"/>
  <c r="AC16" i="143"/>
  <c r="AC24" i="143" s="1"/>
  <c r="AA16" i="143"/>
  <c r="AB16" i="143" s="1"/>
  <c r="Y16" i="143"/>
  <c r="Y24" i="143" s="1"/>
  <c r="W16" i="143"/>
  <c r="W18" i="143" s="1"/>
  <c r="W26" i="143" s="1"/>
  <c r="V16" i="143"/>
  <c r="U16" i="143"/>
  <c r="U18" i="143" s="1"/>
  <c r="U26" i="143" s="1"/>
  <c r="S16" i="143"/>
  <c r="T16" i="143" s="1"/>
  <c r="Q16" i="143"/>
  <c r="P16" i="143"/>
  <c r="O16" i="143"/>
  <c r="N16" i="143"/>
  <c r="L16" i="143"/>
  <c r="K16" i="143"/>
  <c r="J16" i="143"/>
  <c r="H16" i="143"/>
  <c r="G16" i="143"/>
  <c r="F16" i="143"/>
  <c r="P15" i="143"/>
  <c r="AF14" i="143"/>
  <c r="AD14" i="143"/>
  <c r="AB14" i="143"/>
  <c r="Z14" i="143"/>
  <c r="X14" i="143"/>
  <c r="V14" i="143"/>
  <c r="T14" i="143"/>
  <c r="R14" i="143"/>
  <c r="M14" i="143"/>
  <c r="I14" i="143"/>
  <c r="P13" i="143"/>
  <c r="AF12" i="143"/>
  <c r="AD12" i="143"/>
  <c r="AB12" i="143"/>
  <c r="Z12" i="143"/>
  <c r="X12" i="143"/>
  <c r="V12" i="143"/>
  <c r="T12" i="143"/>
  <c r="R12" i="143"/>
  <c r="M12" i="143"/>
  <c r="I12" i="143"/>
  <c r="P11" i="143"/>
  <c r="AF10" i="143"/>
  <c r="AD10" i="143"/>
  <c r="AB10" i="143"/>
  <c r="Z10" i="143"/>
  <c r="X10" i="143"/>
  <c r="V10" i="143"/>
  <c r="T10" i="143"/>
  <c r="R10" i="143"/>
  <c r="M10" i="143"/>
  <c r="I10" i="143"/>
  <c r="P9" i="143"/>
  <c r="AF8" i="143"/>
  <c r="AD8" i="143"/>
  <c r="AB8" i="143"/>
  <c r="Z8" i="143"/>
  <c r="X8" i="143"/>
  <c r="V8" i="143"/>
  <c r="T8" i="143"/>
  <c r="R8" i="143"/>
  <c r="M8" i="143"/>
  <c r="I8" i="143"/>
  <c r="P7" i="143"/>
  <c r="AF6" i="143"/>
  <c r="AD6" i="143"/>
  <c r="AB6" i="143"/>
  <c r="Z6" i="143"/>
  <c r="X6" i="143"/>
  <c r="V6" i="143"/>
  <c r="T6" i="143"/>
  <c r="R6" i="143"/>
  <c r="M6" i="143"/>
  <c r="I6" i="143"/>
  <c r="C3" i="143"/>
  <c r="AF64" i="142"/>
  <c r="AD64" i="142"/>
  <c r="AB64" i="142"/>
  <c r="Z64" i="142"/>
  <c r="X64" i="142"/>
  <c r="V64" i="142"/>
  <c r="T64" i="142"/>
  <c r="AF63" i="142"/>
  <c r="AD63" i="142"/>
  <c r="AB63" i="142"/>
  <c r="Z63" i="142"/>
  <c r="X63" i="142"/>
  <c r="V63" i="142"/>
  <c r="T63" i="142"/>
  <c r="AF62" i="142"/>
  <c r="AD62" i="142"/>
  <c r="AB62" i="142"/>
  <c r="Z62" i="142"/>
  <c r="X62" i="142"/>
  <c r="V62" i="142"/>
  <c r="T62" i="142"/>
  <c r="AF61" i="142"/>
  <c r="AD61" i="142"/>
  <c r="AB61" i="142"/>
  <c r="Z61" i="142"/>
  <c r="X61" i="142"/>
  <c r="V61" i="142"/>
  <c r="T61" i="142"/>
  <c r="AF60" i="142"/>
  <c r="AD60" i="142"/>
  <c r="AB60" i="142"/>
  <c r="Z60" i="142"/>
  <c r="X60" i="142"/>
  <c r="V60" i="142"/>
  <c r="T60" i="142"/>
  <c r="AF59" i="142"/>
  <c r="AD59" i="142"/>
  <c r="AB59" i="142"/>
  <c r="Z59" i="142"/>
  <c r="X59" i="142"/>
  <c r="V59" i="142"/>
  <c r="T59" i="142"/>
  <c r="AF58" i="142"/>
  <c r="AD58" i="142"/>
  <c r="AB58" i="142"/>
  <c r="Z58" i="142"/>
  <c r="X58" i="142"/>
  <c r="V58" i="142"/>
  <c r="T58" i="142"/>
  <c r="AF57" i="142"/>
  <c r="AD57" i="142"/>
  <c r="AB57" i="142"/>
  <c r="Z57" i="142"/>
  <c r="X57" i="142"/>
  <c r="V57" i="142"/>
  <c r="T57" i="142"/>
  <c r="AF56" i="142"/>
  <c r="AD56" i="142"/>
  <c r="AB56" i="142"/>
  <c r="Z56" i="142"/>
  <c r="X56" i="142"/>
  <c r="V56" i="142"/>
  <c r="T56" i="142"/>
  <c r="AF55" i="142"/>
  <c r="AD55" i="142"/>
  <c r="AB55" i="142"/>
  <c r="Z55" i="142"/>
  <c r="X55" i="142"/>
  <c r="V55" i="142"/>
  <c r="T55" i="142"/>
  <c r="AF54" i="142"/>
  <c r="AD54" i="142"/>
  <c r="AB54" i="142"/>
  <c r="Z54" i="142"/>
  <c r="X54" i="142"/>
  <c r="V54" i="142"/>
  <c r="T54" i="142"/>
  <c r="AF53" i="142"/>
  <c r="AD53" i="142"/>
  <c r="AB53" i="142"/>
  <c r="Z53" i="142"/>
  <c r="X53" i="142"/>
  <c r="V53" i="142"/>
  <c r="T53" i="142"/>
  <c r="AF52" i="142"/>
  <c r="AD52" i="142"/>
  <c r="AB52" i="142"/>
  <c r="Z52" i="142"/>
  <c r="X52" i="142"/>
  <c r="V52" i="142"/>
  <c r="T52" i="142"/>
  <c r="AF51" i="142"/>
  <c r="AD51" i="142"/>
  <c r="AB51" i="142"/>
  <c r="Z51" i="142"/>
  <c r="X51" i="142"/>
  <c r="V51" i="142"/>
  <c r="T51" i="142"/>
  <c r="AF50" i="142"/>
  <c r="AD50" i="142"/>
  <c r="AB50" i="142"/>
  <c r="Z50" i="142"/>
  <c r="X50" i="142"/>
  <c r="V50" i="142"/>
  <c r="T50" i="142"/>
  <c r="AF49" i="142"/>
  <c r="AD49" i="142"/>
  <c r="AB49" i="142"/>
  <c r="Z49" i="142"/>
  <c r="X49" i="142"/>
  <c r="V49" i="142"/>
  <c r="T49" i="142"/>
  <c r="AF48" i="142"/>
  <c r="AD48" i="142"/>
  <c r="AB48" i="142"/>
  <c r="Z48" i="142"/>
  <c r="X48" i="142"/>
  <c r="V48" i="142"/>
  <c r="T48" i="142"/>
  <c r="AF47" i="142"/>
  <c r="AD47" i="142"/>
  <c r="AB47" i="142"/>
  <c r="Z47" i="142"/>
  <c r="X47" i="142"/>
  <c r="V47" i="142"/>
  <c r="T47" i="142"/>
  <c r="AF46" i="142"/>
  <c r="AD46" i="142"/>
  <c r="AB46" i="142"/>
  <c r="Z46" i="142"/>
  <c r="X46" i="142"/>
  <c r="V46" i="142"/>
  <c r="T46" i="142"/>
  <c r="AF45" i="142"/>
  <c r="AD45" i="142"/>
  <c r="AB45" i="142"/>
  <c r="Z45" i="142"/>
  <c r="X45" i="142"/>
  <c r="V45" i="142"/>
  <c r="T45" i="142"/>
  <c r="AF44" i="142"/>
  <c r="AD44" i="142"/>
  <c r="AB44" i="142"/>
  <c r="Z44" i="142"/>
  <c r="X44" i="142"/>
  <c r="V44" i="142"/>
  <c r="T44" i="142"/>
  <c r="AF43" i="142"/>
  <c r="AD43" i="142"/>
  <c r="AB43" i="142"/>
  <c r="Z43" i="142"/>
  <c r="X43" i="142"/>
  <c r="V43" i="142"/>
  <c r="T43" i="142"/>
  <c r="AF42" i="142"/>
  <c r="AD42" i="142"/>
  <c r="AB42" i="142"/>
  <c r="Z42" i="142"/>
  <c r="X42" i="142"/>
  <c r="V42" i="142"/>
  <c r="T42" i="142"/>
  <c r="AF41" i="142"/>
  <c r="AD41" i="142"/>
  <c r="AB41" i="142"/>
  <c r="Z41" i="142"/>
  <c r="X41" i="142"/>
  <c r="V41" i="142"/>
  <c r="T41" i="142"/>
  <c r="AF40" i="142"/>
  <c r="AD40" i="142"/>
  <c r="AB40" i="142"/>
  <c r="Z40" i="142"/>
  <c r="X40" i="142"/>
  <c r="V40" i="142"/>
  <c r="T40" i="142"/>
  <c r="AF39" i="142"/>
  <c r="AD39" i="142"/>
  <c r="AB39" i="142"/>
  <c r="Z39" i="142"/>
  <c r="X39" i="142"/>
  <c r="V39" i="142"/>
  <c r="T39" i="142"/>
  <c r="AF38" i="142"/>
  <c r="AD38" i="142"/>
  <c r="AB38" i="142"/>
  <c r="Z38" i="142"/>
  <c r="X38" i="142"/>
  <c r="V38" i="142"/>
  <c r="T38" i="142"/>
  <c r="AF37" i="142"/>
  <c r="AD37" i="142"/>
  <c r="AB37" i="142"/>
  <c r="Z37" i="142"/>
  <c r="X37" i="142"/>
  <c r="V37" i="142"/>
  <c r="T37" i="142"/>
  <c r="AF36" i="142"/>
  <c r="AD36" i="142"/>
  <c r="AB36" i="142"/>
  <c r="Z36" i="142"/>
  <c r="X36" i="142"/>
  <c r="V36" i="142"/>
  <c r="T36" i="142"/>
  <c r="AF35" i="142"/>
  <c r="AD35" i="142"/>
  <c r="AB35" i="142"/>
  <c r="Z35" i="142"/>
  <c r="X35" i="142"/>
  <c r="V35" i="142"/>
  <c r="T35" i="142"/>
  <c r="D31" i="142"/>
  <c r="E31" i="142" s="1"/>
  <c r="D30" i="142"/>
  <c r="E30" i="142" s="1"/>
  <c r="D29" i="142"/>
  <c r="E29" i="142" s="1"/>
  <c r="D28" i="142"/>
  <c r="E28" i="142" s="1"/>
  <c r="D27" i="142"/>
  <c r="E27" i="142" s="1"/>
  <c r="Y26" i="142"/>
  <c r="D26" i="142"/>
  <c r="E26" i="142" s="1"/>
  <c r="AC25" i="142"/>
  <c r="AA25" i="142"/>
  <c r="AA24" i="142"/>
  <c r="Y18" i="142"/>
  <c r="AE17" i="142"/>
  <c r="AE25" i="142" s="1"/>
  <c r="AC17" i="142"/>
  <c r="AA17" i="142"/>
  <c r="Y17" i="142"/>
  <c r="Y25" i="142" s="1"/>
  <c r="W17" i="142"/>
  <c r="W25" i="142" s="1"/>
  <c r="U17" i="142"/>
  <c r="U25" i="142" s="1"/>
  <c r="S17" i="142"/>
  <c r="S25" i="142" s="1"/>
  <c r="AE16" i="142"/>
  <c r="AE18" i="142" s="1"/>
  <c r="AE26" i="142" s="1"/>
  <c r="AC16" i="142"/>
  <c r="AC18" i="142" s="1"/>
  <c r="AC26" i="142" s="1"/>
  <c r="AB16" i="142"/>
  <c r="AA16" i="142"/>
  <c r="AA18" i="142" s="1"/>
  <c r="AA26" i="142" s="1"/>
  <c r="Y16" i="142"/>
  <c r="Z16" i="142" s="1"/>
  <c r="W16" i="142"/>
  <c r="X16" i="142" s="1"/>
  <c r="U16" i="142"/>
  <c r="U24" i="142" s="1"/>
  <c r="T16" i="142"/>
  <c r="S16" i="142"/>
  <c r="S18" i="142" s="1"/>
  <c r="S26" i="142" s="1"/>
  <c r="Q16" i="142"/>
  <c r="P16" i="142"/>
  <c r="O16" i="142"/>
  <c r="N16" i="142"/>
  <c r="L16" i="142"/>
  <c r="K16" i="142"/>
  <c r="J16" i="142"/>
  <c r="H16" i="142"/>
  <c r="G16" i="142"/>
  <c r="F16" i="142"/>
  <c r="P15" i="142"/>
  <c r="AF14" i="142"/>
  <c r="AD14" i="142"/>
  <c r="AB14" i="142"/>
  <c r="Z14" i="142"/>
  <c r="X14" i="142"/>
  <c r="V14" i="142"/>
  <c r="T14" i="142"/>
  <c r="R14" i="142"/>
  <c r="M14" i="142"/>
  <c r="I14" i="142"/>
  <c r="P13" i="142"/>
  <c r="AF12" i="142"/>
  <c r="AD12" i="142"/>
  <c r="AB12" i="142"/>
  <c r="Z12" i="142"/>
  <c r="X12" i="142"/>
  <c r="V12" i="142"/>
  <c r="T12" i="142"/>
  <c r="R12" i="142"/>
  <c r="M12" i="142"/>
  <c r="I12" i="142"/>
  <c r="P11" i="142"/>
  <c r="AF10" i="142"/>
  <c r="AD10" i="142"/>
  <c r="AB10" i="142"/>
  <c r="Z10" i="142"/>
  <c r="X10" i="142"/>
  <c r="V10" i="142"/>
  <c r="T10" i="142"/>
  <c r="R10" i="142"/>
  <c r="M10" i="142"/>
  <c r="I10" i="142"/>
  <c r="P9" i="142"/>
  <c r="AF8" i="142"/>
  <c r="AD8" i="142"/>
  <c r="AB8" i="142"/>
  <c r="Z8" i="142"/>
  <c r="X8" i="142"/>
  <c r="V8" i="142"/>
  <c r="T8" i="142"/>
  <c r="R8" i="142"/>
  <c r="M8" i="142"/>
  <c r="I8" i="142"/>
  <c r="P7" i="142"/>
  <c r="AF6" i="142"/>
  <c r="AD6" i="142"/>
  <c r="AB6" i="142"/>
  <c r="Z6" i="142"/>
  <c r="X6" i="142"/>
  <c r="V6" i="142"/>
  <c r="T6" i="142"/>
  <c r="R6" i="142"/>
  <c r="R16" i="142" s="1"/>
  <c r="M6" i="142"/>
  <c r="I6" i="142"/>
  <c r="C3" i="142"/>
  <c r="AF64" i="141"/>
  <c r="AD64" i="141"/>
  <c r="AB64" i="141"/>
  <c r="Z64" i="141"/>
  <c r="X64" i="141"/>
  <c r="V64" i="141"/>
  <c r="T64" i="141"/>
  <c r="AF63" i="141"/>
  <c r="AD63" i="141"/>
  <c r="AB63" i="141"/>
  <c r="Z63" i="141"/>
  <c r="X63" i="141"/>
  <c r="V63" i="141"/>
  <c r="T63" i="141"/>
  <c r="AF62" i="141"/>
  <c r="AD62" i="141"/>
  <c r="AB62" i="141"/>
  <c r="Z62" i="141"/>
  <c r="X62" i="141"/>
  <c r="V62" i="141"/>
  <c r="T62" i="141"/>
  <c r="AF61" i="141"/>
  <c r="AD61" i="141"/>
  <c r="AB61" i="141"/>
  <c r="Z61" i="141"/>
  <c r="X61" i="141"/>
  <c r="V61" i="141"/>
  <c r="T61" i="141"/>
  <c r="AF60" i="141"/>
  <c r="AD60" i="141"/>
  <c r="AB60" i="141"/>
  <c r="Z60" i="141"/>
  <c r="X60" i="141"/>
  <c r="V60" i="141"/>
  <c r="T60" i="141"/>
  <c r="AF59" i="141"/>
  <c r="AD59" i="141"/>
  <c r="AB59" i="141"/>
  <c r="Z59" i="141"/>
  <c r="X59" i="141"/>
  <c r="V59" i="141"/>
  <c r="T59" i="141"/>
  <c r="AF58" i="141"/>
  <c r="AD58" i="141"/>
  <c r="AB58" i="141"/>
  <c r="Z58" i="141"/>
  <c r="X58" i="141"/>
  <c r="V58" i="141"/>
  <c r="T58" i="141"/>
  <c r="AF57" i="141"/>
  <c r="AD57" i="141"/>
  <c r="AB57" i="141"/>
  <c r="Z57" i="141"/>
  <c r="X57" i="141"/>
  <c r="V57" i="141"/>
  <c r="T57" i="141"/>
  <c r="AF56" i="141"/>
  <c r="AD56" i="141"/>
  <c r="AB56" i="141"/>
  <c r="Z56" i="141"/>
  <c r="X56" i="141"/>
  <c r="V56" i="141"/>
  <c r="T56" i="141"/>
  <c r="AF55" i="141"/>
  <c r="AD55" i="141"/>
  <c r="AB55" i="141"/>
  <c r="Z55" i="141"/>
  <c r="X55" i="141"/>
  <c r="V55" i="141"/>
  <c r="T55" i="141"/>
  <c r="AF54" i="141"/>
  <c r="AD54" i="141"/>
  <c r="AB54" i="141"/>
  <c r="Z54" i="141"/>
  <c r="X54" i="141"/>
  <c r="V54" i="141"/>
  <c r="T54" i="141"/>
  <c r="AF53" i="141"/>
  <c r="AD53" i="141"/>
  <c r="AB53" i="141"/>
  <c r="Z53" i="141"/>
  <c r="X53" i="141"/>
  <c r="V53" i="141"/>
  <c r="T53" i="141"/>
  <c r="AF52" i="141"/>
  <c r="AD52" i="141"/>
  <c r="AB52" i="141"/>
  <c r="Z52" i="141"/>
  <c r="X52" i="141"/>
  <c r="V52" i="141"/>
  <c r="T52" i="141"/>
  <c r="AF51" i="141"/>
  <c r="AD51" i="141"/>
  <c r="AB51" i="141"/>
  <c r="Z51" i="141"/>
  <c r="X51" i="141"/>
  <c r="V51" i="141"/>
  <c r="T51" i="141"/>
  <c r="AF50" i="141"/>
  <c r="AD50" i="141"/>
  <c r="AB50" i="141"/>
  <c r="Z50" i="141"/>
  <c r="X50" i="141"/>
  <c r="V50" i="141"/>
  <c r="T50" i="141"/>
  <c r="AF49" i="141"/>
  <c r="AD49" i="141"/>
  <c r="AB49" i="141"/>
  <c r="Z49" i="141"/>
  <c r="X49" i="141"/>
  <c r="V49" i="141"/>
  <c r="T49" i="141"/>
  <c r="AF48" i="141"/>
  <c r="AD48" i="141"/>
  <c r="AB48" i="141"/>
  <c r="Z48" i="141"/>
  <c r="X48" i="141"/>
  <c r="V48" i="141"/>
  <c r="T48" i="141"/>
  <c r="AF47" i="141"/>
  <c r="AD47" i="141"/>
  <c r="AB47" i="141"/>
  <c r="Z47" i="141"/>
  <c r="X47" i="141"/>
  <c r="V47" i="141"/>
  <c r="T47" i="141"/>
  <c r="AF46" i="141"/>
  <c r="AD46" i="141"/>
  <c r="AB46" i="141"/>
  <c r="Z46" i="141"/>
  <c r="X46" i="141"/>
  <c r="V46" i="141"/>
  <c r="T46" i="141"/>
  <c r="AF45" i="141"/>
  <c r="AD45" i="141"/>
  <c r="AB45" i="141"/>
  <c r="Z45" i="141"/>
  <c r="X45" i="141"/>
  <c r="V45" i="141"/>
  <c r="T45" i="141"/>
  <c r="AF44" i="141"/>
  <c r="AD44" i="141"/>
  <c r="AB44" i="141"/>
  <c r="Z44" i="141"/>
  <c r="X44" i="141"/>
  <c r="V44" i="141"/>
  <c r="T44" i="141"/>
  <c r="AF43" i="141"/>
  <c r="AD43" i="141"/>
  <c r="AB43" i="141"/>
  <c r="Z43" i="141"/>
  <c r="X43" i="141"/>
  <c r="V43" i="141"/>
  <c r="T43" i="141"/>
  <c r="AF42" i="141"/>
  <c r="AD42" i="141"/>
  <c r="AB42" i="141"/>
  <c r="Z42" i="141"/>
  <c r="X42" i="141"/>
  <c r="V42" i="141"/>
  <c r="T42" i="141"/>
  <c r="AF41" i="141"/>
  <c r="AD41" i="141"/>
  <c r="AB41" i="141"/>
  <c r="Z41" i="141"/>
  <c r="X41" i="141"/>
  <c r="V41" i="141"/>
  <c r="T41" i="141"/>
  <c r="AF40" i="141"/>
  <c r="AD40" i="141"/>
  <c r="AB40" i="141"/>
  <c r="Z40" i="141"/>
  <c r="X40" i="141"/>
  <c r="V40" i="141"/>
  <c r="T40" i="141"/>
  <c r="AF39" i="141"/>
  <c r="AD39" i="141"/>
  <c r="AB39" i="141"/>
  <c r="Z39" i="141"/>
  <c r="X39" i="141"/>
  <c r="V39" i="141"/>
  <c r="T39" i="141"/>
  <c r="AF38" i="141"/>
  <c r="AD38" i="141"/>
  <c r="AB38" i="141"/>
  <c r="Z38" i="141"/>
  <c r="X38" i="141"/>
  <c r="V38" i="141"/>
  <c r="T38" i="141"/>
  <c r="AF37" i="141"/>
  <c r="AD37" i="141"/>
  <c r="AB37" i="141"/>
  <c r="Z37" i="141"/>
  <c r="X37" i="141"/>
  <c r="V37" i="141"/>
  <c r="T37" i="141"/>
  <c r="AF36" i="141"/>
  <c r="AD36" i="141"/>
  <c r="AB36" i="141"/>
  <c r="Z36" i="141"/>
  <c r="X36" i="141"/>
  <c r="V36" i="141"/>
  <c r="T36" i="141"/>
  <c r="AF35" i="141"/>
  <c r="AD35" i="141"/>
  <c r="AB35" i="141"/>
  <c r="Z35" i="141"/>
  <c r="X35" i="141"/>
  <c r="V35" i="141"/>
  <c r="T35" i="141"/>
  <c r="D31" i="141"/>
  <c r="E31" i="141" s="1"/>
  <c r="E30" i="141"/>
  <c r="D30" i="141"/>
  <c r="E29" i="141"/>
  <c r="D29" i="141"/>
  <c r="D28" i="141"/>
  <c r="E28" i="141" s="1"/>
  <c r="E27" i="141"/>
  <c r="D27" i="141"/>
  <c r="D26" i="141"/>
  <c r="E26" i="141" s="1"/>
  <c r="Y25" i="141"/>
  <c r="U24" i="141"/>
  <c r="S18" i="141"/>
  <c r="S26" i="141" s="1"/>
  <c r="AE17" i="141"/>
  <c r="AE25" i="141" s="1"/>
  <c r="AC17" i="141"/>
  <c r="AC25" i="141" s="1"/>
  <c r="AA17" i="141"/>
  <c r="AA25" i="141" s="1"/>
  <c r="Y17" i="141"/>
  <c r="W17" i="141"/>
  <c r="W25" i="141" s="1"/>
  <c r="U17" i="141"/>
  <c r="U25" i="141" s="1"/>
  <c r="S17" i="141"/>
  <c r="S25" i="141" s="1"/>
  <c r="AE16" i="141"/>
  <c r="AE18" i="141" s="1"/>
  <c r="AE26" i="141" s="1"/>
  <c r="AC16" i="141"/>
  <c r="AC24" i="141" s="1"/>
  <c r="AA16" i="141"/>
  <c r="AA18" i="141" s="1"/>
  <c r="AA26" i="141" s="1"/>
  <c r="Z16" i="141"/>
  <c r="Y16" i="141"/>
  <c r="Y18" i="141" s="1"/>
  <c r="Y26" i="141" s="1"/>
  <c r="W16" i="141"/>
  <c r="X16" i="141" s="1"/>
  <c r="U16" i="141"/>
  <c r="V16" i="141" s="1"/>
  <c r="S16" i="141"/>
  <c r="T16" i="141" s="1"/>
  <c r="R16" i="141"/>
  <c r="Q16" i="141"/>
  <c r="P16" i="141"/>
  <c r="O16" i="141"/>
  <c r="N16" i="141"/>
  <c r="L16" i="141"/>
  <c r="K16" i="141"/>
  <c r="J16" i="141"/>
  <c r="H16" i="141"/>
  <c r="G16" i="141"/>
  <c r="F16" i="141"/>
  <c r="P15" i="141"/>
  <c r="AF14" i="141"/>
  <c r="AD14" i="141"/>
  <c r="AB14" i="141"/>
  <c r="Z14" i="141"/>
  <c r="X14" i="141"/>
  <c r="V14" i="141"/>
  <c r="T14" i="141"/>
  <c r="R14" i="141"/>
  <c r="M14" i="141"/>
  <c r="I14" i="141"/>
  <c r="P13" i="141"/>
  <c r="AF12" i="141"/>
  <c r="AD12" i="141"/>
  <c r="AB12" i="141"/>
  <c r="Z12" i="141"/>
  <c r="X12" i="141"/>
  <c r="V12" i="141"/>
  <c r="T12" i="141"/>
  <c r="R12" i="141"/>
  <c r="M12" i="141"/>
  <c r="I12" i="141"/>
  <c r="P11" i="141"/>
  <c r="AF10" i="141"/>
  <c r="AD10" i="141"/>
  <c r="AB10" i="141"/>
  <c r="Z10" i="141"/>
  <c r="X10" i="141"/>
  <c r="V10" i="141"/>
  <c r="T10" i="141"/>
  <c r="R10" i="141"/>
  <c r="M10" i="141"/>
  <c r="I10" i="141"/>
  <c r="P9" i="141"/>
  <c r="AF8" i="141"/>
  <c r="AD8" i="141"/>
  <c r="AB8" i="141"/>
  <c r="Z8" i="141"/>
  <c r="X8" i="141"/>
  <c r="V8" i="141"/>
  <c r="T8" i="141"/>
  <c r="R8" i="141"/>
  <c r="M8" i="141"/>
  <c r="I8" i="141"/>
  <c r="P7" i="141"/>
  <c r="AF6" i="141"/>
  <c r="AD6" i="141"/>
  <c r="AB6" i="141"/>
  <c r="Z6" i="141"/>
  <c r="X6" i="141"/>
  <c r="V6" i="141"/>
  <c r="T6" i="141"/>
  <c r="R6" i="141"/>
  <c r="M6" i="141"/>
  <c r="I6" i="141"/>
  <c r="C3" i="141"/>
  <c r="AF64" i="140"/>
  <c r="AD64" i="140"/>
  <c r="AB64" i="140"/>
  <c r="Z64" i="140"/>
  <c r="X64" i="140"/>
  <c r="V64" i="140"/>
  <c r="T64" i="140"/>
  <c r="AF63" i="140"/>
  <c r="AD63" i="140"/>
  <c r="AB63" i="140"/>
  <c r="Z63" i="140"/>
  <c r="X63" i="140"/>
  <c r="V63" i="140"/>
  <c r="T63" i="140"/>
  <c r="AF62" i="140"/>
  <c r="AD62" i="140"/>
  <c r="AB62" i="140"/>
  <c r="Z62" i="140"/>
  <c r="X62" i="140"/>
  <c r="V62" i="140"/>
  <c r="T62" i="140"/>
  <c r="AF61" i="140"/>
  <c r="AD61" i="140"/>
  <c r="AB61" i="140"/>
  <c r="Z61" i="140"/>
  <c r="X61" i="140"/>
  <c r="V61" i="140"/>
  <c r="T61" i="140"/>
  <c r="AF60" i="140"/>
  <c r="AD60" i="140"/>
  <c r="AB60" i="140"/>
  <c r="Z60" i="140"/>
  <c r="X60" i="140"/>
  <c r="V60" i="140"/>
  <c r="T60" i="140"/>
  <c r="AF59" i="140"/>
  <c r="AD59" i="140"/>
  <c r="AB59" i="140"/>
  <c r="Z59" i="140"/>
  <c r="X59" i="140"/>
  <c r="V59" i="140"/>
  <c r="T59" i="140"/>
  <c r="AF58" i="140"/>
  <c r="AD58" i="140"/>
  <c r="AB58" i="140"/>
  <c r="Z58" i="140"/>
  <c r="X58" i="140"/>
  <c r="V58" i="140"/>
  <c r="T58" i="140"/>
  <c r="AF57" i="140"/>
  <c r="AD57" i="140"/>
  <c r="AB57" i="140"/>
  <c r="Z57" i="140"/>
  <c r="X57" i="140"/>
  <c r="V57" i="140"/>
  <c r="T57" i="140"/>
  <c r="AF56" i="140"/>
  <c r="AD56" i="140"/>
  <c r="AB56" i="140"/>
  <c r="Z56" i="140"/>
  <c r="X56" i="140"/>
  <c r="V56" i="140"/>
  <c r="T56" i="140"/>
  <c r="AF55" i="140"/>
  <c r="AD55" i="140"/>
  <c r="AB55" i="140"/>
  <c r="Z55" i="140"/>
  <c r="X55" i="140"/>
  <c r="V55" i="140"/>
  <c r="T55" i="140"/>
  <c r="AF54" i="140"/>
  <c r="AD54" i="140"/>
  <c r="AB54" i="140"/>
  <c r="Z54" i="140"/>
  <c r="X54" i="140"/>
  <c r="V54" i="140"/>
  <c r="T54" i="140"/>
  <c r="AF53" i="140"/>
  <c r="AD53" i="140"/>
  <c r="AB53" i="140"/>
  <c r="Z53" i="140"/>
  <c r="X53" i="140"/>
  <c r="V53" i="140"/>
  <c r="T53" i="140"/>
  <c r="AF52" i="140"/>
  <c r="AD52" i="140"/>
  <c r="AB52" i="140"/>
  <c r="Z52" i="140"/>
  <c r="X52" i="140"/>
  <c r="V52" i="140"/>
  <c r="T52" i="140"/>
  <c r="AF51" i="140"/>
  <c r="AD51" i="140"/>
  <c r="AB51" i="140"/>
  <c r="Z51" i="140"/>
  <c r="X51" i="140"/>
  <c r="V51" i="140"/>
  <c r="T51" i="140"/>
  <c r="AF50" i="140"/>
  <c r="AD50" i="140"/>
  <c r="AB50" i="140"/>
  <c r="Z50" i="140"/>
  <c r="X50" i="140"/>
  <c r="V50" i="140"/>
  <c r="T50" i="140"/>
  <c r="AF49" i="140"/>
  <c r="AD49" i="140"/>
  <c r="AB49" i="140"/>
  <c r="Z49" i="140"/>
  <c r="X49" i="140"/>
  <c r="V49" i="140"/>
  <c r="T49" i="140"/>
  <c r="AF48" i="140"/>
  <c r="AD48" i="140"/>
  <c r="AB48" i="140"/>
  <c r="Z48" i="140"/>
  <c r="X48" i="140"/>
  <c r="V48" i="140"/>
  <c r="T48" i="140"/>
  <c r="AF47" i="140"/>
  <c r="AD47" i="140"/>
  <c r="AB47" i="140"/>
  <c r="Z47" i="140"/>
  <c r="X47" i="140"/>
  <c r="V47" i="140"/>
  <c r="T47" i="140"/>
  <c r="AF46" i="140"/>
  <c r="AD46" i="140"/>
  <c r="AB46" i="140"/>
  <c r="Z46" i="140"/>
  <c r="X46" i="140"/>
  <c r="V46" i="140"/>
  <c r="T46" i="140"/>
  <c r="AF45" i="140"/>
  <c r="AD45" i="140"/>
  <c r="AB45" i="140"/>
  <c r="Z45" i="140"/>
  <c r="X45" i="140"/>
  <c r="V45" i="140"/>
  <c r="T45" i="140"/>
  <c r="AF44" i="140"/>
  <c r="AD44" i="140"/>
  <c r="AB44" i="140"/>
  <c r="Z44" i="140"/>
  <c r="X44" i="140"/>
  <c r="V44" i="140"/>
  <c r="T44" i="140"/>
  <c r="AF43" i="140"/>
  <c r="AD43" i="140"/>
  <c r="AB43" i="140"/>
  <c r="Z43" i="140"/>
  <c r="X43" i="140"/>
  <c r="V43" i="140"/>
  <c r="T43" i="140"/>
  <c r="AF42" i="140"/>
  <c r="AD42" i="140"/>
  <c r="AB42" i="140"/>
  <c r="Z42" i="140"/>
  <c r="X42" i="140"/>
  <c r="V42" i="140"/>
  <c r="T42" i="140"/>
  <c r="AF41" i="140"/>
  <c r="AD41" i="140"/>
  <c r="AB41" i="140"/>
  <c r="Z41" i="140"/>
  <c r="X41" i="140"/>
  <c r="V41" i="140"/>
  <c r="T41" i="140"/>
  <c r="AF40" i="140"/>
  <c r="AD40" i="140"/>
  <c r="AB40" i="140"/>
  <c r="Z40" i="140"/>
  <c r="X40" i="140"/>
  <c r="V40" i="140"/>
  <c r="T40" i="140"/>
  <c r="AF39" i="140"/>
  <c r="AD39" i="140"/>
  <c r="AB39" i="140"/>
  <c r="Z39" i="140"/>
  <c r="X39" i="140"/>
  <c r="V39" i="140"/>
  <c r="T39" i="140"/>
  <c r="AF38" i="140"/>
  <c r="AD38" i="140"/>
  <c r="AB38" i="140"/>
  <c r="Z38" i="140"/>
  <c r="X38" i="140"/>
  <c r="V38" i="140"/>
  <c r="T38" i="140"/>
  <c r="AF37" i="140"/>
  <c r="AD37" i="140"/>
  <c r="AB37" i="140"/>
  <c r="Z37" i="140"/>
  <c r="X37" i="140"/>
  <c r="V37" i="140"/>
  <c r="T37" i="140"/>
  <c r="AF36" i="140"/>
  <c r="AD36" i="140"/>
  <c r="AB36" i="140"/>
  <c r="Z36" i="140"/>
  <c r="X36" i="140"/>
  <c r="V36" i="140"/>
  <c r="T36" i="140"/>
  <c r="AF35" i="140"/>
  <c r="AD35" i="140"/>
  <c r="AB35" i="140"/>
  <c r="Z35" i="140"/>
  <c r="X35" i="140"/>
  <c r="V35" i="140"/>
  <c r="T35" i="140"/>
  <c r="D31" i="140"/>
  <c r="E31" i="140" s="1"/>
  <c r="D30" i="140"/>
  <c r="E30" i="140" s="1"/>
  <c r="E29" i="140"/>
  <c r="D29" i="140"/>
  <c r="E28" i="140"/>
  <c r="D28" i="140"/>
  <c r="D27" i="140"/>
  <c r="E27" i="140" s="1"/>
  <c r="E26" i="140"/>
  <c r="D26" i="140"/>
  <c r="U25" i="140"/>
  <c r="AE18" i="140"/>
  <c r="AE26" i="140" s="1"/>
  <c r="AC18" i="140"/>
  <c r="AC26" i="140" s="1"/>
  <c r="AE17" i="140"/>
  <c r="AE25" i="140" s="1"/>
  <c r="AC17" i="140"/>
  <c r="AC25" i="140" s="1"/>
  <c r="AA17" i="140"/>
  <c r="AA25" i="140" s="1"/>
  <c r="Y17" i="140"/>
  <c r="Y25" i="140" s="1"/>
  <c r="W17" i="140"/>
  <c r="W25" i="140" s="1"/>
  <c r="U17" i="140"/>
  <c r="S17" i="140"/>
  <c r="S25" i="140" s="1"/>
  <c r="AF16" i="140"/>
  <c r="AE16" i="140"/>
  <c r="AE24" i="140" s="1"/>
  <c r="AC16" i="140"/>
  <c r="AC24" i="140" s="1"/>
  <c r="AA16" i="140"/>
  <c r="Y16" i="140"/>
  <c r="Y18" i="140" s="1"/>
  <c r="Y26" i="140" s="1"/>
  <c r="X16" i="140"/>
  <c r="W16" i="140"/>
  <c r="W18" i="140" s="1"/>
  <c r="W26" i="140" s="1"/>
  <c r="U16" i="140"/>
  <c r="V16" i="140" s="1"/>
  <c r="S16" i="140"/>
  <c r="T16" i="140" s="1"/>
  <c r="Q16" i="140"/>
  <c r="P16" i="140"/>
  <c r="O16" i="140"/>
  <c r="N16" i="140"/>
  <c r="L16" i="140"/>
  <c r="K16" i="140"/>
  <c r="J16" i="140"/>
  <c r="H16" i="140"/>
  <c r="G16" i="140"/>
  <c r="F16" i="140"/>
  <c r="P15" i="140"/>
  <c r="AF14" i="140"/>
  <c r="AD14" i="140"/>
  <c r="AB14" i="140"/>
  <c r="Z14" i="140"/>
  <c r="X14" i="140"/>
  <c r="V14" i="140"/>
  <c r="T14" i="140"/>
  <c r="R14" i="140"/>
  <c r="M14" i="140"/>
  <c r="I14" i="140"/>
  <c r="P13" i="140"/>
  <c r="AF12" i="140"/>
  <c r="AD12" i="140"/>
  <c r="AB12" i="140"/>
  <c r="Z12" i="140"/>
  <c r="X12" i="140"/>
  <c r="V12" i="140"/>
  <c r="T12" i="140"/>
  <c r="R12" i="140"/>
  <c r="M12" i="140"/>
  <c r="I12" i="140"/>
  <c r="P11" i="140"/>
  <c r="AF10" i="140"/>
  <c r="AD10" i="140"/>
  <c r="AB10" i="140"/>
  <c r="Z10" i="140"/>
  <c r="X10" i="140"/>
  <c r="V10" i="140"/>
  <c r="T10" i="140"/>
  <c r="R10" i="140"/>
  <c r="M10" i="140"/>
  <c r="I10" i="140"/>
  <c r="P9" i="140"/>
  <c r="AF8" i="140"/>
  <c r="AD8" i="140"/>
  <c r="AB8" i="140"/>
  <c r="Z8" i="140"/>
  <c r="X8" i="140"/>
  <c r="V8" i="140"/>
  <c r="T8" i="140"/>
  <c r="R8" i="140"/>
  <c r="M8" i="140"/>
  <c r="I8" i="140"/>
  <c r="P7" i="140"/>
  <c r="AF6" i="140"/>
  <c r="AD6" i="140"/>
  <c r="AB6" i="140"/>
  <c r="Z6" i="140"/>
  <c r="X6" i="140"/>
  <c r="V6" i="140"/>
  <c r="T6" i="140"/>
  <c r="R6" i="140"/>
  <c r="M6" i="140"/>
  <c r="M16" i="140" s="1"/>
  <c r="I6" i="140"/>
  <c r="C3" i="140"/>
  <c r="AF64" i="139"/>
  <c r="AD64" i="139"/>
  <c r="AB64" i="139"/>
  <c r="Z64" i="139"/>
  <c r="X64" i="139"/>
  <c r="V64" i="139"/>
  <c r="T64" i="139"/>
  <c r="AF63" i="139"/>
  <c r="AD63" i="139"/>
  <c r="AB63" i="139"/>
  <c r="Z63" i="139"/>
  <c r="X63" i="139"/>
  <c r="V63" i="139"/>
  <c r="T63" i="139"/>
  <c r="AF62" i="139"/>
  <c r="AD62" i="139"/>
  <c r="AB62" i="139"/>
  <c r="Z62" i="139"/>
  <c r="X62" i="139"/>
  <c r="V62" i="139"/>
  <c r="T62" i="139"/>
  <c r="AF61" i="139"/>
  <c r="AD61" i="139"/>
  <c r="AB61" i="139"/>
  <c r="Z61" i="139"/>
  <c r="X61" i="139"/>
  <c r="V61" i="139"/>
  <c r="T61" i="139"/>
  <c r="AF60" i="139"/>
  <c r="AD60" i="139"/>
  <c r="AB60" i="139"/>
  <c r="Z60" i="139"/>
  <c r="X60" i="139"/>
  <c r="V60" i="139"/>
  <c r="T60" i="139"/>
  <c r="AF59" i="139"/>
  <c r="AD59" i="139"/>
  <c r="AB59" i="139"/>
  <c r="Z59" i="139"/>
  <c r="X59" i="139"/>
  <c r="V59" i="139"/>
  <c r="T59" i="139"/>
  <c r="AF58" i="139"/>
  <c r="AD58" i="139"/>
  <c r="AB58" i="139"/>
  <c r="Z58" i="139"/>
  <c r="X58" i="139"/>
  <c r="V58" i="139"/>
  <c r="T58" i="139"/>
  <c r="AF57" i="139"/>
  <c r="AD57" i="139"/>
  <c r="AB57" i="139"/>
  <c r="Z57" i="139"/>
  <c r="X57" i="139"/>
  <c r="V57" i="139"/>
  <c r="T57" i="139"/>
  <c r="AF56" i="139"/>
  <c r="AD56" i="139"/>
  <c r="AB56" i="139"/>
  <c r="Z56" i="139"/>
  <c r="X56" i="139"/>
  <c r="V56" i="139"/>
  <c r="T56" i="139"/>
  <c r="AF55" i="139"/>
  <c r="AD55" i="139"/>
  <c r="AB55" i="139"/>
  <c r="Z55" i="139"/>
  <c r="X55" i="139"/>
  <c r="V55" i="139"/>
  <c r="T55" i="139"/>
  <c r="AF54" i="139"/>
  <c r="AD54" i="139"/>
  <c r="AB54" i="139"/>
  <c r="Z54" i="139"/>
  <c r="X54" i="139"/>
  <c r="V54" i="139"/>
  <c r="T54" i="139"/>
  <c r="AF53" i="139"/>
  <c r="AD53" i="139"/>
  <c r="AB53" i="139"/>
  <c r="Z53" i="139"/>
  <c r="X53" i="139"/>
  <c r="V53" i="139"/>
  <c r="T53" i="139"/>
  <c r="AF52" i="139"/>
  <c r="AD52" i="139"/>
  <c r="AB52" i="139"/>
  <c r="Z52" i="139"/>
  <c r="X52" i="139"/>
  <c r="V52" i="139"/>
  <c r="T52" i="139"/>
  <c r="AF51" i="139"/>
  <c r="AD51" i="139"/>
  <c r="AB51" i="139"/>
  <c r="Z51" i="139"/>
  <c r="X51" i="139"/>
  <c r="V51" i="139"/>
  <c r="T51" i="139"/>
  <c r="AF50" i="139"/>
  <c r="AD50" i="139"/>
  <c r="AB50" i="139"/>
  <c r="Z50" i="139"/>
  <c r="X50" i="139"/>
  <c r="V50" i="139"/>
  <c r="T50" i="139"/>
  <c r="AF49" i="139"/>
  <c r="AD49" i="139"/>
  <c r="AB49" i="139"/>
  <c r="Z49" i="139"/>
  <c r="X49" i="139"/>
  <c r="V49" i="139"/>
  <c r="T49" i="139"/>
  <c r="AF48" i="139"/>
  <c r="AD48" i="139"/>
  <c r="AB48" i="139"/>
  <c r="Z48" i="139"/>
  <c r="X48" i="139"/>
  <c r="V48" i="139"/>
  <c r="T48" i="139"/>
  <c r="AF47" i="139"/>
  <c r="AD47" i="139"/>
  <c r="AB47" i="139"/>
  <c r="Z47" i="139"/>
  <c r="X47" i="139"/>
  <c r="V47" i="139"/>
  <c r="T47" i="139"/>
  <c r="AF46" i="139"/>
  <c r="AD46" i="139"/>
  <c r="AB46" i="139"/>
  <c r="Z46" i="139"/>
  <c r="X46" i="139"/>
  <c r="V46" i="139"/>
  <c r="T46" i="139"/>
  <c r="AF45" i="139"/>
  <c r="AD45" i="139"/>
  <c r="AB45" i="139"/>
  <c r="Z45" i="139"/>
  <c r="X45" i="139"/>
  <c r="V45" i="139"/>
  <c r="T45" i="139"/>
  <c r="AF44" i="139"/>
  <c r="AD44" i="139"/>
  <c r="AB44" i="139"/>
  <c r="Z44" i="139"/>
  <c r="X44" i="139"/>
  <c r="V44" i="139"/>
  <c r="T44" i="139"/>
  <c r="AF43" i="139"/>
  <c r="AD43" i="139"/>
  <c r="AB43" i="139"/>
  <c r="Z43" i="139"/>
  <c r="X43" i="139"/>
  <c r="V43" i="139"/>
  <c r="T43" i="139"/>
  <c r="AF42" i="139"/>
  <c r="AD42" i="139"/>
  <c r="AB42" i="139"/>
  <c r="Z42" i="139"/>
  <c r="X42" i="139"/>
  <c r="V42" i="139"/>
  <c r="T42" i="139"/>
  <c r="AF41" i="139"/>
  <c r="AD41" i="139"/>
  <c r="AB41" i="139"/>
  <c r="Z41" i="139"/>
  <c r="X41" i="139"/>
  <c r="V41" i="139"/>
  <c r="T41" i="139"/>
  <c r="AF40" i="139"/>
  <c r="AD40" i="139"/>
  <c r="AB40" i="139"/>
  <c r="Z40" i="139"/>
  <c r="X40" i="139"/>
  <c r="V40" i="139"/>
  <c r="T40" i="139"/>
  <c r="AF39" i="139"/>
  <c r="AD39" i="139"/>
  <c r="AB39" i="139"/>
  <c r="Z39" i="139"/>
  <c r="X39" i="139"/>
  <c r="V39" i="139"/>
  <c r="T39" i="139"/>
  <c r="AF38" i="139"/>
  <c r="AD38" i="139"/>
  <c r="AB38" i="139"/>
  <c r="Z38" i="139"/>
  <c r="X38" i="139"/>
  <c r="V38" i="139"/>
  <c r="T38" i="139"/>
  <c r="AF37" i="139"/>
  <c r="AD37" i="139"/>
  <c r="AB37" i="139"/>
  <c r="Z37" i="139"/>
  <c r="X37" i="139"/>
  <c r="V37" i="139"/>
  <c r="T37" i="139"/>
  <c r="AF36" i="139"/>
  <c r="AD36" i="139"/>
  <c r="AB36" i="139"/>
  <c r="Z36" i="139"/>
  <c r="X36" i="139"/>
  <c r="V36" i="139"/>
  <c r="T36" i="139"/>
  <c r="AF35" i="139"/>
  <c r="AD35" i="139"/>
  <c r="AB35" i="139"/>
  <c r="Z35" i="139"/>
  <c r="X35" i="139"/>
  <c r="V35" i="139"/>
  <c r="T35" i="139"/>
  <c r="E31" i="139"/>
  <c r="D31" i="139"/>
  <c r="D30" i="139"/>
  <c r="E30" i="139" s="1"/>
  <c r="E29" i="139"/>
  <c r="D29" i="139"/>
  <c r="D28" i="139"/>
  <c r="E28" i="139" s="1"/>
  <c r="D26" i="139"/>
  <c r="E26" i="139" s="1"/>
  <c r="W25" i="139"/>
  <c r="AC24" i="139"/>
  <c r="AA18" i="139"/>
  <c r="AA26" i="139" s="1"/>
  <c r="AE17" i="139"/>
  <c r="AE25" i="139" s="1"/>
  <c r="AC17" i="139"/>
  <c r="AC25" i="139" s="1"/>
  <c r="AA17" i="139"/>
  <c r="AA25" i="139" s="1"/>
  <c r="Y17" i="139"/>
  <c r="Y25" i="139" s="1"/>
  <c r="W17" i="139"/>
  <c r="U17" i="139"/>
  <c r="U25" i="139" s="1"/>
  <c r="S17" i="139"/>
  <c r="S25" i="139" s="1"/>
  <c r="AE16" i="139"/>
  <c r="AE18" i="139" s="1"/>
  <c r="AE26" i="139" s="1"/>
  <c r="AD16" i="139"/>
  <c r="AC16" i="139"/>
  <c r="AC18" i="139" s="1"/>
  <c r="AC26" i="139" s="1"/>
  <c r="AA16" i="139"/>
  <c r="AB16" i="139" s="1"/>
  <c r="Z16" i="139"/>
  <c r="Y16" i="139"/>
  <c r="Y24" i="139" s="1"/>
  <c r="W16" i="139"/>
  <c r="W18" i="139" s="1"/>
  <c r="W26" i="139" s="1"/>
  <c r="V16" i="139"/>
  <c r="U16" i="139"/>
  <c r="U18" i="139" s="1"/>
  <c r="U26" i="139" s="1"/>
  <c r="S16" i="139"/>
  <c r="T16" i="139" s="1"/>
  <c r="Q16" i="139"/>
  <c r="P16" i="139"/>
  <c r="O16" i="139"/>
  <c r="N16" i="139"/>
  <c r="L16" i="139"/>
  <c r="K16" i="139"/>
  <c r="J16" i="139"/>
  <c r="H16" i="139"/>
  <c r="G16" i="139"/>
  <c r="F16" i="139"/>
  <c r="AF14" i="139"/>
  <c r="AD14" i="139"/>
  <c r="AB14" i="139"/>
  <c r="Z14" i="139"/>
  <c r="X14" i="139"/>
  <c r="V14" i="139"/>
  <c r="T14" i="139"/>
  <c r="R14" i="139"/>
  <c r="M14" i="139"/>
  <c r="I14" i="139"/>
  <c r="P13" i="139"/>
  <c r="C13" i="139"/>
  <c r="D27" i="139" s="1"/>
  <c r="E27" i="139" s="1"/>
  <c r="AF12" i="139"/>
  <c r="AD12" i="139"/>
  <c r="AB12" i="139"/>
  <c r="Z12" i="139"/>
  <c r="X12" i="139"/>
  <c r="V12" i="139"/>
  <c r="T12" i="139"/>
  <c r="R12" i="139"/>
  <c r="M12" i="139"/>
  <c r="I12" i="139"/>
  <c r="P11" i="139"/>
  <c r="AF10" i="139"/>
  <c r="AD10" i="139"/>
  <c r="AB10" i="139"/>
  <c r="Z10" i="139"/>
  <c r="X10" i="139"/>
  <c r="V10" i="139"/>
  <c r="T10" i="139"/>
  <c r="R10" i="139"/>
  <c r="M10" i="139"/>
  <c r="I10" i="139"/>
  <c r="P9" i="139"/>
  <c r="AF8" i="139"/>
  <c r="AD8" i="139"/>
  <c r="AB8" i="139"/>
  <c r="Z8" i="139"/>
  <c r="X8" i="139"/>
  <c r="V8" i="139"/>
  <c r="T8" i="139"/>
  <c r="R8" i="139"/>
  <c r="M8" i="139"/>
  <c r="I8" i="139"/>
  <c r="P7" i="139"/>
  <c r="AF6" i="139"/>
  <c r="AD6" i="139"/>
  <c r="AB6" i="139"/>
  <c r="Z6" i="139"/>
  <c r="X6" i="139"/>
  <c r="V6" i="139"/>
  <c r="T6" i="139"/>
  <c r="R6" i="139"/>
  <c r="M6" i="139"/>
  <c r="I6" i="139"/>
  <c r="C3" i="139"/>
  <c r="AF64" i="138"/>
  <c r="AD64" i="138"/>
  <c r="AB64" i="138"/>
  <c r="Z64" i="138"/>
  <c r="X64" i="138"/>
  <c r="V64" i="138"/>
  <c r="T64" i="138"/>
  <c r="AF63" i="138"/>
  <c r="AD63" i="138"/>
  <c r="AB63" i="138"/>
  <c r="Z63" i="138"/>
  <c r="X63" i="138"/>
  <c r="V63" i="138"/>
  <c r="T63" i="138"/>
  <c r="AF62" i="138"/>
  <c r="AD62" i="138"/>
  <c r="AB62" i="138"/>
  <c r="Z62" i="138"/>
  <c r="X62" i="138"/>
  <c r="V62" i="138"/>
  <c r="T62" i="138"/>
  <c r="AF61" i="138"/>
  <c r="AD61" i="138"/>
  <c r="AB61" i="138"/>
  <c r="Z61" i="138"/>
  <c r="X61" i="138"/>
  <c r="V61" i="138"/>
  <c r="T61" i="138"/>
  <c r="AF60" i="138"/>
  <c r="AD60" i="138"/>
  <c r="AB60" i="138"/>
  <c r="Z60" i="138"/>
  <c r="X60" i="138"/>
  <c r="V60" i="138"/>
  <c r="T60" i="138"/>
  <c r="AF59" i="138"/>
  <c r="AD59" i="138"/>
  <c r="AB59" i="138"/>
  <c r="Z59" i="138"/>
  <c r="X59" i="138"/>
  <c r="V59" i="138"/>
  <c r="T59" i="138"/>
  <c r="AF58" i="138"/>
  <c r="AD58" i="138"/>
  <c r="AB58" i="138"/>
  <c r="Z58" i="138"/>
  <c r="X58" i="138"/>
  <c r="V58" i="138"/>
  <c r="T58" i="138"/>
  <c r="AF57" i="138"/>
  <c r="AD57" i="138"/>
  <c r="AB57" i="138"/>
  <c r="Z57" i="138"/>
  <c r="X57" i="138"/>
  <c r="V57" i="138"/>
  <c r="T57" i="138"/>
  <c r="AF56" i="138"/>
  <c r="AD56" i="138"/>
  <c r="AB56" i="138"/>
  <c r="Z56" i="138"/>
  <c r="X56" i="138"/>
  <c r="V56" i="138"/>
  <c r="T56" i="138"/>
  <c r="AF55" i="138"/>
  <c r="AD55" i="138"/>
  <c r="AB55" i="138"/>
  <c r="Z55" i="138"/>
  <c r="X55" i="138"/>
  <c r="V55" i="138"/>
  <c r="T55" i="138"/>
  <c r="AF54" i="138"/>
  <c r="AD54" i="138"/>
  <c r="AB54" i="138"/>
  <c r="Z54" i="138"/>
  <c r="X54" i="138"/>
  <c r="V54" i="138"/>
  <c r="T54" i="138"/>
  <c r="AF53" i="138"/>
  <c r="AD53" i="138"/>
  <c r="AB53" i="138"/>
  <c r="Z53" i="138"/>
  <c r="X53" i="138"/>
  <c r="V53" i="138"/>
  <c r="T53" i="138"/>
  <c r="AF52" i="138"/>
  <c r="AD52" i="138"/>
  <c r="AB52" i="138"/>
  <c r="Z52" i="138"/>
  <c r="X52" i="138"/>
  <c r="V52" i="138"/>
  <c r="T52" i="138"/>
  <c r="AF51" i="138"/>
  <c r="AD51" i="138"/>
  <c r="AB51" i="138"/>
  <c r="Z51" i="138"/>
  <c r="X51" i="138"/>
  <c r="V51" i="138"/>
  <c r="T51" i="138"/>
  <c r="AF50" i="138"/>
  <c r="AD50" i="138"/>
  <c r="AB50" i="138"/>
  <c r="Z50" i="138"/>
  <c r="X50" i="138"/>
  <c r="V50" i="138"/>
  <c r="T50" i="138"/>
  <c r="AF49" i="138"/>
  <c r="AD49" i="138"/>
  <c r="AB49" i="138"/>
  <c r="Z49" i="138"/>
  <c r="X49" i="138"/>
  <c r="V49" i="138"/>
  <c r="T49" i="138"/>
  <c r="AF48" i="138"/>
  <c r="AD48" i="138"/>
  <c r="AB48" i="138"/>
  <c r="Z48" i="138"/>
  <c r="X48" i="138"/>
  <c r="V48" i="138"/>
  <c r="T48" i="138"/>
  <c r="AF47" i="138"/>
  <c r="AD47" i="138"/>
  <c r="AB47" i="138"/>
  <c r="Z47" i="138"/>
  <c r="X47" i="138"/>
  <c r="V47" i="138"/>
  <c r="T47" i="138"/>
  <c r="AF46" i="138"/>
  <c r="AD46" i="138"/>
  <c r="AB46" i="138"/>
  <c r="Z46" i="138"/>
  <c r="X46" i="138"/>
  <c r="V46" i="138"/>
  <c r="T46" i="138"/>
  <c r="AF45" i="138"/>
  <c r="AD45" i="138"/>
  <c r="AB45" i="138"/>
  <c r="Z45" i="138"/>
  <c r="X45" i="138"/>
  <c r="V45" i="138"/>
  <c r="T45" i="138"/>
  <c r="AF44" i="138"/>
  <c r="AD44" i="138"/>
  <c r="AB44" i="138"/>
  <c r="Z44" i="138"/>
  <c r="X44" i="138"/>
  <c r="V44" i="138"/>
  <c r="T44" i="138"/>
  <c r="AF43" i="138"/>
  <c r="AD43" i="138"/>
  <c r="AB43" i="138"/>
  <c r="Z43" i="138"/>
  <c r="X43" i="138"/>
  <c r="V43" i="138"/>
  <c r="T43" i="138"/>
  <c r="AF42" i="138"/>
  <c r="AD42" i="138"/>
  <c r="AB42" i="138"/>
  <c r="Z42" i="138"/>
  <c r="X42" i="138"/>
  <c r="V42" i="138"/>
  <c r="T42" i="138"/>
  <c r="AF41" i="138"/>
  <c r="AD41" i="138"/>
  <c r="AB41" i="138"/>
  <c r="Z41" i="138"/>
  <c r="X41" i="138"/>
  <c r="V41" i="138"/>
  <c r="T41" i="138"/>
  <c r="AF40" i="138"/>
  <c r="AD40" i="138"/>
  <c r="AB40" i="138"/>
  <c r="Z40" i="138"/>
  <c r="X40" i="138"/>
  <c r="V40" i="138"/>
  <c r="T40" i="138"/>
  <c r="AF39" i="138"/>
  <c r="AD39" i="138"/>
  <c r="AB39" i="138"/>
  <c r="Z39" i="138"/>
  <c r="X39" i="138"/>
  <c r="V39" i="138"/>
  <c r="T39" i="138"/>
  <c r="AF38" i="138"/>
  <c r="AD38" i="138"/>
  <c r="AB38" i="138"/>
  <c r="Z38" i="138"/>
  <c r="X38" i="138"/>
  <c r="V38" i="138"/>
  <c r="T38" i="138"/>
  <c r="AF37" i="138"/>
  <c r="AD37" i="138"/>
  <c r="AB37" i="138"/>
  <c r="Z37" i="138"/>
  <c r="X37" i="138"/>
  <c r="V37" i="138"/>
  <c r="T37" i="138"/>
  <c r="AF36" i="138"/>
  <c r="AD36" i="138"/>
  <c r="AB36" i="138"/>
  <c r="Z36" i="138"/>
  <c r="X36" i="138"/>
  <c r="V36" i="138"/>
  <c r="T36" i="138"/>
  <c r="AF35" i="138"/>
  <c r="AD35" i="138"/>
  <c r="AB35" i="138"/>
  <c r="Z35" i="138"/>
  <c r="X35" i="138"/>
  <c r="V35" i="138"/>
  <c r="T35" i="138"/>
  <c r="D31" i="138"/>
  <c r="E31" i="138" s="1"/>
  <c r="D30" i="138"/>
  <c r="E30" i="138" s="1"/>
  <c r="D29" i="138"/>
  <c r="E29" i="138" s="1"/>
  <c r="D28" i="138"/>
  <c r="E28" i="138" s="1"/>
  <c r="D26" i="138"/>
  <c r="E26" i="138" s="1"/>
  <c r="AC25" i="138"/>
  <c r="S25" i="138"/>
  <c r="W24" i="138"/>
  <c r="AE17" i="138"/>
  <c r="AE25" i="138" s="1"/>
  <c r="AC17" i="138"/>
  <c r="AA17" i="138"/>
  <c r="AA25" i="138" s="1"/>
  <c r="Y17" i="138"/>
  <c r="Y25" i="138" s="1"/>
  <c r="W17" i="138"/>
  <c r="W25" i="138" s="1"/>
  <c r="U17" i="138"/>
  <c r="U25" i="138" s="1"/>
  <c r="S17" i="138"/>
  <c r="AE16" i="138"/>
  <c r="AE18" i="138" s="1"/>
  <c r="AE26" i="138" s="1"/>
  <c r="AC16" i="138"/>
  <c r="AC18" i="138" s="1"/>
  <c r="AC26" i="138" s="1"/>
  <c r="AA16" i="138"/>
  <c r="AA18" i="138" s="1"/>
  <c r="AA26" i="138" s="1"/>
  <c r="Y16" i="138"/>
  <c r="Z16" i="138" s="1"/>
  <c r="W16" i="138"/>
  <c r="X16" i="138" s="1"/>
  <c r="U16" i="138"/>
  <c r="U24" i="138" s="1"/>
  <c r="S16" i="138"/>
  <c r="S18" i="138" s="1"/>
  <c r="S26" i="138" s="1"/>
  <c r="Q16" i="138"/>
  <c r="P16" i="138"/>
  <c r="O16" i="138"/>
  <c r="N16" i="138"/>
  <c r="L16" i="138"/>
  <c r="K16" i="138"/>
  <c r="J16" i="138"/>
  <c r="H16" i="138"/>
  <c r="G16" i="138"/>
  <c r="F16" i="138"/>
  <c r="P15" i="138"/>
  <c r="AF14" i="138"/>
  <c r="AD14" i="138"/>
  <c r="AB14" i="138"/>
  <c r="Z14" i="138"/>
  <c r="X14" i="138"/>
  <c r="V14" i="138"/>
  <c r="T14" i="138"/>
  <c r="R14" i="138"/>
  <c r="M14" i="138"/>
  <c r="I14" i="138"/>
  <c r="P13" i="138"/>
  <c r="C13" i="138"/>
  <c r="D27" i="138" s="1"/>
  <c r="E27" i="138" s="1"/>
  <c r="AF12" i="138"/>
  <c r="AD12" i="138"/>
  <c r="AB12" i="138"/>
  <c r="Z12" i="138"/>
  <c r="X12" i="138"/>
  <c r="V12" i="138"/>
  <c r="T12" i="138"/>
  <c r="R12" i="138"/>
  <c r="M12" i="138"/>
  <c r="I12" i="138"/>
  <c r="P11" i="138"/>
  <c r="AF10" i="138"/>
  <c r="AD10" i="138"/>
  <c r="AB10" i="138"/>
  <c r="Z10" i="138"/>
  <c r="X10" i="138"/>
  <c r="V10" i="138"/>
  <c r="T10" i="138"/>
  <c r="R10" i="138"/>
  <c r="M10" i="138"/>
  <c r="I10" i="138"/>
  <c r="P9" i="138"/>
  <c r="AF8" i="138"/>
  <c r="AD8" i="138"/>
  <c r="AB8" i="138"/>
  <c r="Z8" i="138"/>
  <c r="X8" i="138"/>
  <c r="V8" i="138"/>
  <c r="T8" i="138"/>
  <c r="R8" i="138"/>
  <c r="M8" i="138"/>
  <c r="I8" i="138"/>
  <c r="P7" i="138"/>
  <c r="AF6" i="138"/>
  <c r="AD6" i="138"/>
  <c r="AB6" i="138"/>
  <c r="Z6" i="138"/>
  <c r="X6" i="138"/>
  <c r="V6" i="138"/>
  <c r="T6" i="138"/>
  <c r="R6" i="138"/>
  <c r="M6" i="138"/>
  <c r="I6" i="138"/>
  <c r="C3" i="138"/>
  <c r="AF64" i="137"/>
  <c r="AD64" i="137"/>
  <c r="AB64" i="137"/>
  <c r="Z64" i="137"/>
  <c r="X64" i="137"/>
  <c r="V64" i="137"/>
  <c r="T64" i="137"/>
  <c r="AF63" i="137"/>
  <c r="AD63" i="137"/>
  <c r="AB63" i="137"/>
  <c r="Z63" i="137"/>
  <c r="X63" i="137"/>
  <c r="V63" i="137"/>
  <c r="T63" i="137"/>
  <c r="AF62" i="137"/>
  <c r="AD62" i="137"/>
  <c r="AB62" i="137"/>
  <c r="Z62" i="137"/>
  <c r="X62" i="137"/>
  <c r="V62" i="137"/>
  <c r="T62" i="137"/>
  <c r="AF61" i="137"/>
  <c r="AD61" i="137"/>
  <c r="AB61" i="137"/>
  <c r="Z61" i="137"/>
  <c r="X61" i="137"/>
  <c r="V61" i="137"/>
  <c r="T61" i="137"/>
  <c r="AF60" i="137"/>
  <c r="AD60" i="137"/>
  <c r="AB60" i="137"/>
  <c r="Z60" i="137"/>
  <c r="X60" i="137"/>
  <c r="V60" i="137"/>
  <c r="T60" i="137"/>
  <c r="AF59" i="137"/>
  <c r="AD59" i="137"/>
  <c r="AB59" i="137"/>
  <c r="Z59" i="137"/>
  <c r="X59" i="137"/>
  <c r="V59" i="137"/>
  <c r="T59" i="137"/>
  <c r="AF58" i="137"/>
  <c r="AD58" i="137"/>
  <c r="AB58" i="137"/>
  <c r="Z58" i="137"/>
  <c r="X58" i="137"/>
  <c r="V58" i="137"/>
  <c r="T58" i="137"/>
  <c r="AF57" i="137"/>
  <c r="AD57" i="137"/>
  <c r="AB57" i="137"/>
  <c r="Z57" i="137"/>
  <c r="X57" i="137"/>
  <c r="V57" i="137"/>
  <c r="T57" i="137"/>
  <c r="AF56" i="137"/>
  <c r="AD56" i="137"/>
  <c r="AB56" i="137"/>
  <c r="Z56" i="137"/>
  <c r="X56" i="137"/>
  <c r="V56" i="137"/>
  <c r="T56" i="137"/>
  <c r="AF55" i="137"/>
  <c r="AD55" i="137"/>
  <c r="AB55" i="137"/>
  <c r="Z55" i="137"/>
  <c r="X55" i="137"/>
  <c r="V55" i="137"/>
  <c r="T55" i="137"/>
  <c r="AF54" i="137"/>
  <c r="AD54" i="137"/>
  <c r="AB54" i="137"/>
  <c r="Z54" i="137"/>
  <c r="X54" i="137"/>
  <c r="V54" i="137"/>
  <c r="T54" i="137"/>
  <c r="AF53" i="137"/>
  <c r="AD53" i="137"/>
  <c r="AB53" i="137"/>
  <c r="Z53" i="137"/>
  <c r="X53" i="137"/>
  <c r="V53" i="137"/>
  <c r="T53" i="137"/>
  <c r="AF52" i="137"/>
  <c r="AD52" i="137"/>
  <c r="AB52" i="137"/>
  <c r="Z52" i="137"/>
  <c r="X52" i="137"/>
  <c r="V52" i="137"/>
  <c r="T52" i="137"/>
  <c r="AF51" i="137"/>
  <c r="AD51" i="137"/>
  <c r="AB51" i="137"/>
  <c r="Z51" i="137"/>
  <c r="X51" i="137"/>
  <c r="V51" i="137"/>
  <c r="T51" i="137"/>
  <c r="AF50" i="137"/>
  <c r="AD50" i="137"/>
  <c r="AB50" i="137"/>
  <c r="Z50" i="137"/>
  <c r="X50" i="137"/>
  <c r="V50" i="137"/>
  <c r="T50" i="137"/>
  <c r="AF49" i="137"/>
  <c r="AD49" i="137"/>
  <c r="AB49" i="137"/>
  <c r="Z49" i="137"/>
  <c r="X49" i="137"/>
  <c r="V49" i="137"/>
  <c r="T49" i="137"/>
  <c r="AF48" i="137"/>
  <c r="AD48" i="137"/>
  <c r="AB48" i="137"/>
  <c r="Z48" i="137"/>
  <c r="X48" i="137"/>
  <c r="V48" i="137"/>
  <c r="T48" i="137"/>
  <c r="AF47" i="137"/>
  <c r="AD47" i="137"/>
  <c r="AB47" i="137"/>
  <c r="Z47" i="137"/>
  <c r="X47" i="137"/>
  <c r="V47" i="137"/>
  <c r="T47" i="137"/>
  <c r="AF46" i="137"/>
  <c r="AD46" i="137"/>
  <c r="AB46" i="137"/>
  <c r="Z46" i="137"/>
  <c r="X46" i="137"/>
  <c r="V46" i="137"/>
  <c r="T46" i="137"/>
  <c r="AF45" i="137"/>
  <c r="AD45" i="137"/>
  <c r="AB45" i="137"/>
  <c r="Z45" i="137"/>
  <c r="X45" i="137"/>
  <c r="V45" i="137"/>
  <c r="T45" i="137"/>
  <c r="AF44" i="137"/>
  <c r="AD44" i="137"/>
  <c r="AB44" i="137"/>
  <c r="Z44" i="137"/>
  <c r="X44" i="137"/>
  <c r="V44" i="137"/>
  <c r="T44" i="137"/>
  <c r="AF43" i="137"/>
  <c r="AD43" i="137"/>
  <c r="AB43" i="137"/>
  <c r="Z43" i="137"/>
  <c r="X43" i="137"/>
  <c r="V43" i="137"/>
  <c r="T43" i="137"/>
  <c r="AF42" i="137"/>
  <c r="AD42" i="137"/>
  <c r="AB42" i="137"/>
  <c r="Z42" i="137"/>
  <c r="X42" i="137"/>
  <c r="V42" i="137"/>
  <c r="T42" i="137"/>
  <c r="AF41" i="137"/>
  <c r="AD41" i="137"/>
  <c r="AB41" i="137"/>
  <c r="Z41" i="137"/>
  <c r="X41" i="137"/>
  <c r="V41" i="137"/>
  <c r="T41" i="137"/>
  <c r="AF40" i="137"/>
  <c r="AD40" i="137"/>
  <c r="AB40" i="137"/>
  <c r="Z40" i="137"/>
  <c r="X40" i="137"/>
  <c r="V40" i="137"/>
  <c r="T40" i="137"/>
  <c r="AF39" i="137"/>
  <c r="AD39" i="137"/>
  <c r="AB39" i="137"/>
  <c r="Z39" i="137"/>
  <c r="X39" i="137"/>
  <c r="V39" i="137"/>
  <c r="T39" i="137"/>
  <c r="AF38" i="137"/>
  <c r="AD38" i="137"/>
  <c r="AB38" i="137"/>
  <c r="Z38" i="137"/>
  <c r="X38" i="137"/>
  <c r="V38" i="137"/>
  <c r="T38" i="137"/>
  <c r="AF37" i="137"/>
  <c r="AD37" i="137"/>
  <c r="AB37" i="137"/>
  <c r="Z37" i="137"/>
  <c r="X37" i="137"/>
  <c r="V37" i="137"/>
  <c r="T37" i="137"/>
  <c r="AF36" i="137"/>
  <c r="AD36" i="137"/>
  <c r="AB36" i="137"/>
  <c r="Z36" i="137"/>
  <c r="X36" i="137"/>
  <c r="V36" i="137"/>
  <c r="T36" i="137"/>
  <c r="AF35" i="137"/>
  <c r="AD35" i="137"/>
  <c r="AB35" i="137"/>
  <c r="Z35" i="137"/>
  <c r="X35" i="137"/>
  <c r="V35" i="137"/>
  <c r="T35" i="137"/>
  <c r="D31" i="137"/>
  <c r="E31" i="137" s="1"/>
  <c r="D30" i="137"/>
  <c r="E30" i="137" s="1"/>
  <c r="D29" i="137"/>
  <c r="E29" i="137" s="1"/>
  <c r="E28" i="137"/>
  <c r="D28" i="137"/>
  <c r="E26" i="137"/>
  <c r="D26" i="137"/>
  <c r="Y25" i="137"/>
  <c r="Y24" i="137"/>
  <c r="AE18" i="137"/>
  <c r="AE26" i="137" s="1"/>
  <c r="U18" i="137"/>
  <c r="U26" i="137" s="1"/>
  <c r="AE17" i="137"/>
  <c r="AE25" i="137" s="1"/>
  <c r="AC17" i="137"/>
  <c r="AC25" i="137" s="1"/>
  <c r="AA17" i="137"/>
  <c r="AA25" i="137" s="1"/>
  <c r="Y17" i="137"/>
  <c r="W17" i="137"/>
  <c r="W25" i="137" s="1"/>
  <c r="U17" i="137"/>
  <c r="U25" i="137" s="1"/>
  <c r="S17" i="137"/>
  <c r="S25" i="137" s="1"/>
  <c r="AF16" i="137"/>
  <c r="AE16" i="137"/>
  <c r="AE24" i="137" s="1"/>
  <c r="AD16" i="137"/>
  <c r="AC16" i="137"/>
  <c r="AC18" i="137" s="1"/>
  <c r="AC26" i="137" s="1"/>
  <c r="AA16" i="137"/>
  <c r="Z16" i="137"/>
  <c r="Y16" i="137"/>
  <c r="Y18" i="137" s="1"/>
  <c r="Y26" i="137" s="1"/>
  <c r="W16" i="137"/>
  <c r="U16" i="137"/>
  <c r="U24" i="137" s="1"/>
  <c r="S16" i="137"/>
  <c r="Q16" i="137"/>
  <c r="P16" i="137"/>
  <c r="O16" i="137"/>
  <c r="N16" i="137"/>
  <c r="L16" i="137"/>
  <c r="K16" i="137"/>
  <c r="J16" i="137"/>
  <c r="H16" i="137"/>
  <c r="G16" i="137"/>
  <c r="F16" i="137"/>
  <c r="P15" i="137"/>
  <c r="AF14" i="137"/>
  <c r="AD14" i="137"/>
  <c r="AB14" i="137"/>
  <c r="Z14" i="137"/>
  <c r="X14" i="137"/>
  <c r="V14" i="137"/>
  <c r="T14" i="137"/>
  <c r="R14" i="137"/>
  <c r="M14" i="137"/>
  <c r="I14" i="137"/>
  <c r="P13" i="137"/>
  <c r="C13" i="137"/>
  <c r="D27" i="137" s="1"/>
  <c r="E27" i="137" s="1"/>
  <c r="AF12" i="137"/>
  <c r="AD12" i="137"/>
  <c r="AB12" i="137"/>
  <c r="Z12" i="137"/>
  <c r="X12" i="137"/>
  <c r="V12" i="137"/>
  <c r="T12" i="137"/>
  <c r="R12" i="137"/>
  <c r="M12" i="137"/>
  <c r="I12" i="137"/>
  <c r="P11" i="137"/>
  <c r="AF10" i="137"/>
  <c r="AD10" i="137"/>
  <c r="AB10" i="137"/>
  <c r="Z10" i="137"/>
  <c r="X10" i="137"/>
  <c r="V10" i="137"/>
  <c r="T10" i="137"/>
  <c r="R10" i="137"/>
  <c r="M10" i="137"/>
  <c r="I10" i="137"/>
  <c r="P9" i="137"/>
  <c r="AF8" i="137"/>
  <c r="AD8" i="137"/>
  <c r="AB8" i="137"/>
  <c r="Z8" i="137"/>
  <c r="X8" i="137"/>
  <c r="V8" i="137"/>
  <c r="T8" i="137"/>
  <c r="R8" i="137"/>
  <c r="R16" i="137" s="1"/>
  <c r="M8" i="137"/>
  <c r="I8" i="137"/>
  <c r="P7" i="137"/>
  <c r="AF6" i="137"/>
  <c r="AD6" i="137"/>
  <c r="AB6" i="137"/>
  <c r="Z6" i="137"/>
  <c r="X6" i="137"/>
  <c r="V6" i="137"/>
  <c r="T6" i="137"/>
  <c r="R6" i="137"/>
  <c r="M6" i="137"/>
  <c r="I6" i="137"/>
  <c r="C3" i="137"/>
  <c r="AE64" i="136"/>
  <c r="AC64" i="136"/>
  <c r="AA64" i="136"/>
  <c r="Y64" i="136"/>
  <c r="W64" i="136"/>
  <c r="U64" i="136"/>
  <c r="S64" i="136"/>
  <c r="AE63" i="136"/>
  <c r="AC63" i="136"/>
  <c r="AA63" i="136"/>
  <c r="Y63" i="136"/>
  <c r="W63" i="136"/>
  <c r="U63" i="136"/>
  <c r="S63" i="136"/>
  <c r="AE62" i="136"/>
  <c r="AC62" i="136"/>
  <c r="AA62" i="136"/>
  <c r="Y62" i="136"/>
  <c r="W62" i="136"/>
  <c r="U62" i="136"/>
  <c r="S62" i="136"/>
  <c r="AE61" i="136"/>
  <c r="AC61" i="136"/>
  <c r="AA61" i="136"/>
  <c r="Y61" i="136"/>
  <c r="W61" i="136"/>
  <c r="U61" i="136"/>
  <c r="S61" i="136"/>
  <c r="AE60" i="136"/>
  <c r="AC60" i="136"/>
  <c r="AA60" i="136"/>
  <c r="Y60" i="136"/>
  <c r="W60" i="136"/>
  <c r="U60" i="136"/>
  <c r="S60" i="136"/>
  <c r="AE59" i="136"/>
  <c r="AC59" i="136"/>
  <c r="AA59" i="136"/>
  <c r="Y59" i="136"/>
  <c r="W59" i="136"/>
  <c r="U59" i="136"/>
  <c r="S59" i="136"/>
  <c r="AE58" i="136"/>
  <c r="AC58" i="136"/>
  <c r="AA58" i="136"/>
  <c r="Y58" i="136"/>
  <c r="W58" i="136"/>
  <c r="U58" i="136"/>
  <c r="S58" i="136"/>
  <c r="AE57" i="136"/>
  <c r="AC57" i="136"/>
  <c r="AA57" i="136"/>
  <c r="Y57" i="136"/>
  <c r="W57" i="136"/>
  <c r="U57" i="136"/>
  <c r="S57" i="136"/>
  <c r="AE56" i="136"/>
  <c r="AC56" i="136"/>
  <c r="AA56" i="136"/>
  <c r="Y56" i="136"/>
  <c r="W56" i="136"/>
  <c r="U56" i="136"/>
  <c r="S56" i="136"/>
  <c r="AE55" i="136"/>
  <c r="AC55" i="136"/>
  <c r="AA55" i="136"/>
  <c r="Y55" i="136"/>
  <c r="W55" i="136"/>
  <c r="U55" i="136"/>
  <c r="S55" i="136"/>
  <c r="AE54" i="136"/>
  <c r="AC54" i="136"/>
  <c r="AA54" i="136"/>
  <c r="Y54" i="136"/>
  <c r="W54" i="136"/>
  <c r="U54" i="136"/>
  <c r="S54" i="136"/>
  <c r="AE53" i="136"/>
  <c r="AC53" i="136"/>
  <c r="AA53" i="136"/>
  <c r="Y53" i="136"/>
  <c r="W53" i="136"/>
  <c r="U53" i="136"/>
  <c r="S53" i="136"/>
  <c r="AE52" i="136"/>
  <c r="AC52" i="136"/>
  <c r="AA52" i="136"/>
  <c r="Y52" i="136"/>
  <c r="W52" i="136"/>
  <c r="U52" i="136"/>
  <c r="S52" i="136"/>
  <c r="AE51" i="136"/>
  <c r="AC51" i="136"/>
  <c r="AA51" i="136"/>
  <c r="Y51" i="136"/>
  <c r="W51" i="136"/>
  <c r="U51" i="136"/>
  <c r="S51" i="136"/>
  <c r="AE50" i="136"/>
  <c r="AC50" i="136"/>
  <c r="AA50" i="136"/>
  <c r="Y50" i="136"/>
  <c r="W50" i="136"/>
  <c r="U50" i="136"/>
  <c r="S50" i="136"/>
  <c r="AE49" i="136"/>
  <c r="AC49" i="136"/>
  <c r="AA49" i="136"/>
  <c r="Y49" i="136"/>
  <c r="W49" i="136"/>
  <c r="U49" i="136"/>
  <c r="S49" i="136"/>
  <c r="AE48" i="136"/>
  <c r="AC48" i="136"/>
  <c r="AA48" i="136"/>
  <c r="Y48" i="136"/>
  <c r="W48" i="136"/>
  <c r="U48" i="136"/>
  <c r="S48" i="136"/>
  <c r="AE47" i="136"/>
  <c r="AC47" i="136"/>
  <c r="AA47" i="136"/>
  <c r="Y47" i="136"/>
  <c r="W47" i="136"/>
  <c r="U47" i="136"/>
  <c r="S47" i="136"/>
  <c r="AE46" i="136"/>
  <c r="AC46" i="136"/>
  <c r="AA46" i="136"/>
  <c r="Y46" i="136"/>
  <c r="W46" i="136"/>
  <c r="U46" i="136"/>
  <c r="S46" i="136"/>
  <c r="AE45" i="136"/>
  <c r="AC45" i="136"/>
  <c r="AA45" i="136"/>
  <c r="Y45" i="136"/>
  <c r="W45" i="136"/>
  <c r="U45" i="136"/>
  <c r="S45" i="136"/>
  <c r="AE44" i="136"/>
  <c r="AC44" i="136"/>
  <c r="AA44" i="136"/>
  <c r="Y44" i="136"/>
  <c r="W44" i="136"/>
  <c r="U44" i="136"/>
  <c r="S44" i="136"/>
  <c r="AE43" i="136"/>
  <c r="AC43" i="136"/>
  <c r="AA43" i="136"/>
  <c r="Y43" i="136"/>
  <c r="W43" i="136"/>
  <c r="U43" i="136"/>
  <c r="S43" i="136"/>
  <c r="AE42" i="136"/>
  <c r="AC42" i="136"/>
  <c r="AA42" i="136"/>
  <c r="Y42" i="136"/>
  <c r="W42" i="136"/>
  <c r="U42" i="136"/>
  <c r="S42" i="136"/>
  <c r="AE41" i="136"/>
  <c r="AC41" i="136"/>
  <c r="AA41" i="136"/>
  <c r="Y41" i="136"/>
  <c r="W41" i="136"/>
  <c r="U41" i="136"/>
  <c r="S41" i="136"/>
  <c r="AE40" i="136"/>
  <c r="AC40" i="136"/>
  <c r="AA40" i="136"/>
  <c r="Y40" i="136"/>
  <c r="W40" i="136"/>
  <c r="U40" i="136"/>
  <c r="S40" i="136"/>
  <c r="AE39" i="136"/>
  <c r="AC39" i="136"/>
  <c r="AA39" i="136"/>
  <c r="Y39" i="136"/>
  <c r="W39" i="136"/>
  <c r="U39" i="136"/>
  <c r="S39" i="136"/>
  <c r="AE38" i="136"/>
  <c r="AC38" i="136"/>
  <c r="AA38" i="136"/>
  <c r="Y38" i="136"/>
  <c r="W38" i="136"/>
  <c r="U38" i="136"/>
  <c r="S38" i="136"/>
  <c r="AE37" i="136"/>
  <c r="AC37" i="136"/>
  <c r="AA37" i="136"/>
  <c r="Y37" i="136"/>
  <c r="W37" i="136"/>
  <c r="U37" i="136"/>
  <c r="S37" i="136"/>
  <c r="AE36" i="136"/>
  <c r="AC36" i="136"/>
  <c r="AA36" i="136"/>
  <c r="Y36" i="136"/>
  <c r="W36" i="136"/>
  <c r="U36" i="136"/>
  <c r="S36" i="136"/>
  <c r="AE35" i="136"/>
  <c r="AC35" i="136"/>
  <c r="AA35" i="136"/>
  <c r="Y35" i="136"/>
  <c r="W35" i="136"/>
  <c r="U35" i="136"/>
  <c r="S35" i="136"/>
  <c r="D31" i="136"/>
  <c r="E31" i="136" s="1"/>
  <c r="E30" i="136"/>
  <c r="D30" i="136"/>
  <c r="E29" i="136"/>
  <c r="D29" i="136"/>
  <c r="D28" i="136"/>
  <c r="E28" i="136" s="1"/>
  <c r="T26" i="136"/>
  <c r="D26" i="136"/>
  <c r="E26" i="136" s="1"/>
  <c r="V25" i="136"/>
  <c r="V24" i="136"/>
  <c r="T18" i="136"/>
  <c r="AD17" i="136"/>
  <c r="AD25" i="136" s="1"/>
  <c r="AB17" i="136"/>
  <c r="AB25" i="136" s="1"/>
  <c r="Z17" i="136"/>
  <c r="Z25" i="136" s="1"/>
  <c r="X17" i="136"/>
  <c r="X25" i="136" s="1"/>
  <c r="V17" i="136"/>
  <c r="T17" i="136"/>
  <c r="T25" i="136" s="1"/>
  <c r="R17" i="136"/>
  <c r="R25" i="136" s="1"/>
  <c r="AD16" i="136"/>
  <c r="AD18" i="136" s="1"/>
  <c r="AD26" i="136" s="1"/>
  <c r="AB16" i="136"/>
  <c r="AB24" i="136" s="1"/>
  <c r="Z16" i="136"/>
  <c r="Z18" i="136" s="1"/>
  <c r="Z26" i="136" s="1"/>
  <c r="X16" i="136"/>
  <c r="X18" i="136" s="1"/>
  <c r="X26" i="136" s="1"/>
  <c r="V16" i="136"/>
  <c r="W16" i="136" s="1"/>
  <c r="T16" i="136"/>
  <c r="U16" i="136" s="1"/>
  <c r="R16" i="136"/>
  <c r="P16" i="136"/>
  <c r="O16" i="136"/>
  <c r="N16" i="136"/>
  <c r="L16" i="136"/>
  <c r="K16" i="136"/>
  <c r="J16" i="136"/>
  <c r="H16" i="136"/>
  <c r="G16" i="136"/>
  <c r="F16" i="136"/>
  <c r="O15" i="136"/>
  <c r="AE14" i="136"/>
  <c r="AC14" i="136"/>
  <c r="AA14" i="136"/>
  <c r="Y14" i="136"/>
  <c r="W14" i="136"/>
  <c r="U14" i="136"/>
  <c r="S14" i="136"/>
  <c r="Q14" i="136"/>
  <c r="M14" i="136"/>
  <c r="I14" i="136"/>
  <c r="O13" i="136"/>
  <c r="C13" i="136"/>
  <c r="D27" i="136" s="1"/>
  <c r="E27" i="136" s="1"/>
  <c r="AE12" i="136"/>
  <c r="AC12" i="136"/>
  <c r="AA12" i="136"/>
  <c r="Y12" i="136"/>
  <c r="W12" i="136"/>
  <c r="U12" i="136"/>
  <c r="S12" i="136"/>
  <c r="Q12" i="136"/>
  <c r="M12" i="136"/>
  <c r="I12" i="136"/>
  <c r="O11" i="136"/>
  <c r="AE10" i="136"/>
  <c r="AC10" i="136"/>
  <c r="AA10" i="136"/>
  <c r="Y10" i="136"/>
  <c r="W10" i="136"/>
  <c r="U10" i="136"/>
  <c r="S10" i="136"/>
  <c r="Q10" i="136"/>
  <c r="M10" i="136"/>
  <c r="I10" i="136"/>
  <c r="O9" i="136"/>
  <c r="AE8" i="136"/>
  <c r="AC8" i="136"/>
  <c r="AA8" i="136"/>
  <c r="Y8" i="136"/>
  <c r="W8" i="136"/>
  <c r="U8" i="136"/>
  <c r="S8" i="136"/>
  <c r="Q8" i="136"/>
  <c r="M8" i="136"/>
  <c r="I8" i="136"/>
  <c r="O7" i="136"/>
  <c r="AE6" i="136"/>
  <c r="AC6" i="136"/>
  <c r="AA6" i="136"/>
  <c r="Y6" i="136"/>
  <c r="W6" i="136"/>
  <c r="U6" i="136"/>
  <c r="S6" i="136"/>
  <c r="Q6" i="136"/>
  <c r="Q16" i="136" s="1"/>
  <c r="M6" i="136"/>
  <c r="I6" i="136"/>
  <c r="C3" i="136"/>
  <c r="AE64" i="135"/>
  <c r="AC64" i="135"/>
  <c r="AA64" i="135"/>
  <c r="Y64" i="135"/>
  <c r="W64" i="135"/>
  <c r="U64" i="135"/>
  <c r="S64" i="135"/>
  <c r="AE63" i="135"/>
  <c r="AC63" i="135"/>
  <c r="AA63" i="135"/>
  <c r="Y63" i="135"/>
  <c r="W63" i="135"/>
  <c r="U63" i="135"/>
  <c r="S63" i="135"/>
  <c r="AE62" i="135"/>
  <c r="AC62" i="135"/>
  <c r="AA62" i="135"/>
  <c r="Y62" i="135"/>
  <c r="W62" i="135"/>
  <c r="U62" i="135"/>
  <c r="S62" i="135"/>
  <c r="AE61" i="135"/>
  <c r="AC61" i="135"/>
  <c r="AA61" i="135"/>
  <c r="Y61" i="135"/>
  <c r="W61" i="135"/>
  <c r="U61" i="135"/>
  <c r="S61" i="135"/>
  <c r="AE60" i="135"/>
  <c r="AC60" i="135"/>
  <c r="AA60" i="135"/>
  <c r="Y60" i="135"/>
  <c r="W60" i="135"/>
  <c r="U60" i="135"/>
  <c r="S60" i="135"/>
  <c r="AE59" i="135"/>
  <c r="AC59" i="135"/>
  <c r="AA59" i="135"/>
  <c r="Y59" i="135"/>
  <c r="W59" i="135"/>
  <c r="U59" i="135"/>
  <c r="S59" i="135"/>
  <c r="AE58" i="135"/>
  <c r="AC58" i="135"/>
  <c r="AA58" i="135"/>
  <c r="Y58" i="135"/>
  <c r="W58" i="135"/>
  <c r="U58" i="135"/>
  <c r="S58" i="135"/>
  <c r="AE57" i="135"/>
  <c r="AC57" i="135"/>
  <c r="AA57" i="135"/>
  <c r="Y57" i="135"/>
  <c r="W57" i="135"/>
  <c r="U57" i="135"/>
  <c r="S57" i="135"/>
  <c r="AE56" i="135"/>
  <c r="AC56" i="135"/>
  <c r="AA56" i="135"/>
  <c r="Y56" i="135"/>
  <c r="W56" i="135"/>
  <c r="U56" i="135"/>
  <c r="S56" i="135"/>
  <c r="AE55" i="135"/>
  <c r="AC55" i="135"/>
  <c r="AA55" i="135"/>
  <c r="Y55" i="135"/>
  <c r="W55" i="135"/>
  <c r="U55" i="135"/>
  <c r="S55" i="135"/>
  <c r="AE54" i="135"/>
  <c r="AC54" i="135"/>
  <c r="AA54" i="135"/>
  <c r="Y54" i="135"/>
  <c r="W54" i="135"/>
  <c r="U54" i="135"/>
  <c r="S54" i="135"/>
  <c r="AE53" i="135"/>
  <c r="AC53" i="135"/>
  <c r="AA53" i="135"/>
  <c r="Y53" i="135"/>
  <c r="W53" i="135"/>
  <c r="U53" i="135"/>
  <c r="S53" i="135"/>
  <c r="AE52" i="135"/>
  <c r="AC52" i="135"/>
  <c r="AA52" i="135"/>
  <c r="Y52" i="135"/>
  <c r="W52" i="135"/>
  <c r="U52" i="135"/>
  <c r="S52" i="135"/>
  <c r="AE51" i="135"/>
  <c r="AC51" i="135"/>
  <c r="AA51" i="135"/>
  <c r="Y51" i="135"/>
  <c r="W51" i="135"/>
  <c r="U51" i="135"/>
  <c r="S51" i="135"/>
  <c r="AE50" i="135"/>
  <c r="AC50" i="135"/>
  <c r="AA50" i="135"/>
  <c r="Y50" i="135"/>
  <c r="W50" i="135"/>
  <c r="U50" i="135"/>
  <c r="S50" i="135"/>
  <c r="AE49" i="135"/>
  <c r="AC49" i="135"/>
  <c r="AA49" i="135"/>
  <c r="Y49" i="135"/>
  <c r="W49" i="135"/>
  <c r="U49" i="135"/>
  <c r="S49" i="135"/>
  <c r="AE48" i="135"/>
  <c r="AC48" i="135"/>
  <c r="AA48" i="135"/>
  <c r="Y48" i="135"/>
  <c r="W48" i="135"/>
  <c r="U48" i="135"/>
  <c r="S48" i="135"/>
  <c r="AE47" i="135"/>
  <c r="AC47" i="135"/>
  <c r="AA47" i="135"/>
  <c r="Y47" i="135"/>
  <c r="W47" i="135"/>
  <c r="U47" i="135"/>
  <c r="S47" i="135"/>
  <c r="AE46" i="135"/>
  <c r="AC46" i="135"/>
  <c r="AA46" i="135"/>
  <c r="Y46" i="135"/>
  <c r="W46" i="135"/>
  <c r="U46" i="135"/>
  <c r="S46" i="135"/>
  <c r="AE45" i="135"/>
  <c r="AC45" i="135"/>
  <c r="AA45" i="135"/>
  <c r="Y45" i="135"/>
  <c r="W45" i="135"/>
  <c r="U45" i="135"/>
  <c r="S45" i="135"/>
  <c r="AE44" i="135"/>
  <c r="AC44" i="135"/>
  <c r="AA44" i="135"/>
  <c r="Y44" i="135"/>
  <c r="W44" i="135"/>
  <c r="U44" i="135"/>
  <c r="S44" i="135"/>
  <c r="AE43" i="135"/>
  <c r="AC43" i="135"/>
  <c r="AA43" i="135"/>
  <c r="Y43" i="135"/>
  <c r="W43" i="135"/>
  <c r="U43" i="135"/>
  <c r="S43" i="135"/>
  <c r="AE42" i="135"/>
  <c r="AC42" i="135"/>
  <c r="AA42" i="135"/>
  <c r="Y42" i="135"/>
  <c r="W42" i="135"/>
  <c r="U42" i="135"/>
  <c r="S42" i="135"/>
  <c r="AE41" i="135"/>
  <c r="AC41" i="135"/>
  <c r="AA41" i="135"/>
  <c r="Y41" i="135"/>
  <c r="W41" i="135"/>
  <c r="U41" i="135"/>
  <c r="S41" i="135"/>
  <c r="AE40" i="135"/>
  <c r="AC40" i="135"/>
  <c r="AA40" i="135"/>
  <c r="Y40" i="135"/>
  <c r="W40" i="135"/>
  <c r="U40" i="135"/>
  <c r="S40" i="135"/>
  <c r="AE39" i="135"/>
  <c r="AC39" i="135"/>
  <c r="AA39" i="135"/>
  <c r="Y39" i="135"/>
  <c r="W39" i="135"/>
  <c r="U39" i="135"/>
  <c r="S39" i="135"/>
  <c r="AE38" i="135"/>
  <c r="AC38" i="135"/>
  <c r="AA38" i="135"/>
  <c r="Y38" i="135"/>
  <c r="W38" i="135"/>
  <c r="U38" i="135"/>
  <c r="S38" i="135"/>
  <c r="AE37" i="135"/>
  <c r="AC37" i="135"/>
  <c r="AA37" i="135"/>
  <c r="Y37" i="135"/>
  <c r="W37" i="135"/>
  <c r="U37" i="135"/>
  <c r="S37" i="135"/>
  <c r="AE36" i="135"/>
  <c r="AC36" i="135"/>
  <c r="AA36" i="135"/>
  <c r="Y36" i="135"/>
  <c r="W36" i="135"/>
  <c r="U36" i="135"/>
  <c r="S36" i="135"/>
  <c r="AE35" i="135"/>
  <c r="AC35" i="135"/>
  <c r="AA35" i="135"/>
  <c r="Y35" i="135"/>
  <c r="W35" i="135"/>
  <c r="U35" i="135"/>
  <c r="S35" i="135"/>
  <c r="D31" i="135"/>
  <c r="E31" i="135" s="1"/>
  <c r="D30" i="135"/>
  <c r="E30" i="135" s="1"/>
  <c r="D29" i="135"/>
  <c r="E29" i="135" s="1"/>
  <c r="E28" i="135"/>
  <c r="D28" i="135"/>
  <c r="D27" i="135"/>
  <c r="E27" i="135" s="1"/>
  <c r="D26" i="135"/>
  <c r="E26" i="135" s="1"/>
  <c r="Z25" i="135"/>
  <c r="Z24" i="135"/>
  <c r="AD18" i="135"/>
  <c r="AD26" i="135" s="1"/>
  <c r="AD17" i="135"/>
  <c r="AD25" i="135" s="1"/>
  <c r="AB17" i="135"/>
  <c r="AB25" i="135" s="1"/>
  <c r="Z17" i="135"/>
  <c r="X17" i="135"/>
  <c r="X25" i="135" s="1"/>
  <c r="V17" i="135"/>
  <c r="V25" i="135" s="1"/>
  <c r="T17" i="135"/>
  <c r="T25" i="135" s="1"/>
  <c r="R17" i="135"/>
  <c r="R25" i="135" s="1"/>
  <c r="AD16" i="135"/>
  <c r="AD24" i="135" s="1"/>
  <c r="AB16" i="135"/>
  <c r="Z16" i="135"/>
  <c r="Z18" i="135" s="1"/>
  <c r="Z26" i="135" s="1"/>
  <c r="X16" i="135"/>
  <c r="X18" i="135" s="1"/>
  <c r="X26" i="135" s="1"/>
  <c r="W16" i="135"/>
  <c r="V16" i="135"/>
  <c r="V18" i="135" s="1"/>
  <c r="V26" i="135" s="1"/>
  <c r="T16" i="135"/>
  <c r="U16" i="135" s="1"/>
  <c r="R16" i="135"/>
  <c r="S16" i="135" s="1"/>
  <c r="P16" i="135"/>
  <c r="O16" i="135"/>
  <c r="N16" i="135"/>
  <c r="L16" i="135"/>
  <c r="K16" i="135"/>
  <c r="J16" i="135"/>
  <c r="H16" i="135"/>
  <c r="G16" i="135"/>
  <c r="F16" i="135"/>
  <c r="O15" i="135"/>
  <c r="AE14" i="135"/>
  <c r="AC14" i="135"/>
  <c r="AA14" i="135"/>
  <c r="Y14" i="135"/>
  <c r="W14" i="135"/>
  <c r="U14" i="135"/>
  <c r="S14" i="135"/>
  <c r="Q14" i="135"/>
  <c r="M14" i="135"/>
  <c r="I14" i="135"/>
  <c r="O13" i="135"/>
  <c r="AE12" i="135"/>
  <c r="AC12" i="135"/>
  <c r="AA12" i="135"/>
  <c r="Y12" i="135"/>
  <c r="W12" i="135"/>
  <c r="U12" i="135"/>
  <c r="S12" i="135"/>
  <c r="Q12" i="135"/>
  <c r="M12" i="135"/>
  <c r="I12" i="135"/>
  <c r="O11" i="135"/>
  <c r="AE10" i="135"/>
  <c r="AC10" i="135"/>
  <c r="AA10" i="135"/>
  <c r="Y10" i="135"/>
  <c r="W10" i="135"/>
  <c r="U10" i="135"/>
  <c r="S10" i="135"/>
  <c r="Q10" i="135"/>
  <c r="M10" i="135"/>
  <c r="I10" i="135"/>
  <c r="O9" i="135"/>
  <c r="AE8" i="135"/>
  <c r="AC8" i="135"/>
  <c r="AA8" i="135"/>
  <c r="Y8" i="135"/>
  <c r="W8" i="135"/>
  <c r="U8" i="135"/>
  <c r="S8" i="135"/>
  <c r="Q8" i="135"/>
  <c r="M8" i="135"/>
  <c r="I8" i="135"/>
  <c r="O7" i="135"/>
  <c r="AE6" i="135"/>
  <c r="AC6" i="135"/>
  <c r="AA6" i="135"/>
  <c r="Y6" i="135"/>
  <c r="W6" i="135"/>
  <c r="U6" i="135"/>
  <c r="S6" i="135"/>
  <c r="Q6" i="135"/>
  <c r="M6" i="135"/>
  <c r="M16" i="135" s="1"/>
  <c r="I6" i="135"/>
  <c r="C3" i="135"/>
  <c r="AE64" i="134"/>
  <c r="AC64" i="134"/>
  <c r="AA64" i="134"/>
  <c r="Y64" i="134"/>
  <c r="W64" i="134"/>
  <c r="U64" i="134"/>
  <c r="S64" i="134"/>
  <c r="AE63" i="134"/>
  <c r="AC63" i="134"/>
  <c r="AA63" i="134"/>
  <c r="Y63" i="134"/>
  <c r="W63" i="134"/>
  <c r="U63" i="134"/>
  <c r="S63" i="134"/>
  <c r="AE62" i="134"/>
  <c r="AC62" i="134"/>
  <c r="AA62" i="134"/>
  <c r="Y62" i="134"/>
  <c r="W62" i="134"/>
  <c r="U62" i="134"/>
  <c r="S62" i="134"/>
  <c r="AE61" i="134"/>
  <c r="AC61" i="134"/>
  <c r="AA61" i="134"/>
  <c r="Y61" i="134"/>
  <c r="W61" i="134"/>
  <c r="U61" i="134"/>
  <c r="S61" i="134"/>
  <c r="AE60" i="134"/>
  <c r="AC60" i="134"/>
  <c r="AA60" i="134"/>
  <c r="Y60" i="134"/>
  <c r="W60" i="134"/>
  <c r="U60" i="134"/>
  <c r="S60" i="134"/>
  <c r="AE59" i="134"/>
  <c r="AC59" i="134"/>
  <c r="AA59" i="134"/>
  <c r="Y59" i="134"/>
  <c r="W59" i="134"/>
  <c r="U59" i="134"/>
  <c r="S59" i="134"/>
  <c r="AE58" i="134"/>
  <c r="AC58" i="134"/>
  <c r="AA58" i="134"/>
  <c r="Y58" i="134"/>
  <c r="W58" i="134"/>
  <c r="U58" i="134"/>
  <c r="S58" i="134"/>
  <c r="AE57" i="134"/>
  <c r="AC57" i="134"/>
  <c r="AA57" i="134"/>
  <c r="Y57" i="134"/>
  <c r="W57" i="134"/>
  <c r="U57" i="134"/>
  <c r="S57" i="134"/>
  <c r="AE56" i="134"/>
  <c r="AC56" i="134"/>
  <c r="AA56" i="134"/>
  <c r="Y56" i="134"/>
  <c r="W56" i="134"/>
  <c r="U56" i="134"/>
  <c r="S56" i="134"/>
  <c r="AE55" i="134"/>
  <c r="AC55" i="134"/>
  <c r="AA55" i="134"/>
  <c r="Y55" i="134"/>
  <c r="W55" i="134"/>
  <c r="U55" i="134"/>
  <c r="S55" i="134"/>
  <c r="AE54" i="134"/>
  <c r="AC54" i="134"/>
  <c r="AA54" i="134"/>
  <c r="Y54" i="134"/>
  <c r="W54" i="134"/>
  <c r="U54" i="134"/>
  <c r="S54" i="134"/>
  <c r="AE53" i="134"/>
  <c r="AC53" i="134"/>
  <c r="AA53" i="134"/>
  <c r="Y53" i="134"/>
  <c r="W53" i="134"/>
  <c r="U53" i="134"/>
  <c r="S53" i="134"/>
  <c r="AE52" i="134"/>
  <c r="AC52" i="134"/>
  <c r="AA52" i="134"/>
  <c r="Y52" i="134"/>
  <c r="W52" i="134"/>
  <c r="U52" i="134"/>
  <c r="S52" i="134"/>
  <c r="AE51" i="134"/>
  <c r="AC51" i="134"/>
  <c r="AA51" i="134"/>
  <c r="Y51" i="134"/>
  <c r="W51" i="134"/>
  <c r="U51" i="134"/>
  <c r="S51" i="134"/>
  <c r="AE50" i="134"/>
  <c r="AC50" i="134"/>
  <c r="AA50" i="134"/>
  <c r="Y50" i="134"/>
  <c r="W50" i="134"/>
  <c r="U50" i="134"/>
  <c r="S50" i="134"/>
  <c r="AE49" i="134"/>
  <c r="AC49" i="134"/>
  <c r="AA49" i="134"/>
  <c r="Y49" i="134"/>
  <c r="W49" i="134"/>
  <c r="U49" i="134"/>
  <c r="S49" i="134"/>
  <c r="AE48" i="134"/>
  <c r="AC48" i="134"/>
  <c r="AA48" i="134"/>
  <c r="Y48" i="134"/>
  <c r="W48" i="134"/>
  <c r="U48" i="134"/>
  <c r="S48" i="134"/>
  <c r="AE47" i="134"/>
  <c r="AC47" i="134"/>
  <c r="AA47" i="134"/>
  <c r="Y47" i="134"/>
  <c r="W47" i="134"/>
  <c r="U47" i="134"/>
  <c r="S47" i="134"/>
  <c r="AE46" i="134"/>
  <c r="AC46" i="134"/>
  <c r="AA46" i="134"/>
  <c r="Y46" i="134"/>
  <c r="W46" i="134"/>
  <c r="U46" i="134"/>
  <c r="S46" i="134"/>
  <c r="AE45" i="134"/>
  <c r="AC45" i="134"/>
  <c r="AA45" i="134"/>
  <c r="Y45" i="134"/>
  <c r="W45" i="134"/>
  <c r="U45" i="134"/>
  <c r="S45" i="134"/>
  <c r="AE44" i="134"/>
  <c r="AC44" i="134"/>
  <c r="AA44" i="134"/>
  <c r="Y44" i="134"/>
  <c r="W44" i="134"/>
  <c r="U44" i="134"/>
  <c r="S44" i="134"/>
  <c r="AE43" i="134"/>
  <c r="AC43" i="134"/>
  <c r="AA43" i="134"/>
  <c r="Y43" i="134"/>
  <c r="W43" i="134"/>
  <c r="U43" i="134"/>
  <c r="S43" i="134"/>
  <c r="AE42" i="134"/>
  <c r="AC42" i="134"/>
  <c r="AA42" i="134"/>
  <c r="Y42" i="134"/>
  <c r="W42" i="134"/>
  <c r="U42" i="134"/>
  <c r="S42" i="134"/>
  <c r="AE41" i="134"/>
  <c r="AC41" i="134"/>
  <c r="AA41" i="134"/>
  <c r="Y41" i="134"/>
  <c r="W41" i="134"/>
  <c r="U41" i="134"/>
  <c r="S41" i="134"/>
  <c r="AE40" i="134"/>
  <c r="AC40" i="134"/>
  <c r="AA40" i="134"/>
  <c r="Y40" i="134"/>
  <c r="W40" i="134"/>
  <c r="U40" i="134"/>
  <c r="S40" i="134"/>
  <c r="AE39" i="134"/>
  <c r="AC39" i="134"/>
  <c r="AA39" i="134"/>
  <c r="Y39" i="134"/>
  <c r="W39" i="134"/>
  <c r="U39" i="134"/>
  <c r="S39" i="134"/>
  <c r="AE38" i="134"/>
  <c r="AC38" i="134"/>
  <c r="AA38" i="134"/>
  <c r="Y38" i="134"/>
  <c r="W38" i="134"/>
  <c r="U38" i="134"/>
  <c r="S38" i="134"/>
  <c r="AE37" i="134"/>
  <c r="AC37" i="134"/>
  <c r="AA37" i="134"/>
  <c r="Y37" i="134"/>
  <c r="W37" i="134"/>
  <c r="U37" i="134"/>
  <c r="S37" i="134"/>
  <c r="AE36" i="134"/>
  <c r="AC36" i="134"/>
  <c r="AA36" i="134"/>
  <c r="Y36" i="134"/>
  <c r="W36" i="134"/>
  <c r="U36" i="134"/>
  <c r="S36" i="134"/>
  <c r="AE35" i="134"/>
  <c r="AC35" i="134"/>
  <c r="AA35" i="134"/>
  <c r="Y35" i="134"/>
  <c r="W35" i="134"/>
  <c r="U35" i="134"/>
  <c r="S35" i="134"/>
  <c r="D31" i="134"/>
  <c r="E31" i="134" s="1"/>
  <c r="D30" i="134"/>
  <c r="E30" i="134" s="1"/>
  <c r="D29" i="134"/>
  <c r="E29" i="134" s="1"/>
  <c r="D28" i="134"/>
  <c r="E28" i="134" s="1"/>
  <c r="D27" i="134"/>
  <c r="E27" i="134" s="1"/>
  <c r="D26" i="134"/>
  <c r="E26" i="134" s="1"/>
  <c r="AD25" i="134"/>
  <c r="T25" i="134"/>
  <c r="R24" i="134"/>
  <c r="X18" i="134"/>
  <c r="X26" i="134" s="1"/>
  <c r="R18" i="134"/>
  <c r="R26" i="134" s="1"/>
  <c r="AD17" i="134"/>
  <c r="AB17" i="134"/>
  <c r="AB25" i="134" s="1"/>
  <c r="Z17" i="134"/>
  <c r="Z25" i="134" s="1"/>
  <c r="X17" i="134"/>
  <c r="X25" i="134" s="1"/>
  <c r="V17" i="134"/>
  <c r="V25" i="134" s="1"/>
  <c r="T17" i="134"/>
  <c r="R17" i="134"/>
  <c r="R25" i="134" s="1"/>
  <c r="AD16" i="134"/>
  <c r="AD24" i="134" s="1"/>
  <c r="AB16" i="134"/>
  <c r="Z16" i="134"/>
  <c r="X16" i="134"/>
  <c r="X24" i="134" s="1"/>
  <c r="V16" i="134"/>
  <c r="V24" i="134" s="1"/>
  <c r="T16" i="134"/>
  <c r="R16" i="134"/>
  <c r="P16" i="134"/>
  <c r="O16" i="134"/>
  <c r="N16" i="134"/>
  <c r="L16" i="134"/>
  <c r="K16" i="134"/>
  <c r="J16" i="134"/>
  <c r="H16" i="134"/>
  <c r="G16" i="134"/>
  <c r="F16" i="134"/>
  <c r="O15" i="134"/>
  <c r="Q14" i="134"/>
  <c r="M14" i="134"/>
  <c r="I14" i="134"/>
  <c r="O13" i="134"/>
  <c r="AC12" i="134"/>
  <c r="AA12" i="134"/>
  <c r="W12" i="134"/>
  <c r="U12" i="134"/>
  <c r="Q12" i="134"/>
  <c r="Y12" i="134" s="1"/>
  <c r="M12" i="134"/>
  <c r="I12" i="134"/>
  <c r="O11" i="134"/>
  <c r="AC10" i="134"/>
  <c r="Y10" i="134"/>
  <c r="Q10" i="134"/>
  <c r="W10" i="134" s="1"/>
  <c r="M10" i="134"/>
  <c r="I10" i="134"/>
  <c r="O9" i="134"/>
  <c r="Q8" i="134"/>
  <c r="M8" i="134"/>
  <c r="I8" i="134"/>
  <c r="O7" i="134"/>
  <c r="W6" i="134"/>
  <c r="Q6" i="134"/>
  <c r="S6" i="134" s="1"/>
  <c r="M6" i="134"/>
  <c r="I6" i="134"/>
  <c r="C3" i="134"/>
  <c r="AE64" i="133"/>
  <c r="AC64" i="133"/>
  <c r="AA64" i="133"/>
  <c r="Y64" i="133"/>
  <c r="W64" i="133"/>
  <c r="U64" i="133"/>
  <c r="S64" i="133"/>
  <c r="AE63" i="133"/>
  <c r="AC63" i="133"/>
  <c r="AA63" i="133"/>
  <c r="Y63" i="133"/>
  <c r="W63" i="133"/>
  <c r="U63" i="133"/>
  <c r="S63" i="133"/>
  <c r="AE62" i="133"/>
  <c r="AC62" i="133"/>
  <c r="AA62" i="133"/>
  <c r="Y62" i="133"/>
  <c r="W62" i="133"/>
  <c r="U62" i="133"/>
  <c r="S62" i="133"/>
  <c r="AE61" i="133"/>
  <c r="AC61" i="133"/>
  <c r="AA61" i="133"/>
  <c r="Y61" i="133"/>
  <c r="W61" i="133"/>
  <c r="U61" i="133"/>
  <c r="S61" i="133"/>
  <c r="AE60" i="133"/>
  <c r="AC60" i="133"/>
  <c r="AA60" i="133"/>
  <c r="Y60" i="133"/>
  <c r="W60" i="133"/>
  <c r="U60" i="133"/>
  <c r="S60" i="133"/>
  <c r="AE59" i="133"/>
  <c r="AC59" i="133"/>
  <c r="AA59" i="133"/>
  <c r="Y59" i="133"/>
  <c r="W59" i="133"/>
  <c r="U59" i="133"/>
  <c r="S59" i="133"/>
  <c r="AE58" i="133"/>
  <c r="AC58" i="133"/>
  <c r="AA58" i="133"/>
  <c r="Y58" i="133"/>
  <c r="W58" i="133"/>
  <c r="U58" i="133"/>
  <c r="S58" i="133"/>
  <c r="AE57" i="133"/>
  <c r="AC57" i="133"/>
  <c r="AA57" i="133"/>
  <c r="Y57" i="133"/>
  <c r="W57" i="133"/>
  <c r="U57" i="133"/>
  <c r="S57" i="133"/>
  <c r="AE56" i="133"/>
  <c r="AC56" i="133"/>
  <c r="AA56" i="133"/>
  <c r="Y56" i="133"/>
  <c r="W56" i="133"/>
  <c r="U56" i="133"/>
  <c r="S56" i="133"/>
  <c r="AE55" i="133"/>
  <c r="AC55" i="133"/>
  <c r="AA55" i="133"/>
  <c r="Y55" i="133"/>
  <c r="W55" i="133"/>
  <c r="U55" i="133"/>
  <c r="S55" i="133"/>
  <c r="AE54" i="133"/>
  <c r="AC54" i="133"/>
  <c r="AA54" i="133"/>
  <c r="Y54" i="133"/>
  <c r="W54" i="133"/>
  <c r="U54" i="133"/>
  <c r="S54" i="133"/>
  <c r="AE53" i="133"/>
  <c r="AC53" i="133"/>
  <c r="AA53" i="133"/>
  <c r="Y53" i="133"/>
  <c r="W53" i="133"/>
  <c r="U53" i="133"/>
  <c r="S53" i="133"/>
  <c r="AE52" i="133"/>
  <c r="AC52" i="133"/>
  <c r="AA52" i="133"/>
  <c r="Y52" i="133"/>
  <c r="W52" i="133"/>
  <c r="U52" i="133"/>
  <c r="S52" i="133"/>
  <c r="AE51" i="133"/>
  <c r="AC51" i="133"/>
  <c r="AA51" i="133"/>
  <c r="Y51" i="133"/>
  <c r="W51" i="133"/>
  <c r="U51" i="133"/>
  <c r="S51" i="133"/>
  <c r="AE50" i="133"/>
  <c r="AC50" i="133"/>
  <c r="AA50" i="133"/>
  <c r="Y50" i="133"/>
  <c r="W50" i="133"/>
  <c r="U50" i="133"/>
  <c r="S50" i="133"/>
  <c r="AE49" i="133"/>
  <c r="AC49" i="133"/>
  <c r="AA49" i="133"/>
  <c r="Y49" i="133"/>
  <c r="W49" i="133"/>
  <c r="U49" i="133"/>
  <c r="S49" i="133"/>
  <c r="AE48" i="133"/>
  <c r="AC48" i="133"/>
  <c r="AA48" i="133"/>
  <c r="Y48" i="133"/>
  <c r="W48" i="133"/>
  <c r="U48" i="133"/>
  <c r="S48" i="133"/>
  <c r="AE47" i="133"/>
  <c r="AC47" i="133"/>
  <c r="AA47" i="133"/>
  <c r="Y47" i="133"/>
  <c r="W47" i="133"/>
  <c r="U47" i="133"/>
  <c r="S47" i="133"/>
  <c r="AE46" i="133"/>
  <c r="AC46" i="133"/>
  <c r="AA46" i="133"/>
  <c r="Y46" i="133"/>
  <c r="W46" i="133"/>
  <c r="U46" i="133"/>
  <c r="S46" i="133"/>
  <c r="AE45" i="133"/>
  <c r="AC45" i="133"/>
  <c r="AA45" i="133"/>
  <c r="Y45" i="133"/>
  <c r="W45" i="133"/>
  <c r="U45" i="133"/>
  <c r="S45" i="133"/>
  <c r="AE44" i="133"/>
  <c r="AC44" i="133"/>
  <c r="AA44" i="133"/>
  <c r="Y44" i="133"/>
  <c r="W44" i="133"/>
  <c r="U44" i="133"/>
  <c r="S44" i="133"/>
  <c r="AE43" i="133"/>
  <c r="AC43" i="133"/>
  <c r="AA43" i="133"/>
  <c r="Y43" i="133"/>
  <c r="W43" i="133"/>
  <c r="U43" i="133"/>
  <c r="S43" i="133"/>
  <c r="AE42" i="133"/>
  <c r="AC42" i="133"/>
  <c r="AA42" i="133"/>
  <c r="Y42" i="133"/>
  <c r="W42" i="133"/>
  <c r="U42" i="133"/>
  <c r="S42" i="133"/>
  <c r="AE41" i="133"/>
  <c r="AC41" i="133"/>
  <c r="AA41" i="133"/>
  <c r="Y41" i="133"/>
  <c r="W41" i="133"/>
  <c r="U41" i="133"/>
  <c r="S41" i="133"/>
  <c r="AE40" i="133"/>
  <c r="AC40" i="133"/>
  <c r="AA40" i="133"/>
  <c r="Y40" i="133"/>
  <c r="W40" i="133"/>
  <c r="U40" i="133"/>
  <c r="S40" i="133"/>
  <c r="AE39" i="133"/>
  <c r="AC39" i="133"/>
  <c r="AA39" i="133"/>
  <c r="Y39" i="133"/>
  <c r="W39" i="133"/>
  <c r="U39" i="133"/>
  <c r="S39" i="133"/>
  <c r="AE38" i="133"/>
  <c r="AC38" i="133"/>
  <c r="AA38" i="133"/>
  <c r="Y38" i="133"/>
  <c r="W38" i="133"/>
  <c r="U38" i="133"/>
  <c r="S38" i="133"/>
  <c r="AE37" i="133"/>
  <c r="AC37" i="133"/>
  <c r="AA37" i="133"/>
  <c r="Y37" i="133"/>
  <c r="W37" i="133"/>
  <c r="U37" i="133"/>
  <c r="S37" i="133"/>
  <c r="AE36" i="133"/>
  <c r="AC36" i="133"/>
  <c r="AA36" i="133"/>
  <c r="Y36" i="133"/>
  <c r="W36" i="133"/>
  <c r="U36" i="133"/>
  <c r="S36" i="133"/>
  <c r="AE35" i="133"/>
  <c r="AC35" i="133"/>
  <c r="AA35" i="133"/>
  <c r="Y35" i="133"/>
  <c r="W35" i="133"/>
  <c r="U35" i="133"/>
  <c r="S35" i="133"/>
  <c r="E31" i="133"/>
  <c r="D31" i="133"/>
  <c r="E30" i="133"/>
  <c r="D30" i="133"/>
  <c r="D29" i="133"/>
  <c r="E29" i="133" s="1"/>
  <c r="D28" i="133"/>
  <c r="E28" i="133" s="1"/>
  <c r="D27" i="133"/>
  <c r="E27" i="133" s="1"/>
  <c r="D26" i="133"/>
  <c r="E26" i="133" s="1"/>
  <c r="V24" i="133"/>
  <c r="AD17" i="133"/>
  <c r="AD25" i="133" s="1"/>
  <c r="AB17" i="133"/>
  <c r="AB25" i="133" s="1"/>
  <c r="Z17" i="133"/>
  <c r="Z25" i="133" s="1"/>
  <c r="X17" i="133"/>
  <c r="X25" i="133" s="1"/>
  <c r="V17" i="133"/>
  <c r="V25" i="133" s="1"/>
  <c r="T17" i="133"/>
  <c r="T25" i="133" s="1"/>
  <c r="R17" i="133"/>
  <c r="R25" i="133" s="1"/>
  <c r="AD16" i="133"/>
  <c r="AB16" i="133"/>
  <c r="AB24" i="133" s="1"/>
  <c r="Z16" i="133"/>
  <c r="X16" i="133"/>
  <c r="X18" i="133" s="1"/>
  <c r="X26" i="133" s="1"/>
  <c r="V16" i="133"/>
  <c r="T16" i="133"/>
  <c r="T24" i="133" s="1"/>
  <c r="R16" i="133"/>
  <c r="R18" i="133" s="1"/>
  <c r="R26" i="133" s="1"/>
  <c r="P16" i="133"/>
  <c r="O16" i="133"/>
  <c r="N16" i="133"/>
  <c r="L16" i="133"/>
  <c r="K16" i="133"/>
  <c r="J16" i="133"/>
  <c r="H16" i="133"/>
  <c r="G16" i="133"/>
  <c r="F16" i="133"/>
  <c r="O15" i="133"/>
  <c r="Q14" i="133"/>
  <c r="M14" i="133"/>
  <c r="I14" i="133"/>
  <c r="O13" i="133"/>
  <c r="O17" i="133" s="1"/>
  <c r="O18" i="133" s="1"/>
  <c r="Q12" i="133"/>
  <c r="AE12" i="133" s="1"/>
  <c r="M12" i="133"/>
  <c r="I12" i="133"/>
  <c r="O11" i="133"/>
  <c r="AC10" i="133"/>
  <c r="AA10" i="133"/>
  <c r="U10" i="133"/>
  <c r="S10" i="133"/>
  <c r="Q10" i="133"/>
  <c r="Y10" i="133" s="1"/>
  <c r="M10" i="133"/>
  <c r="I10" i="133"/>
  <c r="O9" i="133"/>
  <c r="AC8" i="133"/>
  <c r="Y8" i="133"/>
  <c r="U8" i="133"/>
  <c r="Q8" i="133"/>
  <c r="W8" i="133" s="1"/>
  <c r="M8" i="133"/>
  <c r="I8" i="133"/>
  <c r="O7" i="133"/>
  <c r="Q6" i="133"/>
  <c r="M6" i="133"/>
  <c r="I6" i="133"/>
  <c r="C3" i="133"/>
  <c r="AE64" i="132"/>
  <c r="AC64" i="132"/>
  <c r="AA64" i="132"/>
  <c r="Y64" i="132"/>
  <c r="W64" i="132"/>
  <c r="U64" i="132"/>
  <c r="S64" i="132"/>
  <c r="AE63" i="132"/>
  <c r="AC63" i="132"/>
  <c r="AA63" i="132"/>
  <c r="Y63" i="132"/>
  <c r="W63" i="132"/>
  <c r="U63" i="132"/>
  <c r="S63" i="132"/>
  <c r="AE62" i="132"/>
  <c r="AC62" i="132"/>
  <c r="AA62" i="132"/>
  <c r="Y62" i="132"/>
  <c r="W62" i="132"/>
  <c r="U62" i="132"/>
  <c r="S62" i="132"/>
  <c r="AE61" i="132"/>
  <c r="AC61" i="132"/>
  <c r="AA61" i="132"/>
  <c r="Y61" i="132"/>
  <c r="W61" i="132"/>
  <c r="U61" i="132"/>
  <c r="S61" i="132"/>
  <c r="AE60" i="132"/>
  <c r="AC60" i="132"/>
  <c r="AA60" i="132"/>
  <c r="Y60" i="132"/>
  <c r="W60" i="132"/>
  <c r="U60" i="132"/>
  <c r="S60" i="132"/>
  <c r="AE59" i="132"/>
  <c r="AC59" i="132"/>
  <c r="AA59" i="132"/>
  <c r="Y59" i="132"/>
  <c r="W59" i="132"/>
  <c r="U59" i="132"/>
  <c r="S59" i="132"/>
  <c r="AE58" i="132"/>
  <c r="AC58" i="132"/>
  <c r="AA58" i="132"/>
  <c r="Y58" i="132"/>
  <c r="W58" i="132"/>
  <c r="U58" i="132"/>
  <c r="S58" i="132"/>
  <c r="AE57" i="132"/>
  <c r="AC57" i="132"/>
  <c r="AA57" i="132"/>
  <c r="Y57" i="132"/>
  <c r="W57" i="132"/>
  <c r="U57" i="132"/>
  <c r="S57" i="132"/>
  <c r="AE56" i="132"/>
  <c r="AC56" i="132"/>
  <c r="AA56" i="132"/>
  <c r="Y56" i="132"/>
  <c r="W56" i="132"/>
  <c r="U56" i="132"/>
  <c r="S56" i="132"/>
  <c r="AE55" i="132"/>
  <c r="AC55" i="132"/>
  <c r="AA55" i="132"/>
  <c r="Y55" i="132"/>
  <c r="W55" i="132"/>
  <c r="U55" i="132"/>
  <c r="S55" i="132"/>
  <c r="AE54" i="132"/>
  <c r="AC54" i="132"/>
  <c r="AA54" i="132"/>
  <c r="Y54" i="132"/>
  <c r="W54" i="132"/>
  <c r="U54" i="132"/>
  <c r="S54" i="132"/>
  <c r="AE53" i="132"/>
  <c r="AC53" i="132"/>
  <c r="AA53" i="132"/>
  <c r="Y53" i="132"/>
  <c r="W53" i="132"/>
  <c r="U53" i="132"/>
  <c r="S53" i="132"/>
  <c r="AE52" i="132"/>
  <c r="AC52" i="132"/>
  <c r="AA52" i="132"/>
  <c r="Y52" i="132"/>
  <c r="W52" i="132"/>
  <c r="U52" i="132"/>
  <c r="S52" i="132"/>
  <c r="AE51" i="132"/>
  <c r="AC51" i="132"/>
  <c r="AA51" i="132"/>
  <c r="Y51" i="132"/>
  <c r="W51" i="132"/>
  <c r="U51" i="132"/>
  <c r="S51" i="132"/>
  <c r="AE50" i="132"/>
  <c r="AC50" i="132"/>
  <c r="AA50" i="132"/>
  <c r="Y50" i="132"/>
  <c r="W50" i="132"/>
  <c r="U50" i="132"/>
  <c r="S50" i="132"/>
  <c r="AE49" i="132"/>
  <c r="AC49" i="132"/>
  <c r="AA49" i="132"/>
  <c r="Y49" i="132"/>
  <c r="W49" i="132"/>
  <c r="U49" i="132"/>
  <c r="S49" i="132"/>
  <c r="AE48" i="132"/>
  <c r="AC48" i="132"/>
  <c r="AA48" i="132"/>
  <c r="Y48" i="132"/>
  <c r="W48" i="132"/>
  <c r="U48" i="132"/>
  <c r="S48" i="132"/>
  <c r="AE47" i="132"/>
  <c r="AC47" i="132"/>
  <c r="AA47" i="132"/>
  <c r="Y47" i="132"/>
  <c r="W47" i="132"/>
  <c r="U47" i="132"/>
  <c r="S47" i="132"/>
  <c r="AE46" i="132"/>
  <c r="AC46" i="132"/>
  <c r="AA46" i="132"/>
  <c r="Y46" i="132"/>
  <c r="W46" i="132"/>
  <c r="U46" i="132"/>
  <c r="S46" i="132"/>
  <c r="AE45" i="132"/>
  <c r="AC45" i="132"/>
  <c r="AA45" i="132"/>
  <c r="Y45" i="132"/>
  <c r="W45" i="132"/>
  <c r="U45" i="132"/>
  <c r="S45" i="132"/>
  <c r="AE44" i="132"/>
  <c r="AC44" i="132"/>
  <c r="AA44" i="132"/>
  <c r="Y44" i="132"/>
  <c r="W44" i="132"/>
  <c r="U44" i="132"/>
  <c r="S44" i="132"/>
  <c r="AE43" i="132"/>
  <c r="AC43" i="132"/>
  <c r="AA43" i="132"/>
  <c r="Y43" i="132"/>
  <c r="W43" i="132"/>
  <c r="U43" i="132"/>
  <c r="S43" i="132"/>
  <c r="AE42" i="132"/>
  <c r="AC42" i="132"/>
  <c r="AA42" i="132"/>
  <c r="Y42" i="132"/>
  <c r="W42" i="132"/>
  <c r="U42" i="132"/>
  <c r="S42" i="132"/>
  <c r="AE41" i="132"/>
  <c r="AC41" i="132"/>
  <c r="AA41" i="132"/>
  <c r="Y41" i="132"/>
  <c r="W41" i="132"/>
  <c r="U41" i="132"/>
  <c r="S41" i="132"/>
  <c r="AE40" i="132"/>
  <c r="AC40" i="132"/>
  <c r="AA40" i="132"/>
  <c r="Y40" i="132"/>
  <c r="W40" i="132"/>
  <c r="U40" i="132"/>
  <c r="S40" i="132"/>
  <c r="AE39" i="132"/>
  <c r="AC39" i="132"/>
  <c r="AA39" i="132"/>
  <c r="Y39" i="132"/>
  <c r="W39" i="132"/>
  <c r="U39" i="132"/>
  <c r="S39" i="132"/>
  <c r="AE38" i="132"/>
  <c r="AC38" i="132"/>
  <c r="AA38" i="132"/>
  <c r="Y38" i="132"/>
  <c r="W38" i="132"/>
  <c r="U38" i="132"/>
  <c r="S38" i="132"/>
  <c r="AE37" i="132"/>
  <c r="AC37" i="132"/>
  <c r="AA37" i="132"/>
  <c r="Y37" i="132"/>
  <c r="W37" i="132"/>
  <c r="U37" i="132"/>
  <c r="S37" i="132"/>
  <c r="AE36" i="132"/>
  <c r="AC36" i="132"/>
  <c r="AA36" i="132"/>
  <c r="Y36" i="132"/>
  <c r="W36" i="132"/>
  <c r="U36" i="132"/>
  <c r="S36" i="132"/>
  <c r="AE35" i="132"/>
  <c r="AC35" i="132"/>
  <c r="AA35" i="132"/>
  <c r="Y35" i="132"/>
  <c r="W35" i="132"/>
  <c r="U35" i="132"/>
  <c r="S35" i="132"/>
  <c r="D31" i="132"/>
  <c r="E31" i="132" s="1"/>
  <c r="D30" i="132"/>
  <c r="E30" i="132" s="1"/>
  <c r="D29" i="132"/>
  <c r="E29" i="132" s="1"/>
  <c r="D28" i="132"/>
  <c r="E28" i="132" s="1"/>
  <c r="D27" i="132"/>
  <c r="E27" i="132" s="1"/>
  <c r="D26" i="132"/>
  <c r="E26" i="132" s="1"/>
  <c r="X25" i="132"/>
  <c r="X24" i="132"/>
  <c r="AB18" i="132"/>
  <c r="AB26" i="132" s="1"/>
  <c r="R18" i="132"/>
  <c r="R26" i="132" s="1"/>
  <c r="AD17" i="132"/>
  <c r="AD25" i="132" s="1"/>
  <c r="AB17" i="132"/>
  <c r="AB25" i="132" s="1"/>
  <c r="Z17" i="132"/>
  <c r="Z25" i="132" s="1"/>
  <c r="X17" i="132"/>
  <c r="V17" i="132"/>
  <c r="V25" i="132" s="1"/>
  <c r="T17" i="132"/>
  <c r="T25" i="132" s="1"/>
  <c r="R17" i="132"/>
  <c r="R25" i="132" s="1"/>
  <c r="AD16" i="132"/>
  <c r="AB16" i="132"/>
  <c r="AB24" i="132" s="1"/>
  <c r="Z16" i="132"/>
  <c r="Z24" i="132" s="1"/>
  <c r="X16" i="132"/>
  <c r="V16" i="132"/>
  <c r="T16" i="132"/>
  <c r="T24" i="132" s="1"/>
  <c r="R16" i="132"/>
  <c r="P16" i="132"/>
  <c r="O16" i="132"/>
  <c r="N16" i="132"/>
  <c r="L16" i="132"/>
  <c r="K16" i="132"/>
  <c r="J16" i="132"/>
  <c r="H16" i="132"/>
  <c r="G16" i="132"/>
  <c r="F16" i="132"/>
  <c r="O15" i="132"/>
  <c r="Q14" i="132"/>
  <c r="M14" i="132"/>
  <c r="I14" i="132"/>
  <c r="O13" i="132"/>
  <c r="AA12" i="132"/>
  <c r="Y12" i="132"/>
  <c r="W12" i="132"/>
  <c r="S12" i="132"/>
  <c r="Q12" i="132"/>
  <c r="U12" i="132" s="1"/>
  <c r="M12" i="132"/>
  <c r="I12" i="132"/>
  <c r="O11" i="132"/>
  <c r="Q10" i="132"/>
  <c r="M10" i="132"/>
  <c r="I10" i="132"/>
  <c r="O9" i="132"/>
  <c r="AC8" i="132"/>
  <c r="AA8" i="132"/>
  <c r="U8" i="132"/>
  <c r="S8" i="132"/>
  <c r="Q8" i="132"/>
  <c r="Y8" i="132" s="1"/>
  <c r="M8" i="132"/>
  <c r="I8" i="132"/>
  <c r="O7" i="132"/>
  <c r="AC6" i="132"/>
  <c r="Y6" i="132"/>
  <c r="Q6" i="132"/>
  <c r="W6" i="132" s="1"/>
  <c r="M6" i="132"/>
  <c r="I6" i="132"/>
  <c r="C3" i="132"/>
  <c r="AE64" i="131"/>
  <c r="AC64" i="131"/>
  <c r="AA64" i="131"/>
  <c r="Y64" i="131"/>
  <c r="W64" i="131"/>
  <c r="U64" i="131"/>
  <c r="S64" i="131"/>
  <c r="AE63" i="131"/>
  <c r="AC63" i="131"/>
  <c r="AA63" i="131"/>
  <c r="Y63" i="131"/>
  <c r="W63" i="131"/>
  <c r="U63" i="131"/>
  <c r="S63" i="131"/>
  <c r="AE62" i="131"/>
  <c r="AC62" i="131"/>
  <c r="AA62" i="131"/>
  <c r="Y62" i="131"/>
  <c r="W62" i="131"/>
  <c r="U62" i="131"/>
  <c r="S62" i="131"/>
  <c r="AE61" i="131"/>
  <c r="AC61" i="131"/>
  <c r="AA61" i="131"/>
  <c r="Y61" i="131"/>
  <c r="W61" i="131"/>
  <c r="U61" i="131"/>
  <c r="S61" i="131"/>
  <c r="AE60" i="131"/>
  <c r="AC60" i="131"/>
  <c r="AA60" i="131"/>
  <c r="Y60" i="131"/>
  <c r="W60" i="131"/>
  <c r="U60" i="131"/>
  <c r="S60" i="131"/>
  <c r="AE59" i="131"/>
  <c r="AC59" i="131"/>
  <c r="AA59" i="131"/>
  <c r="Y59" i="131"/>
  <c r="W59" i="131"/>
  <c r="U59" i="131"/>
  <c r="S59" i="131"/>
  <c r="AE58" i="131"/>
  <c r="AC58" i="131"/>
  <c r="AA58" i="131"/>
  <c r="Y58" i="131"/>
  <c r="W58" i="131"/>
  <c r="U58" i="131"/>
  <c r="S58" i="131"/>
  <c r="AE57" i="131"/>
  <c r="AC57" i="131"/>
  <c r="AA57" i="131"/>
  <c r="Y57" i="131"/>
  <c r="W57" i="131"/>
  <c r="U57" i="131"/>
  <c r="S57" i="131"/>
  <c r="AE56" i="131"/>
  <c r="AC56" i="131"/>
  <c r="AA56" i="131"/>
  <c r="Y56" i="131"/>
  <c r="W56" i="131"/>
  <c r="U56" i="131"/>
  <c r="S56" i="131"/>
  <c r="AE55" i="131"/>
  <c r="AC55" i="131"/>
  <c r="AA55" i="131"/>
  <c r="Y55" i="131"/>
  <c r="W55" i="131"/>
  <c r="U55" i="131"/>
  <c r="S55" i="131"/>
  <c r="AE54" i="131"/>
  <c r="AC54" i="131"/>
  <c r="AA54" i="131"/>
  <c r="Y54" i="131"/>
  <c r="W54" i="131"/>
  <c r="U54" i="131"/>
  <c r="S54" i="131"/>
  <c r="AE53" i="131"/>
  <c r="AC53" i="131"/>
  <c r="AA53" i="131"/>
  <c r="Y53" i="131"/>
  <c r="W53" i="131"/>
  <c r="U53" i="131"/>
  <c r="S53" i="131"/>
  <c r="AE52" i="131"/>
  <c r="AC52" i="131"/>
  <c r="AA52" i="131"/>
  <c r="Y52" i="131"/>
  <c r="W52" i="131"/>
  <c r="U52" i="131"/>
  <c r="S52" i="131"/>
  <c r="AE51" i="131"/>
  <c r="AC51" i="131"/>
  <c r="AA51" i="131"/>
  <c r="Y51" i="131"/>
  <c r="W51" i="131"/>
  <c r="U51" i="131"/>
  <c r="S51" i="131"/>
  <c r="AE50" i="131"/>
  <c r="AC50" i="131"/>
  <c r="AA50" i="131"/>
  <c r="Y50" i="131"/>
  <c r="W50" i="131"/>
  <c r="U50" i="131"/>
  <c r="S50" i="131"/>
  <c r="AE49" i="131"/>
  <c r="AC49" i="131"/>
  <c r="AA49" i="131"/>
  <c r="Y49" i="131"/>
  <c r="W49" i="131"/>
  <c r="U49" i="131"/>
  <c r="S49" i="131"/>
  <c r="AE48" i="131"/>
  <c r="AC48" i="131"/>
  <c r="AA48" i="131"/>
  <c r="Y48" i="131"/>
  <c r="W48" i="131"/>
  <c r="U48" i="131"/>
  <c r="S48" i="131"/>
  <c r="AE47" i="131"/>
  <c r="AC47" i="131"/>
  <c r="AA47" i="131"/>
  <c r="Y47" i="131"/>
  <c r="W47" i="131"/>
  <c r="U47" i="131"/>
  <c r="S47" i="131"/>
  <c r="AE46" i="131"/>
  <c r="AC46" i="131"/>
  <c r="AA46" i="131"/>
  <c r="Y46" i="131"/>
  <c r="W46" i="131"/>
  <c r="U46" i="131"/>
  <c r="S46" i="131"/>
  <c r="AE45" i="131"/>
  <c r="AC45" i="131"/>
  <c r="AA45" i="131"/>
  <c r="Y45" i="131"/>
  <c r="W45" i="131"/>
  <c r="U45" i="131"/>
  <c r="S45" i="131"/>
  <c r="AE44" i="131"/>
  <c r="AC44" i="131"/>
  <c r="AA44" i="131"/>
  <c r="Y44" i="131"/>
  <c r="W44" i="131"/>
  <c r="U44" i="131"/>
  <c r="S44" i="131"/>
  <c r="AE43" i="131"/>
  <c r="AC43" i="131"/>
  <c r="AA43" i="131"/>
  <c r="Y43" i="131"/>
  <c r="W43" i="131"/>
  <c r="U43" i="131"/>
  <c r="S43" i="131"/>
  <c r="AE42" i="131"/>
  <c r="AC42" i="131"/>
  <c r="AA42" i="131"/>
  <c r="Y42" i="131"/>
  <c r="W42" i="131"/>
  <c r="U42" i="131"/>
  <c r="S42" i="131"/>
  <c r="AE41" i="131"/>
  <c r="AC41" i="131"/>
  <c r="AA41" i="131"/>
  <c r="Y41" i="131"/>
  <c r="W41" i="131"/>
  <c r="U41" i="131"/>
  <c r="S41" i="131"/>
  <c r="AE40" i="131"/>
  <c r="AC40" i="131"/>
  <c r="AA40" i="131"/>
  <c r="Y40" i="131"/>
  <c r="W40" i="131"/>
  <c r="U40" i="131"/>
  <c r="S40" i="131"/>
  <c r="AE39" i="131"/>
  <c r="AC39" i="131"/>
  <c r="AA39" i="131"/>
  <c r="Y39" i="131"/>
  <c r="W39" i="131"/>
  <c r="U39" i="131"/>
  <c r="S39" i="131"/>
  <c r="AE38" i="131"/>
  <c r="AC38" i="131"/>
  <c r="AA38" i="131"/>
  <c r="Y38" i="131"/>
  <c r="W38" i="131"/>
  <c r="U38" i="131"/>
  <c r="S38" i="131"/>
  <c r="AE37" i="131"/>
  <c r="AC37" i="131"/>
  <c r="AA37" i="131"/>
  <c r="Y37" i="131"/>
  <c r="W37" i="131"/>
  <c r="U37" i="131"/>
  <c r="S37" i="131"/>
  <c r="AE36" i="131"/>
  <c r="AC36" i="131"/>
  <c r="AA36" i="131"/>
  <c r="Y36" i="131"/>
  <c r="W36" i="131"/>
  <c r="U36" i="131"/>
  <c r="S36" i="131"/>
  <c r="AE35" i="131"/>
  <c r="AC35" i="131"/>
  <c r="AA35" i="131"/>
  <c r="Y35" i="131"/>
  <c r="W35" i="131"/>
  <c r="U35" i="131"/>
  <c r="S35" i="131"/>
  <c r="E31" i="131"/>
  <c r="D31" i="131"/>
  <c r="D30" i="131"/>
  <c r="E30" i="131" s="1"/>
  <c r="D29" i="131"/>
  <c r="E29" i="131" s="1"/>
  <c r="E28" i="131"/>
  <c r="D28" i="131"/>
  <c r="D27" i="131"/>
  <c r="E27" i="131" s="1"/>
  <c r="D26" i="131"/>
  <c r="E26" i="131" s="1"/>
  <c r="AB25" i="131"/>
  <c r="R25" i="131"/>
  <c r="V24" i="131"/>
  <c r="AD17" i="131"/>
  <c r="AD25" i="131" s="1"/>
  <c r="AB17" i="131"/>
  <c r="Z17" i="131"/>
  <c r="Z25" i="131" s="1"/>
  <c r="X17" i="131"/>
  <c r="X25" i="131" s="1"/>
  <c r="V17" i="131"/>
  <c r="V25" i="131" s="1"/>
  <c r="T17" i="131"/>
  <c r="T25" i="131" s="1"/>
  <c r="R17" i="131"/>
  <c r="AD16" i="131"/>
  <c r="AD18" i="131" s="1"/>
  <c r="AD26" i="131" s="1"/>
  <c r="AB16" i="131"/>
  <c r="Z16" i="131"/>
  <c r="X16" i="131"/>
  <c r="Y16" i="131" s="1"/>
  <c r="V16" i="131"/>
  <c r="W16" i="131" s="1"/>
  <c r="T16" i="131"/>
  <c r="R16" i="131"/>
  <c r="R18" i="131" s="1"/>
  <c r="R26" i="131" s="1"/>
  <c r="P16" i="131"/>
  <c r="O16" i="131"/>
  <c r="N16" i="131"/>
  <c r="L16" i="131"/>
  <c r="K16" i="131"/>
  <c r="J16" i="131"/>
  <c r="H16" i="131"/>
  <c r="G16" i="131"/>
  <c r="F16" i="131"/>
  <c r="O15" i="131"/>
  <c r="AE14" i="131"/>
  <c r="AC14" i="131"/>
  <c r="AA14" i="131"/>
  <c r="Y14" i="131"/>
  <c r="W14" i="131"/>
  <c r="U14" i="131"/>
  <c r="S14" i="131"/>
  <c r="Q14" i="131"/>
  <c r="M14" i="131"/>
  <c r="I14" i="131"/>
  <c r="O13" i="131"/>
  <c r="AE12" i="131"/>
  <c r="AC12" i="131"/>
  <c r="AA12" i="131"/>
  <c r="Y12" i="131"/>
  <c r="W12" i="131"/>
  <c r="U12" i="131"/>
  <c r="S12" i="131"/>
  <c r="Q12" i="131"/>
  <c r="M12" i="131"/>
  <c r="I12" i="131"/>
  <c r="O11" i="131"/>
  <c r="AE10" i="131"/>
  <c r="AC10" i="131"/>
  <c r="AA10" i="131"/>
  <c r="Y10" i="131"/>
  <c r="W10" i="131"/>
  <c r="U10" i="131"/>
  <c r="S10" i="131"/>
  <c r="Q10" i="131"/>
  <c r="M10" i="131"/>
  <c r="I10" i="131"/>
  <c r="O9" i="131"/>
  <c r="AE8" i="131"/>
  <c r="AC8" i="131"/>
  <c r="AA8" i="131"/>
  <c r="Y8" i="131"/>
  <c r="W8" i="131"/>
  <c r="U8" i="131"/>
  <c r="S8" i="131"/>
  <c r="Q8" i="131"/>
  <c r="M8" i="131"/>
  <c r="I8" i="131"/>
  <c r="O7" i="131"/>
  <c r="AE6" i="131"/>
  <c r="AC6" i="131"/>
  <c r="AA6" i="131"/>
  <c r="Y6" i="131"/>
  <c r="W6" i="131"/>
  <c r="U6" i="131"/>
  <c r="S6" i="131"/>
  <c r="Q6" i="131"/>
  <c r="M6" i="131"/>
  <c r="I6" i="131"/>
  <c r="C3" i="131"/>
  <c r="AE64" i="130"/>
  <c r="AC64" i="130"/>
  <c r="AA64" i="130"/>
  <c r="Y64" i="130"/>
  <c r="W64" i="130"/>
  <c r="U64" i="130"/>
  <c r="S64" i="130"/>
  <c r="AE63" i="130"/>
  <c r="AC63" i="130"/>
  <c r="AA63" i="130"/>
  <c r="Y63" i="130"/>
  <c r="W63" i="130"/>
  <c r="U63" i="130"/>
  <c r="S63" i="130"/>
  <c r="AE62" i="130"/>
  <c r="AC62" i="130"/>
  <c r="AA62" i="130"/>
  <c r="Y62" i="130"/>
  <c r="W62" i="130"/>
  <c r="U62" i="130"/>
  <c r="S62" i="130"/>
  <c r="AE61" i="130"/>
  <c r="AC61" i="130"/>
  <c r="AA61" i="130"/>
  <c r="Y61" i="130"/>
  <c r="W61" i="130"/>
  <c r="U61" i="130"/>
  <c r="S61" i="130"/>
  <c r="AE60" i="130"/>
  <c r="AC60" i="130"/>
  <c r="AA60" i="130"/>
  <c r="Y60" i="130"/>
  <c r="W60" i="130"/>
  <c r="U60" i="130"/>
  <c r="S60" i="130"/>
  <c r="AE59" i="130"/>
  <c r="AC59" i="130"/>
  <c r="AA59" i="130"/>
  <c r="Y59" i="130"/>
  <c r="W59" i="130"/>
  <c r="U59" i="130"/>
  <c r="S59" i="130"/>
  <c r="AE58" i="130"/>
  <c r="AC58" i="130"/>
  <c r="AA58" i="130"/>
  <c r="Y58" i="130"/>
  <c r="W58" i="130"/>
  <c r="U58" i="130"/>
  <c r="S58" i="130"/>
  <c r="AE57" i="130"/>
  <c r="AC57" i="130"/>
  <c r="AA57" i="130"/>
  <c r="Y57" i="130"/>
  <c r="W57" i="130"/>
  <c r="U57" i="130"/>
  <c r="S57" i="130"/>
  <c r="AE56" i="130"/>
  <c r="AC56" i="130"/>
  <c r="AA56" i="130"/>
  <c r="Y56" i="130"/>
  <c r="W56" i="130"/>
  <c r="U56" i="130"/>
  <c r="S56" i="130"/>
  <c r="AE55" i="130"/>
  <c r="AC55" i="130"/>
  <c r="AA55" i="130"/>
  <c r="Y55" i="130"/>
  <c r="W55" i="130"/>
  <c r="U55" i="130"/>
  <c r="S55" i="130"/>
  <c r="AE54" i="130"/>
  <c r="AC54" i="130"/>
  <c r="AA54" i="130"/>
  <c r="Y54" i="130"/>
  <c r="W54" i="130"/>
  <c r="U54" i="130"/>
  <c r="S54" i="130"/>
  <c r="AE53" i="130"/>
  <c r="AC53" i="130"/>
  <c r="AA53" i="130"/>
  <c r="Y53" i="130"/>
  <c r="W53" i="130"/>
  <c r="U53" i="130"/>
  <c r="S53" i="130"/>
  <c r="AE52" i="130"/>
  <c r="AC52" i="130"/>
  <c r="AA52" i="130"/>
  <c r="Y52" i="130"/>
  <c r="W52" i="130"/>
  <c r="U52" i="130"/>
  <c r="S52" i="130"/>
  <c r="AE51" i="130"/>
  <c r="AC51" i="130"/>
  <c r="AA51" i="130"/>
  <c r="Y51" i="130"/>
  <c r="W51" i="130"/>
  <c r="U51" i="130"/>
  <c r="S51" i="130"/>
  <c r="AE50" i="130"/>
  <c r="AC50" i="130"/>
  <c r="AA50" i="130"/>
  <c r="Y50" i="130"/>
  <c r="W50" i="130"/>
  <c r="U50" i="130"/>
  <c r="S50" i="130"/>
  <c r="AE49" i="130"/>
  <c r="AC49" i="130"/>
  <c r="AA49" i="130"/>
  <c r="Y49" i="130"/>
  <c r="W49" i="130"/>
  <c r="U49" i="130"/>
  <c r="S49" i="130"/>
  <c r="AE48" i="130"/>
  <c r="AC48" i="130"/>
  <c r="AA48" i="130"/>
  <c r="Y48" i="130"/>
  <c r="W48" i="130"/>
  <c r="U48" i="130"/>
  <c r="S48" i="130"/>
  <c r="AE47" i="130"/>
  <c r="AC47" i="130"/>
  <c r="AA47" i="130"/>
  <c r="Y47" i="130"/>
  <c r="W47" i="130"/>
  <c r="U47" i="130"/>
  <c r="S47" i="130"/>
  <c r="AE46" i="130"/>
  <c r="AC46" i="130"/>
  <c r="AA46" i="130"/>
  <c r="Y46" i="130"/>
  <c r="W46" i="130"/>
  <c r="U46" i="130"/>
  <c r="S46" i="130"/>
  <c r="AE45" i="130"/>
  <c r="AC45" i="130"/>
  <c r="AA45" i="130"/>
  <c r="Y45" i="130"/>
  <c r="W45" i="130"/>
  <c r="U45" i="130"/>
  <c r="S45" i="130"/>
  <c r="AE44" i="130"/>
  <c r="AC44" i="130"/>
  <c r="AA44" i="130"/>
  <c r="Y44" i="130"/>
  <c r="W44" i="130"/>
  <c r="U44" i="130"/>
  <c r="S44" i="130"/>
  <c r="AE43" i="130"/>
  <c r="AC43" i="130"/>
  <c r="AA43" i="130"/>
  <c r="Y43" i="130"/>
  <c r="W43" i="130"/>
  <c r="U43" i="130"/>
  <c r="S43" i="130"/>
  <c r="AE42" i="130"/>
  <c r="AC42" i="130"/>
  <c r="AA42" i="130"/>
  <c r="Y42" i="130"/>
  <c r="W42" i="130"/>
  <c r="U42" i="130"/>
  <c r="S42" i="130"/>
  <c r="AE41" i="130"/>
  <c r="AC41" i="130"/>
  <c r="AA41" i="130"/>
  <c r="Y41" i="130"/>
  <c r="W41" i="130"/>
  <c r="U41" i="130"/>
  <c r="S41" i="130"/>
  <c r="AE40" i="130"/>
  <c r="AC40" i="130"/>
  <c r="AA40" i="130"/>
  <c r="Y40" i="130"/>
  <c r="W40" i="130"/>
  <c r="U40" i="130"/>
  <c r="S40" i="130"/>
  <c r="AE39" i="130"/>
  <c r="AC39" i="130"/>
  <c r="AA39" i="130"/>
  <c r="Y39" i="130"/>
  <c r="W39" i="130"/>
  <c r="U39" i="130"/>
  <c r="S39" i="130"/>
  <c r="AE38" i="130"/>
  <c r="AC38" i="130"/>
  <c r="AA38" i="130"/>
  <c r="Y38" i="130"/>
  <c r="W38" i="130"/>
  <c r="U38" i="130"/>
  <c r="S38" i="130"/>
  <c r="AE37" i="130"/>
  <c r="AC37" i="130"/>
  <c r="AA37" i="130"/>
  <c r="Y37" i="130"/>
  <c r="W37" i="130"/>
  <c r="U37" i="130"/>
  <c r="S37" i="130"/>
  <c r="AE36" i="130"/>
  <c r="AC36" i="130"/>
  <c r="AA36" i="130"/>
  <c r="Y36" i="130"/>
  <c r="W36" i="130"/>
  <c r="U36" i="130"/>
  <c r="S36" i="130"/>
  <c r="AE35" i="130"/>
  <c r="AC35" i="130"/>
  <c r="AA35" i="130"/>
  <c r="Y35" i="130"/>
  <c r="W35" i="130"/>
  <c r="U35" i="130"/>
  <c r="S35" i="130"/>
  <c r="E31" i="130"/>
  <c r="D31" i="130"/>
  <c r="D30" i="130"/>
  <c r="E30" i="130" s="1"/>
  <c r="D29" i="130"/>
  <c r="E29" i="130" s="1"/>
  <c r="D28" i="130"/>
  <c r="E28" i="130" s="1"/>
  <c r="E27" i="130"/>
  <c r="D27" i="130"/>
  <c r="E26" i="130"/>
  <c r="D26" i="130"/>
  <c r="V25" i="130"/>
  <c r="R24" i="130"/>
  <c r="AD18" i="130"/>
  <c r="AD26" i="130" s="1"/>
  <c r="R18" i="130"/>
  <c r="R26" i="130" s="1"/>
  <c r="AD17" i="130"/>
  <c r="AD25" i="130" s="1"/>
  <c r="AB17" i="130"/>
  <c r="AB25" i="130" s="1"/>
  <c r="Z17" i="130"/>
  <c r="Z25" i="130" s="1"/>
  <c r="X17" i="130"/>
  <c r="X25" i="130" s="1"/>
  <c r="V17" i="130"/>
  <c r="T17" i="130"/>
  <c r="T25" i="130" s="1"/>
  <c r="R17" i="130"/>
  <c r="R25" i="130" s="1"/>
  <c r="O17" i="130"/>
  <c r="O18" i="130" s="1"/>
  <c r="AD16" i="130"/>
  <c r="AD24" i="130" s="1"/>
  <c r="AB16" i="130"/>
  <c r="Z16" i="130"/>
  <c r="Z24" i="130" s="1"/>
  <c r="X16" i="130"/>
  <c r="V16" i="130"/>
  <c r="T16" i="130"/>
  <c r="T18" i="130" s="1"/>
  <c r="T26" i="130" s="1"/>
  <c r="R16" i="130"/>
  <c r="P16" i="130"/>
  <c r="O16" i="130"/>
  <c r="N16" i="130"/>
  <c r="L16" i="130"/>
  <c r="K16" i="130"/>
  <c r="J16" i="130"/>
  <c r="H16" i="130"/>
  <c r="G16" i="130"/>
  <c r="F16" i="130"/>
  <c r="O15" i="130"/>
  <c r="Y14" i="130"/>
  <c r="U14" i="130"/>
  <c r="Q14" i="130"/>
  <c r="M14" i="130"/>
  <c r="I14" i="130"/>
  <c r="O13" i="130"/>
  <c r="AE12" i="130"/>
  <c r="AC12" i="130"/>
  <c r="Y12" i="130"/>
  <c r="W12" i="130"/>
  <c r="U12" i="130"/>
  <c r="S12" i="130"/>
  <c r="Q12" i="130"/>
  <c r="AA12" i="130" s="1"/>
  <c r="M12" i="130"/>
  <c r="I12" i="130"/>
  <c r="O11" i="130"/>
  <c r="U10" i="130"/>
  <c r="S10" i="130"/>
  <c r="Q10" i="130"/>
  <c r="M10" i="130"/>
  <c r="I10" i="130"/>
  <c r="O9" i="130"/>
  <c r="Q8" i="130"/>
  <c r="M8" i="130"/>
  <c r="I8" i="130"/>
  <c r="O7" i="130"/>
  <c r="Q6" i="130"/>
  <c r="M6" i="130"/>
  <c r="I6" i="130"/>
  <c r="C3" i="130"/>
  <c r="AE64" i="129"/>
  <c r="AC64" i="129"/>
  <c r="AA64" i="129"/>
  <c r="Y64" i="129"/>
  <c r="W64" i="129"/>
  <c r="U64" i="129"/>
  <c r="S64" i="129"/>
  <c r="AE63" i="129"/>
  <c r="AC63" i="129"/>
  <c r="AA63" i="129"/>
  <c r="Y63" i="129"/>
  <c r="W63" i="129"/>
  <c r="U63" i="129"/>
  <c r="S63" i="129"/>
  <c r="AE62" i="129"/>
  <c r="AC62" i="129"/>
  <c r="AA62" i="129"/>
  <c r="Y62" i="129"/>
  <c r="W62" i="129"/>
  <c r="U62" i="129"/>
  <c r="S62" i="129"/>
  <c r="AE61" i="129"/>
  <c r="AC61" i="129"/>
  <c r="AA61" i="129"/>
  <c r="Y61" i="129"/>
  <c r="W61" i="129"/>
  <c r="U61" i="129"/>
  <c r="S61" i="129"/>
  <c r="AE60" i="129"/>
  <c r="AC60" i="129"/>
  <c r="AA60" i="129"/>
  <c r="Y60" i="129"/>
  <c r="W60" i="129"/>
  <c r="U60" i="129"/>
  <c r="S60" i="129"/>
  <c r="AE59" i="129"/>
  <c r="AC59" i="129"/>
  <c r="AA59" i="129"/>
  <c r="Y59" i="129"/>
  <c r="W59" i="129"/>
  <c r="U59" i="129"/>
  <c r="S59" i="129"/>
  <c r="AE58" i="129"/>
  <c r="AC58" i="129"/>
  <c r="AA58" i="129"/>
  <c r="Y58" i="129"/>
  <c r="W58" i="129"/>
  <c r="U58" i="129"/>
  <c r="S58" i="129"/>
  <c r="AE57" i="129"/>
  <c r="AC57" i="129"/>
  <c r="AA57" i="129"/>
  <c r="Y57" i="129"/>
  <c r="W57" i="129"/>
  <c r="U57" i="129"/>
  <c r="S57" i="129"/>
  <c r="AE56" i="129"/>
  <c r="AC56" i="129"/>
  <c r="AA56" i="129"/>
  <c r="Y56" i="129"/>
  <c r="W56" i="129"/>
  <c r="U56" i="129"/>
  <c r="S56" i="129"/>
  <c r="AE55" i="129"/>
  <c r="AC55" i="129"/>
  <c r="AA55" i="129"/>
  <c r="Y55" i="129"/>
  <c r="W55" i="129"/>
  <c r="U55" i="129"/>
  <c r="S55" i="129"/>
  <c r="AE54" i="129"/>
  <c r="AC54" i="129"/>
  <c r="AA54" i="129"/>
  <c r="Y54" i="129"/>
  <c r="W54" i="129"/>
  <c r="U54" i="129"/>
  <c r="S54" i="129"/>
  <c r="AE53" i="129"/>
  <c r="AC53" i="129"/>
  <c r="AA53" i="129"/>
  <c r="Y53" i="129"/>
  <c r="W53" i="129"/>
  <c r="U53" i="129"/>
  <c r="S53" i="129"/>
  <c r="AE52" i="129"/>
  <c r="AC52" i="129"/>
  <c r="AA52" i="129"/>
  <c r="Y52" i="129"/>
  <c r="W52" i="129"/>
  <c r="U52" i="129"/>
  <c r="S52" i="129"/>
  <c r="AE51" i="129"/>
  <c r="AC51" i="129"/>
  <c r="AA51" i="129"/>
  <c r="Y51" i="129"/>
  <c r="W51" i="129"/>
  <c r="U51" i="129"/>
  <c r="S51" i="129"/>
  <c r="AE50" i="129"/>
  <c r="AC50" i="129"/>
  <c r="AA50" i="129"/>
  <c r="Y50" i="129"/>
  <c r="W50" i="129"/>
  <c r="U50" i="129"/>
  <c r="S50" i="129"/>
  <c r="AE49" i="129"/>
  <c r="AC49" i="129"/>
  <c r="AA49" i="129"/>
  <c r="Y49" i="129"/>
  <c r="W49" i="129"/>
  <c r="U49" i="129"/>
  <c r="S49" i="129"/>
  <c r="AE48" i="129"/>
  <c r="AC48" i="129"/>
  <c r="AA48" i="129"/>
  <c r="Y48" i="129"/>
  <c r="W48" i="129"/>
  <c r="U48" i="129"/>
  <c r="S48" i="129"/>
  <c r="AE47" i="129"/>
  <c r="AC47" i="129"/>
  <c r="AA47" i="129"/>
  <c r="Y47" i="129"/>
  <c r="W47" i="129"/>
  <c r="U47" i="129"/>
  <c r="S47" i="129"/>
  <c r="AE46" i="129"/>
  <c r="AC46" i="129"/>
  <c r="AA46" i="129"/>
  <c r="Y46" i="129"/>
  <c r="W46" i="129"/>
  <c r="U46" i="129"/>
  <c r="S46" i="129"/>
  <c r="AE45" i="129"/>
  <c r="AC45" i="129"/>
  <c r="AA45" i="129"/>
  <c r="Y45" i="129"/>
  <c r="W45" i="129"/>
  <c r="U45" i="129"/>
  <c r="S45" i="129"/>
  <c r="AE44" i="129"/>
  <c r="AC44" i="129"/>
  <c r="AA44" i="129"/>
  <c r="Y44" i="129"/>
  <c r="W44" i="129"/>
  <c r="U44" i="129"/>
  <c r="S44" i="129"/>
  <c r="AE43" i="129"/>
  <c r="AC43" i="129"/>
  <c r="AA43" i="129"/>
  <c r="Y43" i="129"/>
  <c r="W43" i="129"/>
  <c r="U43" i="129"/>
  <c r="S43" i="129"/>
  <c r="AE42" i="129"/>
  <c r="AC42" i="129"/>
  <c r="AA42" i="129"/>
  <c r="Y42" i="129"/>
  <c r="W42" i="129"/>
  <c r="U42" i="129"/>
  <c r="S42" i="129"/>
  <c r="AE41" i="129"/>
  <c r="AC41" i="129"/>
  <c r="AA41" i="129"/>
  <c r="Y41" i="129"/>
  <c r="W41" i="129"/>
  <c r="U41" i="129"/>
  <c r="S41" i="129"/>
  <c r="AE40" i="129"/>
  <c r="AC40" i="129"/>
  <c r="AA40" i="129"/>
  <c r="Y40" i="129"/>
  <c r="W40" i="129"/>
  <c r="U40" i="129"/>
  <c r="S40" i="129"/>
  <c r="AE39" i="129"/>
  <c r="AC39" i="129"/>
  <c r="AA39" i="129"/>
  <c r="Y39" i="129"/>
  <c r="W39" i="129"/>
  <c r="U39" i="129"/>
  <c r="S39" i="129"/>
  <c r="AE38" i="129"/>
  <c r="AC38" i="129"/>
  <c r="AA38" i="129"/>
  <c r="Y38" i="129"/>
  <c r="W38" i="129"/>
  <c r="U38" i="129"/>
  <c r="S38" i="129"/>
  <c r="AE37" i="129"/>
  <c r="AC37" i="129"/>
  <c r="AA37" i="129"/>
  <c r="Y37" i="129"/>
  <c r="W37" i="129"/>
  <c r="U37" i="129"/>
  <c r="S37" i="129"/>
  <c r="AE36" i="129"/>
  <c r="AC36" i="129"/>
  <c r="AA36" i="129"/>
  <c r="Y36" i="129"/>
  <c r="W36" i="129"/>
  <c r="U36" i="129"/>
  <c r="S36" i="129"/>
  <c r="AE35" i="129"/>
  <c r="AC35" i="129"/>
  <c r="AA35" i="129"/>
  <c r="Y35" i="129"/>
  <c r="W35" i="129"/>
  <c r="U35" i="129"/>
  <c r="S35" i="129"/>
  <c r="D31" i="129"/>
  <c r="E31" i="129" s="1"/>
  <c r="D30" i="129"/>
  <c r="E30" i="129" s="1"/>
  <c r="E29" i="129"/>
  <c r="D29" i="129"/>
  <c r="E28" i="129"/>
  <c r="D28" i="129"/>
  <c r="D27" i="129"/>
  <c r="E27" i="129" s="1"/>
  <c r="D26" i="129"/>
  <c r="E26" i="129" s="1"/>
  <c r="AB25" i="129"/>
  <c r="AD24" i="129"/>
  <c r="AD17" i="129"/>
  <c r="AD25" i="129" s="1"/>
  <c r="AB17" i="129"/>
  <c r="Z17" i="129"/>
  <c r="Z25" i="129" s="1"/>
  <c r="X17" i="129"/>
  <c r="X25" i="129" s="1"/>
  <c r="V17" i="129"/>
  <c r="V25" i="129" s="1"/>
  <c r="T17" i="129"/>
  <c r="T25" i="129" s="1"/>
  <c r="R17" i="129"/>
  <c r="R25" i="129" s="1"/>
  <c r="AD16" i="129"/>
  <c r="AB16" i="129"/>
  <c r="AB24" i="129" s="1"/>
  <c r="Z16" i="129"/>
  <c r="Z24" i="129" s="1"/>
  <c r="X16" i="129"/>
  <c r="X24" i="129" s="1"/>
  <c r="V16" i="129"/>
  <c r="T16" i="129"/>
  <c r="R16" i="129"/>
  <c r="P16" i="129"/>
  <c r="O16" i="129"/>
  <c r="N16" i="129"/>
  <c r="L16" i="129"/>
  <c r="K16" i="129"/>
  <c r="J16" i="129"/>
  <c r="H16" i="129"/>
  <c r="G16" i="129"/>
  <c r="F16" i="129"/>
  <c r="O15" i="129"/>
  <c r="Q14" i="129"/>
  <c r="AE14" i="129" s="1"/>
  <c r="M14" i="129"/>
  <c r="I14" i="129"/>
  <c r="O13" i="129"/>
  <c r="W12" i="129"/>
  <c r="U12" i="129"/>
  <c r="Q12" i="129"/>
  <c r="S12" i="129" s="1"/>
  <c r="M12" i="129"/>
  <c r="I12" i="129"/>
  <c r="O11" i="129"/>
  <c r="AE10" i="129"/>
  <c r="AC10" i="129"/>
  <c r="AA10" i="129"/>
  <c r="W10" i="129"/>
  <c r="U10" i="129"/>
  <c r="S10" i="129"/>
  <c r="Q10" i="129"/>
  <c r="Y10" i="129" s="1"/>
  <c r="M10" i="129"/>
  <c r="I10" i="129"/>
  <c r="O9" i="129"/>
  <c r="U8" i="129"/>
  <c r="S8" i="129"/>
  <c r="Q8" i="129"/>
  <c r="M8" i="129"/>
  <c r="I8" i="129"/>
  <c r="O7" i="129"/>
  <c r="Q6" i="129"/>
  <c r="AE6" i="129" s="1"/>
  <c r="M6" i="129"/>
  <c r="M16" i="129" s="1"/>
  <c r="I6" i="129"/>
  <c r="C3" i="129"/>
  <c r="AE64" i="128"/>
  <c r="AC64" i="128"/>
  <c r="AA64" i="128"/>
  <c r="Y64" i="128"/>
  <c r="W64" i="128"/>
  <c r="U64" i="128"/>
  <c r="S64" i="128"/>
  <c r="AE63" i="128"/>
  <c r="AC63" i="128"/>
  <c r="AA63" i="128"/>
  <c r="Y63" i="128"/>
  <c r="W63" i="128"/>
  <c r="U63" i="128"/>
  <c r="S63" i="128"/>
  <c r="AE62" i="128"/>
  <c r="AC62" i="128"/>
  <c r="AA62" i="128"/>
  <c r="Y62" i="128"/>
  <c r="W62" i="128"/>
  <c r="U62" i="128"/>
  <c r="S62" i="128"/>
  <c r="AE61" i="128"/>
  <c r="AC61" i="128"/>
  <c r="AA61" i="128"/>
  <c r="Y61" i="128"/>
  <c r="W61" i="128"/>
  <c r="U61" i="128"/>
  <c r="S61" i="128"/>
  <c r="AE60" i="128"/>
  <c r="AC60" i="128"/>
  <c r="AA60" i="128"/>
  <c r="Y60" i="128"/>
  <c r="W60" i="128"/>
  <c r="U60" i="128"/>
  <c r="S60" i="128"/>
  <c r="AE59" i="128"/>
  <c r="AC59" i="128"/>
  <c r="AA59" i="128"/>
  <c r="Y59" i="128"/>
  <c r="W59" i="128"/>
  <c r="U59" i="128"/>
  <c r="S59" i="128"/>
  <c r="AE58" i="128"/>
  <c r="AC58" i="128"/>
  <c r="AA58" i="128"/>
  <c r="Y58" i="128"/>
  <c r="W58" i="128"/>
  <c r="U58" i="128"/>
  <c r="S58" i="128"/>
  <c r="AE57" i="128"/>
  <c r="AC57" i="128"/>
  <c r="AA57" i="128"/>
  <c r="Y57" i="128"/>
  <c r="W57" i="128"/>
  <c r="U57" i="128"/>
  <c r="S57" i="128"/>
  <c r="AE56" i="128"/>
  <c r="AC56" i="128"/>
  <c r="AA56" i="128"/>
  <c r="Y56" i="128"/>
  <c r="W56" i="128"/>
  <c r="U56" i="128"/>
  <c r="S56" i="128"/>
  <c r="AE55" i="128"/>
  <c r="AC55" i="128"/>
  <c r="AA55" i="128"/>
  <c r="Y55" i="128"/>
  <c r="W55" i="128"/>
  <c r="U55" i="128"/>
  <c r="S55" i="128"/>
  <c r="AE54" i="128"/>
  <c r="AC54" i="128"/>
  <c r="AA54" i="128"/>
  <c r="Y54" i="128"/>
  <c r="W54" i="128"/>
  <c r="U54" i="128"/>
  <c r="S54" i="128"/>
  <c r="AE53" i="128"/>
  <c r="AC53" i="128"/>
  <c r="AA53" i="128"/>
  <c r="Y53" i="128"/>
  <c r="W53" i="128"/>
  <c r="U53" i="128"/>
  <c r="S53" i="128"/>
  <c r="AE52" i="128"/>
  <c r="AC52" i="128"/>
  <c r="AA52" i="128"/>
  <c r="Y52" i="128"/>
  <c r="W52" i="128"/>
  <c r="U52" i="128"/>
  <c r="S52" i="128"/>
  <c r="AE51" i="128"/>
  <c r="AC51" i="128"/>
  <c r="AA51" i="128"/>
  <c r="Y51" i="128"/>
  <c r="W51" i="128"/>
  <c r="U51" i="128"/>
  <c r="S51" i="128"/>
  <c r="AE50" i="128"/>
  <c r="AC50" i="128"/>
  <c r="AA50" i="128"/>
  <c r="Y50" i="128"/>
  <c r="W50" i="128"/>
  <c r="U50" i="128"/>
  <c r="S50" i="128"/>
  <c r="AE49" i="128"/>
  <c r="AC49" i="128"/>
  <c r="AA49" i="128"/>
  <c r="Y49" i="128"/>
  <c r="W49" i="128"/>
  <c r="U49" i="128"/>
  <c r="S49" i="128"/>
  <c r="AE48" i="128"/>
  <c r="AC48" i="128"/>
  <c r="AA48" i="128"/>
  <c r="Y48" i="128"/>
  <c r="W48" i="128"/>
  <c r="U48" i="128"/>
  <c r="S48" i="128"/>
  <c r="AE47" i="128"/>
  <c r="AC47" i="128"/>
  <c r="AA47" i="128"/>
  <c r="Y47" i="128"/>
  <c r="W47" i="128"/>
  <c r="U47" i="128"/>
  <c r="S47" i="128"/>
  <c r="AE46" i="128"/>
  <c r="AC46" i="128"/>
  <c r="AA46" i="128"/>
  <c r="Y46" i="128"/>
  <c r="W46" i="128"/>
  <c r="U46" i="128"/>
  <c r="S46" i="128"/>
  <c r="AE45" i="128"/>
  <c r="AC45" i="128"/>
  <c r="AA45" i="128"/>
  <c r="Y45" i="128"/>
  <c r="W45" i="128"/>
  <c r="U45" i="128"/>
  <c r="S45" i="128"/>
  <c r="AE44" i="128"/>
  <c r="AC44" i="128"/>
  <c r="AA44" i="128"/>
  <c r="Y44" i="128"/>
  <c r="W44" i="128"/>
  <c r="U44" i="128"/>
  <c r="S44" i="128"/>
  <c r="AE43" i="128"/>
  <c r="AC43" i="128"/>
  <c r="AA43" i="128"/>
  <c r="Y43" i="128"/>
  <c r="W43" i="128"/>
  <c r="U43" i="128"/>
  <c r="S43" i="128"/>
  <c r="AE42" i="128"/>
  <c r="AC42" i="128"/>
  <c r="AA42" i="128"/>
  <c r="Y42" i="128"/>
  <c r="W42" i="128"/>
  <c r="U42" i="128"/>
  <c r="S42" i="128"/>
  <c r="AE41" i="128"/>
  <c r="AC41" i="128"/>
  <c r="AA41" i="128"/>
  <c r="Y41" i="128"/>
  <c r="W41" i="128"/>
  <c r="U41" i="128"/>
  <c r="S41" i="128"/>
  <c r="AE40" i="128"/>
  <c r="AC40" i="128"/>
  <c r="AA40" i="128"/>
  <c r="Y40" i="128"/>
  <c r="W40" i="128"/>
  <c r="U40" i="128"/>
  <c r="S40" i="128"/>
  <c r="AE39" i="128"/>
  <c r="AC39" i="128"/>
  <c r="AA39" i="128"/>
  <c r="Y39" i="128"/>
  <c r="W39" i="128"/>
  <c r="U39" i="128"/>
  <c r="S39" i="128"/>
  <c r="AE38" i="128"/>
  <c r="AC38" i="128"/>
  <c r="AA38" i="128"/>
  <c r="Y38" i="128"/>
  <c r="W38" i="128"/>
  <c r="U38" i="128"/>
  <c r="S38" i="128"/>
  <c r="AE37" i="128"/>
  <c r="AC37" i="128"/>
  <c r="AA37" i="128"/>
  <c r="Y37" i="128"/>
  <c r="W37" i="128"/>
  <c r="U37" i="128"/>
  <c r="S37" i="128"/>
  <c r="AE36" i="128"/>
  <c r="AC36" i="128"/>
  <c r="AA36" i="128"/>
  <c r="Y36" i="128"/>
  <c r="W36" i="128"/>
  <c r="U36" i="128"/>
  <c r="S36" i="128"/>
  <c r="AE35" i="128"/>
  <c r="AC35" i="128"/>
  <c r="AA35" i="128"/>
  <c r="Y35" i="128"/>
  <c r="W35" i="128"/>
  <c r="U35" i="128"/>
  <c r="S35" i="128"/>
  <c r="D31" i="128"/>
  <c r="E31" i="128" s="1"/>
  <c r="D30" i="128"/>
  <c r="E30" i="128" s="1"/>
  <c r="D29" i="128"/>
  <c r="E29" i="128" s="1"/>
  <c r="E28" i="128"/>
  <c r="D28" i="128"/>
  <c r="D27" i="128"/>
  <c r="E27" i="128" s="1"/>
  <c r="D26" i="128"/>
  <c r="E26" i="128" s="1"/>
  <c r="Z25" i="128"/>
  <c r="V25" i="128"/>
  <c r="AB24" i="128"/>
  <c r="R18" i="128"/>
  <c r="R26" i="128" s="1"/>
  <c r="AD17" i="128"/>
  <c r="AD25" i="128" s="1"/>
  <c r="AB17" i="128"/>
  <c r="AB25" i="128" s="1"/>
  <c r="Z17" i="128"/>
  <c r="X17" i="128"/>
  <c r="X25" i="128" s="1"/>
  <c r="V17" i="128"/>
  <c r="T17" i="128"/>
  <c r="T25" i="128" s="1"/>
  <c r="R17" i="128"/>
  <c r="R25" i="128" s="1"/>
  <c r="AD16" i="128"/>
  <c r="AD24" i="128" s="1"/>
  <c r="AB16" i="128"/>
  <c r="Z16" i="128"/>
  <c r="X16" i="128"/>
  <c r="X24" i="128" s="1"/>
  <c r="V16" i="128"/>
  <c r="V24" i="128" s="1"/>
  <c r="T16" i="128"/>
  <c r="T24" i="128" s="1"/>
  <c r="R16" i="128"/>
  <c r="R24" i="128" s="1"/>
  <c r="P16" i="128"/>
  <c r="O16" i="128"/>
  <c r="N16" i="128"/>
  <c r="L16" i="128"/>
  <c r="K16" i="128"/>
  <c r="J16" i="128"/>
  <c r="H16" i="128"/>
  <c r="G16" i="128"/>
  <c r="F16" i="128"/>
  <c r="O15" i="128"/>
  <c r="AC14" i="128"/>
  <c r="Q14" i="128"/>
  <c r="W14" i="128" s="1"/>
  <c r="M14" i="128"/>
  <c r="I14" i="128"/>
  <c r="O13" i="128"/>
  <c r="AE12" i="128"/>
  <c r="Q12" i="128"/>
  <c r="S12" i="128" s="1"/>
  <c r="M12" i="128"/>
  <c r="I12" i="128"/>
  <c r="O11" i="128"/>
  <c r="Q10" i="128"/>
  <c r="M10" i="128"/>
  <c r="I10" i="128"/>
  <c r="O9" i="128"/>
  <c r="AE8" i="128"/>
  <c r="AC8" i="128"/>
  <c r="AA8" i="128"/>
  <c r="U8" i="128"/>
  <c r="S8" i="128"/>
  <c r="Q8" i="128"/>
  <c r="Y8" i="128" s="1"/>
  <c r="M8" i="128"/>
  <c r="I8" i="128"/>
  <c r="O7" i="128"/>
  <c r="Q6" i="128"/>
  <c r="M6" i="128"/>
  <c r="I6" i="128"/>
  <c r="C3" i="128"/>
  <c r="AE64" i="127"/>
  <c r="AC64" i="127"/>
  <c r="AA64" i="127"/>
  <c r="Y64" i="127"/>
  <c r="W64" i="127"/>
  <c r="U64" i="127"/>
  <c r="S64" i="127"/>
  <c r="AE63" i="127"/>
  <c r="AC63" i="127"/>
  <c r="AA63" i="127"/>
  <c r="Y63" i="127"/>
  <c r="W63" i="127"/>
  <c r="U63" i="127"/>
  <c r="S63" i="127"/>
  <c r="AE62" i="127"/>
  <c r="AC62" i="127"/>
  <c r="AA62" i="127"/>
  <c r="Y62" i="127"/>
  <c r="W62" i="127"/>
  <c r="U62" i="127"/>
  <c r="S62" i="127"/>
  <c r="AE61" i="127"/>
  <c r="AC61" i="127"/>
  <c r="AA61" i="127"/>
  <c r="Y61" i="127"/>
  <c r="W61" i="127"/>
  <c r="U61" i="127"/>
  <c r="S61" i="127"/>
  <c r="AE60" i="127"/>
  <c r="AC60" i="127"/>
  <c r="AA60" i="127"/>
  <c r="Y60" i="127"/>
  <c r="W60" i="127"/>
  <c r="U60" i="127"/>
  <c r="S60" i="127"/>
  <c r="AE59" i="127"/>
  <c r="AC59" i="127"/>
  <c r="AA59" i="127"/>
  <c r="Y59" i="127"/>
  <c r="W59" i="127"/>
  <c r="U59" i="127"/>
  <c r="S59" i="127"/>
  <c r="AE58" i="127"/>
  <c r="AC58" i="127"/>
  <c r="AA58" i="127"/>
  <c r="Y58" i="127"/>
  <c r="W58" i="127"/>
  <c r="U58" i="127"/>
  <c r="S58" i="127"/>
  <c r="AE57" i="127"/>
  <c r="AC57" i="127"/>
  <c r="AA57" i="127"/>
  <c r="Y57" i="127"/>
  <c r="W57" i="127"/>
  <c r="U57" i="127"/>
  <c r="S57" i="127"/>
  <c r="AE56" i="127"/>
  <c r="AC56" i="127"/>
  <c r="AA56" i="127"/>
  <c r="Y56" i="127"/>
  <c r="W56" i="127"/>
  <c r="U56" i="127"/>
  <c r="S56" i="127"/>
  <c r="AE55" i="127"/>
  <c r="AC55" i="127"/>
  <c r="AA55" i="127"/>
  <c r="Y55" i="127"/>
  <c r="W55" i="127"/>
  <c r="U55" i="127"/>
  <c r="S55" i="127"/>
  <c r="AE54" i="127"/>
  <c r="AC54" i="127"/>
  <c r="AA54" i="127"/>
  <c r="Y54" i="127"/>
  <c r="W54" i="127"/>
  <c r="U54" i="127"/>
  <c r="S54" i="127"/>
  <c r="AE53" i="127"/>
  <c r="AC53" i="127"/>
  <c r="AA53" i="127"/>
  <c r="Y53" i="127"/>
  <c r="W53" i="127"/>
  <c r="U53" i="127"/>
  <c r="S53" i="127"/>
  <c r="AE52" i="127"/>
  <c r="AC52" i="127"/>
  <c r="AA52" i="127"/>
  <c r="Y52" i="127"/>
  <c r="W52" i="127"/>
  <c r="U52" i="127"/>
  <c r="S52" i="127"/>
  <c r="AE51" i="127"/>
  <c r="AC51" i="127"/>
  <c r="AA51" i="127"/>
  <c r="Y51" i="127"/>
  <c r="W51" i="127"/>
  <c r="U51" i="127"/>
  <c r="S51" i="127"/>
  <c r="AE50" i="127"/>
  <c r="AC50" i="127"/>
  <c r="AA50" i="127"/>
  <c r="Y50" i="127"/>
  <c r="W50" i="127"/>
  <c r="U50" i="127"/>
  <c r="S50" i="127"/>
  <c r="AE49" i="127"/>
  <c r="AC49" i="127"/>
  <c r="AA49" i="127"/>
  <c r="Y49" i="127"/>
  <c r="W49" i="127"/>
  <c r="U49" i="127"/>
  <c r="S49" i="127"/>
  <c r="AE48" i="127"/>
  <c r="AC48" i="127"/>
  <c r="AA48" i="127"/>
  <c r="Y48" i="127"/>
  <c r="W48" i="127"/>
  <c r="U48" i="127"/>
  <c r="S48" i="127"/>
  <c r="AE47" i="127"/>
  <c r="AC47" i="127"/>
  <c r="AA47" i="127"/>
  <c r="Y47" i="127"/>
  <c r="W47" i="127"/>
  <c r="U47" i="127"/>
  <c r="S47" i="127"/>
  <c r="AE46" i="127"/>
  <c r="AC46" i="127"/>
  <c r="AA46" i="127"/>
  <c r="Y46" i="127"/>
  <c r="W46" i="127"/>
  <c r="U46" i="127"/>
  <c r="S46" i="127"/>
  <c r="AE45" i="127"/>
  <c r="AC45" i="127"/>
  <c r="AA45" i="127"/>
  <c r="Y45" i="127"/>
  <c r="W45" i="127"/>
  <c r="U45" i="127"/>
  <c r="S45" i="127"/>
  <c r="AE44" i="127"/>
  <c r="AC44" i="127"/>
  <c r="AA44" i="127"/>
  <c r="Y44" i="127"/>
  <c r="W44" i="127"/>
  <c r="U44" i="127"/>
  <c r="S44" i="127"/>
  <c r="AE43" i="127"/>
  <c r="AC43" i="127"/>
  <c r="AA43" i="127"/>
  <c r="Y43" i="127"/>
  <c r="W43" i="127"/>
  <c r="U43" i="127"/>
  <c r="S43" i="127"/>
  <c r="AE42" i="127"/>
  <c r="AC42" i="127"/>
  <c r="AA42" i="127"/>
  <c r="Y42" i="127"/>
  <c r="W42" i="127"/>
  <c r="U42" i="127"/>
  <c r="S42" i="127"/>
  <c r="AE41" i="127"/>
  <c r="AC41" i="127"/>
  <c r="AA41" i="127"/>
  <c r="Y41" i="127"/>
  <c r="W41" i="127"/>
  <c r="U41" i="127"/>
  <c r="S41" i="127"/>
  <c r="AE40" i="127"/>
  <c r="AC40" i="127"/>
  <c r="AA40" i="127"/>
  <c r="Y40" i="127"/>
  <c r="W40" i="127"/>
  <c r="U40" i="127"/>
  <c r="S40" i="127"/>
  <c r="AE39" i="127"/>
  <c r="AC39" i="127"/>
  <c r="AA39" i="127"/>
  <c r="Y39" i="127"/>
  <c r="W39" i="127"/>
  <c r="U39" i="127"/>
  <c r="S39" i="127"/>
  <c r="AE38" i="127"/>
  <c r="AC38" i="127"/>
  <c r="AA38" i="127"/>
  <c r="Y38" i="127"/>
  <c r="W38" i="127"/>
  <c r="U38" i="127"/>
  <c r="S38" i="127"/>
  <c r="AE37" i="127"/>
  <c r="AC37" i="127"/>
  <c r="AA37" i="127"/>
  <c r="Y37" i="127"/>
  <c r="W37" i="127"/>
  <c r="U37" i="127"/>
  <c r="S37" i="127"/>
  <c r="AE36" i="127"/>
  <c r="AC36" i="127"/>
  <c r="AA36" i="127"/>
  <c r="Y36" i="127"/>
  <c r="W36" i="127"/>
  <c r="U36" i="127"/>
  <c r="S36" i="127"/>
  <c r="AE35" i="127"/>
  <c r="AC35" i="127"/>
  <c r="AA35" i="127"/>
  <c r="Y35" i="127"/>
  <c r="W35" i="127"/>
  <c r="U35" i="127"/>
  <c r="S35" i="127"/>
  <c r="D31" i="127"/>
  <c r="E31" i="127" s="1"/>
  <c r="D30" i="127"/>
  <c r="E30" i="127" s="1"/>
  <c r="D29" i="127"/>
  <c r="E29" i="127" s="1"/>
  <c r="D28" i="127"/>
  <c r="E28" i="127" s="1"/>
  <c r="D27" i="127"/>
  <c r="E27" i="127" s="1"/>
  <c r="D26" i="127"/>
  <c r="E26" i="127" s="1"/>
  <c r="AB25" i="127"/>
  <c r="R25" i="127"/>
  <c r="Z24" i="127"/>
  <c r="X24" i="127"/>
  <c r="AD17" i="127"/>
  <c r="AD25" i="127" s="1"/>
  <c r="AB17" i="127"/>
  <c r="Z17" i="127"/>
  <c r="Z25" i="127" s="1"/>
  <c r="X17" i="127"/>
  <c r="X25" i="127" s="1"/>
  <c r="V17" i="127"/>
  <c r="V25" i="127" s="1"/>
  <c r="T17" i="127"/>
  <c r="T25" i="127" s="1"/>
  <c r="R17" i="127"/>
  <c r="AD16" i="127"/>
  <c r="AD24" i="127" s="1"/>
  <c r="AB16" i="127"/>
  <c r="AB18" i="127" s="1"/>
  <c r="AB26" i="127" s="1"/>
  <c r="Z16" i="127"/>
  <c r="X16" i="127"/>
  <c r="V16" i="127"/>
  <c r="V24" i="127" s="1"/>
  <c r="T16" i="127"/>
  <c r="R16" i="127"/>
  <c r="R18" i="127" s="1"/>
  <c r="R26" i="127" s="1"/>
  <c r="P16" i="127"/>
  <c r="O16" i="127"/>
  <c r="N16" i="127"/>
  <c r="L16" i="127"/>
  <c r="K16" i="127"/>
  <c r="J16" i="127"/>
  <c r="H16" i="127"/>
  <c r="G16" i="127"/>
  <c r="F16" i="127"/>
  <c r="O15" i="127"/>
  <c r="AE14" i="127"/>
  <c r="AA14" i="127"/>
  <c r="W14" i="127"/>
  <c r="U14" i="127"/>
  <c r="S14" i="127"/>
  <c r="Q14" i="127"/>
  <c r="Y14" i="127" s="1"/>
  <c r="M14" i="127"/>
  <c r="I14" i="127"/>
  <c r="O13" i="127"/>
  <c r="AC12" i="127"/>
  <c r="AA12" i="127"/>
  <c r="U12" i="127"/>
  <c r="S12" i="127"/>
  <c r="Q12" i="127"/>
  <c r="M12" i="127"/>
  <c r="I12" i="127"/>
  <c r="O11" i="127"/>
  <c r="Q10" i="127"/>
  <c r="AE10" i="127" s="1"/>
  <c r="M10" i="127"/>
  <c r="I10" i="127"/>
  <c r="O9" i="127"/>
  <c r="S8" i="127"/>
  <c r="Q8" i="127"/>
  <c r="AA8" i="127" s="1"/>
  <c r="M8" i="127"/>
  <c r="I8" i="127"/>
  <c r="O7" i="127"/>
  <c r="AE6" i="127"/>
  <c r="AC6" i="127"/>
  <c r="Y6" i="127"/>
  <c r="W6" i="127"/>
  <c r="Q6" i="127"/>
  <c r="S6" i="127" s="1"/>
  <c r="M6" i="127"/>
  <c r="I6" i="127"/>
  <c r="C3" i="127"/>
  <c r="AE64" i="126"/>
  <c r="AC64" i="126"/>
  <c r="AA64" i="126"/>
  <c r="Y64" i="126"/>
  <c r="W64" i="126"/>
  <c r="U64" i="126"/>
  <c r="S64" i="126"/>
  <c r="AE63" i="126"/>
  <c r="AC63" i="126"/>
  <c r="AA63" i="126"/>
  <c r="Y63" i="126"/>
  <c r="W63" i="126"/>
  <c r="U63" i="126"/>
  <c r="S63" i="126"/>
  <c r="AE62" i="126"/>
  <c r="AC62" i="126"/>
  <c r="AA62" i="126"/>
  <c r="Y62" i="126"/>
  <c r="W62" i="126"/>
  <c r="U62" i="126"/>
  <c r="S62" i="126"/>
  <c r="AE61" i="126"/>
  <c r="AC61" i="126"/>
  <c r="AA61" i="126"/>
  <c r="Y61" i="126"/>
  <c r="W61" i="126"/>
  <c r="U61" i="126"/>
  <c r="S61" i="126"/>
  <c r="AE60" i="126"/>
  <c r="AC60" i="126"/>
  <c r="AA60" i="126"/>
  <c r="Y60" i="126"/>
  <c r="W60" i="126"/>
  <c r="U60" i="126"/>
  <c r="S60" i="126"/>
  <c r="AE59" i="126"/>
  <c r="AC59" i="126"/>
  <c r="AA59" i="126"/>
  <c r="Y59" i="126"/>
  <c r="W59" i="126"/>
  <c r="U59" i="126"/>
  <c r="S59" i="126"/>
  <c r="AE58" i="126"/>
  <c r="AC58" i="126"/>
  <c r="AA58" i="126"/>
  <c r="Y58" i="126"/>
  <c r="W58" i="126"/>
  <c r="U58" i="126"/>
  <c r="S58" i="126"/>
  <c r="AE57" i="126"/>
  <c r="AC57" i="126"/>
  <c r="AA57" i="126"/>
  <c r="Y57" i="126"/>
  <c r="W57" i="126"/>
  <c r="U57" i="126"/>
  <c r="S57" i="126"/>
  <c r="AE56" i="126"/>
  <c r="AC56" i="126"/>
  <c r="AA56" i="126"/>
  <c r="Y56" i="126"/>
  <c r="W56" i="126"/>
  <c r="U56" i="126"/>
  <c r="S56" i="126"/>
  <c r="AE55" i="126"/>
  <c r="AC55" i="126"/>
  <c r="AA55" i="126"/>
  <c r="Y55" i="126"/>
  <c r="W55" i="126"/>
  <c r="U55" i="126"/>
  <c r="S55" i="126"/>
  <c r="AE54" i="126"/>
  <c r="AC54" i="126"/>
  <c r="AA54" i="126"/>
  <c r="Y54" i="126"/>
  <c r="W54" i="126"/>
  <c r="U54" i="126"/>
  <c r="S54" i="126"/>
  <c r="AE53" i="126"/>
  <c r="AC53" i="126"/>
  <c r="AA53" i="126"/>
  <c r="Y53" i="126"/>
  <c r="W53" i="126"/>
  <c r="U53" i="126"/>
  <c r="S53" i="126"/>
  <c r="AE52" i="126"/>
  <c r="AC52" i="126"/>
  <c r="AA52" i="126"/>
  <c r="Y52" i="126"/>
  <c r="W52" i="126"/>
  <c r="U52" i="126"/>
  <c r="S52" i="126"/>
  <c r="AE51" i="126"/>
  <c r="AC51" i="126"/>
  <c r="AA51" i="126"/>
  <c r="Y51" i="126"/>
  <c r="W51" i="126"/>
  <c r="U51" i="126"/>
  <c r="S51" i="126"/>
  <c r="AE50" i="126"/>
  <c r="AC50" i="126"/>
  <c r="AA50" i="126"/>
  <c r="Y50" i="126"/>
  <c r="W50" i="126"/>
  <c r="U50" i="126"/>
  <c r="S50" i="126"/>
  <c r="AE49" i="126"/>
  <c r="AC49" i="126"/>
  <c r="AA49" i="126"/>
  <c r="Y49" i="126"/>
  <c r="W49" i="126"/>
  <c r="U49" i="126"/>
  <c r="S49" i="126"/>
  <c r="AE48" i="126"/>
  <c r="AC48" i="126"/>
  <c r="AA48" i="126"/>
  <c r="Y48" i="126"/>
  <c r="W48" i="126"/>
  <c r="U48" i="126"/>
  <c r="S48" i="126"/>
  <c r="AE47" i="126"/>
  <c r="AC47" i="126"/>
  <c r="AA47" i="126"/>
  <c r="Y47" i="126"/>
  <c r="W47" i="126"/>
  <c r="U47" i="126"/>
  <c r="S47" i="126"/>
  <c r="AE46" i="126"/>
  <c r="AC46" i="126"/>
  <c r="AA46" i="126"/>
  <c r="Y46" i="126"/>
  <c r="W46" i="126"/>
  <c r="U46" i="126"/>
  <c r="S46" i="126"/>
  <c r="AE45" i="126"/>
  <c r="AC45" i="126"/>
  <c r="AA45" i="126"/>
  <c r="Y45" i="126"/>
  <c r="W45" i="126"/>
  <c r="U45" i="126"/>
  <c r="S45" i="126"/>
  <c r="AE44" i="126"/>
  <c r="AC44" i="126"/>
  <c r="AA44" i="126"/>
  <c r="Y44" i="126"/>
  <c r="W44" i="126"/>
  <c r="U44" i="126"/>
  <c r="S44" i="126"/>
  <c r="AE43" i="126"/>
  <c r="AC43" i="126"/>
  <c r="AA43" i="126"/>
  <c r="Y43" i="126"/>
  <c r="W43" i="126"/>
  <c r="U43" i="126"/>
  <c r="S43" i="126"/>
  <c r="AE42" i="126"/>
  <c r="AC42" i="126"/>
  <c r="AA42" i="126"/>
  <c r="Y42" i="126"/>
  <c r="W42" i="126"/>
  <c r="U42" i="126"/>
  <c r="S42" i="126"/>
  <c r="AE41" i="126"/>
  <c r="AC41" i="126"/>
  <c r="AA41" i="126"/>
  <c r="Y41" i="126"/>
  <c r="W41" i="126"/>
  <c r="U41" i="126"/>
  <c r="S41" i="126"/>
  <c r="AE40" i="126"/>
  <c r="AC40" i="126"/>
  <c r="AA40" i="126"/>
  <c r="Y40" i="126"/>
  <c r="W40" i="126"/>
  <c r="U40" i="126"/>
  <c r="S40" i="126"/>
  <c r="AE39" i="126"/>
  <c r="AC39" i="126"/>
  <c r="AA39" i="126"/>
  <c r="Y39" i="126"/>
  <c r="W39" i="126"/>
  <c r="U39" i="126"/>
  <c r="S39" i="126"/>
  <c r="AE38" i="126"/>
  <c r="AC38" i="126"/>
  <c r="AA38" i="126"/>
  <c r="Y38" i="126"/>
  <c r="W38" i="126"/>
  <c r="U38" i="126"/>
  <c r="S38" i="126"/>
  <c r="AE37" i="126"/>
  <c r="AC37" i="126"/>
  <c r="AA37" i="126"/>
  <c r="Y37" i="126"/>
  <c r="W37" i="126"/>
  <c r="U37" i="126"/>
  <c r="S37" i="126"/>
  <c r="AE36" i="126"/>
  <c r="AC36" i="126"/>
  <c r="AA36" i="126"/>
  <c r="Y36" i="126"/>
  <c r="W36" i="126"/>
  <c r="U36" i="126"/>
  <c r="S36" i="126"/>
  <c r="AE35" i="126"/>
  <c r="AC35" i="126"/>
  <c r="AA35" i="126"/>
  <c r="Y35" i="126"/>
  <c r="W35" i="126"/>
  <c r="U35" i="126"/>
  <c r="S35" i="126"/>
  <c r="D31" i="126"/>
  <c r="E31" i="126" s="1"/>
  <c r="D30" i="126"/>
  <c r="E30" i="126" s="1"/>
  <c r="D29" i="126"/>
  <c r="E29" i="126" s="1"/>
  <c r="D28" i="126"/>
  <c r="E28" i="126" s="1"/>
  <c r="D27" i="126"/>
  <c r="E27" i="126" s="1"/>
  <c r="D26" i="126"/>
  <c r="E26" i="126" s="1"/>
  <c r="T25" i="126"/>
  <c r="Z24" i="126"/>
  <c r="R18" i="126"/>
  <c r="R26" i="126" s="1"/>
  <c r="AD17" i="126"/>
  <c r="AD25" i="126" s="1"/>
  <c r="AB17" i="126"/>
  <c r="AB25" i="126" s="1"/>
  <c r="Z17" i="126"/>
  <c r="Z25" i="126" s="1"/>
  <c r="X17" i="126"/>
  <c r="X25" i="126" s="1"/>
  <c r="V17" i="126"/>
  <c r="V25" i="126" s="1"/>
  <c r="T17" i="126"/>
  <c r="R17" i="126"/>
  <c r="R25" i="126" s="1"/>
  <c r="AD16" i="126"/>
  <c r="AD24" i="126" s="1"/>
  <c r="AB16" i="126"/>
  <c r="AB24" i="126" s="1"/>
  <c r="Z16" i="126"/>
  <c r="X16" i="126"/>
  <c r="V16" i="126"/>
  <c r="V24" i="126" s="1"/>
  <c r="T16" i="126"/>
  <c r="T18" i="126" s="1"/>
  <c r="T26" i="126" s="1"/>
  <c r="R16" i="126"/>
  <c r="R24" i="126" s="1"/>
  <c r="P16" i="126"/>
  <c r="O16" i="126"/>
  <c r="N16" i="126"/>
  <c r="L16" i="126"/>
  <c r="K16" i="126"/>
  <c r="J16" i="126"/>
  <c r="H16" i="126"/>
  <c r="G16" i="126"/>
  <c r="F16" i="126"/>
  <c r="O15" i="126"/>
  <c r="Q14" i="126"/>
  <c r="M14" i="126"/>
  <c r="I14" i="126"/>
  <c r="O13" i="126"/>
  <c r="AE12" i="126"/>
  <c r="AA12" i="126"/>
  <c r="W12" i="126"/>
  <c r="U12" i="126"/>
  <c r="S12" i="126"/>
  <c r="Q12" i="126"/>
  <c r="Y12" i="126" s="1"/>
  <c r="M12" i="126"/>
  <c r="I12" i="126"/>
  <c r="O11" i="126"/>
  <c r="Q10" i="126"/>
  <c r="AC10" i="126" s="1"/>
  <c r="M10" i="126"/>
  <c r="I10" i="126"/>
  <c r="O9" i="126"/>
  <c r="AE8" i="126"/>
  <c r="Q8" i="126"/>
  <c r="W8" i="126" s="1"/>
  <c r="M8" i="126"/>
  <c r="I8" i="126"/>
  <c r="O7" i="126"/>
  <c r="O17" i="126" s="1"/>
  <c r="O18" i="126" s="1"/>
  <c r="AE6" i="126"/>
  <c r="Q6" i="126"/>
  <c r="M6" i="126"/>
  <c r="I6" i="126"/>
  <c r="C3" i="126"/>
  <c r="AE64" i="125"/>
  <c r="AC64" i="125"/>
  <c r="AA64" i="125"/>
  <c r="Y64" i="125"/>
  <c r="W64" i="125"/>
  <c r="U64" i="125"/>
  <c r="S64" i="125"/>
  <c r="AE63" i="125"/>
  <c r="AC63" i="125"/>
  <c r="AA63" i="125"/>
  <c r="Y63" i="125"/>
  <c r="W63" i="125"/>
  <c r="U63" i="125"/>
  <c r="S63" i="125"/>
  <c r="AE62" i="125"/>
  <c r="AC62" i="125"/>
  <c r="AA62" i="125"/>
  <c r="Y62" i="125"/>
  <c r="W62" i="125"/>
  <c r="U62" i="125"/>
  <c r="S62" i="125"/>
  <c r="AE61" i="125"/>
  <c r="AC61" i="125"/>
  <c r="AA61" i="125"/>
  <c r="Y61" i="125"/>
  <c r="W61" i="125"/>
  <c r="U61" i="125"/>
  <c r="S61" i="125"/>
  <c r="AE60" i="125"/>
  <c r="AC60" i="125"/>
  <c r="AA60" i="125"/>
  <c r="Y60" i="125"/>
  <c r="W60" i="125"/>
  <c r="U60" i="125"/>
  <c r="S60" i="125"/>
  <c r="AE59" i="125"/>
  <c r="AC59" i="125"/>
  <c r="AA59" i="125"/>
  <c r="Y59" i="125"/>
  <c r="W59" i="125"/>
  <c r="U59" i="125"/>
  <c r="S59" i="125"/>
  <c r="AE58" i="125"/>
  <c r="AC58" i="125"/>
  <c r="AA58" i="125"/>
  <c r="Y58" i="125"/>
  <c r="W58" i="125"/>
  <c r="U58" i="125"/>
  <c r="S58" i="125"/>
  <c r="AE57" i="125"/>
  <c r="AC57" i="125"/>
  <c r="AA57" i="125"/>
  <c r="Y57" i="125"/>
  <c r="W57" i="125"/>
  <c r="U57" i="125"/>
  <c r="S57" i="125"/>
  <c r="AE56" i="125"/>
  <c r="AC56" i="125"/>
  <c r="AA56" i="125"/>
  <c r="Y56" i="125"/>
  <c r="W56" i="125"/>
  <c r="U56" i="125"/>
  <c r="S56" i="125"/>
  <c r="AE55" i="125"/>
  <c r="AC55" i="125"/>
  <c r="AA55" i="125"/>
  <c r="Y55" i="125"/>
  <c r="W55" i="125"/>
  <c r="U55" i="125"/>
  <c r="S55" i="125"/>
  <c r="AE54" i="125"/>
  <c r="AC54" i="125"/>
  <c r="AA54" i="125"/>
  <c r="Y54" i="125"/>
  <c r="W54" i="125"/>
  <c r="U54" i="125"/>
  <c r="S54" i="125"/>
  <c r="AE53" i="125"/>
  <c r="AC53" i="125"/>
  <c r="AA53" i="125"/>
  <c r="Y53" i="125"/>
  <c r="W53" i="125"/>
  <c r="U53" i="125"/>
  <c r="S53" i="125"/>
  <c r="AE52" i="125"/>
  <c r="AC52" i="125"/>
  <c r="AA52" i="125"/>
  <c r="Y52" i="125"/>
  <c r="W52" i="125"/>
  <c r="U52" i="125"/>
  <c r="S52" i="125"/>
  <c r="AE51" i="125"/>
  <c r="AC51" i="125"/>
  <c r="AA51" i="125"/>
  <c r="Y51" i="125"/>
  <c r="W51" i="125"/>
  <c r="U51" i="125"/>
  <c r="S51" i="125"/>
  <c r="AE50" i="125"/>
  <c r="AC50" i="125"/>
  <c r="AA50" i="125"/>
  <c r="Y50" i="125"/>
  <c r="W50" i="125"/>
  <c r="U50" i="125"/>
  <c r="S50" i="125"/>
  <c r="AE49" i="125"/>
  <c r="AC49" i="125"/>
  <c r="AA49" i="125"/>
  <c r="Y49" i="125"/>
  <c r="W49" i="125"/>
  <c r="U49" i="125"/>
  <c r="S49" i="125"/>
  <c r="AE48" i="125"/>
  <c r="AC48" i="125"/>
  <c r="AA48" i="125"/>
  <c r="Y48" i="125"/>
  <c r="W48" i="125"/>
  <c r="U48" i="125"/>
  <c r="S48" i="125"/>
  <c r="AE47" i="125"/>
  <c r="AC47" i="125"/>
  <c r="AA47" i="125"/>
  <c r="Y47" i="125"/>
  <c r="W47" i="125"/>
  <c r="U47" i="125"/>
  <c r="S47" i="125"/>
  <c r="AE46" i="125"/>
  <c r="AC46" i="125"/>
  <c r="AA46" i="125"/>
  <c r="Y46" i="125"/>
  <c r="W46" i="125"/>
  <c r="U46" i="125"/>
  <c r="S46" i="125"/>
  <c r="AE45" i="125"/>
  <c r="AC45" i="125"/>
  <c r="AA45" i="125"/>
  <c r="Y45" i="125"/>
  <c r="W45" i="125"/>
  <c r="U45" i="125"/>
  <c r="S45" i="125"/>
  <c r="AE44" i="125"/>
  <c r="AC44" i="125"/>
  <c r="AA44" i="125"/>
  <c r="Y44" i="125"/>
  <c r="W44" i="125"/>
  <c r="U44" i="125"/>
  <c r="S44" i="125"/>
  <c r="AE43" i="125"/>
  <c r="AC43" i="125"/>
  <c r="AA43" i="125"/>
  <c r="Y43" i="125"/>
  <c r="W43" i="125"/>
  <c r="U43" i="125"/>
  <c r="S43" i="125"/>
  <c r="AE42" i="125"/>
  <c r="AC42" i="125"/>
  <c r="AA42" i="125"/>
  <c r="Y42" i="125"/>
  <c r="W42" i="125"/>
  <c r="U42" i="125"/>
  <c r="S42" i="125"/>
  <c r="AE41" i="125"/>
  <c r="AC41" i="125"/>
  <c r="AA41" i="125"/>
  <c r="Y41" i="125"/>
  <c r="W41" i="125"/>
  <c r="U41" i="125"/>
  <c r="S41" i="125"/>
  <c r="AE40" i="125"/>
  <c r="AC40" i="125"/>
  <c r="AA40" i="125"/>
  <c r="Y40" i="125"/>
  <c r="W40" i="125"/>
  <c r="U40" i="125"/>
  <c r="S40" i="125"/>
  <c r="AE39" i="125"/>
  <c r="AC39" i="125"/>
  <c r="AA39" i="125"/>
  <c r="Y39" i="125"/>
  <c r="W39" i="125"/>
  <c r="U39" i="125"/>
  <c r="S39" i="125"/>
  <c r="AE38" i="125"/>
  <c r="AC38" i="125"/>
  <c r="AA38" i="125"/>
  <c r="Y38" i="125"/>
  <c r="W38" i="125"/>
  <c r="U38" i="125"/>
  <c r="S38" i="125"/>
  <c r="AE37" i="125"/>
  <c r="AC37" i="125"/>
  <c r="AA37" i="125"/>
  <c r="Y37" i="125"/>
  <c r="W37" i="125"/>
  <c r="U37" i="125"/>
  <c r="S37" i="125"/>
  <c r="AE36" i="125"/>
  <c r="AC36" i="125"/>
  <c r="AA36" i="125"/>
  <c r="Y36" i="125"/>
  <c r="W36" i="125"/>
  <c r="U36" i="125"/>
  <c r="S36" i="125"/>
  <c r="AE35" i="125"/>
  <c r="AC35" i="125"/>
  <c r="AA35" i="125"/>
  <c r="Y35" i="125"/>
  <c r="W35" i="125"/>
  <c r="U35" i="125"/>
  <c r="S35" i="125"/>
  <c r="D31" i="125"/>
  <c r="E31" i="125" s="1"/>
  <c r="D30" i="125"/>
  <c r="E30" i="125" s="1"/>
  <c r="D29" i="125"/>
  <c r="E29" i="125" s="1"/>
  <c r="D28" i="125"/>
  <c r="E28" i="125" s="1"/>
  <c r="D26" i="125"/>
  <c r="E26" i="125" s="1"/>
  <c r="AD25" i="125"/>
  <c r="V25" i="125"/>
  <c r="R18" i="125"/>
  <c r="R26" i="125" s="1"/>
  <c r="AD17" i="125"/>
  <c r="AB17" i="125"/>
  <c r="AB25" i="125" s="1"/>
  <c r="Z17" i="125"/>
  <c r="Z25" i="125" s="1"/>
  <c r="X17" i="125"/>
  <c r="X25" i="125" s="1"/>
  <c r="V17" i="125"/>
  <c r="T17" i="125"/>
  <c r="T25" i="125" s="1"/>
  <c r="R17" i="125"/>
  <c r="R25" i="125" s="1"/>
  <c r="AD16" i="125"/>
  <c r="AD24" i="125" s="1"/>
  <c r="AB16" i="125"/>
  <c r="AB24" i="125" s="1"/>
  <c r="Z16" i="125"/>
  <c r="X16" i="125"/>
  <c r="V16" i="125"/>
  <c r="T16" i="125"/>
  <c r="T18" i="125" s="1"/>
  <c r="T26" i="125" s="1"/>
  <c r="R16" i="125"/>
  <c r="R24" i="125" s="1"/>
  <c r="P16" i="125"/>
  <c r="O16" i="125"/>
  <c r="N16" i="125"/>
  <c r="L16" i="125"/>
  <c r="K16" i="125"/>
  <c r="J16" i="125"/>
  <c r="H16" i="125"/>
  <c r="G16" i="125"/>
  <c r="F16" i="125"/>
  <c r="O15" i="125"/>
  <c r="O17" i="125" s="1"/>
  <c r="O18" i="125" s="1"/>
  <c r="AC14" i="125"/>
  <c r="Y14" i="125"/>
  <c r="W14" i="125"/>
  <c r="Q14" i="125"/>
  <c r="U14" i="125" s="1"/>
  <c r="M14" i="125"/>
  <c r="I14" i="125"/>
  <c r="O13" i="125"/>
  <c r="C13" i="125"/>
  <c r="D27" i="125" s="1"/>
  <c r="E27" i="125" s="1"/>
  <c r="Q12" i="125"/>
  <c r="AC12" i="125" s="1"/>
  <c r="M12" i="125"/>
  <c r="I12" i="125"/>
  <c r="O11" i="125"/>
  <c r="Q10" i="125"/>
  <c r="S10" i="125" s="1"/>
  <c r="M10" i="125"/>
  <c r="I10" i="125"/>
  <c r="O9" i="125"/>
  <c r="AC8" i="125"/>
  <c r="AA8" i="125"/>
  <c r="S8" i="125"/>
  <c r="Q8" i="125"/>
  <c r="Y8" i="125" s="1"/>
  <c r="M8" i="125"/>
  <c r="I8" i="125"/>
  <c r="I16" i="125" s="1"/>
  <c r="O7" i="125"/>
  <c r="Q6" i="125"/>
  <c r="M6" i="125"/>
  <c r="I6" i="125"/>
  <c r="C3" i="125"/>
  <c r="AE64" i="124"/>
  <c r="AC64" i="124"/>
  <c r="AA64" i="124"/>
  <c r="Y64" i="124"/>
  <c r="W64" i="124"/>
  <c r="U64" i="124"/>
  <c r="S64" i="124"/>
  <c r="AE63" i="124"/>
  <c r="AC63" i="124"/>
  <c r="AA63" i="124"/>
  <c r="Y63" i="124"/>
  <c r="W63" i="124"/>
  <c r="U63" i="124"/>
  <c r="S63" i="124"/>
  <c r="AE62" i="124"/>
  <c r="AC62" i="124"/>
  <c r="AA62" i="124"/>
  <c r="Y62" i="124"/>
  <c r="W62" i="124"/>
  <c r="U62" i="124"/>
  <c r="S62" i="124"/>
  <c r="AE61" i="124"/>
  <c r="AC61" i="124"/>
  <c r="AA61" i="124"/>
  <c r="Y61" i="124"/>
  <c r="W61" i="124"/>
  <c r="U61" i="124"/>
  <c r="S61" i="124"/>
  <c r="AE60" i="124"/>
  <c r="AC60" i="124"/>
  <c r="AA60" i="124"/>
  <c r="Y60" i="124"/>
  <c r="W60" i="124"/>
  <c r="U60" i="124"/>
  <c r="S60" i="124"/>
  <c r="AE59" i="124"/>
  <c r="AC59" i="124"/>
  <c r="AA59" i="124"/>
  <c r="Y59" i="124"/>
  <c r="W59" i="124"/>
  <c r="U59" i="124"/>
  <c r="S59" i="124"/>
  <c r="AE58" i="124"/>
  <c r="AC58" i="124"/>
  <c r="AA58" i="124"/>
  <c r="Y58" i="124"/>
  <c r="W58" i="124"/>
  <c r="U58" i="124"/>
  <c r="S58" i="124"/>
  <c r="AE57" i="124"/>
  <c r="AC57" i="124"/>
  <c r="AA57" i="124"/>
  <c r="Y57" i="124"/>
  <c r="W57" i="124"/>
  <c r="U57" i="124"/>
  <c r="S57" i="124"/>
  <c r="AE56" i="124"/>
  <c r="AC56" i="124"/>
  <c r="AA56" i="124"/>
  <c r="Y56" i="124"/>
  <c r="W56" i="124"/>
  <c r="U56" i="124"/>
  <c r="S56" i="124"/>
  <c r="AE55" i="124"/>
  <c r="AC55" i="124"/>
  <c r="AA55" i="124"/>
  <c r="Y55" i="124"/>
  <c r="W55" i="124"/>
  <c r="U55" i="124"/>
  <c r="S55" i="124"/>
  <c r="AE54" i="124"/>
  <c r="AC54" i="124"/>
  <c r="AA54" i="124"/>
  <c r="Y54" i="124"/>
  <c r="W54" i="124"/>
  <c r="U54" i="124"/>
  <c r="S54" i="124"/>
  <c r="AE53" i="124"/>
  <c r="AC53" i="124"/>
  <c r="AA53" i="124"/>
  <c r="Y53" i="124"/>
  <c r="W53" i="124"/>
  <c r="U53" i="124"/>
  <c r="S53" i="124"/>
  <c r="AE52" i="124"/>
  <c r="AC52" i="124"/>
  <c r="AA52" i="124"/>
  <c r="Y52" i="124"/>
  <c r="W52" i="124"/>
  <c r="U52" i="124"/>
  <c r="S52" i="124"/>
  <c r="AE51" i="124"/>
  <c r="AC51" i="124"/>
  <c r="AA51" i="124"/>
  <c r="Y51" i="124"/>
  <c r="W51" i="124"/>
  <c r="U51" i="124"/>
  <c r="S51" i="124"/>
  <c r="AE50" i="124"/>
  <c r="AC50" i="124"/>
  <c r="AA50" i="124"/>
  <c r="Y50" i="124"/>
  <c r="W50" i="124"/>
  <c r="U50" i="124"/>
  <c r="S50" i="124"/>
  <c r="AE49" i="124"/>
  <c r="AC49" i="124"/>
  <c r="AA49" i="124"/>
  <c r="Y49" i="124"/>
  <c r="W49" i="124"/>
  <c r="U49" i="124"/>
  <c r="S49" i="124"/>
  <c r="AE48" i="124"/>
  <c r="AC48" i="124"/>
  <c r="AA48" i="124"/>
  <c r="Y48" i="124"/>
  <c r="W48" i="124"/>
  <c r="U48" i="124"/>
  <c r="S48" i="124"/>
  <c r="AE47" i="124"/>
  <c r="AC47" i="124"/>
  <c r="AA47" i="124"/>
  <c r="Y47" i="124"/>
  <c r="W47" i="124"/>
  <c r="U47" i="124"/>
  <c r="S47" i="124"/>
  <c r="AE46" i="124"/>
  <c r="AC46" i="124"/>
  <c r="AA46" i="124"/>
  <c r="Y46" i="124"/>
  <c r="W46" i="124"/>
  <c r="U46" i="124"/>
  <c r="S46" i="124"/>
  <c r="AE45" i="124"/>
  <c r="AC45" i="124"/>
  <c r="AA45" i="124"/>
  <c r="Y45" i="124"/>
  <c r="W45" i="124"/>
  <c r="U45" i="124"/>
  <c r="S45" i="124"/>
  <c r="AE44" i="124"/>
  <c r="AC44" i="124"/>
  <c r="AA44" i="124"/>
  <c r="Y44" i="124"/>
  <c r="W44" i="124"/>
  <c r="U44" i="124"/>
  <c r="S44" i="124"/>
  <c r="AE43" i="124"/>
  <c r="AC43" i="124"/>
  <c r="AA43" i="124"/>
  <c r="Y43" i="124"/>
  <c r="W43" i="124"/>
  <c r="U43" i="124"/>
  <c r="S43" i="124"/>
  <c r="AE42" i="124"/>
  <c r="AC42" i="124"/>
  <c r="AA42" i="124"/>
  <c r="Y42" i="124"/>
  <c r="W42" i="124"/>
  <c r="U42" i="124"/>
  <c r="S42" i="124"/>
  <c r="AE41" i="124"/>
  <c r="AC41" i="124"/>
  <c r="AA41" i="124"/>
  <c r="Y41" i="124"/>
  <c r="W41" i="124"/>
  <c r="U41" i="124"/>
  <c r="S41" i="124"/>
  <c r="AE40" i="124"/>
  <c r="AC40" i="124"/>
  <c r="AA40" i="124"/>
  <c r="Y40" i="124"/>
  <c r="W40" i="124"/>
  <c r="U40" i="124"/>
  <c r="S40" i="124"/>
  <c r="AE39" i="124"/>
  <c r="AC39" i="124"/>
  <c r="AA39" i="124"/>
  <c r="Y39" i="124"/>
  <c r="W39" i="124"/>
  <c r="U39" i="124"/>
  <c r="S39" i="124"/>
  <c r="AE38" i="124"/>
  <c r="AC38" i="124"/>
  <c r="AA38" i="124"/>
  <c r="Y38" i="124"/>
  <c r="W38" i="124"/>
  <c r="U38" i="124"/>
  <c r="S38" i="124"/>
  <c r="AE37" i="124"/>
  <c r="AC37" i="124"/>
  <c r="AA37" i="124"/>
  <c r="Y37" i="124"/>
  <c r="W37" i="124"/>
  <c r="U37" i="124"/>
  <c r="S37" i="124"/>
  <c r="AE36" i="124"/>
  <c r="AC36" i="124"/>
  <c r="AA36" i="124"/>
  <c r="Y36" i="124"/>
  <c r="W36" i="124"/>
  <c r="U36" i="124"/>
  <c r="S36" i="124"/>
  <c r="AE35" i="124"/>
  <c r="AC35" i="124"/>
  <c r="AA35" i="124"/>
  <c r="Y35" i="124"/>
  <c r="W35" i="124"/>
  <c r="U35" i="124"/>
  <c r="S35" i="124"/>
  <c r="D31" i="124"/>
  <c r="E31" i="124" s="1"/>
  <c r="D30" i="124"/>
  <c r="E30" i="124" s="1"/>
  <c r="D29" i="124"/>
  <c r="E29" i="124" s="1"/>
  <c r="D28" i="124"/>
  <c r="E28" i="124" s="1"/>
  <c r="D27" i="124"/>
  <c r="E27" i="124" s="1"/>
  <c r="D26" i="124"/>
  <c r="E26" i="124" s="1"/>
  <c r="Z25" i="124"/>
  <c r="V25" i="124"/>
  <c r="X24" i="124"/>
  <c r="AB18" i="124"/>
  <c r="AB26" i="124" s="1"/>
  <c r="R18" i="124"/>
  <c r="R26" i="124" s="1"/>
  <c r="AD17" i="124"/>
  <c r="AD25" i="124" s="1"/>
  <c r="AB17" i="124"/>
  <c r="AB25" i="124" s="1"/>
  <c r="Z17" i="124"/>
  <c r="X17" i="124"/>
  <c r="X25" i="124" s="1"/>
  <c r="V17" i="124"/>
  <c r="T17" i="124"/>
  <c r="T25" i="124" s="1"/>
  <c r="R17" i="124"/>
  <c r="R25" i="124" s="1"/>
  <c r="AD16" i="124"/>
  <c r="AB16" i="124"/>
  <c r="AB24" i="124" s="1"/>
  <c r="Z16" i="124"/>
  <c r="Z18" i="124" s="1"/>
  <c r="Z26" i="124" s="1"/>
  <c r="X16" i="124"/>
  <c r="V16" i="124"/>
  <c r="T16" i="124"/>
  <c r="T24" i="124" s="1"/>
  <c r="R16" i="124"/>
  <c r="R24" i="124" s="1"/>
  <c r="P16" i="124"/>
  <c r="O16" i="124"/>
  <c r="N16" i="124"/>
  <c r="L16" i="124"/>
  <c r="K16" i="124"/>
  <c r="J16" i="124"/>
  <c r="H16" i="124"/>
  <c r="G16" i="124"/>
  <c r="F16" i="124"/>
  <c r="O15" i="124"/>
  <c r="Q14" i="124"/>
  <c r="M14" i="124"/>
  <c r="I14" i="124"/>
  <c r="O13" i="124"/>
  <c r="AE12" i="124"/>
  <c r="AC12" i="124"/>
  <c r="Y12" i="124"/>
  <c r="U12" i="124"/>
  <c r="Q12" i="124"/>
  <c r="W12" i="124" s="1"/>
  <c r="M12" i="124"/>
  <c r="I12" i="124"/>
  <c r="O11" i="124"/>
  <c r="Q10" i="124"/>
  <c r="AC10" i="124" s="1"/>
  <c r="M10" i="124"/>
  <c r="I10" i="124"/>
  <c r="O9" i="124"/>
  <c r="Q8" i="124"/>
  <c r="S8" i="124" s="1"/>
  <c r="M8" i="124"/>
  <c r="I8" i="124"/>
  <c r="O7" i="124"/>
  <c r="Q6" i="124"/>
  <c r="Y6" i="124" s="1"/>
  <c r="M6" i="124"/>
  <c r="I6" i="124"/>
  <c r="I16" i="124" s="1"/>
  <c r="C3" i="124"/>
  <c r="AE64" i="123"/>
  <c r="AC64" i="123"/>
  <c r="AA64" i="123"/>
  <c r="Y64" i="123"/>
  <c r="W64" i="123"/>
  <c r="U64" i="123"/>
  <c r="S64" i="123"/>
  <c r="AE63" i="123"/>
  <c r="AC63" i="123"/>
  <c r="AA63" i="123"/>
  <c r="Y63" i="123"/>
  <c r="W63" i="123"/>
  <c r="U63" i="123"/>
  <c r="S63" i="123"/>
  <c r="AE62" i="123"/>
  <c r="AC62" i="123"/>
  <c r="AA62" i="123"/>
  <c r="Y62" i="123"/>
  <c r="W62" i="123"/>
  <c r="U62" i="123"/>
  <c r="S62" i="123"/>
  <c r="AE61" i="123"/>
  <c r="AC61" i="123"/>
  <c r="AA61" i="123"/>
  <c r="Y61" i="123"/>
  <c r="W61" i="123"/>
  <c r="U61" i="123"/>
  <c r="S61" i="123"/>
  <c r="AE60" i="123"/>
  <c r="AC60" i="123"/>
  <c r="AA60" i="123"/>
  <c r="Y60" i="123"/>
  <c r="W60" i="123"/>
  <c r="U60" i="123"/>
  <c r="S60" i="123"/>
  <c r="AE59" i="123"/>
  <c r="AC59" i="123"/>
  <c r="AA59" i="123"/>
  <c r="Y59" i="123"/>
  <c r="W59" i="123"/>
  <c r="U59" i="123"/>
  <c r="S59" i="123"/>
  <c r="AE58" i="123"/>
  <c r="AC58" i="123"/>
  <c r="AA58" i="123"/>
  <c r="Y58" i="123"/>
  <c r="W58" i="123"/>
  <c r="U58" i="123"/>
  <c r="S58" i="123"/>
  <c r="AE57" i="123"/>
  <c r="AC57" i="123"/>
  <c r="AA57" i="123"/>
  <c r="Y57" i="123"/>
  <c r="W57" i="123"/>
  <c r="U57" i="123"/>
  <c r="S57" i="123"/>
  <c r="AE56" i="123"/>
  <c r="AC56" i="123"/>
  <c r="AA56" i="123"/>
  <c r="Y56" i="123"/>
  <c r="W56" i="123"/>
  <c r="U56" i="123"/>
  <c r="S56" i="123"/>
  <c r="AE55" i="123"/>
  <c r="AC55" i="123"/>
  <c r="AA55" i="123"/>
  <c r="Y55" i="123"/>
  <c r="W55" i="123"/>
  <c r="U55" i="123"/>
  <c r="S55" i="123"/>
  <c r="AE54" i="123"/>
  <c r="AC54" i="123"/>
  <c r="AA54" i="123"/>
  <c r="Y54" i="123"/>
  <c r="W54" i="123"/>
  <c r="U54" i="123"/>
  <c r="S54" i="123"/>
  <c r="AE53" i="123"/>
  <c r="AC53" i="123"/>
  <c r="AA53" i="123"/>
  <c r="Y53" i="123"/>
  <c r="W53" i="123"/>
  <c r="U53" i="123"/>
  <c r="S53" i="123"/>
  <c r="AE52" i="123"/>
  <c r="AC52" i="123"/>
  <c r="AA52" i="123"/>
  <c r="Y52" i="123"/>
  <c r="W52" i="123"/>
  <c r="U52" i="123"/>
  <c r="S52" i="123"/>
  <c r="AE51" i="123"/>
  <c r="AC51" i="123"/>
  <c r="AA51" i="123"/>
  <c r="Y51" i="123"/>
  <c r="W51" i="123"/>
  <c r="U51" i="123"/>
  <c r="S51" i="123"/>
  <c r="AE50" i="123"/>
  <c r="AC50" i="123"/>
  <c r="AA50" i="123"/>
  <c r="Y50" i="123"/>
  <c r="W50" i="123"/>
  <c r="U50" i="123"/>
  <c r="S50" i="123"/>
  <c r="AE49" i="123"/>
  <c r="AC49" i="123"/>
  <c r="AA49" i="123"/>
  <c r="Y49" i="123"/>
  <c r="W49" i="123"/>
  <c r="U49" i="123"/>
  <c r="S49" i="123"/>
  <c r="AE48" i="123"/>
  <c r="AC48" i="123"/>
  <c r="AA48" i="123"/>
  <c r="Y48" i="123"/>
  <c r="W48" i="123"/>
  <c r="U48" i="123"/>
  <c r="S48" i="123"/>
  <c r="AE47" i="123"/>
  <c r="AC47" i="123"/>
  <c r="AA47" i="123"/>
  <c r="Y47" i="123"/>
  <c r="W47" i="123"/>
  <c r="U47" i="123"/>
  <c r="S47" i="123"/>
  <c r="AE46" i="123"/>
  <c r="AC46" i="123"/>
  <c r="AA46" i="123"/>
  <c r="Y46" i="123"/>
  <c r="W46" i="123"/>
  <c r="U46" i="123"/>
  <c r="S46" i="123"/>
  <c r="AE45" i="123"/>
  <c r="AC45" i="123"/>
  <c r="AA45" i="123"/>
  <c r="Y45" i="123"/>
  <c r="W45" i="123"/>
  <c r="U45" i="123"/>
  <c r="S45" i="123"/>
  <c r="AE44" i="123"/>
  <c r="AC44" i="123"/>
  <c r="AA44" i="123"/>
  <c r="Y44" i="123"/>
  <c r="W44" i="123"/>
  <c r="U44" i="123"/>
  <c r="S44" i="123"/>
  <c r="AE43" i="123"/>
  <c r="AC43" i="123"/>
  <c r="AA43" i="123"/>
  <c r="Y43" i="123"/>
  <c r="W43" i="123"/>
  <c r="U43" i="123"/>
  <c r="S43" i="123"/>
  <c r="AE42" i="123"/>
  <c r="AC42" i="123"/>
  <c r="AA42" i="123"/>
  <c r="Y42" i="123"/>
  <c r="W42" i="123"/>
  <c r="U42" i="123"/>
  <c r="S42" i="123"/>
  <c r="AE41" i="123"/>
  <c r="AC41" i="123"/>
  <c r="AA41" i="123"/>
  <c r="Y41" i="123"/>
  <c r="W41" i="123"/>
  <c r="U41" i="123"/>
  <c r="S41" i="123"/>
  <c r="AE40" i="123"/>
  <c r="AC40" i="123"/>
  <c r="AA40" i="123"/>
  <c r="Y40" i="123"/>
  <c r="W40" i="123"/>
  <c r="U40" i="123"/>
  <c r="S40" i="123"/>
  <c r="AE39" i="123"/>
  <c r="AC39" i="123"/>
  <c r="AA39" i="123"/>
  <c r="Y39" i="123"/>
  <c r="W39" i="123"/>
  <c r="U39" i="123"/>
  <c r="S39" i="123"/>
  <c r="AE38" i="123"/>
  <c r="AC38" i="123"/>
  <c r="AA38" i="123"/>
  <c r="Y38" i="123"/>
  <c r="W38" i="123"/>
  <c r="U38" i="123"/>
  <c r="S38" i="123"/>
  <c r="AE37" i="123"/>
  <c r="AC37" i="123"/>
  <c r="AA37" i="123"/>
  <c r="Y37" i="123"/>
  <c r="W37" i="123"/>
  <c r="U37" i="123"/>
  <c r="S37" i="123"/>
  <c r="AE36" i="123"/>
  <c r="AC36" i="123"/>
  <c r="AA36" i="123"/>
  <c r="Y36" i="123"/>
  <c r="W36" i="123"/>
  <c r="U36" i="123"/>
  <c r="S36" i="123"/>
  <c r="AE35" i="123"/>
  <c r="AC35" i="123"/>
  <c r="AA35" i="123"/>
  <c r="Y35" i="123"/>
  <c r="W35" i="123"/>
  <c r="U35" i="123"/>
  <c r="S35" i="123"/>
  <c r="D31" i="123"/>
  <c r="E31" i="123" s="1"/>
  <c r="E30" i="123"/>
  <c r="D30" i="123"/>
  <c r="D29" i="123"/>
  <c r="E29" i="123" s="1"/>
  <c r="E28" i="123"/>
  <c r="D28" i="123"/>
  <c r="E27" i="123"/>
  <c r="D27" i="123"/>
  <c r="D26" i="123"/>
  <c r="E26" i="123" s="1"/>
  <c r="Z25" i="123"/>
  <c r="X25" i="123"/>
  <c r="X24" i="123"/>
  <c r="T24" i="123"/>
  <c r="X18" i="123"/>
  <c r="X26" i="123" s="1"/>
  <c r="AD17" i="123"/>
  <c r="AD25" i="123" s="1"/>
  <c r="AB17" i="123"/>
  <c r="AB25" i="123" s="1"/>
  <c r="Z17" i="123"/>
  <c r="X17" i="123"/>
  <c r="V17" i="123"/>
  <c r="V25" i="123" s="1"/>
  <c r="T17" i="123"/>
  <c r="T25" i="123" s="1"/>
  <c r="R17" i="123"/>
  <c r="R25" i="123" s="1"/>
  <c r="AD16" i="123"/>
  <c r="AD24" i="123" s="1"/>
  <c r="AB16" i="123"/>
  <c r="AB24" i="123" s="1"/>
  <c r="Z16" i="123"/>
  <c r="X16" i="123"/>
  <c r="V16" i="123"/>
  <c r="V24" i="123" s="1"/>
  <c r="T16" i="123"/>
  <c r="R16" i="123"/>
  <c r="P16" i="123"/>
  <c r="O16" i="123"/>
  <c r="N16" i="123"/>
  <c r="L16" i="123"/>
  <c r="K16" i="123"/>
  <c r="J16" i="123"/>
  <c r="H16" i="123"/>
  <c r="G16" i="123"/>
  <c r="F16" i="123"/>
  <c r="O15" i="123"/>
  <c r="AC14" i="123"/>
  <c r="AA14" i="123"/>
  <c r="Q14" i="123"/>
  <c r="Y14" i="123" s="1"/>
  <c r="M14" i="123"/>
  <c r="I14" i="123"/>
  <c r="O13" i="123"/>
  <c r="Q12" i="123"/>
  <c r="M12" i="123"/>
  <c r="I12" i="123"/>
  <c r="O11" i="123"/>
  <c r="Q10" i="123"/>
  <c r="U10" i="123" s="1"/>
  <c r="M10" i="123"/>
  <c r="I10" i="123"/>
  <c r="O9" i="123"/>
  <c r="AE8" i="123"/>
  <c r="AA8" i="123"/>
  <c r="Y8" i="123"/>
  <c r="W8" i="123"/>
  <c r="S8" i="123"/>
  <c r="Q8" i="123"/>
  <c r="U8" i="123" s="1"/>
  <c r="M8" i="123"/>
  <c r="I8" i="123"/>
  <c r="O7" i="123"/>
  <c r="AC6" i="123"/>
  <c r="Y6" i="123"/>
  <c r="U6" i="123"/>
  <c r="S6" i="123"/>
  <c r="Q6" i="123"/>
  <c r="M6" i="123"/>
  <c r="I6" i="123"/>
  <c r="I16" i="123" s="1"/>
  <c r="C3" i="123"/>
  <c r="AE64" i="122"/>
  <c r="AC64" i="122"/>
  <c r="AA64" i="122"/>
  <c r="Y64" i="122"/>
  <c r="W64" i="122"/>
  <c r="U64" i="122"/>
  <c r="S64" i="122"/>
  <c r="AE63" i="122"/>
  <c r="AC63" i="122"/>
  <c r="AA63" i="122"/>
  <c r="Y63" i="122"/>
  <c r="W63" i="122"/>
  <c r="U63" i="122"/>
  <c r="S63" i="122"/>
  <c r="AE62" i="122"/>
  <c r="AC62" i="122"/>
  <c r="AA62" i="122"/>
  <c r="Y62" i="122"/>
  <c r="W62" i="122"/>
  <c r="U62" i="122"/>
  <c r="S62" i="122"/>
  <c r="AE61" i="122"/>
  <c r="AC61" i="122"/>
  <c r="AA61" i="122"/>
  <c r="Y61" i="122"/>
  <c r="W61" i="122"/>
  <c r="U61" i="122"/>
  <c r="S61" i="122"/>
  <c r="AE60" i="122"/>
  <c r="AC60" i="122"/>
  <c r="AA60" i="122"/>
  <c r="Y60" i="122"/>
  <c r="W60" i="122"/>
  <c r="U60" i="122"/>
  <c r="S60" i="122"/>
  <c r="AE59" i="122"/>
  <c r="AC59" i="122"/>
  <c r="AA59" i="122"/>
  <c r="Y59" i="122"/>
  <c r="W59" i="122"/>
  <c r="U59" i="122"/>
  <c r="S59" i="122"/>
  <c r="AE58" i="122"/>
  <c r="AC58" i="122"/>
  <c r="AA58" i="122"/>
  <c r="Y58" i="122"/>
  <c r="W58" i="122"/>
  <c r="U58" i="122"/>
  <c r="S58" i="122"/>
  <c r="AE57" i="122"/>
  <c r="AC57" i="122"/>
  <c r="AA57" i="122"/>
  <c r="Y57" i="122"/>
  <c r="W57" i="122"/>
  <c r="U57" i="122"/>
  <c r="S57" i="122"/>
  <c r="AE56" i="122"/>
  <c r="AC56" i="122"/>
  <c r="AA56" i="122"/>
  <c r="Y56" i="122"/>
  <c r="W56" i="122"/>
  <c r="U56" i="122"/>
  <c r="S56" i="122"/>
  <c r="AE55" i="122"/>
  <c r="AC55" i="122"/>
  <c r="AA55" i="122"/>
  <c r="Y55" i="122"/>
  <c r="W55" i="122"/>
  <c r="U55" i="122"/>
  <c r="S55" i="122"/>
  <c r="AE54" i="122"/>
  <c r="AC54" i="122"/>
  <c r="AA54" i="122"/>
  <c r="Y54" i="122"/>
  <c r="W54" i="122"/>
  <c r="U54" i="122"/>
  <c r="S54" i="122"/>
  <c r="AE53" i="122"/>
  <c r="AC53" i="122"/>
  <c r="AA53" i="122"/>
  <c r="Y53" i="122"/>
  <c r="W53" i="122"/>
  <c r="U53" i="122"/>
  <c r="S53" i="122"/>
  <c r="AE52" i="122"/>
  <c r="AC52" i="122"/>
  <c r="AA52" i="122"/>
  <c r="Y52" i="122"/>
  <c r="W52" i="122"/>
  <c r="U52" i="122"/>
  <c r="S52" i="122"/>
  <c r="AE51" i="122"/>
  <c r="AC51" i="122"/>
  <c r="AA51" i="122"/>
  <c r="Y51" i="122"/>
  <c r="W51" i="122"/>
  <c r="U51" i="122"/>
  <c r="S51" i="122"/>
  <c r="AE50" i="122"/>
  <c r="AC50" i="122"/>
  <c r="AA50" i="122"/>
  <c r="Y50" i="122"/>
  <c r="W50" i="122"/>
  <c r="U50" i="122"/>
  <c r="S50" i="122"/>
  <c r="AE49" i="122"/>
  <c r="AC49" i="122"/>
  <c r="AA49" i="122"/>
  <c r="Y49" i="122"/>
  <c r="W49" i="122"/>
  <c r="U49" i="122"/>
  <c r="S49" i="122"/>
  <c r="AE48" i="122"/>
  <c r="AC48" i="122"/>
  <c r="AA48" i="122"/>
  <c r="Y48" i="122"/>
  <c r="W48" i="122"/>
  <c r="U48" i="122"/>
  <c r="S48" i="122"/>
  <c r="AE47" i="122"/>
  <c r="AC47" i="122"/>
  <c r="AA47" i="122"/>
  <c r="Y47" i="122"/>
  <c r="W47" i="122"/>
  <c r="U47" i="122"/>
  <c r="S47" i="122"/>
  <c r="AE46" i="122"/>
  <c r="AC46" i="122"/>
  <c r="AA46" i="122"/>
  <c r="Y46" i="122"/>
  <c r="W46" i="122"/>
  <c r="U46" i="122"/>
  <c r="S46" i="122"/>
  <c r="AE45" i="122"/>
  <c r="AC45" i="122"/>
  <c r="AA45" i="122"/>
  <c r="Y45" i="122"/>
  <c r="W45" i="122"/>
  <c r="U45" i="122"/>
  <c r="S45" i="122"/>
  <c r="AE44" i="122"/>
  <c r="AC44" i="122"/>
  <c r="AA44" i="122"/>
  <c r="Y44" i="122"/>
  <c r="W44" i="122"/>
  <c r="U44" i="122"/>
  <c r="S44" i="122"/>
  <c r="AE43" i="122"/>
  <c r="AC43" i="122"/>
  <c r="AA43" i="122"/>
  <c r="Y43" i="122"/>
  <c r="W43" i="122"/>
  <c r="U43" i="122"/>
  <c r="S43" i="122"/>
  <c r="AE42" i="122"/>
  <c r="AC42" i="122"/>
  <c r="AA42" i="122"/>
  <c r="Y42" i="122"/>
  <c r="W42" i="122"/>
  <c r="U42" i="122"/>
  <c r="S42" i="122"/>
  <c r="AE41" i="122"/>
  <c r="AC41" i="122"/>
  <c r="AA41" i="122"/>
  <c r="Y41" i="122"/>
  <c r="W41" i="122"/>
  <c r="U41" i="122"/>
  <c r="S41" i="122"/>
  <c r="AE40" i="122"/>
  <c r="AC40" i="122"/>
  <c r="AA40" i="122"/>
  <c r="Y40" i="122"/>
  <c r="W40" i="122"/>
  <c r="U40" i="122"/>
  <c r="S40" i="122"/>
  <c r="AE39" i="122"/>
  <c r="AC39" i="122"/>
  <c r="AA39" i="122"/>
  <c r="Y39" i="122"/>
  <c r="W39" i="122"/>
  <c r="U39" i="122"/>
  <c r="S39" i="122"/>
  <c r="AE38" i="122"/>
  <c r="AC38" i="122"/>
  <c r="AA38" i="122"/>
  <c r="Y38" i="122"/>
  <c r="W38" i="122"/>
  <c r="U38" i="122"/>
  <c r="S38" i="122"/>
  <c r="AE37" i="122"/>
  <c r="AC37" i="122"/>
  <c r="AA37" i="122"/>
  <c r="Y37" i="122"/>
  <c r="W37" i="122"/>
  <c r="U37" i="122"/>
  <c r="S37" i="122"/>
  <c r="AE36" i="122"/>
  <c r="AC36" i="122"/>
  <c r="AA36" i="122"/>
  <c r="Y36" i="122"/>
  <c r="W36" i="122"/>
  <c r="U36" i="122"/>
  <c r="S36" i="122"/>
  <c r="AE35" i="122"/>
  <c r="AC35" i="122"/>
  <c r="AA35" i="122"/>
  <c r="Y35" i="122"/>
  <c r="W35" i="122"/>
  <c r="U35" i="122"/>
  <c r="S35" i="122"/>
  <c r="D31" i="122"/>
  <c r="E31" i="122" s="1"/>
  <c r="E30" i="122"/>
  <c r="D30" i="122"/>
  <c r="D29" i="122"/>
  <c r="E29" i="122" s="1"/>
  <c r="D28" i="122"/>
  <c r="E28" i="122" s="1"/>
  <c r="D27" i="122"/>
  <c r="E27" i="122" s="1"/>
  <c r="D26" i="122"/>
  <c r="E26" i="122" s="1"/>
  <c r="X25" i="122"/>
  <c r="R25" i="122"/>
  <c r="Z24" i="122"/>
  <c r="AD18" i="122"/>
  <c r="AD26" i="122" s="1"/>
  <c r="Z18" i="122"/>
  <c r="Z26" i="122" s="1"/>
  <c r="X18" i="122"/>
  <c r="X26" i="122" s="1"/>
  <c r="AD17" i="122"/>
  <c r="AD25" i="122" s="1"/>
  <c r="AB17" i="122"/>
  <c r="AB25" i="122" s="1"/>
  <c r="Z17" i="122"/>
  <c r="Z25" i="122" s="1"/>
  <c r="X17" i="122"/>
  <c r="V17" i="122"/>
  <c r="V25" i="122" s="1"/>
  <c r="T17" i="122"/>
  <c r="T25" i="122" s="1"/>
  <c r="R17" i="122"/>
  <c r="AD16" i="122"/>
  <c r="AB16" i="122"/>
  <c r="AB24" i="122" s="1"/>
  <c r="AA16" i="122"/>
  <c r="Z16" i="122"/>
  <c r="X16" i="122"/>
  <c r="V16" i="122"/>
  <c r="T16" i="122"/>
  <c r="T24" i="122" s="1"/>
  <c r="R16" i="122"/>
  <c r="R18" i="122" s="1"/>
  <c r="R26" i="122" s="1"/>
  <c r="P16" i="122"/>
  <c r="O16" i="122"/>
  <c r="N16" i="122"/>
  <c r="L16" i="122"/>
  <c r="K16" i="122"/>
  <c r="J16" i="122"/>
  <c r="H16" i="122"/>
  <c r="G16" i="122"/>
  <c r="F16" i="122"/>
  <c r="O15" i="122"/>
  <c r="AE14" i="122"/>
  <c r="AC14" i="122"/>
  <c r="AA14" i="122"/>
  <c r="Y14" i="122"/>
  <c r="W14" i="122"/>
  <c r="U14" i="122"/>
  <c r="S14" i="122"/>
  <c r="Q14" i="122"/>
  <c r="M14" i="122"/>
  <c r="I14" i="122"/>
  <c r="O13" i="122"/>
  <c r="AE12" i="122"/>
  <c r="AC12" i="122"/>
  <c r="AA12" i="122"/>
  <c r="Y12" i="122"/>
  <c r="W12" i="122"/>
  <c r="U12" i="122"/>
  <c r="S12" i="122"/>
  <c r="Q12" i="122"/>
  <c r="M12" i="122"/>
  <c r="I12" i="122"/>
  <c r="O11" i="122"/>
  <c r="AE10" i="122"/>
  <c r="AC10" i="122"/>
  <c r="AA10" i="122"/>
  <c r="Y10" i="122"/>
  <c r="W10" i="122"/>
  <c r="U10" i="122"/>
  <c r="S10" i="122"/>
  <c r="Q10" i="122"/>
  <c r="M10" i="122"/>
  <c r="I10" i="122"/>
  <c r="O9" i="122"/>
  <c r="AE8" i="122"/>
  <c r="AC8" i="122"/>
  <c r="AA8" i="122"/>
  <c r="Y8" i="122"/>
  <c r="W8" i="122"/>
  <c r="U8" i="122"/>
  <c r="S8" i="122"/>
  <c r="Q8" i="122"/>
  <c r="M8" i="122"/>
  <c r="I8" i="122"/>
  <c r="O7" i="122"/>
  <c r="AE6" i="122"/>
  <c r="AC6" i="122"/>
  <c r="AA6" i="122"/>
  <c r="Y6" i="122"/>
  <c r="W6" i="122"/>
  <c r="U6" i="122"/>
  <c r="S6" i="122"/>
  <c r="Q6" i="122"/>
  <c r="M6" i="122"/>
  <c r="I6" i="122"/>
  <c r="C3" i="122"/>
  <c r="AE64" i="121"/>
  <c r="AC64" i="121"/>
  <c r="AA64" i="121"/>
  <c r="Y64" i="121"/>
  <c r="W64" i="121"/>
  <c r="U64" i="121"/>
  <c r="S64" i="121"/>
  <c r="AE63" i="121"/>
  <c r="AC63" i="121"/>
  <c r="AA63" i="121"/>
  <c r="Y63" i="121"/>
  <c r="W63" i="121"/>
  <c r="U63" i="121"/>
  <c r="S63" i="121"/>
  <c r="AE62" i="121"/>
  <c r="AC62" i="121"/>
  <c r="AA62" i="121"/>
  <c r="Y62" i="121"/>
  <c r="W62" i="121"/>
  <c r="U62" i="121"/>
  <c r="S62" i="121"/>
  <c r="AE61" i="121"/>
  <c r="AC61" i="121"/>
  <c r="AA61" i="121"/>
  <c r="Y61" i="121"/>
  <c r="W61" i="121"/>
  <c r="U61" i="121"/>
  <c r="S61" i="121"/>
  <c r="AE60" i="121"/>
  <c r="AC60" i="121"/>
  <c r="AA60" i="121"/>
  <c r="Y60" i="121"/>
  <c r="W60" i="121"/>
  <c r="U60" i="121"/>
  <c r="S60" i="121"/>
  <c r="AE59" i="121"/>
  <c r="AC59" i="121"/>
  <c r="AA59" i="121"/>
  <c r="Y59" i="121"/>
  <c r="W59" i="121"/>
  <c r="U59" i="121"/>
  <c r="S59" i="121"/>
  <c r="AE58" i="121"/>
  <c r="AC58" i="121"/>
  <c r="AA58" i="121"/>
  <c r="Y58" i="121"/>
  <c r="W58" i="121"/>
  <c r="U58" i="121"/>
  <c r="S58" i="121"/>
  <c r="AE57" i="121"/>
  <c r="AC57" i="121"/>
  <c r="AA57" i="121"/>
  <c r="Y57" i="121"/>
  <c r="W57" i="121"/>
  <c r="U57" i="121"/>
  <c r="S57" i="121"/>
  <c r="AE56" i="121"/>
  <c r="AC56" i="121"/>
  <c r="AA56" i="121"/>
  <c r="Y56" i="121"/>
  <c r="W56" i="121"/>
  <c r="U56" i="121"/>
  <c r="S56" i="121"/>
  <c r="AE55" i="121"/>
  <c r="AC55" i="121"/>
  <c r="AA55" i="121"/>
  <c r="Y55" i="121"/>
  <c r="W55" i="121"/>
  <c r="U55" i="121"/>
  <c r="S55" i="121"/>
  <c r="AE54" i="121"/>
  <c r="AC54" i="121"/>
  <c r="AA54" i="121"/>
  <c r="Y54" i="121"/>
  <c r="W54" i="121"/>
  <c r="U54" i="121"/>
  <c r="S54" i="121"/>
  <c r="AE53" i="121"/>
  <c r="AC53" i="121"/>
  <c r="AA53" i="121"/>
  <c r="Y53" i="121"/>
  <c r="W53" i="121"/>
  <c r="U53" i="121"/>
  <c r="S53" i="121"/>
  <c r="AE52" i="121"/>
  <c r="AC52" i="121"/>
  <c r="AA52" i="121"/>
  <c r="Y52" i="121"/>
  <c r="W52" i="121"/>
  <c r="U52" i="121"/>
  <c r="S52" i="121"/>
  <c r="AE51" i="121"/>
  <c r="AC51" i="121"/>
  <c r="AA51" i="121"/>
  <c r="Y51" i="121"/>
  <c r="W51" i="121"/>
  <c r="U51" i="121"/>
  <c r="S51" i="121"/>
  <c r="AE50" i="121"/>
  <c r="AC50" i="121"/>
  <c r="AA50" i="121"/>
  <c r="Y50" i="121"/>
  <c r="W50" i="121"/>
  <c r="U50" i="121"/>
  <c r="S50" i="121"/>
  <c r="AE49" i="121"/>
  <c r="AC49" i="121"/>
  <c r="AA49" i="121"/>
  <c r="Y49" i="121"/>
  <c r="W49" i="121"/>
  <c r="U49" i="121"/>
  <c r="S49" i="121"/>
  <c r="AE48" i="121"/>
  <c r="AC48" i="121"/>
  <c r="AA48" i="121"/>
  <c r="Y48" i="121"/>
  <c r="W48" i="121"/>
  <c r="U48" i="121"/>
  <c r="S48" i="121"/>
  <c r="AE47" i="121"/>
  <c r="AC47" i="121"/>
  <c r="AA47" i="121"/>
  <c r="Y47" i="121"/>
  <c r="W47" i="121"/>
  <c r="U47" i="121"/>
  <c r="S47" i="121"/>
  <c r="AE46" i="121"/>
  <c r="AC46" i="121"/>
  <c r="AA46" i="121"/>
  <c r="Y46" i="121"/>
  <c r="W46" i="121"/>
  <c r="U46" i="121"/>
  <c r="S46" i="121"/>
  <c r="AE45" i="121"/>
  <c r="AC45" i="121"/>
  <c r="AA45" i="121"/>
  <c r="Y45" i="121"/>
  <c r="W45" i="121"/>
  <c r="U45" i="121"/>
  <c r="S45" i="121"/>
  <c r="AE44" i="121"/>
  <c r="AC44" i="121"/>
  <c r="AA44" i="121"/>
  <c r="Y44" i="121"/>
  <c r="W44" i="121"/>
  <c r="U44" i="121"/>
  <c r="S44" i="121"/>
  <c r="AE43" i="121"/>
  <c r="AC43" i="121"/>
  <c r="AA43" i="121"/>
  <c r="Y43" i="121"/>
  <c r="W43" i="121"/>
  <c r="U43" i="121"/>
  <c r="S43" i="121"/>
  <c r="AE42" i="121"/>
  <c r="AC42" i="121"/>
  <c r="AA42" i="121"/>
  <c r="Y42" i="121"/>
  <c r="W42" i="121"/>
  <c r="U42" i="121"/>
  <c r="S42" i="121"/>
  <c r="AE41" i="121"/>
  <c r="AC41" i="121"/>
  <c r="AA41" i="121"/>
  <c r="Y41" i="121"/>
  <c r="W41" i="121"/>
  <c r="U41" i="121"/>
  <c r="S41" i="121"/>
  <c r="AE40" i="121"/>
  <c r="AC40" i="121"/>
  <c r="AA40" i="121"/>
  <c r="Y40" i="121"/>
  <c r="W40" i="121"/>
  <c r="U40" i="121"/>
  <c r="S40" i="121"/>
  <c r="AE39" i="121"/>
  <c r="AC39" i="121"/>
  <c r="AA39" i="121"/>
  <c r="Y39" i="121"/>
  <c r="W39" i="121"/>
  <c r="U39" i="121"/>
  <c r="S39" i="121"/>
  <c r="AE38" i="121"/>
  <c r="AC38" i="121"/>
  <c r="AA38" i="121"/>
  <c r="Y38" i="121"/>
  <c r="W38" i="121"/>
  <c r="U38" i="121"/>
  <c r="S38" i="121"/>
  <c r="AE37" i="121"/>
  <c r="AC37" i="121"/>
  <c r="AA37" i="121"/>
  <c r="Y37" i="121"/>
  <c r="W37" i="121"/>
  <c r="U37" i="121"/>
  <c r="S37" i="121"/>
  <c r="AE36" i="121"/>
  <c r="AC36" i="121"/>
  <c r="AA36" i="121"/>
  <c r="Y36" i="121"/>
  <c r="W36" i="121"/>
  <c r="U36" i="121"/>
  <c r="S36" i="121"/>
  <c r="AE35" i="121"/>
  <c r="AC35" i="121"/>
  <c r="AA35" i="121"/>
  <c r="Y35" i="121"/>
  <c r="W35" i="121"/>
  <c r="U35" i="121"/>
  <c r="S35" i="121"/>
  <c r="D31" i="121"/>
  <c r="E31" i="121" s="1"/>
  <c r="D30" i="121"/>
  <c r="E30" i="121" s="1"/>
  <c r="D29" i="121"/>
  <c r="E29" i="121" s="1"/>
  <c r="D28" i="121"/>
  <c r="E28" i="121" s="1"/>
  <c r="E27" i="121"/>
  <c r="D27" i="121"/>
  <c r="D26" i="121"/>
  <c r="E26" i="121" s="1"/>
  <c r="Z25" i="121"/>
  <c r="X25" i="121"/>
  <c r="Z24" i="121"/>
  <c r="X24" i="121"/>
  <c r="AB18" i="121"/>
  <c r="AB26" i="121" s="1"/>
  <c r="AD17" i="121"/>
  <c r="AD25" i="121" s="1"/>
  <c r="AB17" i="121"/>
  <c r="AB25" i="121" s="1"/>
  <c r="Z17" i="121"/>
  <c r="X17" i="121"/>
  <c r="V17" i="121"/>
  <c r="V25" i="121" s="1"/>
  <c r="T17" i="121"/>
  <c r="T25" i="121" s="1"/>
  <c r="R17" i="121"/>
  <c r="R25" i="121" s="1"/>
  <c r="AD16" i="121"/>
  <c r="AD18" i="121" s="1"/>
  <c r="AD26" i="121" s="1"/>
  <c r="AC16" i="121"/>
  <c r="AB16" i="121"/>
  <c r="AB24" i="121" s="1"/>
  <c r="Z16" i="121"/>
  <c r="Z18" i="121" s="1"/>
  <c r="Z26" i="121" s="1"/>
  <c r="X16" i="121"/>
  <c r="X18" i="121" s="1"/>
  <c r="X26" i="121" s="1"/>
  <c r="V16" i="121"/>
  <c r="V18" i="121" s="1"/>
  <c r="V26" i="121" s="1"/>
  <c r="U16" i="121"/>
  <c r="T16" i="121"/>
  <c r="T24" i="121" s="1"/>
  <c r="R16" i="121"/>
  <c r="S16" i="121" s="1"/>
  <c r="P16" i="121"/>
  <c r="O16" i="121"/>
  <c r="N16" i="121"/>
  <c r="L16" i="121"/>
  <c r="K16" i="121"/>
  <c r="J16" i="121"/>
  <c r="H16" i="121"/>
  <c r="G16" i="121"/>
  <c r="F16" i="121"/>
  <c r="O15" i="121"/>
  <c r="AE14" i="121"/>
  <c r="AC14" i="121"/>
  <c r="AA14" i="121"/>
  <c r="Y14" i="121"/>
  <c r="W14" i="121"/>
  <c r="U14" i="121"/>
  <c r="S14" i="121"/>
  <c r="Q14" i="121"/>
  <c r="M14" i="121"/>
  <c r="I14" i="121"/>
  <c r="O13" i="121"/>
  <c r="AE12" i="121"/>
  <c r="AC12" i="121"/>
  <c r="AA12" i="121"/>
  <c r="Y12" i="121"/>
  <c r="W12" i="121"/>
  <c r="U12" i="121"/>
  <c r="S12" i="121"/>
  <c r="Q12" i="121"/>
  <c r="M12" i="121"/>
  <c r="I12" i="121"/>
  <c r="O11" i="121"/>
  <c r="AE10" i="121"/>
  <c r="AC10" i="121"/>
  <c r="AA10" i="121"/>
  <c r="Y10" i="121"/>
  <c r="W10" i="121"/>
  <c r="U10" i="121"/>
  <c r="S10" i="121"/>
  <c r="Q10" i="121"/>
  <c r="M10" i="121"/>
  <c r="I10" i="121"/>
  <c r="O9" i="121"/>
  <c r="AE8" i="121"/>
  <c r="AC8" i="121"/>
  <c r="AA8" i="121"/>
  <c r="Y8" i="121"/>
  <c r="W8" i="121"/>
  <c r="U8" i="121"/>
  <c r="S8" i="121"/>
  <c r="Q8" i="121"/>
  <c r="M8" i="121"/>
  <c r="M16" i="121" s="1"/>
  <c r="I8" i="121"/>
  <c r="O7" i="121"/>
  <c r="AE6" i="121"/>
  <c r="AC6" i="121"/>
  <c r="AA6" i="121"/>
  <c r="Y6" i="121"/>
  <c r="W6" i="121"/>
  <c r="U6" i="121"/>
  <c r="S6" i="121"/>
  <c r="Q6" i="121"/>
  <c r="M6" i="121"/>
  <c r="I6" i="121"/>
  <c r="C3" i="121"/>
  <c r="AE64" i="120"/>
  <c r="AC64" i="120"/>
  <c r="AA64" i="120"/>
  <c r="Y64" i="120"/>
  <c r="W64" i="120"/>
  <c r="U64" i="120"/>
  <c r="S64" i="120"/>
  <c r="AE63" i="120"/>
  <c r="AC63" i="120"/>
  <c r="AA63" i="120"/>
  <c r="Y63" i="120"/>
  <c r="W63" i="120"/>
  <c r="U63" i="120"/>
  <c r="S63" i="120"/>
  <c r="AE62" i="120"/>
  <c r="AC62" i="120"/>
  <c r="AA62" i="120"/>
  <c r="Y62" i="120"/>
  <c r="W62" i="120"/>
  <c r="U62" i="120"/>
  <c r="S62" i="120"/>
  <c r="AE61" i="120"/>
  <c r="AC61" i="120"/>
  <c r="AA61" i="120"/>
  <c r="Y61" i="120"/>
  <c r="W61" i="120"/>
  <c r="U61" i="120"/>
  <c r="S61" i="120"/>
  <c r="AE60" i="120"/>
  <c r="AC60" i="120"/>
  <c r="AA60" i="120"/>
  <c r="Y60" i="120"/>
  <c r="W60" i="120"/>
  <c r="U60" i="120"/>
  <c r="S60" i="120"/>
  <c r="AE59" i="120"/>
  <c r="AC59" i="120"/>
  <c r="AA59" i="120"/>
  <c r="Y59" i="120"/>
  <c r="W59" i="120"/>
  <c r="U59" i="120"/>
  <c r="S59" i="120"/>
  <c r="AE58" i="120"/>
  <c r="AC58" i="120"/>
  <c r="AA58" i="120"/>
  <c r="Y58" i="120"/>
  <c r="W58" i="120"/>
  <c r="U58" i="120"/>
  <c r="S58" i="120"/>
  <c r="AE57" i="120"/>
  <c r="AC57" i="120"/>
  <c r="AA57" i="120"/>
  <c r="Y57" i="120"/>
  <c r="W57" i="120"/>
  <c r="U57" i="120"/>
  <c r="S57" i="120"/>
  <c r="AE56" i="120"/>
  <c r="AC56" i="120"/>
  <c r="AA56" i="120"/>
  <c r="Y56" i="120"/>
  <c r="W56" i="120"/>
  <c r="U56" i="120"/>
  <c r="S56" i="120"/>
  <c r="AE55" i="120"/>
  <c r="AC55" i="120"/>
  <c r="AA55" i="120"/>
  <c r="Y55" i="120"/>
  <c r="W55" i="120"/>
  <c r="U55" i="120"/>
  <c r="S55" i="120"/>
  <c r="AE54" i="120"/>
  <c r="AC54" i="120"/>
  <c r="AA54" i="120"/>
  <c r="Y54" i="120"/>
  <c r="W54" i="120"/>
  <c r="U54" i="120"/>
  <c r="S54" i="120"/>
  <c r="AE53" i="120"/>
  <c r="AC53" i="120"/>
  <c r="AA53" i="120"/>
  <c r="Y53" i="120"/>
  <c r="W53" i="120"/>
  <c r="U53" i="120"/>
  <c r="S53" i="120"/>
  <c r="AE52" i="120"/>
  <c r="AC52" i="120"/>
  <c r="AA52" i="120"/>
  <c r="Y52" i="120"/>
  <c r="W52" i="120"/>
  <c r="U52" i="120"/>
  <c r="S52" i="120"/>
  <c r="AE51" i="120"/>
  <c r="AC51" i="120"/>
  <c r="AA51" i="120"/>
  <c r="Y51" i="120"/>
  <c r="W51" i="120"/>
  <c r="U51" i="120"/>
  <c r="S51" i="120"/>
  <c r="AE50" i="120"/>
  <c r="AC50" i="120"/>
  <c r="AA50" i="120"/>
  <c r="Y50" i="120"/>
  <c r="W50" i="120"/>
  <c r="U50" i="120"/>
  <c r="S50" i="120"/>
  <c r="AE49" i="120"/>
  <c r="AC49" i="120"/>
  <c r="AA49" i="120"/>
  <c r="Y49" i="120"/>
  <c r="W49" i="120"/>
  <c r="U49" i="120"/>
  <c r="S49" i="120"/>
  <c r="AE48" i="120"/>
  <c r="AC48" i="120"/>
  <c r="AA48" i="120"/>
  <c r="Y48" i="120"/>
  <c r="W48" i="120"/>
  <c r="U48" i="120"/>
  <c r="S48" i="120"/>
  <c r="AE47" i="120"/>
  <c r="AC47" i="120"/>
  <c r="AA47" i="120"/>
  <c r="Y47" i="120"/>
  <c r="W47" i="120"/>
  <c r="U47" i="120"/>
  <c r="S47" i="120"/>
  <c r="AE46" i="120"/>
  <c r="AC46" i="120"/>
  <c r="AA46" i="120"/>
  <c r="Y46" i="120"/>
  <c r="W46" i="120"/>
  <c r="U46" i="120"/>
  <c r="S46" i="120"/>
  <c r="AE45" i="120"/>
  <c r="AC45" i="120"/>
  <c r="AA45" i="120"/>
  <c r="Y45" i="120"/>
  <c r="W45" i="120"/>
  <c r="U45" i="120"/>
  <c r="S45" i="120"/>
  <c r="AE44" i="120"/>
  <c r="AC44" i="120"/>
  <c r="AA44" i="120"/>
  <c r="Y44" i="120"/>
  <c r="W44" i="120"/>
  <c r="U44" i="120"/>
  <c r="S44" i="120"/>
  <c r="AE43" i="120"/>
  <c r="AC43" i="120"/>
  <c r="AA43" i="120"/>
  <c r="Y43" i="120"/>
  <c r="W43" i="120"/>
  <c r="U43" i="120"/>
  <c r="S43" i="120"/>
  <c r="AE42" i="120"/>
  <c r="AC42" i="120"/>
  <c r="AA42" i="120"/>
  <c r="Y42" i="120"/>
  <c r="W42" i="120"/>
  <c r="U42" i="120"/>
  <c r="S42" i="120"/>
  <c r="AE41" i="120"/>
  <c r="AC41" i="120"/>
  <c r="AA41" i="120"/>
  <c r="Y41" i="120"/>
  <c r="W41" i="120"/>
  <c r="U41" i="120"/>
  <c r="S41" i="120"/>
  <c r="AE40" i="120"/>
  <c r="AC40" i="120"/>
  <c r="AA40" i="120"/>
  <c r="Y40" i="120"/>
  <c r="W40" i="120"/>
  <c r="U40" i="120"/>
  <c r="S40" i="120"/>
  <c r="AE39" i="120"/>
  <c r="AC39" i="120"/>
  <c r="AA39" i="120"/>
  <c r="Y39" i="120"/>
  <c r="W39" i="120"/>
  <c r="U39" i="120"/>
  <c r="S39" i="120"/>
  <c r="AE38" i="120"/>
  <c r="AC38" i="120"/>
  <c r="AA38" i="120"/>
  <c r="Y38" i="120"/>
  <c r="W38" i="120"/>
  <c r="U38" i="120"/>
  <c r="S38" i="120"/>
  <c r="AE37" i="120"/>
  <c r="AC37" i="120"/>
  <c r="AA37" i="120"/>
  <c r="Y37" i="120"/>
  <c r="W37" i="120"/>
  <c r="U37" i="120"/>
  <c r="S37" i="120"/>
  <c r="AE36" i="120"/>
  <c r="AC36" i="120"/>
  <c r="AA36" i="120"/>
  <c r="Y36" i="120"/>
  <c r="W36" i="120"/>
  <c r="U36" i="120"/>
  <c r="S36" i="120"/>
  <c r="AE35" i="120"/>
  <c r="AC35" i="120"/>
  <c r="AA35" i="120"/>
  <c r="Y35" i="120"/>
  <c r="W35" i="120"/>
  <c r="U35" i="120"/>
  <c r="S35" i="120"/>
  <c r="D31" i="120"/>
  <c r="E31" i="120" s="1"/>
  <c r="E30" i="120"/>
  <c r="D30" i="120"/>
  <c r="D29" i="120"/>
  <c r="E29" i="120" s="1"/>
  <c r="D28" i="120"/>
  <c r="E28" i="120" s="1"/>
  <c r="D27" i="120"/>
  <c r="E27" i="120" s="1"/>
  <c r="R26" i="120"/>
  <c r="D26" i="120"/>
  <c r="E26" i="120" s="1"/>
  <c r="T25" i="120"/>
  <c r="R25" i="120"/>
  <c r="R24" i="120"/>
  <c r="AB18" i="120"/>
  <c r="AB26" i="120" s="1"/>
  <c r="AD17" i="120"/>
  <c r="AD25" i="120" s="1"/>
  <c r="AB17" i="120"/>
  <c r="AB25" i="120" s="1"/>
  <c r="Z17" i="120"/>
  <c r="Z25" i="120" s="1"/>
  <c r="X17" i="120"/>
  <c r="X25" i="120" s="1"/>
  <c r="V17" i="120"/>
  <c r="V25" i="120" s="1"/>
  <c r="T17" i="120"/>
  <c r="R17" i="120"/>
  <c r="AD16" i="120"/>
  <c r="AD24" i="120" s="1"/>
  <c r="AB16" i="120"/>
  <c r="AB24" i="120" s="1"/>
  <c r="Z16" i="120"/>
  <c r="Z24" i="120" s="1"/>
  <c r="X16" i="120"/>
  <c r="X24" i="120" s="1"/>
  <c r="V16" i="120"/>
  <c r="T16" i="120"/>
  <c r="R16" i="120"/>
  <c r="R18" i="120" s="1"/>
  <c r="P16" i="120"/>
  <c r="O16" i="120"/>
  <c r="N16" i="120"/>
  <c r="L16" i="120"/>
  <c r="K16" i="120"/>
  <c r="J16" i="120"/>
  <c r="H16" i="120"/>
  <c r="G16" i="120"/>
  <c r="F16" i="120"/>
  <c r="O15" i="120"/>
  <c r="Q14" i="120"/>
  <c r="M14" i="120"/>
  <c r="I14" i="120"/>
  <c r="O13" i="120"/>
  <c r="AE12" i="120"/>
  <c r="AC12" i="120"/>
  <c r="Y12" i="120"/>
  <c r="W12" i="120"/>
  <c r="Q12" i="120"/>
  <c r="S12" i="120" s="1"/>
  <c r="M12" i="120"/>
  <c r="I12" i="120"/>
  <c r="O11" i="120"/>
  <c r="Q10" i="120"/>
  <c r="M10" i="120"/>
  <c r="I10" i="120"/>
  <c r="O9" i="120"/>
  <c r="Q8" i="120"/>
  <c r="M8" i="120"/>
  <c r="I8" i="120"/>
  <c r="O7" i="120"/>
  <c r="AC6" i="120"/>
  <c r="AA6" i="120"/>
  <c r="Q6" i="120"/>
  <c r="Y6" i="120" s="1"/>
  <c r="M6" i="120"/>
  <c r="I6" i="120"/>
  <c r="I16" i="120" s="1"/>
  <c r="C3" i="120"/>
  <c r="AE64" i="119"/>
  <c r="AC64" i="119"/>
  <c r="AA64" i="119"/>
  <c r="Y64" i="119"/>
  <c r="W64" i="119"/>
  <c r="U64" i="119"/>
  <c r="S64" i="119"/>
  <c r="AE63" i="119"/>
  <c r="AC63" i="119"/>
  <c r="AA63" i="119"/>
  <c r="Y63" i="119"/>
  <c r="W63" i="119"/>
  <c r="U63" i="119"/>
  <c r="S63" i="119"/>
  <c r="AE62" i="119"/>
  <c r="AC62" i="119"/>
  <c r="AA62" i="119"/>
  <c r="Y62" i="119"/>
  <c r="W62" i="119"/>
  <c r="U62" i="119"/>
  <c r="S62" i="119"/>
  <c r="AE61" i="119"/>
  <c r="AC61" i="119"/>
  <c r="AA61" i="119"/>
  <c r="Y61" i="119"/>
  <c r="W61" i="119"/>
  <c r="U61" i="119"/>
  <c r="S61" i="119"/>
  <c r="AE60" i="119"/>
  <c r="AC60" i="119"/>
  <c r="AA60" i="119"/>
  <c r="Y60" i="119"/>
  <c r="W60" i="119"/>
  <c r="U60" i="119"/>
  <c r="S60" i="119"/>
  <c r="AE59" i="119"/>
  <c r="AC59" i="119"/>
  <c r="AA59" i="119"/>
  <c r="Y59" i="119"/>
  <c r="W59" i="119"/>
  <c r="U59" i="119"/>
  <c r="S59" i="119"/>
  <c r="AE58" i="119"/>
  <c r="AC58" i="119"/>
  <c r="AA58" i="119"/>
  <c r="Y58" i="119"/>
  <c r="W58" i="119"/>
  <c r="U58" i="119"/>
  <c r="S58" i="119"/>
  <c r="AE57" i="119"/>
  <c r="AC57" i="119"/>
  <c r="AA57" i="119"/>
  <c r="Y57" i="119"/>
  <c r="W57" i="119"/>
  <c r="U57" i="119"/>
  <c r="S57" i="119"/>
  <c r="AE56" i="119"/>
  <c r="AC56" i="119"/>
  <c r="AA56" i="119"/>
  <c r="Y56" i="119"/>
  <c r="W56" i="119"/>
  <c r="U56" i="119"/>
  <c r="S56" i="119"/>
  <c r="AE55" i="119"/>
  <c r="AC55" i="119"/>
  <c r="AA55" i="119"/>
  <c r="Y55" i="119"/>
  <c r="W55" i="119"/>
  <c r="U55" i="119"/>
  <c r="S55" i="119"/>
  <c r="AE54" i="119"/>
  <c r="AC54" i="119"/>
  <c r="AA54" i="119"/>
  <c r="Y54" i="119"/>
  <c r="W54" i="119"/>
  <c r="U54" i="119"/>
  <c r="S54" i="119"/>
  <c r="AE53" i="119"/>
  <c r="AC53" i="119"/>
  <c r="AA53" i="119"/>
  <c r="Y53" i="119"/>
  <c r="W53" i="119"/>
  <c r="U53" i="119"/>
  <c r="S53" i="119"/>
  <c r="AE52" i="119"/>
  <c r="AC52" i="119"/>
  <c r="AA52" i="119"/>
  <c r="Y52" i="119"/>
  <c r="W52" i="119"/>
  <c r="U52" i="119"/>
  <c r="S52" i="119"/>
  <c r="AE51" i="119"/>
  <c r="AC51" i="119"/>
  <c r="AA51" i="119"/>
  <c r="Y51" i="119"/>
  <c r="W51" i="119"/>
  <c r="U51" i="119"/>
  <c r="S51" i="119"/>
  <c r="AE50" i="119"/>
  <c r="AC50" i="119"/>
  <c r="AA50" i="119"/>
  <c r="Y50" i="119"/>
  <c r="W50" i="119"/>
  <c r="U50" i="119"/>
  <c r="S50" i="119"/>
  <c r="AE49" i="119"/>
  <c r="AC49" i="119"/>
  <c r="AA49" i="119"/>
  <c r="Y49" i="119"/>
  <c r="W49" i="119"/>
  <c r="U49" i="119"/>
  <c r="S49" i="119"/>
  <c r="AE48" i="119"/>
  <c r="AC48" i="119"/>
  <c r="AA48" i="119"/>
  <c r="Y48" i="119"/>
  <c r="W48" i="119"/>
  <c r="U48" i="119"/>
  <c r="S48" i="119"/>
  <c r="AE47" i="119"/>
  <c r="AC47" i="119"/>
  <c r="AA47" i="119"/>
  <c r="Y47" i="119"/>
  <c r="W47" i="119"/>
  <c r="U47" i="119"/>
  <c r="S47" i="119"/>
  <c r="AE46" i="119"/>
  <c r="AC46" i="119"/>
  <c r="AA46" i="119"/>
  <c r="Y46" i="119"/>
  <c r="W46" i="119"/>
  <c r="U46" i="119"/>
  <c r="S46" i="119"/>
  <c r="AE45" i="119"/>
  <c r="AC45" i="119"/>
  <c r="AA45" i="119"/>
  <c r="Y45" i="119"/>
  <c r="W45" i="119"/>
  <c r="U45" i="119"/>
  <c r="S45" i="119"/>
  <c r="AE44" i="119"/>
  <c r="AC44" i="119"/>
  <c r="AA44" i="119"/>
  <c r="Y44" i="119"/>
  <c r="W44" i="119"/>
  <c r="U44" i="119"/>
  <c r="S44" i="119"/>
  <c r="AE43" i="119"/>
  <c r="AC43" i="119"/>
  <c r="AA43" i="119"/>
  <c r="Y43" i="119"/>
  <c r="W43" i="119"/>
  <c r="U43" i="119"/>
  <c r="S43" i="119"/>
  <c r="AE42" i="119"/>
  <c r="AC42" i="119"/>
  <c r="AA42" i="119"/>
  <c r="Y42" i="119"/>
  <c r="W42" i="119"/>
  <c r="U42" i="119"/>
  <c r="S42" i="119"/>
  <c r="AE41" i="119"/>
  <c r="AC41" i="119"/>
  <c r="AA41" i="119"/>
  <c r="Y41" i="119"/>
  <c r="W41" i="119"/>
  <c r="U41" i="119"/>
  <c r="S41" i="119"/>
  <c r="AE40" i="119"/>
  <c r="AC40" i="119"/>
  <c r="AA40" i="119"/>
  <c r="Y40" i="119"/>
  <c r="W40" i="119"/>
  <c r="U40" i="119"/>
  <c r="S40" i="119"/>
  <c r="AE39" i="119"/>
  <c r="AC39" i="119"/>
  <c r="AA39" i="119"/>
  <c r="Y39" i="119"/>
  <c r="W39" i="119"/>
  <c r="U39" i="119"/>
  <c r="S39" i="119"/>
  <c r="AE38" i="119"/>
  <c r="AC38" i="119"/>
  <c r="AA38" i="119"/>
  <c r="Y38" i="119"/>
  <c r="W38" i="119"/>
  <c r="U38" i="119"/>
  <c r="S38" i="119"/>
  <c r="AE37" i="119"/>
  <c r="AC37" i="119"/>
  <c r="AA37" i="119"/>
  <c r="Y37" i="119"/>
  <c r="W37" i="119"/>
  <c r="U37" i="119"/>
  <c r="S37" i="119"/>
  <c r="AE36" i="119"/>
  <c r="AC36" i="119"/>
  <c r="AA36" i="119"/>
  <c r="Y36" i="119"/>
  <c r="W36" i="119"/>
  <c r="U36" i="119"/>
  <c r="S36" i="119"/>
  <c r="AE35" i="119"/>
  <c r="AC35" i="119"/>
  <c r="AA35" i="119"/>
  <c r="Y35" i="119"/>
  <c r="W35" i="119"/>
  <c r="U35" i="119"/>
  <c r="S35" i="119"/>
  <c r="D31" i="119"/>
  <c r="E31" i="119" s="1"/>
  <c r="D30" i="119"/>
  <c r="E30" i="119" s="1"/>
  <c r="D29" i="119"/>
  <c r="E29" i="119" s="1"/>
  <c r="D28" i="119"/>
  <c r="E28" i="119" s="1"/>
  <c r="D27" i="119"/>
  <c r="E27" i="119" s="1"/>
  <c r="D26" i="119"/>
  <c r="E26" i="119" s="1"/>
  <c r="Z25" i="119"/>
  <c r="X25" i="119"/>
  <c r="X18" i="119"/>
  <c r="X26" i="119" s="1"/>
  <c r="AD17" i="119"/>
  <c r="AD25" i="119" s="1"/>
  <c r="AB17" i="119"/>
  <c r="AB25" i="119" s="1"/>
  <c r="Z17" i="119"/>
  <c r="X17" i="119"/>
  <c r="V17" i="119"/>
  <c r="V25" i="119" s="1"/>
  <c r="T17" i="119"/>
  <c r="T25" i="119" s="1"/>
  <c r="R17" i="119"/>
  <c r="R25" i="119" s="1"/>
  <c r="AD16" i="119"/>
  <c r="AD24" i="119" s="1"/>
  <c r="AB16" i="119"/>
  <c r="AB24" i="119" s="1"/>
  <c r="Z16" i="119"/>
  <c r="X16" i="119"/>
  <c r="X24" i="119" s="1"/>
  <c r="V16" i="119"/>
  <c r="V24" i="119" s="1"/>
  <c r="T16" i="119"/>
  <c r="T24" i="119" s="1"/>
  <c r="R16" i="119"/>
  <c r="P16" i="119"/>
  <c r="O16" i="119"/>
  <c r="N16" i="119"/>
  <c r="L16" i="119"/>
  <c r="K16" i="119"/>
  <c r="J16" i="119"/>
  <c r="H16" i="119"/>
  <c r="G16" i="119"/>
  <c r="F16" i="119"/>
  <c r="O15" i="119"/>
  <c r="O17" i="119" s="1"/>
  <c r="AC14" i="119"/>
  <c r="AA14" i="119"/>
  <c r="U14" i="119"/>
  <c r="Q14" i="119"/>
  <c r="Y14" i="119" s="1"/>
  <c r="M14" i="119"/>
  <c r="I14" i="119"/>
  <c r="O13" i="119"/>
  <c r="Q12" i="119"/>
  <c r="S12" i="119" s="1"/>
  <c r="M12" i="119"/>
  <c r="I12" i="119"/>
  <c r="O11" i="119"/>
  <c r="Y10" i="119"/>
  <c r="W10" i="119"/>
  <c r="Q10" i="119"/>
  <c r="U10" i="119" s="1"/>
  <c r="M10" i="119"/>
  <c r="I10" i="119"/>
  <c r="O9" i="119"/>
  <c r="Q8" i="119"/>
  <c r="M8" i="119"/>
  <c r="I8" i="119"/>
  <c r="O7" i="119"/>
  <c r="Q6" i="119"/>
  <c r="M6" i="119"/>
  <c r="I6" i="119"/>
  <c r="C3" i="119"/>
  <c r="AE64" i="118"/>
  <c r="AC64" i="118"/>
  <c r="AA64" i="118"/>
  <c r="Y64" i="118"/>
  <c r="W64" i="118"/>
  <c r="U64" i="118"/>
  <c r="S64" i="118"/>
  <c r="AE63" i="118"/>
  <c r="AC63" i="118"/>
  <c r="AA63" i="118"/>
  <c r="Y63" i="118"/>
  <c r="W63" i="118"/>
  <c r="U63" i="118"/>
  <c r="S63" i="118"/>
  <c r="AE62" i="118"/>
  <c r="AC62" i="118"/>
  <c r="AA62" i="118"/>
  <c r="Y62" i="118"/>
  <c r="W62" i="118"/>
  <c r="U62" i="118"/>
  <c r="S62" i="118"/>
  <c r="AE61" i="118"/>
  <c r="AC61" i="118"/>
  <c r="AA61" i="118"/>
  <c r="Y61" i="118"/>
  <c r="W61" i="118"/>
  <c r="U61" i="118"/>
  <c r="S61" i="118"/>
  <c r="AE60" i="118"/>
  <c r="AC60" i="118"/>
  <c r="AA60" i="118"/>
  <c r="Y60" i="118"/>
  <c r="W60" i="118"/>
  <c r="U60" i="118"/>
  <c r="S60" i="118"/>
  <c r="AE59" i="118"/>
  <c r="AC59" i="118"/>
  <c r="AA59" i="118"/>
  <c r="Y59" i="118"/>
  <c r="W59" i="118"/>
  <c r="U59" i="118"/>
  <c r="S59" i="118"/>
  <c r="AE58" i="118"/>
  <c r="AC58" i="118"/>
  <c r="AA58" i="118"/>
  <c r="Y58" i="118"/>
  <c r="W58" i="118"/>
  <c r="U58" i="118"/>
  <c r="S58" i="118"/>
  <c r="AE57" i="118"/>
  <c r="AC57" i="118"/>
  <c r="AA57" i="118"/>
  <c r="Y57" i="118"/>
  <c r="W57" i="118"/>
  <c r="U57" i="118"/>
  <c r="S57" i="118"/>
  <c r="AE56" i="118"/>
  <c r="AC56" i="118"/>
  <c r="AA56" i="118"/>
  <c r="Y56" i="118"/>
  <c r="W56" i="118"/>
  <c r="U56" i="118"/>
  <c r="S56" i="118"/>
  <c r="AE55" i="118"/>
  <c r="AC55" i="118"/>
  <c r="AA55" i="118"/>
  <c r="Y55" i="118"/>
  <c r="W55" i="118"/>
  <c r="U55" i="118"/>
  <c r="S55" i="118"/>
  <c r="AE54" i="118"/>
  <c r="AC54" i="118"/>
  <c r="AA54" i="118"/>
  <c r="Y54" i="118"/>
  <c r="W54" i="118"/>
  <c r="U54" i="118"/>
  <c r="S54" i="118"/>
  <c r="AE53" i="118"/>
  <c r="AC53" i="118"/>
  <c r="AA53" i="118"/>
  <c r="Y53" i="118"/>
  <c r="W53" i="118"/>
  <c r="U53" i="118"/>
  <c r="S53" i="118"/>
  <c r="AE52" i="118"/>
  <c r="AC52" i="118"/>
  <c r="AA52" i="118"/>
  <c r="Y52" i="118"/>
  <c r="W52" i="118"/>
  <c r="U52" i="118"/>
  <c r="S52" i="118"/>
  <c r="AE51" i="118"/>
  <c r="AC51" i="118"/>
  <c r="AA51" i="118"/>
  <c r="Y51" i="118"/>
  <c r="W51" i="118"/>
  <c r="U51" i="118"/>
  <c r="S51" i="118"/>
  <c r="AE50" i="118"/>
  <c r="AC50" i="118"/>
  <c r="AA50" i="118"/>
  <c r="Y50" i="118"/>
  <c r="W50" i="118"/>
  <c r="U50" i="118"/>
  <c r="S50" i="118"/>
  <c r="AE49" i="118"/>
  <c r="AC49" i="118"/>
  <c r="AA49" i="118"/>
  <c r="Y49" i="118"/>
  <c r="W49" i="118"/>
  <c r="U49" i="118"/>
  <c r="S49" i="118"/>
  <c r="AE48" i="118"/>
  <c r="AC48" i="118"/>
  <c r="AA48" i="118"/>
  <c r="Y48" i="118"/>
  <c r="W48" i="118"/>
  <c r="U48" i="118"/>
  <c r="S48" i="118"/>
  <c r="AE47" i="118"/>
  <c r="AC47" i="118"/>
  <c r="AA47" i="118"/>
  <c r="Y47" i="118"/>
  <c r="W47" i="118"/>
  <c r="U47" i="118"/>
  <c r="S47" i="118"/>
  <c r="AE46" i="118"/>
  <c r="AC46" i="118"/>
  <c r="AA46" i="118"/>
  <c r="Y46" i="118"/>
  <c r="W46" i="118"/>
  <c r="U46" i="118"/>
  <c r="S46" i="118"/>
  <c r="AE45" i="118"/>
  <c r="AC45" i="118"/>
  <c r="AA45" i="118"/>
  <c r="Y45" i="118"/>
  <c r="W45" i="118"/>
  <c r="U45" i="118"/>
  <c r="S45" i="118"/>
  <c r="AE44" i="118"/>
  <c r="AC44" i="118"/>
  <c r="AA44" i="118"/>
  <c r="Y44" i="118"/>
  <c r="W44" i="118"/>
  <c r="U44" i="118"/>
  <c r="S44" i="118"/>
  <c r="AE43" i="118"/>
  <c r="AC43" i="118"/>
  <c r="AA43" i="118"/>
  <c r="Y43" i="118"/>
  <c r="W43" i="118"/>
  <c r="U43" i="118"/>
  <c r="S43" i="118"/>
  <c r="AE42" i="118"/>
  <c r="AC42" i="118"/>
  <c r="AA42" i="118"/>
  <c r="Y42" i="118"/>
  <c r="W42" i="118"/>
  <c r="U42" i="118"/>
  <c r="S42" i="118"/>
  <c r="AE41" i="118"/>
  <c r="AC41" i="118"/>
  <c r="AA41" i="118"/>
  <c r="Y41" i="118"/>
  <c r="W41" i="118"/>
  <c r="U41" i="118"/>
  <c r="S41" i="118"/>
  <c r="AE40" i="118"/>
  <c r="AC40" i="118"/>
  <c r="AA40" i="118"/>
  <c r="Y40" i="118"/>
  <c r="W40" i="118"/>
  <c r="U40" i="118"/>
  <c r="S40" i="118"/>
  <c r="AE39" i="118"/>
  <c r="AC39" i="118"/>
  <c r="AA39" i="118"/>
  <c r="Y39" i="118"/>
  <c r="W39" i="118"/>
  <c r="U39" i="118"/>
  <c r="S39" i="118"/>
  <c r="AE38" i="118"/>
  <c r="AC38" i="118"/>
  <c r="AA38" i="118"/>
  <c r="Y38" i="118"/>
  <c r="W38" i="118"/>
  <c r="U38" i="118"/>
  <c r="S38" i="118"/>
  <c r="AE37" i="118"/>
  <c r="AC37" i="118"/>
  <c r="AA37" i="118"/>
  <c r="Y37" i="118"/>
  <c r="W37" i="118"/>
  <c r="U37" i="118"/>
  <c r="S37" i="118"/>
  <c r="AE36" i="118"/>
  <c r="AC36" i="118"/>
  <c r="AA36" i="118"/>
  <c r="Y36" i="118"/>
  <c r="W36" i="118"/>
  <c r="U36" i="118"/>
  <c r="S36" i="118"/>
  <c r="AE35" i="118"/>
  <c r="AC35" i="118"/>
  <c r="AA35" i="118"/>
  <c r="Y35" i="118"/>
  <c r="W35" i="118"/>
  <c r="U35" i="118"/>
  <c r="S35" i="118"/>
  <c r="D31" i="118"/>
  <c r="E31" i="118" s="1"/>
  <c r="D30" i="118"/>
  <c r="E30" i="118" s="1"/>
  <c r="E29" i="118"/>
  <c r="D29" i="118"/>
  <c r="D28" i="118"/>
  <c r="E28" i="118" s="1"/>
  <c r="D27" i="118"/>
  <c r="E27" i="118" s="1"/>
  <c r="E26" i="118"/>
  <c r="D26" i="118"/>
  <c r="R25" i="118"/>
  <c r="AD18" i="118"/>
  <c r="AD26" i="118" s="1"/>
  <c r="AB18" i="118"/>
  <c r="AB26" i="118" s="1"/>
  <c r="AD17" i="118"/>
  <c r="AD25" i="118" s="1"/>
  <c r="AB17" i="118"/>
  <c r="AB25" i="118" s="1"/>
  <c r="Z17" i="118"/>
  <c r="Z25" i="118" s="1"/>
  <c r="X17" i="118"/>
  <c r="X25" i="118" s="1"/>
  <c r="V17" i="118"/>
  <c r="V25" i="118" s="1"/>
  <c r="T17" i="118"/>
  <c r="T25" i="118" s="1"/>
  <c r="R17" i="118"/>
  <c r="AD16" i="118"/>
  <c r="AD24" i="118" s="1"/>
  <c r="AB16" i="118"/>
  <c r="AB24" i="118" s="1"/>
  <c r="Z16" i="118"/>
  <c r="Z24" i="118" s="1"/>
  <c r="X16" i="118"/>
  <c r="X24" i="118" s="1"/>
  <c r="V16" i="118"/>
  <c r="T16" i="118"/>
  <c r="R16" i="118"/>
  <c r="R18" i="118" s="1"/>
  <c r="R26" i="118" s="1"/>
  <c r="P16" i="118"/>
  <c r="O16" i="118"/>
  <c r="N16" i="118"/>
  <c r="L16" i="118"/>
  <c r="K16" i="118"/>
  <c r="J16" i="118"/>
  <c r="H16" i="118"/>
  <c r="G16" i="118"/>
  <c r="F16" i="118"/>
  <c r="O15" i="118"/>
  <c r="AE14" i="118"/>
  <c r="AC14" i="118"/>
  <c r="Y14" i="118"/>
  <c r="U14" i="118"/>
  <c r="S14" i="118"/>
  <c r="Q14" i="118"/>
  <c r="AA14" i="118" s="1"/>
  <c r="M14" i="118"/>
  <c r="I14" i="118"/>
  <c r="O13" i="118"/>
  <c r="AE12" i="118"/>
  <c r="AA12" i="118"/>
  <c r="Y12" i="118"/>
  <c r="Q12" i="118"/>
  <c r="U12" i="118" s="1"/>
  <c r="M12" i="118"/>
  <c r="I12" i="118"/>
  <c r="O11" i="118"/>
  <c r="Q10" i="118"/>
  <c r="M10" i="118"/>
  <c r="I10" i="118"/>
  <c r="O9" i="118"/>
  <c r="Q8" i="118"/>
  <c r="M8" i="118"/>
  <c r="I8" i="118"/>
  <c r="O7" i="118"/>
  <c r="AC6" i="118"/>
  <c r="AA6" i="118"/>
  <c r="Q6" i="118"/>
  <c r="Y6" i="118" s="1"/>
  <c r="M6" i="118"/>
  <c r="I6" i="118"/>
  <c r="I16" i="118" s="1"/>
  <c r="C3" i="118"/>
  <c r="AE64" i="117"/>
  <c r="AC64" i="117"/>
  <c r="AA64" i="117"/>
  <c r="Y64" i="117"/>
  <c r="W64" i="117"/>
  <c r="U64" i="117"/>
  <c r="S64" i="117"/>
  <c r="AE63" i="117"/>
  <c r="AC63" i="117"/>
  <c r="AA63" i="117"/>
  <c r="Y63" i="117"/>
  <c r="W63" i="117"/>
  <c r="U63" i="117"/>
  <c r="S63" i="117"/>
  <c r="AE62" i="117"/>
  <c r="AC62" i="117"/>
  <c r="AA62" i="117"/>
  <c r="Y62" i="117"/>
  <c r="W62" i="117"/>
  <c r="U62" i="117"/>
  <c r="S62" i="117"/>
  <c r="AE61" i="117"/>
  <c r="AC61" i="117"/>
  <c r="AA61" i="117"/>
  <c r="Y61" i="117"/>
  <c r="W61" i="117"/>
  <c r="U61" i="117"/>
  <c r="S61" i="117"/>
  <c r="AE60" i="117"/>
  <c r="AC60" i="117"/>
  <c r="AA60" i="117"/>
  <c r="Y60" i="117"/>
  <c r="W60" i="117"/>
  <c r="U60" i="117"/>
  <c r="S60" i="117"/>
  <c r="AE59" i="117"/>
  <c r="AC59" i="117"/>
  <c r="AA59" i="117"/>
  <c r="Y59" i="117"/>
  <c r="W59" i="117"/>
  <c r="U59" i="117"/>
  <c r="S59" i="117"/>
  <c r="AE58" i="117"/>
  <c r="AC58" i="117"/>
  <c r="AA58" i="117"/>
  <c r="Y58" i="117"/>
  <c r="W58" i="117"/>
  <c r="U58" i="117"/>
  <c r="S58" i="117"/>
  <c r="AE57" i="117"/>
  <c r="AC57" i="117"/>
  <c r="AA57" i="117"/>
  <c r="Y57" i="117"/>
  <c r="W57" i="117"/>
  <c r="U57" i="117"/>
  <c r="S57" i="117"/>
  <c r="AE56" i="117"/>
  <c r="AC56" i="117"/>
  <c r="AA56" i="117"/>
  <c r="Y56" i="117"/>
  <c r="W56" i="117"/>
  <c r="U56" i="117"/>
  <c r="S56" i="117"/>
  <c r="AE55" i="117"/>
  <c r="AC55" i="117"/>
  <c r="AA55" i="117"/>
  <c r="Y55" i="117"/>
  <c r="W55" i="117"/>
  <c r="U55" i="117"/>
  <c r="S55" i="117"/>
  <c r="AE54" i="117"/>
  <c r="AC54" i="117"/>
  <c r="AA54" i="117"/>
  <c r="Y54" i="117"/>
  <c r="W54" i="117"/>
  <c r="U54" i="117"/>
  <c r="S54" i="117"/>
  <c r="AE53" i="117"/>
  <c r="AC53" i="117"/>
  <c r="AA53" i="117"/>
  <c r="Y53" i="117"/>
  <c r="W53" i="117"/>
  <c r="U53" i="117"/>
  <c r="S53" i="117"/>
  <c r="AE52" i="117"/>
  <c r="AC52" i="117"/>
  <c r="AA52" i="117"/>
  <c r="Y52" i="117"/>
  <c r="W52" i="117"/>
  <c r="U52" i="117"/>
  <c r="S52" i="117"/>
  <c r="AE51" i="117"/>
  <c r="AC51" i="117"/>
  <c r="AA51" i="117"/>
  <c r="Y51" i="117"/>
  <c r="W51" i="117"/>
  <c r="U51" i="117"/>
  <c r="S51" i="117"/>
  <c r="AE50" i="117"/>
  <c r="AC50" i="117"/>
  <c r="AA50" i="117"/>
  <c r="Y50" i="117"/>
  <c r="W50" i="117"/>
  <c r="U50" i="117"/>
  <c r="S50" i="117"/>
  <c r="AE49" i="117"/>
  <c r="AC49" i="117"/>
  <c r="AA49" i="117"/>
  <c r="Y49" i="117"/>
  <c r="W49" i="117"/>
  <c r="U49" i="117"/>
  <c r="S49" i="117"/>
  <c r="AE48" i="117"/>
  <c r="AC48" i="117"/>
  <c r="AA48" i="117"/>
  <c r="Y48" i="117"/>
  <c r="W48" i="117"/>
  <c r="U48" i="117"/>
  <c r="S48" i="117"/>
  <c r="AE47" i="117"/>
  <c r="AC47" i="117"/>
  <c r="AA47" i="117"/>
  <c r="Y47" i="117"/>
  <c r="W47" i="117"/>
  <c r="U47" i="117"/>
  <c r="S47" i="117"/>
  <c r="AE46" i="117"/>
  <c r="AC46" i="117"/>
  <c r="AA46" i="117"/>
  <c r="Y46" i="117"/>
  <c r="W46" i="117"/>
  <c r="U46" i="117"/>
  <c r="S46" i="117"/>
  <c r="AE45" i="117"/>
  <c r="AC45" i="117"/>
  <c r="AA45" i="117"/>
  <c r="Y45" i="117"/>
  <c r="W45" i="117"/>
  <c r="U45" i="117"/>
  <c r="S45" i="117"/>
  <c r="AE44" i="117"/>
  <c r="AC44" i="117"/>
  <c r="AA44" i="117"/>
  <c r="Y44" i="117"/>
  <c r="W44" i="117"/>
  <c r="U44" i="117"/>
  <c r="S44" i="117"/>
  <c r="AE43" i="117"/>
  <c r="AC43" i="117"/>
  <c r="AA43" i="117"/>
  <c r="Y43" i="117"/>
  <c r="W43" i="117"/>
  <c r="U43" i="117"/>
  <c r="S43" i="117"/>
  <c r="AE42" i="117"/>
  <c r="AC42" i="117"/>
  <c r="AA42" i="117"/>
  <c r="Y42" i="117"/>
  <c r="W42" i="117"/>
  <c r="U42" i="117"/>
  <c r="S42" i="117"/>
  <c r="AE41" i="117"/>
  <c r="AC41" i="117"/>
  <c r="AA41" i="117"/>
  <c r="Y41" i="117"/>
  <c r="W41" i="117"/>
  <c r="U41" i="117"/>
  <c r="S41" i="117"/>
  <c r="AE40" i="117"/>
  <c r="AC40" i="117"/>
  <c r="AA40" i="117"/>
  <c r="Y40" i="117"/>
  <c r="W40" i="117"/>
  <c r="U40" i="117"/>
  <c r="S40" i="117"/>
  <c r="AE39" i="117"/>
  <c r="AC39" i="117"/>
  <c r="AA39" i="117"/>
  <c r="Y39" i="117"/>
  <c r="W39" i="117"/>
  <c r="U39" i="117"/>
  <c r="S39" i="117"/>
  <c r="AE38" i="117"/>
  <c r="AC38" i="117"/>
  <c r="AA38" i="117"/>
  <c r="Y38" i="117"/>
  <c r="W38" i="117"/>
  <c r="U38" i="117"/>
  <c r="S38" i="117"/>
  <c r="AE37" i="117"/>
  <c r="AC37" i="117"/>
  <c r="AA37" i="117"/>
  <c r="Y37" i="117"/>
  <c r="W37" i="117"/>
  <c r="U37" i="117"/>
  <c r="S37" i="117"/>
  <c r="AE36" i="117"/>
  <c r="AC36" i="117"/>
  <c r="AA36" i="117"/>
  <c r="Y36" i="117"/>
  <c r="W36" i="117"/>
  <c r="U36" i="117"/>
  <c r="S36" i="117"/>
  <c r="AE35" i="117"/>
  <c r="AC35" i="117"/>
  <c r="AA35" i="117"/>
  <c r="Y35" i="117"/>
  <c r="W35" i="117"/>
  <c r="U35" i="117"/>
  <c r="S35" i="117"/>
  <c r="D31" i="117"/>
  <c r="E31" i="117" s="1"/>
  <c r="D30" i="117"/>
  <c r="E30" i="117" s="1"/>
  <c r="E29" i="117"/>
  <c r="D29" i="117"/>
  <c r="D28" i="117"/>
  <c r="E28" i="117" s="1"/>
  <c r="D27" i="117"/>
  <c r="E27" i="117" s="1"/>
  <c r="D26" i="117"/>
  <c r="E26" i="117" s="1"/>
  <c r="Z25" i="117"/>
  <c r="X25" i="117"/>
  <c r="T24" i="117"/>
  <c r="X18" i="117"/>
  <c r="X26" i="117" s="1"/>
  <c r="AD17" i="117"/>
  <c r="AD25" i="117" s="1"/>
  <c r="AB17" i="117"/>
  <c r="AB25" i="117" s="1"/>
  <c r="Z17" i="117"/>
  <c r="X17" i="117"/>
  <c r="V17" i="117"/>
  <c r="V25" i="117" s="1"/>
  <c r="T17" i="117"/>
  <c r="T25" i="117" s="1"/>
  <c r="R17" i="117"/>
  <c r="R25" i="117" s="1"/>
  <c r="AD16" i="117"/>
  <c r="AD24" i="117" s="1"/>
  <c r="AB16" i="117"/>
  <c r="AB24" i="117" s="1"/>
  <c r="Z16" i="117"/>
  <c r="X16" i="117"/>
  <c r="V16" i="117"/>
  <c r="V24" i="117" s="1"/>
  <c r="T16" i="117"/>
  <c r="R16" i="117"/>
  <c r="P16" i="117"/>
  <c r="O16" i="117"/>
  <c r="N16" i="117"/>
  <c r="L16" i="117"/>
  <c r="K16" i="117"/>
  <c r="J16" i="117"/>
  <c r="H16" i="117"/>
  <c r="G16" i="117"/>
  <c r="F16" i="117"/>
  <c r="O15" i="117"/>
  <c r="AC14" i="117"/>
  <c r="Q14" i="117"/>
  <c r="Y14" i="117" s="1"/>
  <c r="M14" i="117"/>
  <c r="I14" i="117"/>
  <c r="O13" i="117"/>
  <c r="Q12" i="117"/>
  <c r="S12" i="117" s="1"/>
  <c r="M12" i="117"/>
  <c r="I12" i="117"/>
  <c r="O11" i="117"/>
  <c r="Q10" i="117"/>
  <c r="U10" i="117" s="1"/>
  <c r="M10" i="117"/>
  <c r="I10" i="117"/>
  <c r="O9" i="117"/>
  <c r="Q8" i="117"/>
  <c r="U8" i="117" s="1"/>
  <c r="M8" i="117"/>
  <c r="M16" i="117" s="1"/>
  <c r="I8" i="117"/>
  <c r="O7" i="117"/>
  <c r="Q6" i="117"/>
  <c r="M6" i="117"/>
  <c r="I6" i="117"/>
  <c r="C3" i="117"/>
  <c r="AE64" i="116"/>
  <c r="AC64" i="116"/>
  <c r="AA64" i="116"/>
  <c r="Y64" i="116"/>
  <c r="W64" i="116"/>
  <c r="U64" i="116"/>
  <c r="S64" i="116"/>
  <c r="AE63" i="116"/>
  <c r="AC63" i="116"/>
  <c r="AA63" i="116"/>
  <c r="Y63" i="116"/>
  <c r="W63" i="116"/>
  <c r="U63" i="116"/>
  <c r="S63" i="116"/>
  <c r="AE62" i="116"/>
  <c r="AC62" i="116"/>
  <c r="AA62" i="116"/>
  <c r="Y62" i="116"/>
  <c r="W62" i="116"/>
  <c r="U62" i="116"/>
  <c r="S62" i="116"/>
  <c r="AE61" i="116"/>
  <c r="AC61" i="116"/>
  <c r="AA61" i="116"/>
  <c r="Y61" i="116"/>
  <c r="W61" i="116"/>
  <c r="U61" i="116"/>
  <c r="S61" i="116"/>
  <c r="AE60" i="116"/>
  <c r="AC60" i="116"/>
  <c r="AA60" i="116"/>
  <c r="Y60" i="116"/>
  <c r="W60" i="116"/>
  <c r="U60" i="116"/>
  <c r="S60" i="116"/>
  <c r="AE59" i="116"/>
  <c r="AC59" i="116"/>
  <c r="AA59" i="116"/>
  <c r="Y59" i="116"/>
  <c r="W59" i="116"/>
  <c r="U59" i="116"/>
  <c r="S59" i="116"/>
  <c r="AE58" i="116"/>
  <c r="AC58" i="116"/>
  <c r="AA58" i="116"/>
  <c r="Y58" i="116"/>
  <c r="W58" i="116"/>
  <c r="U58" i="116"/>
  <c r="S58" i="116"/>
  <c r="AE57" i="116"/>
  <c r="AC57" i="116"/>
  <c r="AA57" i="116"/>
  <c r="Y57" i="116"/>
  <c r="W57" i="116"/>
  <c r="U57" i="116"/>
  <c r="S57" i="116"/>
  <c r="AE56" i="116"/>
  <c r="AC56" i="116"/>
  <c r="AA56" i="116"/>
  <c r="Y56" i="116"/>
  <c r="W56" i="116"/>
  <c r="U56" i="116"/>
  <c r="S56" i="116"/>
  <c r="AE55" i="116"/>
  <c r="AC55" i="116"/>
  <c r="AA55" i="116"/>
  <c r="Y55" i="116"/>
  <c r="W55" i="116"/>
  <c r="U55" i="116"/>
  <c r="S55" i="116"/>
  <c r="AE54" i="116"/>
  <c r="AC54" i="116"/>
  <c r="AA54" i="116"/>
  <c r="Y54" i="116"/>
  <c r="W54" i="116"/>
  <c r="U54" i="116"/>
  <c r="S54" i="116"/>
  <c r="AE53" i="116"/>
  <c r="AC53" i="116"/>
  <c r="AA53" i="116"/>
  <c r="Y53" i="116"/>
  <c r="W53" i="116"/>
  <c r="U53" i="116"/>
  <c r="S53" i="116"/>
  <c r="AE52" i="116"/>
  <c r="AC52" i="116"/>
  <c r="AA52" i="116"/>
  <c r="Y52" i="116"/>
  <c r="W52" i="116"/>
  <c r="U52" i="116"/>
  <c r="S52" i="116"/>
  <c r="AE51" i="116"/>
  <c r="AC51" i="116"/>
  <c r="AA51" i="116"/>
  <c r="Y51" i="116"/>
  <c r="W51" i="116"/>
  <c r="U51" i="116"/>
  <c r="S51" i="116"/>
  <c r="AE50" i="116"/>
  <c r="AC50" i="116"/>
  <c r="AA50" i="116"/>
  <c r="Y50" i="116"/>
  <c r="W50" i="116"/>
  <c r="U50" i="116"/>
  <c r="S50" i="116"/>
  <c r="AE49" i="116"/>
  <c r="AC49" i="116"/>
  <c r="AA49" i="116"/>
  <c r="Y49" i="116"/>
  <c r="W49" i="116"/>
  <c r="U49" i="116"/>
  <c r="S49" i="116"/>
  <c r="AE48" i="116"/>
  <c r="AC48" i="116"/>
  <c r="AA48" i="116"/>
  <c r="Y48" i="116"/>
  <c r="W48" i="116"/>
  <c r="U48" i="116"/>
  <c r="S48" i="116"/>
  <c r="AE47" i="116"/>
  <c r="AC47" i="116"/>
  <c r="AA47" i="116"/>
  <c r="Y47" i="116"/>
  <c r="W47" i="116"/>
  <c r="U47" i="116"/>
  <c r="S47" i="116"/>
  <c r="AE46" i="116"/>
  <c r="AC46" i="116"/>
  <c r="AA46" i="116"/>
  <c r="Y46" i="116"/>
  <c r="W46" i="116"/>
  <c r="U46" i="116"/>
  <c r="S46" i="116"/>
  <c r="AE45" i="116"/>
  <c r="AC45" i="116"/>
  <c r="AA45" i="116"/>
  <c r="Y45" i="116"/>
  <c r="W45" i="116"/>
  <c r="U45" i="116"/>
  <c r="S45" i="116"/>
  <c r="AE44" i="116"/>
  <c r="AC44" i="116"/>
  <c r="AA44" i="116"/>
  <c r="Y44" i="116"/>
  <c r="W44" i="116"/>
  <c r="U44" i="116"/>
  <c r="S44" i="116"/>
  <c r="AE43" i="116"/>
  <c r="AC43" i="116"/>
  <c r="AA43" i="116"/>
  <c r="Y43" i="116"/>
  <c r="W43" i="116"/>
  <c r="U43" i="116"/>
  <c r="S43" i="116"/>
  <c r="AE42" i="116"/>
  <c r="AC42" i="116"/>
  <c r="AA42" i="116"/>
  <c r="Y42" i="116"/>
  <c r="W42" i="116"/>
  <c r="U42" i="116"/>
  <c r="S42" i="116"/>
  <c r="AE41" i="116"/>
  <c r="AC41" i="116"/>
  <c r="AA41" i="116"/>
  <c r="Y41" i="116"/>
  <c r="W41" i="116"/>
  <c r="U41" i="116"/>
  <c r="S41" i="116"/>
  <c r="AE40" i="116"/>
  <c r="AC40" i="116"/>
  <c r="AA40" i="116"/>
  <c r="Y40" i="116"/>
  <c r="W40" i="116"/>
  <c r="U40" i="116"/>
  <c r="S40" i="116"/>
  <c r="AE39" i="116"/>
  <c r="AC39" i="116"/>
  <c r="AA39" i="116"/>
  <c r="Y39" i="116"/>
  <c r="W39" i="116"/>
  <c r="U39" i="116"/>
  <c r="S39" i="116"/>
  <c r="AE38" i="116"/>
  <c r="AC38" i="116"/>
  <c r="AA38" i="116"/>
  <c r="Y38" i="116"/>
  <c r="W38" i="116"/>
  <c r="U38" i="116"/>
  <c r="S38" i="116"/>
  <c r="AE37" i="116"/>
  <c r="AC37" i="116"/>
  <c r="AA37" i="116"/>
  <c r="Y37" i="116"/>
  <c r="W37" i="116"/>
  <c r="U37" i="116"/>
  <c r="S37" i="116"/>
  <c r="AE36" i="116"/>
  <c r="AC36" i="116"/>
  <c r="AA36" i="116"/>
  <c r="Y36" i="116"/>
  <c r="W36" i="116"/>
  <c r="U36" i="116"/>
  <c r="S36" i="116"/>
  <c r="AE35" i="116"/>
  <c r="AC35" i="116"/>
  <c r="AA35" i="116"/>
  <c r="Y35" i="116"/>
  <c r="W35" i="116"/>
  <c r="U35" i="116"/>
  <c r="S35" i="116"/>
  <c r="D31" i="116"/>
  <c r="E31" i="116" s="1"/>
  <c r="D30" i="116"/>
  <c r="E30" i="116" s="1"/>
  <c r="E29" i="116"/>
  <c r="D29" i="116"/>
  <c r="D28" i="116"/>
  <c r="E28" i="116" s="1"/>
  <c r="D27" i="116"/>
  <c r="E27" i="116" s="1"/>
  <c r="E26" i="116"/>
  <c r="D26" i="116"/>
  <c r="R25" i="116"/>
  <c r="AD18" i="116"/>
  <c r="AD26" i="116" s="1"/>
  <c r="Z18" i="116"/>
  <c r="Z26" i="116" s="1"/>
  <c r="AD17" i="116"/>
  <c r="AD25" i="116" s="1"/>
  <c r="AB17" i="116"/>
  <c r="AB25" i="116" s="1"/>
  <c r="Z17" i="116"/>
  <c r="Z25" i="116" s="1"/>
  <c r="X17" i="116"/>
  <c r="X25" i="116" s="1"/>
  <c r="V17" i="116"/>
  <c r="V25" i="116" s="1"/>
  <c r="T17" i="116"/>
  <c r="T25" i="116" s="1"/>
  <c r="R17" i="116"/>
  <c r="AD16" i="116"/>
  <c r="AD24" i="116" s="1"/>
  <c r="AB16" i="116"/>
  <c r="AB18" i="116" s="1"/>
  <c r="AB26" i="116" s="1"/>
  <c r="Z16" i="116"/>
  <c r="Z24" i="116" s="1"/>
  <c r="Y16" i="116"/>
  <c r="X16" i="116"/>
  <c r="X24" i="116" s="1"/>
  <c r="V16" i="116"/>
  <c r="T16" i="116"/>
  <c r="U16" i="116" s="1"/>
  <c r="R16" i="116"/>
  <c r="R18" i="116" s="1"/>
  <c r="R26" i="116" s="1"/>
  <c r="P16" i="116"/>
  <c r="O16" i="116"/>
  <c r="N16" i="116"/>
  <c r="L16" i="116"/>
  <c r="K16" i="116"/>
  <c r="J16" i="116"/>
  <c r="H16" i="116"/>
  <c r="G16" i="116"/>
  <c r="F16" i="116"/>
  <c r="O15" i="116"/>
  <c r="AE14" i="116"/>
  <c r="AC14" i="116"/>
  <c r="AA14" i="116"/>
  <c r="Y14" i="116"/>
  <c r="W14" i="116"/>
  <c r="U14" i="116"/>
  <c r="S14" i="116"/>
  <c r="Q14" i="116"/>
  <c r="M14" i="116"/>
  <c r="I14" i="116"/>
  <c r="O13" i="116"/>
  <c r="AE12" i="116"/>
  <c r="AC12" i="116"/>
  <c r="AA12" i="116"/>
  <c r="Y12" i="116"/>
  <c r="W12" i="116"/>
  <c r="U12" i="116"/>
  <c r="S12" i="116"/>
  <c r="Q12" i="116"/>
  <c r="M12" i="116"/>
  <c r="I12" i="116"/>
  <c r="O11" i="116"/>
  <c r="AE10" i="116"/>
  <c r="AC10" i="116"/>
  <c r="AA10" i="116"/>
  <c r="Y10" i="116"/>
  <c r="W10" i="116"/>
  <c r="U10" i="116"/>
  <c r="S10" i="116"/>
  <c r="Q10" i="116"/>
  <c r="M10" i="116"/>
  <c r="I10" i="116"/>
  <c r="O9" i="116"/>
  <c r="AE8" i="116"/>
  <c r="AC8" i="116"/>
  <c r="AA8" i="116"/>
  <c r="Y8" i="116"/>
  <c r="W8" i="116"/>
  <c r="U8" i="116"/>
  <c r="S8" i="116"/>
  <c r="Q8" i="116"/>
  <c r="M8" i="116"/>
  <c r="I8" i="116"/>
  <c r="O7" i="116"/>
  <c r="AE6" i="116"/>
  <c r="AC6" i="116"/>
  <c r="AA6" i="116"/>
  <c r="Y6" i="116"/>
  <c r="W6" i="116"/>
  <c r="U6" i="116"/>
  <c r="S6" i="116"/>
  <c r="Q6" i="116"/>
  <c r="M6" i="116"/>
  <c r="I6" i="116"/>
  <c r="C3" i="116"/>
  <c r="AE64" i="115"/>
  <c r="AC64" i="115"/>
  <c r="AA64" i="115"/>
  <c r="Y64" i="115"/>
  <c r="W64" i="115"/>
  <c r="U64" i="115"/>
  <c r="S64" i="115"/>
  <c r="AE63" i="115"/>
  <c r="AC63" i="115"/>
  <c r="AA63" i="115"/>
  <c r="Y63" i="115"/>
  <c r="W63" i="115"/>
  <c r="U63" i="115"/>
  <c r="S63" i="115"/>
  <c r="AE62" i="115"/>
  <c r="AC62" i="115"/>
  <c r="AA62" i="115"/>
  <c r="Y62" i="115"/>
  <c r="W62" i="115"/>
  <c r="U62" i="115"/>
  <c r="S62" i="115"/>
  <c r="AE61" i="115"/>
  <c r="AC61" i="115"/>
  <c r="AA61" i="115"/>
  <c r="Y61" i="115"/>
  <c r="W61" i="115"/>
  <c r="U61" i="115"/>
  <c r="S61" i="115"/>
  <c r="AE60" i="115"/>
  <c r="AC60" i="115"/>
  <c r="AA60" i="115"/>
  <c r="Y60" i="115"/>
  <c r="W60" i="115"/>
  <c r="U60" i="115"/>
  <c r="S60" i="115"/>
  <c r="AE59" i="115"/>
  <c r="AC59" i="115"/>
  <c r="AA59" i="115"/>
  <c r="Y59" i="115"/>
  <c r="W59" i="115"/>
  <c r="U59" i="115"/>
  <c r="S59" i="115"/>
  <c r="AE58" i="115"/>
  <c r="AC58" i="115"/>
  <c r="AA58" i="115"/>
  <c r="Y58" i="115"/>
  <c r="W58" i="115"/>
  <c r="U58" i="115"/>
  <c r="S58" i="115"/>
  <c r="AE57" i="115"/>
  <c r="AC57" i="115"/>
  <c r="AA57" i="115"/>
  <c r="Y57" i="115"/>
  <c r="W57" i="115"/>
  <c r="U57" i="115"/>
  <c r="S57" i="115"/>
  <c r="AE56" i="115"/>
  <c r="AC56" i="115"/>
  <c r="AA56" i="115"/>
  <c r="Y56" i="115"/>
  <c r="W56" i="115"/>
  <c r="U56" i="115"/>
  <c r="S56" i="115"/>
  <c r="AE55" i="115"/>
  <c r="AC55" i="115"/>
  <c r="AA55" i="115"/>
  <c r="Y55" i="115"/>
  <c r="W55" i="115"/>
  <c r="U55" i="115"/>
  <c r="S55" i="115"/>
  <c r="AE54" i="115"/>
  <c r="AC54" i="115"/>
  <c r="AA54" i="115"/>
  <c r="Y54" i="115"/>
  <c r="W54" i="115"/>
  <c r="U54" i="115"/>
  <c r="S54" i="115"/>
  <c r="AE53" i="115"/>
  <c r="AC53" i="115"/>
  <c r="AA53" i="115"/>
  <c r="Y53" i="115"/>
  <c r="W53" i="115"/>
  <c r="U53" i="115"/>
  <c r="S53" i="115"/>
  <c r="AE52" i="115"/>
  <c r="AC52" i="115"/>
  <c r="AA52" i="115"/>
  <c r="Y52" i="115"/>
  <c r="W52" i="115"/>
  <c r="U52" i="115"/>
  <c r="S52" i="115"/>
  <c r="AE51" i="115"/>
  <c r="AC51" i="115"/>
  <c r="AA51" i="115"/>
  <c r="Y51" i="115"/>
  <c r="W51" i="115"/>
  <c r="U51" i="115"/>
  <c r="S51" i="115"/>
  <c r="AE50" i="115"/>
  <c r="AC50" i="115"/>
  <c r="AA50" i="115"/>
  <c r="Y50" i="115"/>
  <c r="W50" i="115"/>
  <c r="U50" i="115"/>
  <c r="S50" i="115"/>
  <c r="AE49" i="115"/>
  <c r="AC49" i="115"/>
  <c r="AA49" i="115"/>
  <c r="Y49" i="115"/>
  <c r="W49" i="115"/>
  <c r="U49" i="115"/>
  <c r="S49" i="115"/>
  <c r="AE48" i="115"/>
  <c r="AC48" i="115"/>
  <c r="AA48" i="115"/>
  <c r="Y48" i="115"/>
  <c r="W48" i="115"/>
  <c r="U48" i="115"/>
  <c r="S48" i="115"/>
  <c r="AE47" i="115"/>
  <c r="AC47" i="115"/>
  <c r="AA47" i="115"/>
  <c r="Y47" i="115"/>
  <c r="W47" i="115"/>
  <c r="U47" i="115"/>
  <c r="S47" i="115"/>
  <c r="AE46" i="115"/>
  <c r="AC46" i="115"/>
  <c r="AA46" i="115"/>
  <c r="Y46" i="115"/>
  <c r="W46" i="115"/>
  <c r="U46" i="115"/>
  <c r="S46" i="115"/>
  <c r="AE45" i="115"/>
  <c r="AC45" i="115"/>
  <c r="AA45" i="115"/>
  <c r="Y45" i="115"/>
  <c r="W45" i="115"/>
  <c r="U45" i="115"/>
  <c r="S45" i="115"/>
  <c r="AE44" i="115"/>
  <c r="AC44" i="115"/>
  <c r="AA44" i="115"/>
  <c r="Y44" i="115"/>
  <c r="W44" i="115"/>
  <c r="U44" i="115"/>
  <c r="S44" i="115"/>
  <c r="AE43" i="115"/>
  <c r="AC43" i="115"/>
  <c r="AA43" i="115"/>
  <c r="Y43" i="115"/>
  <c r="W43" i="115"/>
  <c r="U43" i="115"/>
  <c r="S43" i="115"/>
  <c r="AE42" i="115"/>
  <c r="AC42" i="115"/>
  <c r="AA42" i="115"/>
  <c r="Y42" i="115"/>
  <c r="W42" i="115"/>
  <c r="U42" i="115"/>
  <c r="S42" i="115"/>
  <c r="AE41" i="115"/>
  <c r="AC41" i="115"/>
  <c r="AA41" i="115"/>
  <c r="Y41" i="115"/>
  <c r="W41" i="115"/>
  <c r="U41" i="115"/>
  <c r="S41" i="115"/>
  <c r="AE40" i="115"/>
  <c r="AC40" i="115"/>
  <c r="AA40" i="115"/>
  <c r="Y40" i="115"/>
  <c r="W40" i="115"/>
  <c r="U40" i="115"/>
  <c r="S40" i="115"/>
  <c r="AE39" i="115"/>
  <c r="AC39" i="115"/>
  <c r="AA39" i="115"/>
  <c r="Y39" i="115"/>
  <c r="W39" i="115"/>
  <c r="U39" i="115"/>
  <c r="S39" i="115"/>
  <c r="AE38" i="115"/>
  <c r="AC38" i="115"/>
  <c r="AA38" i="115"/>
  <c r="Y38" i="115"/>
  <c r="W38" i="115"/>
  <c r="U38" i="115"/>
  <c r="S38" i="115"/>
  <c r="AE37" i="115"/>
  <c r="AC37" i="115"/>
  <c r="AA37" i="115"/>
  <c r="Y37" i="115"/>
  <c r="W37" i="115"/>
  <c r="U37" i="115"/>
  <c r="S37" i="115"/>
  <c r="AE36" i="115"/>
  <c r="AC36" i="115"/>
  <c r="AA36" i="115"/>
  <c r="Y36" i="115"/>
  <c r="W36" i="115"/>
  <c r="U36" i="115"/>
  <c r="S36" i="115"/>
  <c r="AE35" i="115"/>
  <c r="AC35" i="115"/>
  <c r="AA35" i="115"/>
  <c r="Y35" i="115"/>
  <c r="W35" i="115"/>
  <c r="U35" i="115"/>
  <c r="S35" i="115"/>
  <c r="D31" i="115"/>
  <c r="E31" i="115" s="1"/>
  <c r="D30" i="115"/>
  <c r="E30" i="115" s="1"/>
  <c r="D29" i="115"/>
  <c r="E29" i="115" s="1"/>
  <c r="D28" i="115"/>
  <c r="E28" i="115" s="1"/>
  <c r="D27" i="115"/>
  <c r="E27" i="115" s="1"/>
  <c r="D26" i="115"/>
  <c r="E26" i="115" s="1"/>
  <c r="X25" i="115"/>
  <c r="AD24" i="115"/>
  <c r="V24" i="115"/>
  <c r="AD17" i="115"/>
  <c r="AD25" i="115" s="1"/>
  <c r="AB17" i="115"/>
  <c r="AB25" i="115" s="1"/>
  <c r="Z17" i="115"/>
  <c r="Z25" i="115" s="1"/>
  <c r="X17" i="115"/>
  <c r="V17" i="115"/>
  <c r="V25" i="115" s="1"/>
  <c r="T17" i="115"/>
  <c r="T25" i="115" s="1"/>
  <c r="R17" i="115"/>
  <c r="R25" i="115" s="1"/>
  <c r="AD16" i="115"/>
  <c r="AB16" i="115"/>
  <c r="AB24" i="115" s="1"/>
  <c r="Z16" i="115"/>
  <c r="X16" i="115"/>
  <c r="X24" i="115" s="1"/>
  <c r="V16" i="115"/>
  <c r="V18" i="115" s="1"/>
  <c r="V26" i="115" s="1"/>
  <c r="T16" i="115"/>
  <c r="T24" i="115" s="1"/>
  <c r="R16" i="115"/>
  <c r="P16" i="115"/>
  <c r="O16" i="115"/>
  <c r="N16" i="115"/>
  <c r="L16" i="115"/>
  <c r="K16" i="115"/>
  <c r="J16" i="115"/>
  <c r="H16" i="115"/>
  <c r="G16" i="115"/>
  <c r="F16" i="115"/>
  <c r="O15" i="115"/>
  <c r="AC14" i="115"/>
  <c r="AA14" i="115"/>
  <c r="U14" i="115"/>
  <c r="Q14" i="115"/>
  <c r="Y14" i="115" s="1"/>
  <c r="M14" i="115"/>
  <c r="I14" i="115"/>
  <c r="O13" i="115"/>
  <c r="Q12" i="115"/>
  <c r="M12" i="115"/>
  <c r="I12" i="115"/>
  <c r="O11" i="115"/>
  <c r="W10" i="115"/>
  <c r="Q10" i="115"/>
  <c r="M10" i="115"/>
  <c r="I10" i="115"/>
  <c r="O9" i="115"/>
  <c r="AE8" i="115"/>
  <c r="AC8" i="115"/>
  <c r="Y8" i="115"/>
  <c r="W8" i="115"/>
  <c r="Q8" i="115"/>
  <c r="U8" i="115" s="1"/>
  <c r="M8" i="115"/>
  <c r="I8" i="115"/>
  <c r="O7" i="115"/>
  <c r="AC6" i="115"/>
  <c r="Y6" i="115"/>
  <c r="S6" i="115"/>
  <c r="Q6" i="115"/>
  <c r="AE6" i="115" s="1"/>
  <c r="M6" i="115"/>
  <c r="I6" i="115"/>
  <c r="C3" i="115"/>
  <c r="AE64" i="114"/>
  <c r="AC64" i="114"/>
  <c r="AA64" i="114"/>
  <c r="Y64" i="114"/>
  <c r="W64" i="114"/>
  <c r="U64" i="114"/>
  <c r="S64" i="114"/>
  <c r="AE63" i="114"/>
  <c r="AC63" i="114"/>
  <c r="AA63" i="114"/>
  <c r="Y63" i="114"/>
  <c r="W63" i="114"/>
  <c r="U63" i="114"/>
  <c r="S63" i="114"/>
  <c r="AE62" i="114"/>
  <c r="AC62" i="114"/>
  <c r="AA62" i="114"/>
  <c r="Y62" i="114"/>
  <c r="W62" i="114"/>
  <c r="U62" i="114"/>
  <c r="S62" i="114"/>
  <c r="AE61" i="114"/>
  <c r="AC61" i="114"/>
  <c r="AA61" i="114"/>
  <c r="Y61" i="114"/>
  <c r="W61" i="114"/>
  <c r="U61" i="114"/>
  <c r="S61" i="114"/>
  <c r="AE60" i="114"/>
  <c r="AC60" i="114"/>
  <c r="AA60" i="114"/>
  <c r="Y60" i="114"/>
  <c r="W60" i="114"/>
  <c r="U60" i="114"/>
  <c r="S60" i="114"/>
  <c r="AE59" i="114"/>
  <c r="AC59" i="114"/>
  <c r="AA59" i="114"/>
  <c r="Y59" i="114"/>
  <c r="W59" i="114"/>
  <c r="U59" i="114"/>
  <c r="S59" i="114"/>
  <c r="AE58" i="114"/>
  <c r="AC58" i="114"/>
  <c r="AA58" i="114"/>
  <c r="Y58" i="114"/>
  <c r="W58" i="114"/>
  <c r="U58" i="114"/>
  <c r="S58" i="114"/>
  <c r="AE57" i="114"/>
  <c r="AC57" i="114"/>
  <c r="AA57" i="114"/>
  <c r="Y57" i="114"/>
  <c r="W57" i="114"/>
  <c r="U57" i="114"/>
  <c r="S57" i="114"/>
  <c r="AE56" i="114"/>
  <c r="AC56" i="114"/>
  <c r="AA56" i="114"/>
  <c r="Y56" i="114"/>
  <c r="W56" i="114"/>
  <c r="U56" i="114"/>
  <c r="S56" i="114"/>
  <c r="AE55" i="114"/>
  <c r="AC55" i="114"/>
  <c r="AA55" i="114"/>
  <c r="Y55" i="114"/>
  <c r="W55" i="114"/>
  <c r="U55" i="114"/>
  <c r="S55" i="114"/>
  <c r="AE54" i="114"/>
  <c r="AC54" i="114"/>
  <c r="AA54" i="114"/>
  <c r="Y54" i="114"/>
  <c r="W54" i="114"/>
  <c r="U54" i="114"/>
  <c r="S54" i="114"/>
  <c r="AE53" i="114"/>
  <c r="AC53" i="114"/>
  <c r="AA53" i="114"/>
  <c r="Y53" i="114"/>
  <c r="W53" i="114"/>
  <c r="U53" i="114"/>
  <c r="S53" i="114"/>
  <c r="AE52" i="114"/>
  <c r="AC52" i="114"/>
  <c r="AA52" i="114"/>
  <c r="Y52" i="114"/>
  <c r="W52" i="114"/>
  <c r="U52" i="114"/>
  <c r="S52" i="114"/>
  <c r="AE51" i="114"/>
  <c r="AC51" i="114"/>
  <c r="AA51" i="114"/>
  <c r="Y51" i="114"/>
  <c r="W51" i="114"/>
  <c r="U51" i="114"/>
  <c r="S51" i="114"/>
  <c r="AE50" i="114"/>
  <c r="AC50" i="114"/>
  <c r="AA50" i="114"/>
  <c r="Y50" i="114"/>
  <c r="W50" i="114"/>
  <c r="U50" i="114"/>
  <c r="S50" i="114"/>
  <c r="AE49" i="114"/>
  <c r="AC49" i="114"/>
  <c r="AA49" i="114"/>
  <c r="Y49" i="114"/>
  <c r="W49" i="114"/>
  <c r="U49" i="114"/>
  <c r="S49" i="114"/>
  <c r="AE48" i="114"/>
  <c r="AC48" i="114"/>
  <c r="AA48" i="114"/>
  <c r="Y48" i="114"/>
  <c r="W48" i="114"/>
  <c r="U48" i="114"/>
  <c r="S48" i="114"/>
  <c r="AE47" i="114"/>
  <c r="AC47" i="114"/>
  <c r="AA47" i="114"/>
  <c r="Y47" i="114"/>
  <c r="W47" i="114"/>
  <c r="U47" i="114"/>
  <c r="S47" i="114"/>
  <c r="AE46" i="114"/>
  <c r="AC46" i="114"/>
  <c r="AA46" i="114"/>
  <c r="Y46" i="114"/>
  <c r="W46" i="114"/>
  <c r="U46" i="114"/>
  <c r="S46" i="114"/>
  <c r="AE45" i="114"/>
  <c r="AC45" i="114"/>
  <c r="AA45" i="114"/>
  <c r="Y45" i="114"/>
  <c r="W45" i="114"/>
  <c r="U45" i="114"/>
  <c r="S45" i="114"/>
  <c r="AE44" i="114"/>
  <c r="AC44" i="114"/>
  <c r="AA44" i="114"/>
  <c r="Y44" i="114"/>
  <c r="W44" i="114"/>
  <c r="U44" i="114"/>
  <c r="S44" i="114"/>
  <c r="AE43" i="114"/>
  <c r="AC43" i="114"/>
  <c r="AA43" i="114"/>
  <c r="Y43" i="114"/>
  <c r="W43" i="114"/>
  <c r="U43" i="114"/>
  <c r="S43" i="114"/>
  <c r="AE42" i="114"/>
  <c r="AC42" i="114"/>
  <c r="AA42" i="114"/>
  <c r="Y42" i="114"/>
  <c r="W42" i="114"/>
  <c r="U42" i="114"/>
  <c r="S42" i="114"/>
  <c r="AE41" i="114"/>
  <c r="AC41" i="114"/>
  <c r="AA41" i="114"/>
  <c r="Y41" i="114"/>
  <c r="W41" i="114"/>
  <c r="U41" i="114"/>
  <c r="S41" i="114"/>
  <c r="AE40" i="114"/>
  <c r="AC40" i="114"/>
  <c r="AA40" i="114"/>
  <c r="Y40" i="114"/>
  <c r="W40" i="114"/>
  <c r="U40" i="114"/>
  <c r="S40" i="114"/>
  <c r="AE39" i="114"/>
  <c r="AC39" i="114"/>
  <c r="AA39" i="114"/>
  <c r="Y39" i="114"/>
  <c r="W39" i="114"/>
  <c r="U39" i="114"/>
  <c r="S39" i="114"/>
  <c r="AE38" i="114"/>
  <c r="AC38" i="114"/>
  <c r="AA38" i="114"/>
  <c r="Y38" i="114"/>
  <c r="W38" i="114"/>
  <c r="U38" i="114"/>
  <c r="S38" i="114"/>
  <c r="AE37" i="114"/>
  <c r="AC37" i="114"/>
  <c r="AA37" i="114"/>
  <c r="Y37" i="114"/>
  <c r="W37" i="114"/>
  <c r="U37" i="114"/>
  <c r="S37" i="114"/>
  <c r="AE36" i="114"/>
  <c r="AC36" i="114"/>
  <c r="AA36" i="114"/>
  <c r="Y36" i="114"/>
  <c r="W36" i="114"/>
  <c r="U36" i="114"/>
  <c r="S36" i="114"/>
  <c r="AE35" i="114"/>
  <c r="AC35" i="114"/>
  <c r="AA35" i="114"/>
  <c r="Y35" i="114"/>
  <c r="W35" i="114"/>
  <c r="U35" i="114"/>
  <c r="S35" i="114"/>
  <c r="D31" i="114"/>
  <c r="E31" i="114" s="1"/>
  <c r="D30" i="114"/>
  <c r="E30" i="114" s="1"/>
  <c r="D29" i="114"/>
  <c r="E29" i="114" s="1"/>
  <c r="E28" i="114"/>
  <c r="D28" i="114"/>
  <c r="D27" i="114"/>
  <c r="E27" i="114" s="1"/>
  <c r="Z26" i="114"/>
  <c r="D26" i="114"/>
  <c r="E26" i="114" s="1"/>
  <c r="X25" i="114"/>
  <c r="T25" i="114"/>
  <c r="Z24" i="114"/>
  <c r="AD17" i="114"/>
  <c r="AD25" i="114" s="1"/>
  <c r="AB17" i="114"/>
  <c r="AB25" i="114" s="1"/>
  <c r="Z17" i="114"/>
  <c r="Z25" i="114" s="1"/>
  <c r="X17" i="114"/>
  <c r="V17" i="114"/>
  <c r="V25" i="114" s="1"/>
  <c r="T17" i="114"/>
  <c r="R17" i="114"/>
  <c r="R25" i="114" s="1"/>
  <c r="AE16" i="114"/>
  <c r="AD16" i="114"/>
  <c r="AD24" i="114" s="1"/>
  <c r="AB16" i="114"/>
  <c r="AB18" i="114" s="1"/>
  <c r="AB26" i="114" s="1"/>
  <c r="AA16" i="114"/>
  <c r="Z16" i="114"/>
  <c r="Z18" i="114" s="1"/>
  <c r="X16" i="114"/>
  <c r="X24" i="114" s="1"/>
  <c r="V16" i="114"/>
  <c r="T16" i="114"/>
  <c r="U16" i="114" s="1"/>
  <c r="R16" i="114"/>
  <c r="P16" i="114"/>
  <c r="O16" i="114"/>
  <c r="N16" i="114"/>
  <c r="L16" i="114"/>
  <c r="K16" i="114"/>
  <c r="J16" i="114"/>
  <c r="H16" i="114"/>
  <c r="G16" i="114"/>
  <c r="F16" i="114"/>
  <c r="O15" i="114"/>
  <c r="AE14" i="114"/>
  <c r="AC14" i="114"/>
  <c r="AA14" i="114"/>
  <c r="Y14" i="114"/>
  <c r="W14" i="114"/>
  <c r="U14" i="114"/>
  <c r="S14" i="114"/>
  <c r="Q14" i="114"/>
  <c r="M14" i="114"/>
  <c r="I14" i="114"/>
  <c r="O13" i="114"/>
  <c r="AE12" i="114"/>
  <c r="AC12" i="114"/>
  <c r="AA12" i="114"/>
  <c r="Y12" i="114"/>
  <c r="W12" i="114"/>
  <c r="U12" i="114"/>
  <c r="S12" i="114"/>
  <c r="Q12" i="114"/>
  <c r="M12" i="114"/>
  <c r="I12" i="114"/>
  <c r="O11" i="114"/>
  <c r="AE10" i="114"/>
  <c r="AC10" i="114"/>
  <c r="AA10" i="114"/>
  <c r="Y10" i="114"/>
  <c r="W10" i="114"/>
  <c r="U10" i="114"/>
  <c r="S10" i="114"/>
  <c r="Q10" i="114"/>
  <c r="M10" i="114"/>
  <c r="I10" i="114"/>
  <c r="O9" i="114"/>
  <c r="AE8" i="114"/>
  <c r="AC8" i="114"/>
  <c r="AA8" i="114"/>
  <c r="Y8" i="114"/>
  <c r="W8" i="114"/>
  <c r="U8" i="114"/>
  <c r="S8" i="114"/>
  <c r="Q8" i="114"/>
  <c r="M8" i="114"/>
  <c r="I8" i="114"/>
  <c r="O7" i="114"/>
  <c r="AE6" i="114"/>
  <c r="AC6" i="114"/>
  <c r="AA6" i="114"/>
  <c r="Y6" i="114"/>
  <c r="W6" i="114"/>
  <c r="U6" i="114"/>
  <c r="S6" i="114"/>
  <c r="Q6" i="114"/>
  <c r="M6" i="114"/>
  <c r="I6" i="114"/>
  <c r="I16" i="114" s="1"/>
  <c r="C3" i="114"/>
  <c r="AE64" i="113"/>
  <c r="AC64" i="113"/>
  <c r="AA64" i="113"/>
  <c r="Y64" i="113"/>
  <c r="W64" i="113"/>
  <c r="U64" i="113"/>
  <c r="S64" i="113"/>
  <c r="AE63" i="113"/>
  <c r="AC63" i="113"/>
  <c r="AA63" i="113"/>
  <c r="Y63" i="113"/>
  <c r="W63" i="113"/>
  <c r="U63" i="113"/>
  <c r="S63" i="113"/>
  <c r="AE62" i="113"/>
  <c r="AC62" i="113"/>
  <c r="AA62" i="113"/>
  <c r="Y62" i="113"/>
  <c r="W62" i="113"/>
  <c r="U62" i="113"/>
  <c r="S62" i="113"/>
  <c r="AE61" i="113"/>
  <c r="AC61" i="113"/>
  <c r="AA61" i="113"/>
  <c r="Y61" i="113"/>
  <c r="W61" i="113"/>
  <c r="U61" i="113"/>
  <c r="S61" i="113"/>
  <c r="AE60" i="113"/>
  <c r="AC60" i="113"/>
  <c r="AA60" i="113"/>
  <c r="Y60" i="113"/>
  <c r="W60" i="113"/>
  <c r="U60" i="113"/>
  <c r="S60" i="113"/>
  <c r="AE59" i="113"/>
  <c r="AC59" i="113"/>
  <c r="AA59" i="113"/>
  <c r="Y59" i="113"/>
  <c r="W59" i="113"/>
  <c r="U59" i="113"/>
  <c r="S59" i="113"/>
  <c r="AE58" i="113"/>
  <c r="AC58" i="113"/>
  <c r="AA58" i="113"/>
  <c r="Y58" i="113"/>
  <c r="W58" i="113"/>
  <c r="U58" i="113"/>
  <c r="S58" i="113"/>
  <c r="AE57" i="113"/>
  <c r="AC57" i="113"/>
  <c r="AA57" i="113"/>
  <c r="Y57" i="113"/>
  <c r="W57" i="113"/>
  <c r="U57" i="113"/>
  <c r="S57" i="113"/>
  <c r="AE56" i="113"/>
  <c r="AC56" i="113"/>
  <c r="AA56" i="113"/>
  <c r="Y56" i="113"/>
  <c r="W56" i="113"/>
  <c r="U56" i="113"/>
  <c r="S56" i="113"/>
  <c r="AE55" i="113"/>
  <c r="AC55" i="113"/>
  <c r="AA55" i="113"/>
  <c r="Y55" i="113"/>
  <c r="W55" i="113"/>
  <c r="U55" i="113"/>
  <c r="S55" i="113"/>
  <c r="AE54" i="113"/>
  <c r="AC54" i="113"/>
  <c r="AA54" i="113"/>
  <c r="Y54" i="113"/>
  <c r="W54" i="113"/>
  <c r="U54" i="113"/>
  <c r="S54" i="113"/>
  <c r="AE53" i="113"/>
  <c r="AC53" i="113"/>
  <c r="AA53" i="113"/>
  <c r="Y53" i="113"/>
  <c r="W53" i="113"/>
  <c r="U53" i="113"/>
  <c r="S53" i="113"/>
  <c r="AE52" i="113"/>
  <c r="AC52" i="113"/>
  <c r="AA52" i="113"/>
  <c r="Y52" i="113"/>
  <c r="W52" i="113"/>
  <c r="U52" i="113"/>
  <c r="S52" i="113"/>
  <c r="AE51" i="113"/>
  <c r="AC51" i="113"/>
  <c r="AA51" i="113"/>
  <c r="Y51" i="113"/>
  <c r="W51" i="113"/>
  <c r="U51" i="113"/>
  <c r="S51" i="113"/>
  <c r="AE50" i="113"/>
  <c r="AC50" i="113"/>
  <c r="AA50" i="113"/>
  <c r="Y50" i="113"/>
  <c r="W50" i="113"/>
  <c r="U50" i="113"/>
  <c r="S50" i="113"/>
  <c r="AE49" i="113"/>
  <c r="AC49" i="113"/>
  <c r="AA49" i="113"/>
  <c r="Y49" i="113"/>
  <c r="W49" i="113"/>
  <c r="U49" i="113"/>
  <c r="S49" i="113"/>
  <c r="AE48" i="113"/>
  <c r="AC48" i="113"/>
  <c r="AA48" i="113"/>
  <c r="Y48" i="113"/>
  <c r="W48" i="113"/>
  <c r="U48" i="113"/>
  <c r="S48" i="113"/>
  <c r="AE47" i="113"/>
  <c r="AC47" i="113"/>
  <c r="AA47" i="113"/>
  <c r="Y47" i="113"/>
  <c r="W47" i="113"/>
  <c r="U47" i="113"/>
  <c r="S47" i="113"/>
  <c r="AE46" i="113"/>
  <c r="AC46" i="113"/>
  <c r="AA46" i="113"/>
  <c r="Y46" i="113"/>
  <c r="W46" i="113"/>
  <c r="U46" i="113"/>
  <c r="S46" i="113"/>
  <c r="AE45" i="113"/>
  <c r="AC45" i="113"/>
  <c r="AA45" i="113"/>
  <c r="Y45" i="113"/>
  <c r="W45" i="113"/>
  <c r="U45" i="113"/>
  <c r="S45" i="113"/>
  <c r="AE44" i="113"/>
  <c r="AC44" i="113"/>
  <c r="AA44" i="113"/>
  <c r="Y44" i="113"/>
  <c r="W44" i="113"/>
  <c r="U44" i="113"/>
  <c r="S44" i="113"/>
  <c r="AE43" i="113"/>
  <c r="AC43" i="113"/>
  <c r="AA43" i="113"/>
  <c r="Y43" i="113"/>
  <c r="W43" i="113"/>
  <c r="U43" i="113"/>
  <c r="S43" i="113"/>
  <c r="AE42" i="113"/>
  <c r="AC42" i="113"/>
  <c r="AA42" i="113"/>
  <c r="Y42" i="113"/>
  <c r="W42" i="113"/>
  <c r="U42" i="113"/>
  <c r="S42" i="113"/>
  <c r="AE41" i="113"/>
  <c r="AC41" i="113"/>
  <c r="AA41" i="113"/>
  <c r="Y41" i="113"/>
  <c r="W41" i="113"/>
  <c r="U41" i="113"/>
  <c r="S41" i="113"/>
  <c r="AE40" i="113"/>
  <c r="AC40" i="113"/>
  <c r="AA40" i="113"/>
  <c r="Y40" i="113"/>
  <c r="W40" i="113"/>
  <c r="U40" i="113"/>
  <c r="S40" i="113"/>
  <c r="AE39" i="113"/>
  <c r="AC39" i="113"/>
  <c r="AA39" i="113"/>
  <c r="Y39" i="113"/>
  <c r="W39" i="113"/>
  <c r="U39" i="113"/>
  <c r="S39" i="113"/>
  <c r="AE38" i="113"/>
  <c r="AC38" i="113"/>
  <c r="AA38" i="113"/>
  <c r="Y38" i="113"/>
  <c r="W38" i="113"/>
  <c r="U38" i="113"/>
  <c r="S38" i="113"/>
  <c r="AE37" i="113"/>
  <c r="AC37" i="113"/>
  <c r="AA37" i="113"/>
  <c r="Y37" i="113"/>
  <c r="W37" i="113"/>
  <c r="U37" i="113"/>
  <c r="S37" i="113"/>
  <c r="AE36" i="113"/>
  <c r="AC36" i="113"/>
  <c r="AA36" i="113"/>
  <c r="Y36" i="113"/>
  <c r="W36" i="113"/>
  <c r="U36" i="113"/>
  <c r="S36" i="113"/>
  <c r="AE35" i="113"/>
  <c r="AC35" i="113"/>
  <c r="AA35" i="113"/>
  <c r="Y35" i="113"/>
  <c r="W35" i="113"/>
  <c r="U35" i="113"/>
  <c r="S35" i="113"/>
  <c r="D31" i="113"/>
  <c r="E31" i="113" s="1"/>
  <c r="E30" i="113"/>
  <c r="D30" i="113"/>
  <c r="D29" i="113"/>
  <c r="E29" i="113" s="1"/>
  <c r="D28" i="113"/>
  <c r="E28" i="113" s="1"/>
  <c r="D27" i="113"/>
  <c r="E27" i="113" s="1"/>
  <c r="D26" i="113"/>
  <c r="E26" i="113" s="1"/>
  <c r="AB25" i="113"/>
  <c r="AD24" i="113"/>
  <c r="AD17" i="113"/>
  <c r="AD25" i="113" s="1"/>
  <c r="AB17" i="113"/>
  <c r="Z17" i="113"/>
  <c r="Z25" i="113" s="1"/>
  <c r="X17" i="113"/>
  <c r="X25" i="113" s="1"/>
  <c r="V17" i="113"/>
  <c r="V25" i="113" s="1"/>
  <c r="T17" i="113"/>
  <c r="T25" i="113" s="1"/>
  <c r="R17" i="113"/>
  <c r="R25" i="113" s="1"/>
  <c r="AD16" i="113"/>
  <c r="AB16" i="113"/>
  <c r="AB24" i="113" s="1"/>
  <c r="Z16" i="113"/>
  <c r="X16" i="113"/>
  <c r="X18" i="113" s="1"/>
  <c r="X26" i="113" s="1"/>
  <c r="V16" i="113"/>
  <c r="T16" i="113"/>
  <c r="T24" i="113" s="1"/>
  <c r="R16" i="113"/>
  <c r="P16" i="113"/>
  <c r="O16" i="113"/>
  <c r="N16" i="113"/>
  <c r="L16" i="113"/>
  <c r="K16" i="113"/>
  <c r="J16" i="113"/>
  <c r="H16" i="113"/>
  <c r="G16" i="113"/>
  <c r="F16" i="113"/>
  <c r="O15" i="113"/>
  <c r="Q14" i="113"/>
  <c r="M14" i="113"/>
  <c r="I14" i="113"/>
  <c r="O13" i="113"/>
  <c r="Q12" i="113"/>
  <c r="M12" i="113"/>
  <c r="I12" i="113"/>
  <c r="O11" i="113"/>
  <c r="AC10" i="113"/>
  <c r="Y10" i="113"/>
  <c r="Q10" i="113"/>
  <c r="U10" i="113" s="1"/>
  <c r="M10" i="113"/>
  <c r="I10" i="113"/>
  <c r="O9" i="113"/>
  <c r="AC8" i="113"/>
  <c r="AA8" i="113"/>
  <c r="Q8" i="113"/>
  <c r="U8" i="113" s="1"/>
  <c r="M8" i="113"/>
  <c r="I8" i="113"/>
  <c r="O7" i="113"/>
  <c r="AE6" i="113"/>
  <c r="Q6" i="113"/>
  <c r="Y6" i="113" s="1"/>
  <c r="M6" i="113"/>
  <c r="I6" i="113"/>
  <c r="C3" i="113"/>
  <c r="AE64" i="112"/>
  <c r="AC64" i="112"/>
  <c r="AA64" i="112"/>
  <c r="Y64" i="112"/>
  <c r="W64" i="112"/>
  <c r="U64" i="112"/>
  <c r="S64" i="112"/>
  <c r="AE63" i="112"/>
  <c r="AC63" i="112"/>
  <c r="AA63" i="112"/>
  <c r="Y63" i="112"/>
  <c r="W63" i="112"/>
  <c r="U63" i="112"/>
  <c r="S63" i="112"/>
  <c r="AE62" i="112"/>
  <c r="AC62" i="112"/>
  <c r="AA62" i="112"/>
  <c r="Y62" i="112"/>
  <c r="W62" i="112"/>
  <c r="U62" i="112"/>
  <c r="S62" i="112"/>
  <c r="AE61" i="112"/>
  <c r="AC61" i="112"/>
  <c r="AA61" i="112"/>
  <c r="Y61" i="112"/>
  <c r="W61" i="112"/>
  <c r="U61" i="112"/>
  <c r="S61" i="112"/>
  <c r="AE60" i="112"/>
  <c r="AC60" i="112"/>
  <c r="AA60" i="112"/>
  <c r="Y60" i="112"/>
  <c r="W60" i="112"/>
  <c r="U60" i="112"/>
  <c r="S60" i="112"/>
  <c r="AE59" i="112"/>
  <c r="AC59" i="112"/>
  <c r="AA59" i="112"/>
  <c r="Y59" i="112"/>
  <c r="W59" i="112"/>
  <c r="U59" i="112"/>
  <c r="S59" i="112"/>
  <c r="AE58" i="112"/>
  <c r="AC58" i="112"/>
  <c r="AA58" i="112"/>
  <c r="Y58" i="112"/>
  <c r="W58" i="112"/>
  <c r="U58" i="112"/>
  <c r="S58" i="112"/>
  <c r="AE57" i="112"/>
  <c r="AC57" i="112"/>
  <c r="AA57" i="112"/>
  <c r="Y57" i="112"/>
  <c r="W57" i="112"/>
  <c r="U57" i="112"/>
  <c r="S57" i="112"/>
  <c r="AE56" i="112"/>
  <c r="AC56" i="112"/>
  <c r="AA56" i="112"/>
  <c r="Y56" i="112"/>
  <c r="W56" i="112"/>
  <c r="U56" i="112"/>
  <c r="S56" i="112"/>
  <c r="AE55" i="112"/>
  <c r="AC55" i="112"/>
  <c r="AA55" i="112"/>
  <c r="Y55" i="112"/>
  <c r="W55" i="112"/>
  <c r="U55" i="112"/>
  <c r="S55" i="112"/>
  <c r="AE54" i="112"/>
  <c r="AC54" i="112"/>
  <c r="AA54" i="112"/>
  <c r="Y54" i="112"/>
  <c r="W54" i="112"/>
  <c r="U54" i="112"/>
  <c r="S54" i="112"/>
  <c r="AE53" i="112"/>
  <c r="AC53" i="112"/>
  <c r="AA53" i="112"/>
  <c r="Y53" i="112"/>
  <c r="W53" i="112"/>
  <c r="U53" i="112"/>
  <c r="S53" i="112"/>
  <c r="AE52" i="112"/>
  <c r="AC52" i="112"/>
  <c r="AA52" i="112"/>
  <c r="Y52" i="112"/>
  <c r="W52" i="112"/>
  <c r="U52" i="112"/>
  <c r="S52" i="112"/>
  <c r="AE51" i="112"/>
  <c r="AC51" i="112"/>
  <c r="AA51" i="112"/>
  <c r="Y51" i="112"/>
  <c r="W51" i="112"/>
  <c r="U51" i="112"/>
  <c r="S51" i="112"/>
  <c r="AE50" i="112"/>
  <c r="AC50" i="112"/>
  <c r="AA50" i="112"/>
  <c r="Y50" i="112"/>
  <c r="W50" i="112"/>
  <c r="U50" i="112"/>
  <c r="S50" i="112"/>
  <c r="AE49" i="112"/>
  <c r="AC49" i="112"/>
  <c r="AA49" i="112"/>
  <c r="Y49" i="112"/>
  <c r="W49" i="112"/>
  <c r="U49" i="112"/>
  <c r="S49" i="112"/>
  <c r="AE48" i="112"/>
  <c r="AC48" i="112"/>
  <c r="AA48" i="112"/>
  <c r="Y48" i="112"/>
  <c r="W48" i="112"/>
  <c r="U48" i="112"/>
  <c r="S48" i="112"/>
  <c r="AE47" i="112"/>
  <c r="AC47" i="112"/>
  <c r="AA47" i="112"/>
  <c r="Y47" i="112"/>
  <c r="W47" i="112"/>
  <c r="U47" i="112"/>
  <c r="S47" i="112"/>
  <c r="AE46" i="112"/>
  <c r="AC46" i="112"/>
  <c r="AA46" i="112"/>
  <c r="Y46" i="112"/>
  <c r="W46" i="112"/>
  <c r="U46" i="112"/>
  <c r="S46" i="112"/>
  <c r="AE45" i="112"/>
  <c r="AC45" i="112"/>
  <c r="AA45" i="112"/>
  <c r="Y45" i="112"/>
  <c r="W45" i="112"/>
  <c r="U45" i="112"/>
  <c r="S45" i="112"/>
  <c r="AE44" i="112"/>
  <c r="AC44" i="112"/>
  <c r="AA44" i="112"/>
  <c r="Y44" i="112"/>
  <c r="W44" i="112"/>
  <c r="U44" i="112"/>
  <c r="S44" i="112"/>
  <c r="AE43" i="112"/>
  <c r="AC43" i="112"/>
  <c r="AA43" i="112"/>
  <c r="Y43" i="112"/>
  <c r="W43" i="112"/>
  <c r="U43" i="112"/>
  <c r="S43" i="112"/>
  <c r="AE42" i="112"/>
  <c r="AC42" i="112"/>
  <c r="AA42" i="112"/>
  <c r="Y42" i="112"/>
  <c r="W42" i="112"/>
  <c r="U42" i="112"/>
  <c r="S42" i="112"/>
  <c r="AE41" i="112"/>
  <c r="AC41" i="112"/>
  <c r="AA41" i="112"/>
  <c r="Y41" i="112"/>
  <c r="W41" i="112"/>
  <c r="U41" i="112"/>
  <c r="S41" i="112"/>
  <c r="AE40" i="112"/>
  <c r="AC40" i="112"/>
  <c r="AA40" i="112"/>
  <c r="Y40" i="112"/>
  <c r="W40" i="112"/>
  <c r="U40" i="112"/>
  <c r="S40" i="112"/>
  <c r="AE39" i="112"/>
  <c r="AC39" i="112"/>
  <c r="AA39" i="112"/>
  <c r="Y39" i="112"/>
  <c r="W39" i="112"/>
  <c r="U39" i="112"/>
  <c r="S39" i="112"/>
  <c r="AE38" i="112"/>
  <c r="AC38" i="112"/>
  <c r="AA38" i="112"/>
  <c r="Y38" i="112"/>
  <c r="W38" i="112"/>
  <c r="U38" i="112"/>
  <c r="S38" i="112"/>
  <c r="AE37" i="112"/>
  <c r="AC37" i="112"/>
  <c r="AA37" i="112"/>
  <c r="Y37" i="112"/>
  <c r="W37" i="112"/>
  <c r="U37" i="112"/>
  <c r="S37" i="112"/>
  <c r="AE36" i="112"/>
  <c r="AC36" i="112"/>
  <c r="AA36" i="112"/>
  <c r="Y36" i="112"/>
  <c r="W36" i="112"/>
  <c r="U36" i="112"/>
  <c r="S36" i="112"/>
  <c r="AE35" i="112"/>
  <c r="AC35" i="112"/>
  <c r="AA35" i="112"/>
  <c r="Y35" i="112"/>
  <c r="W35" i="112"/>
  <c r="U35" i="112"/>
  <c r="S35" i="112"/>
  <c r="D31" i="112"/>
  <c r="E31" i="112" s="1"/>
  <c r="D30" i="112"/>
  <c r="E30" i="112" s="1"/>
  <c r="D29" i="112"/>
  <c r="E29" i="112" s="1"/>
  <c r="E28" i="112"/>
  <c r="D28" i="112"/>
  <c r="D27" i="112"/>
  <c r="E27" i="112" s="1"/>
  <c r="D26" i="112"/>
  <c r="E26" i="112" s="1"/>
  <c r="T25" i="112"/>
  <c r="R25" i="112"/>
  <c r="T18" i="112"/>
  <c r="T26" i="112" s="1"/>
  <c r="AD17" i="112"/>
  <c r="AD25" i="112" s="1"/>
  <c r="AB17" i="112"/>
  <c r="AB25" i="112" s="1"/>
  <c r="Z17" i="112"/>
  <c r="Z25" i="112" s="1"/>
  <c r="X17" i="112"/>
  <c r="X25" i="112" s="1"/>
  <c r="V17" i="112"/>
  <c r="V25" i="112" s="1"/>
  <c r="T17" i="112"/>
  <c r="R17" i="112"/>
  <c r="AD16" i="112"/>
  <c r="AD24" i="112" s="1"/>
  <c r="AB16" i="112"/>
  <c r="AB18" i="112" s="1"/>
  <c r="AB26" i="112" s="1"/>
  <c r="Z16" i="112"/>
  <c r="X16" i="112"/>
  <c r="X24" i="112" s="1"/>
  <c r="V16" i="112"/>
  <c r="T16" i="112"/>
  <c r="R16" i="112"/>
  <c r="R18" i="112" s="1"/>
  <c r="R26" i="112" s="1"/>
  <c r="P16" i="112"/>
  <c r="O16" i="112"/>
  <c r="N16" i="112"/>
  <c r="L16" i="112"/>
  <c r="K16" i="112"/>
  <c r="J16" i="112"/>
  <c r="H16" i="112"/>
  <c r="G16" i="112"/>
  <c r="F16" i="112"/>
  <c r="O15" i="112"/>
  <c r="AE14" i="112"/>
  <c r="Y14" i="112"/>
  <c r="U14" i="112"/>
  <c r="Q14" i="112"/>
  <c r="AA14" i="112" s="1"/>
  <c r="M14" i="112"/>
  <c r="I14" i="112"/>
  <c r="O13" i="112"/>
  <c r="AC12" i="112"/>
  <c r="AA12" i="112"/>
  <c r="Q12" i="112"/>
  <c r="W12" i="112" s="1"/>
  <c r="M12" i="112"/>
  <c r="I12" i="112"/>
  <c r="O11" i="112"/>
  <c r="Q10" i="112"/>
  <c r="M10" i="112"/>
  <c r="I10" i="112"/>
  <c r="O9" i="112"/>
  <c r="AE8" i="112"/>
  <c r="W8" i="112"/>
  <c r="U8" i="112"/>
  <c r="Q8" i="112"/>
  <c r="S8" i="112" s="1"/>
  <c r="M8" i="112"/>
  <c r="I8" i="112"/>
  <c r="O7" i="112"/>
  <c r="Q6" i="112"/>
  <c r="M6" i="112"/>
  <c r="I6" i="112"/>
  <c r="C3" i="112"/>
  <c r="AE64" i="111"/>
  <c r="AC64" i="111"/>
  <c r="AA64" i="111"/>
  <c r="Y64" i="111"/>
  <c r="W64" i="111"/>
  <c r="U64" i="111"/>
  <c r="S64" i="111"/>
  <c r="AE63" i="111"/>
  <c r="AC63" i="111"/>
  <c r="AA63" i="111"/>
  <c r="Y63" i="111"/>
  <c r="W63" i="111"/>
  <c r="U63" i="111"/>
  <c r="S63" i="111"/>
  <c r="AE62" i="111"/>
  <c r="AC62" i="111"/>
  <c r="AA62" i="111"/>
  <c r="Y62" i="111"/>
  <c r="W62" i="111"/>
  <c r="U62" i="111"/>
  <c r="S62" i="111"/>
  <c r="AE61" i="111"/>
  <c r="AC61" i="111"/>
  <c r="AA61" i="111"/>
  <c r="Y61" i="111"/>
  <c r="W61" i="111"/>
  <c r="U61" i="111"/>
  <c r="S61" i="111"/>
  <c r="AE60" i="111"/>
  <c r="AC60" i="111"/>
  <c r="AA60" i="111"/>
  <c r="Y60" i="111"/>
  <c r="W60" i="111"/>
  <c r="U60" i="111"/>
  <c r="S60" i="111"/>
  <c r="AE59" i="111"/>
  <c r="AC59" i="111"/>
  <c r="AA59" i="111"/>
  <c r="Y59" i="111"/>
  <c r="W59" i="111"/>
  <c r="U59" i="111"/>
  <c r="S59" i="111"/>
  <c r="AE58" i="111"/>
  <c r="AC58" i="111"/>
  <c r="AA58" i="111"/>
  <c r="Y58" i="111"/>
  <c r="W58" i="111"/>
  <c r="U58" i="111"/>
  <c r="S58" i="111"/>
  <c r="AE57" i="111"/>
  <c r="AC57" i="111"/>
  <c r="AA57" i="111"/>
  <c r="Y57" i="111"/>
  <c r="W57" i="111"/>
  <c r="U57" i="111"/>
  <c r="S57" i="111"/>
  <c r="AE56" i="111"/>
  <c r="AC56" i="111"/>
  <c r="AA56" i="111"/>
  <c r="Y56" i="111"/>
  <c r="W56" i="111"/>
  <c r="U56" i="111"/>
  <c r="S56" i="111"/>
  <c r="AE55" i="111"/>
  <c r="AC55" i="111"/>
  <c r="AA55" i="111"/>
  <c r="Y55" i="111"/>
  <c r="W55" i="111"/>
  <c r="U55" i="111"/>
  <c r="S55" i="111"/>
  <c r="AE54" i="111"/>
  <c r="AC54" i="111"/>
  <c r="AA54" i="111"/>
  <c r="Y54" i="111"/>
  <c r="W54" i="111"/>
  <c r="U54" i="111"/>
  <c r="S54" i="111"/>
  <c r="AE53" i="111"/>
  <c r="AC53" i="111"/>
  <c r="AA53" i="111"/>
  <c r="Y53" i="111"/>
  <c r="W53" i="111"/>
  <c r="U53" i="111"/>
  <c r="S53" i="111"/>
  <c r="AE52" i="111"/>
  <c r="AC52" i="111"/>
  <c r="AA52" i="111"/>
  <c r="Y52" i="111"/>
  <c r="W52" i="111"/>
  <c r="U52" i="111"/>
  <c r="S52" i="111"/>
  <c r="AE51" i="111"/>
  <c r="AC51" i="111"/>
  <c r="AA51" i="111"/>
  <c r="Y51" i="111"/>
  <c r="W51" i="111"/>
  <c r="U51" i="111"/>
  <c r="S51" i="111"/>
  <c r="AE50" i="111"/>
  <c r="AC50" i="111"/>
  <c r="AA50" i="111"/>
  <c r="Y50" i="111"/>
  <c r="W50" i="111"/>
  <c r="U50" i="111"/>
  <c r="S50" i="111"/>
  <c r="AE49" i="111"/>
  <c r="AC49" i="111"/>
  <c r="AA49" i="111"/>
  <c r="Y49" i="111"/>
  <c r="W49" i="111"/>
  <c r="U49" i="111"/>
  <c r="S49" i="111"/>
  <c r="AE48" i="111"/>
  <c r="AC48" i="111"/>
  <c r="AA48" i="111"/>
  <c r="Y48" i="111"/>
  <c r="W48" i="111"/>
  <c r="U48" i="111"/>
  <c r="S48" i="111"/>
  <c r="AE47" i="111"/>
  <c r="AC47" i="111"/>
  <c r="AA47" i="111"/>
  <c r="Y47" i="111"/>
  <c r="W47" i="111"/>
  <c r="U47" i="111"/>
  <c r="S47" i="111"/>
  <c r="AE46" i="111"/>
  <c r="AC46" i="111"/>
  <c r="AA46" i="111"/>
  <c r="Y46" i="111"/>
  <c r="W46" i="111"/>
  <c r="U46" i="111"/>
  <c r="S46" i="111"/>
  <c r="AE45" i="111"/>
  <c r="AC45" i="111"/>
  <c r="AA45" i="111"/>
  <c r="Y45" i="111"/>
  <c r="W45" i="111"/>
  <c r="U45" i="111"/>
  <c r="S45" i="111"/>
  <c r="AE44" i="111"/>
  <c r="AC44" i="111"/>
  <c r="AA44" i="111"/>
  <c r="Y44" i="111"/>
  <c r="W44" i="111"/>
  <c r="U44" i="111"/>
  <c r="S44" i="111"/>
  <c r="AE43" i="111"/>
  <c r="AC43" i="111"/>
  <c r="AA43" i="111"/>
  <c r="Y43" i="111"/>
  <c r="W43" i="111"/>
  <c r="U43" i="111"/>
  <c r="S43" i="111"/>
  <c r="AE42" i="111"/>
  <c r="AC42" i="111"/>
  <c r="AA42" i="111"/>
  <c r="Y42" i="111"/>
  <c r="W42" i="111"/>
  <c r="U42" i="111"/>
  <c r="S42" i="111"/>
  <c r="AE41" i="111"/>
  <c r="AC41" i="111"/>
  <c r="AA41" i="111"/>
  <c r="Y41" i="111"/>
  <c r="W41" i="111"/>
  <c r="U41" i="111"/>
  <c r="S41" i="111"/>
  <c r="AE40" i="111"/>
  <c r="AC40" i="111"/>
  <c r="AA40" i="111"/>
  <c r="Y40" i="111"/>
  <c r="W40" i="111"/>
  <c r="U40" i="111"/>
  <c r="S40" i="111"/>
  <c r="AE39" i="111"/>
  <c r="AC39" i="111"/>
  <c r="AA39" i="111"/>
  <c r="Y39" i="111"/>
  <c r="W39" i="111"/>
  <c r="U39" i="111"/>
  <c r="S39" i="111"/>
  <c r="AE38" i="111"/>
  <c r="AC38" i="111"/>
  <c r="AA38" i="111"/>
  <c r="Y38" i="111"/>
  <c r="W38" i="111"/>
  <c r="U38" i="111"/>
  <c r="S38" i="111"/>
  <c r="AE37" i="111"/>
  <c r="AC37" i="111"/>
  <c r="AA37" i="111"/>
  <c r="Y37" i="111"/>
  <c r="W37" i="111"/>
  <c r="U37" i="111"/>
  <c r="S37" i="111"/>
  <c r="AE36" i="111"/>
  <c r="AC36" i="111"/>
  <c r="AA36" i="111"/>
  <c r="Y36" i="111"/>
  <c r="W36" i="111"/>
  <c r="U36" i="111"/>
  <c r="S36" i="111"/>
  <c r="AE35" i="111"/>
  <c r="AC35" i="111"/>
  <c r="AA35" i="111"/>
  <c r="Y35" i="111"/>
  <c r="W35" i="111"/>
  <c r="U35" i="111"/>
  <c r="S35" i="111"/>
  <c r="E31" i="111"/>
  <c r="D31" i="111"/>
  <c r="E30" i="111"/>
  <c r="D30" i="111"/>
  <c r="D29" i="111"/>
  <c r="E29" i="111" s="1"/>
  <c r="D28" i="111"/>
  <c r="E28" i="111" s="1"/>
  <c r="D27" i="111"/>
  <c r="E27" i="111" s="1"/>
  <c r="D26" i="111"/>
  <c r="E26" i="111" s="1"/>
  <c r="Z25" i="111"/>
  <c r="X25" i="111"/>
  <c r="T24" i="111"/>
  <c r="X18" i="111"/>
  <c r="X26" i="111" s="1"/>
  <c r="AD17" i="111"/>
  <c r="AD25" i="111" s="1"/>
  <c r="AB17" i="111"/>
  <c r="AB25" i="111" s="1"/>
  <c r="Z17" i="111"/>
  <c r="X17" i="111"/>
  <c r="V17" i="111"/>
  <c r="V25" i="111" s="1"/>
  <c r="T17" i="111"/>
  <c r="T25" i="111" s="1"/>
  <c r="R17" i="111"/>
  <c r="R25" i="111" s="1"/>
  <c r="AD16" i="111"/>
  <c r="AD24" i="111" s="1"/>
  <c r="AB16" i="111"/>
  <c r="AB24" i="111" s="1"/>
  <c r="Z16" i="111"/>
  <c r="X16" i="111"/>
  <c r="X24" i="111" s="1"/>
  <c r="V16" i="111"/>
  <c r="V24" i="111" s="1"/>
  <c r="T16" i="111"/>
  <c r="R16" i="111"/>
  <c r="P16" i="111"/>
  <c r="O16" i="111"/>
  <c r="N16" i="111"/>
  <c r="L16" i="111"/>
  <c r="K16" i="111"/>
  <c r="J16" i="111"/>
  <c r="H16" i="111"/>
  <c r="G16" i="111"/>
  <c r="F16" i="111"/>
  <c r="O15" i="111"/>
  <c r="AC14" i="111"/>
  <c r="AA14" i="111"/>
  <c r="Q14" i="111"/>
  <c r="Y14" i="111" s="1"/>
  <c r="M14" i="111"/>
  <c r="I14" i="111"/>
  <c r="O13" i="111"/>
  <c r="S12" i="111"/>
  <c r="Q12" i="111"/>
  <c r="M12" i="111"/>
  <c r="I12" i="111"/>
  <c r="O11" i="111"/>
  <c r="Q10" i="111"/>
  <c r="U10" i="111" s="1"/>
  <c r="M10" i="111"/>
  <c r="I10" i="111"/>
  <c r="O9" i="111"/>
  <c r="Q8" i="111"/>
  <c r="M8" i="111"/>
  <c r="M16" i="111" s="1"/>
  <c r="I8" i="111"/>
  <c r="O7" i="111"/>
  <c r="S6" i="111"/>
  <c r="Q6" i="111"/>
  <c r="M6" i="111"/>
  <c r="I6" i="111"/>
  <c r="C3" i="111"/>
  <c r="AE64" i="110"/>
  <c r="AC64" i="110"/>
  <c r="AA64" i="110"/>
  <c r="Y64" i="110"/>
  <c r="W64" i="110"/>
  <c r="U64" i="110"/>
  <c r="S64" i="110"/>
  <c r="AE63" i="110"/>
  <c r="AC63" i="110"/>
  <c r="AA63" i="110"/>
  <c r="Y63" i="110"/>
  <c r="W63" i="110"/>
  <c r="U63" i="110"/>
  <c r="S63" i="110"/>
  <c r="AE62" i="110"/>
  <c r="AC62" i="110"/>
  <c r="AA62" i="110"/>
  <c r="Y62" i="110"/>
  <c r="W62" i="110"/>
  <c r="U62" i="110"/>
  <c r="S62" i="110"/>
  <c r="AE61" i="110"/>
  <c r="AC61" i="110"/>
  <c r="AA61" i="110"/>
  <c r="Y61" i="110"/>
  <c r="W61" i="110"/>
  <c r="U61" i="110"/>
  <c r="S61" i="110"/>
  <c r="AE60" i="110"/>
  <c r="AC60" i="110"/>
  <c r="AA60" i="110"/>
  <c r="Y60" i="110"/>
  <c r="W60" i="110"/>
  <c r="U60" i="110"/>
  <c r="S60" i="110"/>
  <c r="AE59" i="110"/>
  <c r="AC59" i="110"/>
  <c r="AA59" i="110"/>
  <c r="Y59" i="110"/>
  <c r="W59" i="110"/>
  <c r="U59" i="110"/>
  <c r="S59" i="110"/>
  <c r="AE58" i="110"/>
  <c r="AC58" i="110"/>
  <c r="AA58" i="110"/>
  <c r="Y58" i="110"/>
  <c r="W58" i="110"/>
  <c r="U58" i="110"/>
  <c r="S58" i="110"/>
  <c r="AE57" i="110"/>
  <c r="AC57" i="110"/>
  <c r="AA57" i="110"/>
  <c r="Y57" i="110"/>
  <c r="W57" i="110"/>
  <c r="U57" i="110"/>
  <c r="S57" i="110"/>
  <c r="AE56" i="110"/>
  <c r="AC56" i="110"/>
  <c r="AA56" i="110"/>
  <c r="Y56" i="110"/>
  <c r="W56" i="110"/>
  <c r="U56" i="110"/>
  <c r="S56" i="110"/>
  <c r="AE55" i="110"/>
  <c r="AC55" i="110"/>
  <c r="AA55" i="110"/>
  <c r="Y55" i="110"/>
  <c r="W55" i="110"/>
  <c r="U55" i="110"/>
  <c r="S55" i="110"/>
  <c r="AE54" i="110"/>
  <c r="AC54" i="110"/>
  <c r="AA54" i="110"/>
  <c r="Y54" i="110"/>
  <c r="W54" i="110"/>
  <c r="U54" i="110"/>
  <c r="S54" i="110"/>
  <c r="AE53" i="110"/>
  <c r="AC53" i="110"/>
  <c r="AA53" i="110"/>
  <c r="Y53" i="110"/>
  <c r="W53" i="110"/>
  <c r="U53" i="110"/>
  <c r="S53" i="110"/>
  <c r="AE52" i="110"/>
  <c r="AC52" i="110"/>
  <c r="AA52" i="110"/>
  <c r="Y52" i="110"/>
  <c r="W52" i="110"/>
  <c r="U52" i="110"/>
  <c r="S52" i="110"/>
  <c r="AE51" i="110"/>
  <c r="AC51" i="110"/>
  <c r="AA51" i="110"/>
  <c r="Y51" i="110"/>
  <c r="W51" i="110"/>
  <c r="U51" i="110"/>
  <c r="S51" i="110"/>
  <c r="AE50" i="110"/>
  <c r="AC50" i="110"/>
  <c r="AA50" i="110"/>
  <c r="Y50" i="110"/>
  <c r="W50" i="110"/>
  <c r="U50" i="110"/>
  <c r="S50" i="110"/>
  <c r="AE49" i="110"/>
  <c r="AC49" i="110"/>
  <c r="AA49" i="110"/>
  <c r="Y49" i="110"/>
  <c r="W49" i="110"/>
  <c r="U49" i="110"/>
  <c r="S49" i="110"/>
  <c r="AE48" i="110"/>
  <c r="AC48" i="110"/>
  <c r="AA48" i="110"/>
  <c r="Y48" i="110"/>
  <c r="W48" i="110"/>
  <c r="U48" i="110"/>
  <c r="S48" i="110"/>
  <c r="AE47" i="110"/>
  <c r="AC47" i="110"/>
  <c r="AA47" i="110"/>
  <c r="Y47" i="110"/>
  <c r="W47" i="110"/>
  <c r="U47" i="110"/>
  <c r="S47" i="110"/>
  <c r="AE46" i="110"/>
  <c r="AC46" i="110"/>
  <c r="AA46" i="110"/>
  <c r="Y46" i="110"/>
  <c r="W46" i="110"/>
  <c r="U46" i="110"/>
  <c r="S46" i="110"/>
  <c r="AE45" i="110"/>
  <c r="AC45" i="110"/>
  <c r="AA45" i="110"/>
  <c r="Y45" i="110"/>
  <c r="W45" i="110"/>
  <c r="U45" i="110"/>
  <c r="S45" i="110"/>
  <c r="AE44" i="110"/>
  <c r="AC44" i="110"/>
  <c r="AA44" i="110"/>
  <c r="Y44" i="110"/>
  <c r="W44" i="110"/>
  <c r="U44" i="110"/>
  <c r="S44" i="110"/>
  <c r="AE43" i="110"/>
  <c r="AC43" i="110"/>
  <c r="AA43" i="110"/>
  <c r="Y43" i="110"/>
  <c r="W43" i="110"/>
  <c r="U43" i="110"/>
  <c r="S43" i="110"/>
  <c r="AE42" i="110"/>
  <c r="AC42" i="110"/>
  <c r="AA42" i="110"/>
  <c r="Y42" i="110"/>
  <c r="W42" i="110"/>
  <c r="U42" i="110"/>
  <c r="S42" i="110"/>
  <c r="AE41" i="110"/>
  <c r="AC41" i="110"/>
  <c r="AA41" i="110"/>
  <c r="Y41" i="110"/>
  <c r="W41" i="110"/>
  <c r="U41" i="110"/>
  <c r="S41" i="110"/>
  <c r="AE40" i="110"/>
  <c r="AC40" i="110"/>
  <c r="AA40" i="110"/>
  <c r="Y40" i="110"/>
  <c r="W40" i="110"/>
  <c r="U40" i="110"/>
  <c r="S40" i="110"/>
  <c r="AE39" i="110"/>
  <c r="AC39" i="110"/>
  <c r="AA39" i="110"/>
  <c r="Y39" i="110"/>
  <c r="W39" i="110"/>
  <c r="U39" i="110"/>
  <c r="S39" i="110"/>
  <c r="AE38" i="110"/>
  <c r="AC38" i="110"/>
  <c r="AA38" i="110"/>
  <c r="Y38" i="110"/>
  <c r="W38" i="110"/>
  <c r="U38" i="110"/>
  <c r="S38" i="110"/>
  <c r="AE37" i="110"/>
  <c r="AC37" i="110"/>
  <c r="AA37" i="110"/>
  <c r="Y37" i="110"/>
  <c r="W37" i="110"/>
  <c r="U37" i="110"/>
  <c r="S37" i="110"/>
  <c r="AE36" i="110"/>
  <c r="AC36" i="110"/>
  <c r="AA36" i="110"/>
  <c r="Y36" i="110"/>
  <c r="W36" i="110"/>
  <c r="U36" i="110"/>
  <c r="S36" i="110"/>
  <c r="AE35" i="110"/>
  <c r="AC35" i="110"/>
  <c r="AA35" i="110"/>
  <c r="Y35" i="110"/>
  <c r="W35" i="110"/>
  <c r="U35" i="110"/>
  <c r="S35" i="110"/>
  <c r="D31" i="110"/>
  <c r="E31" i="110" s="1"/>
  <c r="D30" i="110"/>
  <c r="E30" i="110" s="1"/>
  <c r="E29" i="110"/>
  <c r="D29" i="110"/>
  <c r="D28" i="110"/>
  <c r="E28" i="110" s="1"/>
  <c r="D27" i="110"/>
  <c r="E27" i="110" s="1"/>
  <c r="R26" i="110"/>
  <c r="E26" i="110"/>
  <c r="D26" i="110"/>
  <c r="Z24" i="110"/>
  <c r="Z18" i="110"/>
  <c r="Z26" i="110" s="1"/>
  <c r="T18" i="110"/>
  <c r="T26" i="110" s="1"/>
  <c r="AD17" i="110"/>
  <c r="AD25" i="110" s="1"/>
  <c r="AB17" i="110"/>
  <c r="AB25" i="110" s="1"/>
  <c r="Z17" i="110"/>
  <c r="Z25" i="110" s="1"/>
  <c r="X17" i="110"/>
  <c r="X25" i="110" s="1"/>
  <c r="V17" i="110"/>
  <c r="V25" i="110" s="1"/>
  <c r="T17" i="110"/>
  <c r="T25" i="110" s="1"/>
  <c r="R17" i="110"/>
  <c r="R25" i="110" s="1"/>
  <c r="AD16" i="110"/>
  <c r="AD24" i="110" s="1"/>
  <c r="AB16" i="110"/>
  <c r="AB18" i="110" s="1"/>
  <c r="AB26" i="110" s="1"/>
  <c r="Z16" i="110"/>
  <c r="X16" i="110"/>
  <c r="X24" i="110" s="1"/>
  <c r="V16" i="110"/>
  <c r="T16" i="110"/>
  <c r="R16" i="110"/>
  <c r="R18" i="110" s="1"/>
  <c r="P16" i="110"/>
  <c r="O16" i="110"/>
  <c r="N16" i="110"/>
  <c r="L16" i="110"/>
  <c r="K16" i="110"/>
  <c r="J16" i="110"/>
  <c r="H16" i="110"/>
  <c r="G16" i="110"/>
  <c r="F16" i="110"/>
  <c r="O15" i="110"/>
  <c r="O17" i="110" s="1"/>
  <c r="AE14" i="110"/>
  <c r="U14" i="110"/>
  <c r="S14" i="110"/>
  <c r="Q14" i="110"/>
  <c r="AA14" i="110" s="1"/>
  <c r="M14" i="110"/>
  <c r="I14" i="110"/>
  <c r="O13" i="110"/>
  <c r="AA12" i="110"/>
  <c r="Y12" i="110"/>
  <c r="U12" i="110"/>
  <c r="S12" i="110"/>
  <c r="Q12" i="110"/>
  <c r="AE12" i="110" s="1"/>
  <c r="M12" i="110"/>
  <c r="I12" i="110"/>
  <c r="O11" i="110"/>
  <c r="AE10" i="110"/>
  <c r="Q10" i="110"/>
  <c r="M10" i="110"/>
  <c r="I10" i="110"/>
  <c r="O9" i="110"/>
  <c r="W8" i="110"/>
  <c r="U8" i="110"/>
  <c r="Q8" i="110"/>
  <c r="S8" i="110" s="1"/>
  <c r="M8" i="110"/>
  <c r="I8" i="110"/>
  <c r="O7" i="110"/>
  <c r="Q6" i="110"/>
  <c r="Y6" i="110" s="1"/>
  <c r="M6" i="110"/>
  <c r="I6" i="110"/>
  <c r="C3" i="110"/>
  <c r="AE64" i="109"/>
  <c r="AC64" i="109"/>
  <c r="AA64" i="109"/>
  <c r="Y64" i="109"/>
  <c r="W64" i="109"/>
  <c r="U64" i="109"/>
  <c r="S64" i="109"/>
  <c r="AE63" i="109"/>
  <c r="AC63" i="109"/>
  <c r="AA63" i="109"/>
  <c r="Y63" i="109"/>
  <c r="W63" i="109"/>
  <c r="U63" i="109"/>
  <c r="S63" i="109"/>
  <c r="AE62" i="109"/>
  <c r="AC62" i="109"/>
  <c r="AA62" i="109"/>
  <c r="Y62" i="109"/>
  <c r="W62" i="109"/>
  <c r="U62" i="109"/>
  <c r="S62" i="109"/>
  <c r="AE61" i="109"/>
  <c r="AC61" i="109"/>
  <c r="AA61" i="109"/>
  <c r="Y61" i="109"/>
  <c r="W61" i="109"/>
  <c r="U61" i="109"/>
  <c r="S61" i="109"/>
  <c r="AE60" i="109"/>
  <c r="AC60" i="109"/>
  <c r="AA60" i="109"/>
  <c r="Y60" i="109"/>
  <c r="W60" i="109"/>
  <c r="U60" i="109"/>
  <c r="S60" i="109"/>
  <c r="AE59" i="109"/>
  <c r="AC59" i="109"/>
  <c r="AA59" i="109"/>
  <c r="Y59" i="109"/>
  <c r="W59" i="109"/>
  <c r="U59" i="109"/>
  <c r="S59" i="109"/>
  <c r="AE58" i="109"/>
  <c r="AC58" i="109"/>
  <c r="AA58" i="109"/>
  <c r="Y58" i="109"/>
  <c r="W58" i="109"/>
  <c r="U58" i="109"/>
  <c r="S58" i="109"/>
  <c r="AE57" i="109"/>
  <c r="AC57" i="109"/>
  <c r="AA57" i="109"/>
  <c r="Y57" i="109"/>
  <c r="W57" i="109"/>
  <c r="U57" i="109"/>
  <c r="S57" i="109"/>
  <c r="AE56" i="109"/>
  <c r="AC56" i="109"/>
  <c r="AA56" i="109"/>
  <c r="Y56" i="109"/>
  <c r="W56" i="109"/>
  <c r="U56" i="109"/>
  <c r="S56" i="109"/>
  <c r="AE55" i="109"/>
  <c r="AC55" i="109"/>
  <c r="AA55" i="109"/>
  <c r="Y55" i="109"/>
  <c r="W55" i="109"/>
  <c r="U55" i="109"/>
  <c r="S55" i="109"/>
  <c r="AE54" i="109"/>
  <c r="AC54" i="109"/>
  <c r="AA54" i="109"/>
  <c r="Y54" i="109"/>
  <c r="W54" i="109"/>
  <c r="U54" i="109"/>
  <c r="S54" i="109"/>
  <c r="AE53" i="109"/>
  <c r="AC53" i="109"/>
  <c r="AA53" i="109"/>
  <c r="Y53" i="109"/>
  <c r="W53" i="109"/>
  <c r="U53" i="109"/>
  <c r="S53" i="109"/>
  <c r="AE52" i="109"/>
  <c r="AC52" i="109"/>
  <c r="AA52" i="109"/>
  <c r="Y52" i="109"/>
  <c r="W52" i="109"/>
  <c r="U52" i="109"/>
  <c r="S52" i="109"/>
  <c r="AE51" i="109"/>
  <c r="AC51" i="109"/>
  <c r="AA51" i="109"/>
  <c r="Y51" i="109"/>
  <c r="W51" i="109"/>
  <c r="U51" i="109"/>
  <c r="S51" i="109"/>
  <c r="AE50" i="109"/>
  <c r="AC50" i="109"/>
  <c r="AA50" i="109"/>
  <c r="Y50" i="109"/>
  <c r="W50" i="109"/>
  <c r="U50" i="109"/>
  <c r="S50" i="109"/>
  <c r="AE49" i="109"/>
  <c r="AC49" i="109"/>
  <c r="AA49" i="109"/>
  <c r="Y49" i="109"/>
  <c r="W49" i="109"/>
  <c r="U49" i="109"/>
  <c r="S49" i="109"/>
  <c r="AE48" i="109"/>
  <c r="AC48" i="109"/>
  <c r="AA48" i="109"/>
  <c r="Y48" i="109"/>
  <c r="W48" i="109"/>
  <c r="U48" i="109"/>
  <c r="S48" i="109"/>
  <c r="AE47" i="109"/>
  <c r="AC47" i="109"/>
  <c r="AA47" i="109"/>
  <c r="Y47" i="109"/>
  <c r="W47" i="109"/>
  <c r="U47" i="109"/>
  <c r="S47" i="109"/>
  <c r="AE46" i="109"/>
  <c r="AC46" i="109"/>
  <c r="AA46" i="109"/>
  <c r="Y46" i="109"/>
  <c r="W46" i="109"/>
  <c r="U46" i="109"/>
  <c r="S46" i="109"/>
  <c r="AE45" i="109"/>
  <c r="AC45" i="109"/>
  <c r="AA45" i="109"/>
  <c r="Y45" i="109"/>
  <c r="W45" i="109"/>
  <c r="U45" i="109"/>
  <c r="S45" i="109"/>
  <c r="AE44" i="109"/>
  <c r="AC44" i="109"/>
  <c r="AA44" i="109"/>
  <c r="Y44" i="109"/>
  <c r="W44" i="109"/>
  <c r="U44" i="109"/>
  <c r="S44" i="109"/>
  <c r="AE43" i="109"/>
  <c r="AC43" i="109"/>
  <c r="AA43" i="109"/>
  <c r="Y43" i="109"/>
  <c r="W43" i="109"/>
  <c r="U43" i="109"/>
  <c r="S43" i="109"/>
  <c r="AE42" i="109"/>
  <c r="AC42" i="109"/>
  <c r="AA42" i="109"/>
  <c r="Y42" i="109"/>
  <c r="W42" i="109"/>
  <c r="U42" i="109"/>
  <c r="S42" i="109"/>
  <c r="AE41" i="109"/>
  <c r="AC41" i="109"/>
  <c r="AA41" i="109"/>
  <c r="Y41" i="109"/>
  <c r="W41" i="109"/>
  <c r="U41" i="109"/>
  <c r="S41" i="109"/>
  <c r="AE40" i="109"/>
  <c r="AC40" i="109"/>
  <c r="AA40" i="109"/>
  <c r="Y40" i="109"/>
  <c r="W40" i="109"/>
  <c r="U40" i="109"/>
  <c r="S40" i="109"/>
  <c r="AE39" i="109"/>
  <c r="AC39" i="109"/>
  <c r="AA39" i="109"/>
  <c r="Y39" i="109"/>
  <c r="W39" i="109"/>
  <c r="U39" i="109"/>
  <c r="S39" i="109"/>
  <c r="AE38" i="109"/>
  <c r="AC38" i="109"/>
  <c r="AA38" i="109"/>
  <c r="Y38" i="109"/>
  <c r="W38" i="109"/>
  <c r="U38" i="109"/>
  <c r="S38" i="109"/>
  <c r="AE37" i="109"/>
  <c r="AC37" i="109"/>
  <c r="AA37" i="109"/>
  <c r="Y37" i="109"/>
  <c r="W37" i="109"/>
  <c r="U37" i="109"/>
  <c r="S37" i="109"/>
  <c r="AE36" i="109"/>
  <c r="AC36" i="109"/>
  <c r="AA36" i="109"/>
  <c r="Y36" i="109"/>
  <c r="W36" i="109"/>
  <c r="U36" i="109"/>
  <c r="S36" i="109"/>
  <c r="AE35" i="109"/>
  <c r="AC35" i="109"/>
  <c r="AA35" i="109"/>
  <c r="Y35" i="109"/>
  <c r="W35" i="109"/>
  <c r="U35" i="109"/>
  <c r="S35" i="109"/>
  <c r="D31" i="109"/>
  <c r="E31" i="109" s="1"/>
  <c r="D30" i="109"/>
  <c r="E30" i="109" s="1"/>
  <c r="D29" i="109"/>
  <c r="E29" i="109" s="1"/>
  <c r="D28" i="109"/>
  <c r="E28" i="109" s="1"/>
  <c r="E27" i="109"/>
  <c r="D27" i="109"/>
  <c r="D26" i="109"/>
  <c r="E26" i="109" s="1"/>
  <c r="AB25" i="109"/>
  <c r="AD24" i="109"/>
  <c r="AD17" i="109"/>
  <c r="AD25" i="109" s="1"/>
  <c r="AB17" i="109"/>
  <c r="Z17" i="109"/>
  <c r="Z25" i="109" s="1"/>
  <c r="X17" i="109"/>
  <c r="X25" i="109" s="1"/>
  <c r="V17" i="109"/>
  <c r="V25" i="109" s="1"/>
  <c r="T17" i="109"/>
  <c r="T25" i="109" s="1"/>
  <c r="R17" i="109"/>
  <c r="R25" i="109" s="1"/>
  <c r="AD16" i="109"/>
  <c r="AB16" i="109"/>
  <c r="AB24" i="109" s="1"/>
  <c r="Z16" i="109"/>
  <c r="X16" i="109"/>
  <c r="X18" i="109" s="1"/>
  <c r="X26" i="109" s="1"/>
  <c r="V16" i="109"/>
  <c r="T16" i="109"/>
  <c r="T24" i="109" s="1"/>
  <c r="R16" i="109"/>
  <c r="P16" i="109"/>
  <c r="O16" i="109"/>
  <c r="N16" i="109"/>
  <c r="L16" i="109"/>
  <c r="K16" i="109"/>
  <c r="J16" i="109"/>
  <c r="H16" i="109"/>
  <c r="G16" i="109"/>
  <c r="F16" i="109"/>
  <c r="O15" i="109"/>
  <c r="Q14" i="109"/>
  <c r="M14" i="109"/>
  <c r="I14" i="109"/>
  <c r="O13" i="109"/>
  <c r="Q12" i="109"/>
  <c r="M12" i="109"/>
  <c r="I12" i="109"/>
  <c r="O11" i="109"/>
  <c r="AC10" i="109"/>
  <c r="Y10" i="109"/>
  <c r="W10" i="109"/>
  <c r="Q10" i="109"/>
  <c r="U10" i="109" s="1"/>
  <c r="M10" i="109"/>
  <c r="I10" i="109"/>
  <c r="O9" i="109"/>
  <c r="AC8" i="109"/>
  <c r="AA8" i="109"/>
  <c r="Q8" i="109"/>
  <c r="W8" i="109" s="1"/>
  <c r="M8" i="109"/>
  <c r="I8" i="109"/>
  <c r="O7" i="109"/>
  <c r="U6" i="109"/>
  <c r="S6" i="109"/>
  <c r="Q6" i="109"/>
  <c r="AC6" i="109" s="1"/>
  <c r="M6" i="109"/>
  <c r="I6" i="109"/>
  <c r="C3" i="109"/>
  <c r="AE64" i="108"/>
  <c r="AC64" i="108"/>
  <c r="AA64" i="108"/>
  <c r="Y64" i="108"/>
  <c r="W64" i="108"/>
  <c r="U64" i="108"/>
  <c r="S64" i="108"/>
  <c r="AE63" i="108"/>
  <c r="AC63" i="108"/>
  <c r="AA63" i="108"/>
  <c r="Y63" i="108"/>
  <c r="W63" i="108"/>
  <c r="U63" i="108"/>
  <c r="S63" i="108"/>
  <c r="AE62" i="108"/>
  <c r="AC62" i="108"/>
  <c r="AA62" i="108"/>
  <c r="Y62" i="108"/>
  <c r="W62" i="108"/>
  <c r="U62" i="108"/>
  <c r="S62" i="108"/>
  <c r="AE61" i="108"/>
  <c r="AC61" i="108"/>
  <c r="AA61" i="108"/>
  <c r="Y61" i="108"/>
  <c r="W61" i="108"/>
  <c r="U61" i="108"/>
  <c r="S61" i="108"/>
  <c r="AE60" i="108"/>
  <c r="AC60" i="108"/>
  <c r="AA60" i="108"/>
  <c r="Y60" i="108"/>
  <c r="W60" i="108"/>
  <c r="U60" i="108"/>
  <c r="S60" i="108"/>
  <c r="AE59" i="108"/>
  <c r="AC59" i="108"/>
  <c r="AA59" i="108"/>
  <c r="Y59" i="108"/>
  <c r="W59" i="108"/>
  <c r="U59" i="108"/>
  <c r="S59" i="108"/>
  <c r="AE58" i="108"/>
  <c r="AC58" i="108"/>
  <c r="AA58" i="108"/>
  <c r="Y58" i="108"/>
  <c r="W58" i="108"/>
  <c r="U58" i="108"/>
  <c r="S58" i="108"/>
  <c r="AE57" i="108"/>
  <c r="AC57" i="108"/>
  <c r="AA57" i="108"/>
  <c r="Y57" i="108"/>
  <c r="W57" i="108"/>
  <c r="U57" i="108"/>
  <c r="S57" i="108"/>
  <c r="AE56" i="108"/>
  <c r="AC56" i="108"/>
  <c r="AA56" i="108"/>
  <c r="Y56" i="108"/>
  <c r="W56" i="108"/>
  <c r="U56" i="108"/>
  <c r="S56" i="108"/>
  <c r="AE55" i="108"/>
  <c r="AC55" i="108"/>
  <c r="AA55" i="108"/>
  <c r="Y55" i="108"/>
  <c r="W55" i="108"/>
  <c r="U55" i="108"/>
  <c r="S55" i="108"/>
  <c r="AE54" i="108"/>
  <c r="AC54" i="108"/>
  <c r="AA54" i="108"/>
  <c r="Y54" i="108"/>
  <c r="W54" i="108"/>
  <c r="U54" i="108"/>
  <c r="S54" i="108"/>
  <c r="AE53" i="108"/>
  <c r="AC53" i="108"/>
  <c r="AA53" i="108"/>
  <c r="Y53" i="108"/>
  <c r="W53" i="108"/>
  <c r="U53" i="108"/>
  <c r="S53" i="108"/>
  <c r="AE52" i="108"/>
  <c r="AC52" i="108"/>
  <c r="AA52" i="108"/>
  <c r="Y52" i="108"/>
  <c r="W52" i="108"/>
  <c r="U52" i="108"/>
  <c r="S52" i="108"/>
  <c r="AE51" i="108"/>
  <c r="AC51" i="108"/>
  <c r="AA51" i="108"/>
  <c r="Y51" i="108"/>
  <c r="W51" i="108"/>
  <c r="U51" i="108"/>
  <c r="S51" i="108"/>
  <c r="AE50" i="108"/>
  <c r="AC50" i="108"/>
  <c r="AA50" i="108"/>
  <c r="Y50" i="108"/>
  <c r="W50" i="108"/>
  <c r="U50" i="108"/>
  <c r="S50" i="108"/>
  <c r="AE49" i="108"/>
  <c r="AC49" i="108"/>
  <c r="AA49" i="108"/>
  <c r="Y49" i="108"/>
  <c r="W49" i="108"/>
  <c r="U49" i="108"/>
  <c r="S49" i="108"/>
  <c r="AE48" i="108"/>
  <c r="AC48" i="108"/>
  <c r="AA48" i="108"/>
  <c r="Y48" i="108"/>
  <c r="W48" i="108"/>
  <c r="U48" i="108"/>
  <c r="S48" i="108"/>
  <c r="AE47" i="108"/>
  <c r="AC47" i="108"/>
  <c r="AA47" i="108"/>
  <c r="Y47" i="108"/>
  <c r="W47" i="108"/>
  <c r="U47" i="108"/>
  <c r="S47" i="108"/>
  <c r="AE46" i="108"/>
  <c r="AC46" i="108"/>
  <c r="AA46" i="108"/>
  <c r="Y46" i="108"/>
  <c r="W46" i="108"/>
  <c r="U46" i="108"/>
  <c r="S46" i="108"/>
  <c r="AE45" i="108"/>
  <c r="AC45" i="108"/>
  <c r="AA45" i="108"/>
  <c r="Y45" i="108"/>
  <c r="W45" i="108"/>
  <c r="U45" i="108"/>
  <c r="S45" i="108"/>
  <c r="AE44" i="108"/>
  <c r="AC44" i="108"/>
  <c r="AA44" i="108"/>
  <c r="Y44" i="108"/>
  <c r="W44" i="108"/>
  <c r="U44" i="108"/>
  <c r="S44" i="108"/>
  <c r="AE43" i="108"/>
  <c r="AC43" i="108"/>
  <c r="AA43" i="108"/>
  <c r="Y43" i="108"/>
  <c r="W43" i="108"/>
  <c r="U43" i="108"/>
  <c r="S43" i="108"/>
  <c r="AE42" i="108"/>
  <c r="AC42" i="108"/>
  <c r="AA42" i="108"/>
  <c r="Y42" i="108"/>
  <c r="W42" i="108"/>
  <c r="U42" i="108"/>
  <c r="S42" i="108"/>
  <c r="AE41" i="108"/>
  <c r="AC41" i="108"/>
  <c r="AA41" i="108"/>
  <c r="Y41" i="108"/>
  <c r="W41" i="108"/>
  <c r="U41" i="108"/>
  <c r="S41" i="108"/>
  <c r="AE40" i="108"/>
  <c r="AC40" i="108"/>
  <c r="AA40" i="108"/>
  <c r="Y40" i="108"/>
  <c r="W40" i="108"/>
  <c r="U40" i="108"/>
  <c r="S40" i="108"/>
  <c r="AE39" i="108"/>
  <c r="AC39" i="108"/>
  <c r="AA39" i="108"/>
  <c r="Y39" i="108"/>
  <c r="W39" i="108"/>
  <c r="U39" i="108"/>
  <c r="S39" i="108"/>
  <c r="AE38" i="108"/>
  <c r="AC38" i="108"/>
  <c r="AA38" i="108"/>
  <c r="Y38" i="108"/>
  <c r="W38" i="108"/>
  <c r="U38" i="108"/>
  <c r="S38" i="108"/>
  <c r="AE37" i="108"/>
  <c r="AC37" i="108"/>
  <c r="AA37" i="108"/>
  <c r="Y37" i="108"/>
  <c r="W37" i="108"/>
  <c r="U37" i="108"/>
  <c r="S37" i="108"/>
  <c r="AE36" i="108"/>
  <c r="AC36" i="108"/>
  <c r="AA36" i="108"/>
  <c r="Y36" i="108"/>
  <c r="W36" i="108"/>
  <c r="U36" i="108"/>
  <c r="S36" i="108"/>
  <c r="AE35" i="108"/>
  <c r="AC35" i="108"/>
  <c r="AA35" i="108"/>
  <c r="Y35" i="108"/>
  <c r="W35" i="108"/>
  <c r="U35" i="108"/>
  <c r="S35" i="108"/>
  <c r="D31" i="108"/>
  <c r="E31" i="108" s="1"/>
  <c r="D30" i="108"/>
  <c r="E30" i="108" s="1"/>
  <c r="D29" i="108"/>
  <c r="E29" i="108" s="1"/>
  <c r="E28" i="108"/>
  <c r="D28" i="108"/>
  <c r="D27" i="108"/>
  <c r="E27" i="108" s="1"/>
  <c r="D26" i="108"/>
  <c r="E26" i="108" s="1"/>
  <c r="X25" i="108"/>
  <c r="Z18" i="108"/>
  <c r="Z26" i="108" s="1"/>
  <c r="T18" i="108"/>
  <c r="T26" i="108" s="1"/>
  <c r="AD17" i="108"/>
  <c r="AD25" i="108" s="1"/>
  <c r="AB17" i="108"/>
  <c r="AB25" i="108" s="1"/>
  <c r="Z17" i="108"/>
  <c r="Z25" i="108" s="1"/>
  <c r="X17" i="108"/>
  <c r="V17" i="108"/>
  <c r="V25" i="108" s="1"/>
  <c r="T17" i="108"/>
  <c r="T25" i="108" s="1"/>
  <c r="R17" i="108"/>
  <c r="R25" i="108" s="1"/>
  <c r="AD16" i="108"/>
  <c r="AD24" i="108" s="1"/>
  <c r="AB16" i="108"/>
  <c r="AB18" i="108" s="1"/>
  <c r="AB26" i="108" s="1"/>
  <c r="Z16" i="108"/>
  <c r="Z24" i="108" s="1"/>
  <c r="X16" i="108"/>
  <c r="X24" i="108" s="1"/>
  <c r="V16" i="108"/>
  <c r="T16" i="108"/>
  <c r="U16" i="108" s="1"/>
  <c r="R16" i="108"/>
  <c r="P16" i="108"/>
  <c r="O16" i="108"/>
  <c r="N16" i="108"/>
  <c r="M16" i="108"/>
  <c r="L16" i="108"/>
  <c r="K16" i="108"/>
  <c r="J16" i="108"/>
  <c r="I16" i="108"/>
  <c r="H16" i="108"/>
  <c r="G16" i="108"/>
  <c r="F16" i="108"/>
  <c r="O15" i="108"/>
  <c r="AE14" i="108"/>
  <c r="AC14" i="108"/>
  <c r="AA14" i="108"/>
  <c r="Y14" i="108"/>
  <c r="W14" i="108"/>
  <c r="U14" i="108"/>
  <c r="S14" i="108"/>
  <c r="Q14" i="108"/>
  <c r="I14" i="108"/>
  <c r="O13" i="108"/>
  <c r="AE12" i="108"/>
  <c r="AC12" i="108"/>
  <c r="AA12" i="108"/>
  <c r="Y12" i="108"/>
  <c r="W12" i="108"/>
  <c r="U12" i="108"/>
  <c r="S12" i="108"/>
  <c r="Q12" i="108"/>
  <c r="I12" i="108"/>
  <c r="O11" i="108"/>
  <c r="AE10" i="108"/>
  <c r="AC10" i="108"/>
  <c r="AA10" i="108"/>
  <c r="Y10" i="108"/>
  <c r="W10" i="108"/>
  <c r="U10" i="108"/>
  <c r="S10" i="108"/>
  <c r="Q10" i="108"/>
  <c r="Q16" i="108" s="1"/>
  <c r="I10" i="108"/>
  <c r="O9" i="108"/>
  <c r="AE8" i="108"/>
  <c r="AC8" i="108"/>
  <c r="AA8" i="108"/>
  <c r="Y8" i="108"/>
  <c r="W8" i="108"/>
  <c r="U8" i="108"/>
  <c r="S8" i="108"/>
  <c r="Q8" i="108"/>
  <c r="I8" i="108"/>
  <c r="O7" i="108"/>
  <c r="AE6" i="108"/>
  <c r="AC6" i="108"/>
  <c r="AA6" i="108"/>
  <c r="Y6" i="108"/>
  <c r="W6" i="108"/>
  <c r="U6" i="108"/>
  <c r="S6" i="108"/>
  <c r="Q6" i="108"/>
  <c r="I6" i="108"/>
  <c r="C3" i="108"/>
  <c r="AE64" i="107"/>
  <c r="AC64" i="107"/>
  <c r="AA64" i="107"/>
  <c r="Y64" i="107"/>
  <c r="W64" i="107"/>
  <c r="U64" i="107"/>
  <c r="S64" i="107"/>
  <c r="AE63" i="107"/>
  <c r="AC63" i="107"/>
  <c r="AA63" i="107"/>
  <c r="Y63" i="107"/>
  <c r="W63" i="107"/>
  <c r="U63" i="107"/>
  <c r="S63" i="107"/>
  <c r="AE62" i="107"/>
  <c r="AC62" i="107"/>
  <c r="AA62" i="107"/>
  <c r="Y62" i="107"/>
  <c r="W62" i="107"/>
  <c r="U62" i="107"/>
  <c r="S62" i="107"/>
  <c r="AE61" i="107"/>
  <c r="AC61" i="107"/>
  <c r="AA61" i="107"/>
  <c r="Y61" i="107"/>
  <c r="W61" i="107"/>
  <c r="U61" i="107"/>
  <c r="S61" i="107"/>
  <c r="AE60" i="107"/>
  <c r="AC60" i="107"/>
  <c r="AA60" i="107"/>
  <c r="Y60" i="107"/>
  <c r="W60" i="107"/>
  <c r="U60" i="107"/>
  <c r="S60" i="107"/>
  <c r="AE59" i="107"/>
  <c r="AC59" i="107"/>
  <c r="AA59" i="107"/>
  <c r="Y59" i="107"/>
  <c r="W59" i="107"/>
  <c r="U59" i="107"/>
  <c r="S59" i="107"/>
  <c r="AE58" i="107"/>
  <c r="AC58" i="107"/>
  <c r="AA58" i="107"/>
  <c r="Y58" i="107"/>
  <c r="W58" i="107"/>
  <c r="U58" i="107"/>
  <c r="S58" i="107"/>
  <c r="AE57" i="107"/>
  <c r="AC57" i="107"/>
  <c r="AA57" i="107"/>
  <c r="Y57" i="107"/>
  <c r="W57" i="107"/>
  <c r="U57" i="107"/>
  <c r="S57" i="107"/>
  <c r="AE56" i="107"/>
  <c r="AC56" i="107"/>
  <c r="AA56" i="107"/>
  <c r="Y56" i="107"/>
  <c r="W56" i="107"/>
  <c r="U56" i="107"/>
  <c r="S56" i="107"/>
  <c r="AE55" i="107"/>
  <c r="AC55" i="107"/>
  <c r="AA55" i="107"/>
  <c r="Y55" i="107"/>
  <c r="W55" i="107"/>
  <c r="U55" i="107"/>
  <c r="S55" i="107"/>
  <c r="AE54" i="107"/>
  <c r="AC54" i="107"/>
  <c r="AA54" i="107"/>
  <c r="Y54" i="107"/>
  <c r="W54" i="107"/>
  <c r="U54" i="107"/>
  <c r="S54" i="107"/>
  <c r="AE53" i="107"/>
  <c r="AC53" i="107"/>
  <c r="AA53" i="107"/>
  <c r="Y53" i="107"/>
  <c r="W53" i="107"/>
  <c r="U53" i="107"/>
  <c r="S53" i="107"/>
  <c r="AE52" i="107"/>
  <c r="AC52" i="107"/>
  <c r="AA52" i="107"/>
  <c r="Y52" i="107"/>
  <c r="W52" i="107"/>
  <c r="U52" i="107"/>
  <c r="S52" i="107"/>
  <c r="AE51" i="107"/>
  <c r="AC51" i="107"/>
  <c r="AA51" i="107"/>
  <c r="Y51" i="107"/>
  <c r="W51" i="107"/>
  <c r="U51" i="107"/>
  <c r="S51" i="107"/>
  <c r="AE50" i="107"/>
  <c r="AC50" i="107"/>
  <c r="AA50" i="107"/>
  <c r="Y50" i="107"/>
  <c r="W50" i="107"/>
  <c r="U50" i="107"/>
  <c r="S50" i="107"/>
  <c r="AE49" i="107"/>
  <c r="AC49" i="107"/>
  <c r="AA49" i="107"/>
  <c r="Y49" i="107"/>
  <c r="W49" i="107"/>
  <c r="U49" i="107"/>
  <c r="S49" i="107"/>
  <c r="AE48" i="107"/>
  <c r="AC48" i="107"/>
  <c r="AA48" i="107"/>
  <c r="Y48" i="107"/>
  <c r="W48" i="107"/>
  <c r="U48" i="107"/>
  <c r="S48" i="107"/>
  <c r="AE47" i="107"/>
  <c r="AC47" i="107"/>
  <c r="AA47" i="107"/>
  <c r="Y47" i="107"/>
  <c r="W47" i="107"/>
  <c r="U47" i="107"/>
  <c r="S47" i="107"/>
  <c r="AE46" i="107"/>
  <c r="AC46" i="107"/>
  <c r="AA46" i="107"/>
  <c r="Y46" i="107"/>
  <c r="W46" i="107"/>
  <c r="U46" i="107"/>
  <c r="S46" i="107"/>
  <c r="AE45" i="107"/>
  <c r="AC45" i="107"/>
  <c r="AA45" i="107"/>
  <c r="Y45" i="107"/>
  <c r="W45" i="107"/>
  <c r="U45" i="107"/>
  <c r="S45" i="107"/>
  <c r="AE44" i="107"/>
  <c r="AC44" i="107"/>
  <c r="AA44" i="107"/>
  <c r="Y44" i="107"/>
  <c r="W44" i="107"/>
  <c r="U44" i="107"/>
  <c r="S44" i="107"/>
  <c r="AE43" i="107"/>
  <c r="AC43" i="107"/>
  <c r="AA43" i="107"/>
  <c r="Y43" i="107"/>
  <c r="W43" i="107"/>
  <c r="U43" i="107"/>
  <c r="S43" i="107"/>
  <c r="AE42" i="107"/>
  <c r="AC42" i="107"/>
  <c r="AA42" i="107"/>
  <c r="Y42" i="107"/>
  <c r="W42" i="107"/>
  <c r="U42" i="107"/>
  <c r="S42" i="107"/>
  <c r="AE41" i="107"/>
  <c r="AC41" i="107"/>
  <c r="AA41" i="107"/>
  <c r="Y41" i="107"/>
  <c r="W41" i="107"/>
  <c r="U41" i="107"/>
  <c r="S41" i="107"/>
  <c r="AE40" i="107"/>
  <c r="AC40" i="107"/>
  <c r="AA40" i="107"/>
  <c r="Y40" i="107"/>
  <c r="W40" i="107"/>
  <c r="U40" i="107"/>
  <c r="S40" i="107"/>
  <c r="AE39" i="107"/>
  <c r="AC39" i="107"/>
  <c r="AA39" i="107"/>
  <c r="Y39" i="107"/>
  <c r="W39" i="107"/>
  <c r="U39" i="107"/>
  <c r="S39" i="107"/>
  <c r="AE38" i="107"/>
  <c r="AC38" i="107"/>
  <c r="AA38" i="107"/>
  <c r="Y38" i="107"/>
  <c r="W38" i="107"/>
  <c r="U38" i="107"/>
  <c r="S38" i="107"/>
  <c r="AE37" i="107"/>
  <c r="AC37" i="107"/>
  <c r="AA37" i="107"/>
  <c r="Y37" i="107"/>
  <c r="W37" i="107"/>
  <c r="U37" i="107"/>
  <c r="S37" i="107"/>
  <c r="AE36" i="107"/>
  <c r="AC36" i="107"/>
  <c r="AA36" i="107"/>
  <c r="Y36" i="107"/>
  <c r="W36" i="107"/>
  <c r="U36" i="107"/>
  <c r="S36" i="107"/>
  <c r="AE35" i="107"/>
  <c r="AC35" i="107"/>
  <c r="AA35" i="107"/>
  <c r="Y35" i="107"/>
  <c r="W35" i="107"/>
  <c r="U35" i="107"/>
  <c r="S35" i="107"/>
  <c r="D31" i="107"/>
  <c r="E31" i="107" s="1"/>
  <c r="D30" i="107"/>
  <c r="E30" i="107" s="1"/>
  <c r="D29" i="107"/>
  <c r="E29" i="107" s="1"/>
  <c r="D28" i="107"/>
  <c r="E28" i="107" s="1"/>
  <c r="D27" i="107"/>
  <c r="E27" i="107" s="1"/>
  <c r="D26" i="107"/>
  <c r="E26" i="107" s="1"/>
  <c r="Z24" i="107"/>
  <c r="AD18" i="107"/>
  <c r="AD26" i="107" s="1"/>
  <c r="AB18" i="107"/>
  <c r="AB26" i="107" s="1"/>
  <c r="AD17" i="107"/>
  <c r="AD25" i="107" s="1"/>
  <c r="AB17" i="107"/>
  <c r="AB25" i="107" s="1"/>
  <c r="Z17" i="107"/>
  <c r="Z25" i="107" s="1"/>
  <c r="X17" i="107"/>
  <c r="X25" i="107" s="1"/>
  <c r="V17" i="107"/>
  <c r="V25" i="107" s="1"/>
  <c r="T17" i="107"/>
  <c r="T25" i="107" s="1"/>
  <c r="R17" i="107"/>
  <c r="R25" i="107" s="1"/>
  <c r="AD16" i="107"/>
  <c r="AE16" i="107" s="1"/>
  <c r="AB16" i="107"/>
  <c r="AB24" i="107" s="1"/>
  <c r="AA16" i="107"/>
  <c r="Z16" i="107"/>
  <c r="Z18" i="107" s="1"/>
  <c r="Z26" i="107" s="1"/>
  <c r="Y16" i="107"/>
  <c r="X16" i="107"/>
  <c r="V16" i="107"/>
  <c r="V24" i="107" s="1"/>
  <c r="T16" i="107"/>
  <c r="U16" i="107" s="1"/>
  <c r="R16" i="107"/>
  <c r="R24" i="107" s="1"/>
  <c r="P16" i="107"/>
  <c r="O16" i="107"/>
  <c r="N16" i="107"/>
  <c r="L16" i="107"/>
  <c r="K16" i="107"/>
  <c r="J16" i="107"/>
  <c r="H16" i="107"/>
  <c r="G16" i="107"/>
  <c r="F16" i="107"/>
  <c r="O15" i="107"/>
  <c r="AE14" i="107"/>
  <c r="AC14" i="107"/>
  <c r="AA14" i="107"/>
  <c r="Y14" i="107"/>
  <c r="W14" i="107"/>
  <c r="U14" i="107"/>
  <c r="S14" i="107"/>
  <c r="Q14" i="107"/>
  <c r="M14" i="107"/>
  <c r="I14" i="107"/>
  <c r="O13" i="107"/>
  <c r="AE12" i="107"/>
  <c r="AC12" i="107"/>
  <c r="AA12" i="107"/>
  <c r="Y12" i="107"/>
  <c r="W12" i="107"/>
  <c r="U12" i="107"/>
  <c r="S12" i="107"/>
  <c r="Q12" i="107"/>
  <c r="M12" i="107"/>
  <c r="I12" i="107"/>
  <c r="O11" i="107"/>
  <c r="AE10" i="107"/>
  <c r="AC10" i="107"/>
  <c r="AA10" i="107"/>
  <c r="Y10" i="107"/>
  <c r="W10" i="107"/>
  <c r="U10" i="107"/>
  <c r="S10" i="107"/>
  <c r="Q10" i="107"/>
  <c r="M10" i="107"/>
  <c r="I10" i="107"/>
  <c r="O9" i="107"/>
  <c r="AE8" i="107"/>
  <c r="AC8" i="107"/>
  <c r="AA8" i="107"/>
  <c r="Y8" i="107"/>
  <c r="W8" i="107"/>
  <c r="U8" i="107"/>
  <c r="S8" i="107"/>
  <c r="Q8" i="107"/>
  <c r="M8" i="107"/>
  <c r="I8" i="107"/>
  <c r="O7" i="107"/>
  <c r="AE6" i="107"/>
  <c r="AC6" i="107"/>
  <c r="AA6" i="107"/>
  <c r="Y6" i="107"/>
  <c r="W6" i="107"/>
  <c r="U6" i="107"/>
  <c r="S6" i="107"/>
  <c r="Q6" i="107"/>
  <c r="M6" i="107"/>
  <c r="I6" i="107"/>
  <c r="C3" i="107"/>
  <c r="AE64" i="106"/>
  <c r="AC64" i="106"/>
  <c r="AA64" i="106"/>
  <c r="Y64" i="106"/>
  <c r="W64" i="106"/>
  <c r="U64" i="106"/>
  <c r="S64" i="106"/>
  <c r="AE63" i="106"/>
  <c r="AC63" i="106"/>
  <c r="AA63" i="106"/>
  <c r="Y63" i="106"/>
  <c r="W63" i="106"/>
  <c r="U63" i="106"/>
  <c r="S63" i="106"/>
  <c r="AE62" i="106"/>
  <c r="AC62" i="106"/>
  <c r="AA62" i="106"/>
  <c r="Y62" i="106"/>
  <c r="W62" i="106"/>
  <c r="U62" i="106"/>
  <c r="S62" i="106"/>
  <c r="AE61" i="106"/>
  <c r="AC61" i="106"/>
  <c r="AA61" i="106"/>
  <c r="Y61" i="106"/>
  <c r="W61" i="106"/>
  <c r="U61" i="106"/>
  <c r="S61" i="106"/>
  <c r="AE60" i="106"/>
  <c r="AC60" i="106"/>
  <c r="AA60" i="106"/>
  <c r="Y60" i="106"/>
  <c r="W60" i="106"/>
  <c r="U60" i="106"/>
  <c r="S60" i="106"/>
  <c r="AE59" i="106"/>
  <c r="AC59" i="106"/>
  <c r="AA59" i="106"/>
  <c r="Y59" i="106"/>
  <c r="W59" i="106"/>
  <c r="U59" i="106"/>
  <c r="S59" i="106"/>
  <c r="AE58" i="106"/>
  <c r="AC58" i="106"/>
  <c r="AA58" i="106"/>
  <c r="Y58" i="106"/>
  <c r="W58" i="106"/>
  <c r="U58" i="106"/>
  <c r="S58" i="106"/>
  <c r="AE57" i="106"/>
  <c r="AC57" i="106"/>
  <c r="AA57" i="106"/>
  <c r="Y57" i="106"/>
  <c r="W57" i="106"/>
  <c r="U57" i="106"/>
  <c r="S57" i="106"/>
  <c r="AE56" i="106"/>
  <c r="AC56" i="106"/>
  <c r="AA56" i="106"/>
  <c r="Y56" i="106"/>
  <c r="W56" i="106"/>
  <c r="U56" i="106"/>
  <c r="S56" i="106"/>
  <c r="AE55" i="106"/>
  <c r="AC55" i="106"/>
  <c r="AA55" i="106"/>
  <c r="Y55" i="106"/>
  <c r="W55" i="106"/>
  <c r="U55" i="106"/>
  <c r="S55" i="106"/>
  <c r="AE54" i="106"/>
  <c r="AC54" i="106"/>
  <c r="AA54" i="106"/>
  <c r="Y54" i="106"/>
  <c r="W54" i="106"/>
  <c r="U54" i="106"/>
  <c r="S54" i="106"/>
  <c r="AE53" i="106"/>
  <c r="AC53" i="106"/>
  <c r="AA53" i="106"/>
  <c r="Y53" i="106"/>
  <c r="W53" i="106"/>
  <c r="U53" i="106"/>
  <c r="S53" i="106"/>
  <c r="AE52" i="106"/>
  <c r="AC52" i="106"/>
  <c r="AA52" i="106"/>
  <c r="Y52" i="106"/>
  <c r="W52" i="106"/>
  <c r="U52" i="106"/>
  <c r="S52" i="106"/>
  <c r="AE51" i="106"/>
  <c r="AC51" i="106"/>
  <c r="AA51" i="106"/>
  <c r="Y51" i="106"/>
  <c r="W51" i="106"/>
  <c r="U51" i="106"/>
  <c r="S51" i="106"/>
  <c r="AE50" i="106"/>
  <c r="AC50" i="106"/>
  <c r="AA50" i="106"/>
  <c r="Y50" i="106"/>
  <c r="W50" i="106"/>
  <c r="U50" i="106"/>
  <c r="S50" i="106"/>
  <c r="AE49" i="106"/>
  <c r="AC49" i="106"/>
  <c r="AA49" i="106"/>
  <c r="Y49" i="106"/>
  <c r="W49" i="106"/>
  <c r="U49" i="106"/>
  <c r="S49" i="106"/>
  <c r="AE48" i="106"/>
  <c r="AC48" i="106"/>
  <c r="AA48" i="106"/>
  <c r="Y48" i="106"/>
  <c r="W48" i="106"/>
  <c r="U48" i="106"/>
  <c r="S48" i="106"/>
  <c r="AE47" i="106"/>
  <c r="AC47" i="106"/>
  <c r="AA47" i="106"/>
  <c r="Y47" i="106"/>
  <c r="W47" i="106"/>
  <c r="U47" i="106"/>
  <c r="S47" i="106"/>
  <c r="AE46" i="106"/>
  <c r="AC46" i="106"/>
  <c r="AA46" i="106"/>
  <c r="Y46" i="106"/>
  <c r="W46" i="106"/>
  <c r="U46" i="106"/>
  <c r="S46" i="106"/>
  <c r="AE45" i="106"/>
  <c r="AC45" i="106"/>
  <c r="AA45" i="106"/>
  <c r="Y45" i="106"/>
  <c r="W45" i="106"/>
  <c r="U45" i="106"/>
  <c r="S45" i="106"/>
  <c r="AE44" i="106"/>
  <c r="AC44" i="106"/>
  <c r="AA44" i="106"/>
  <c r="Y44" i="106"/>
  <c r="W44" i="106"/>
  <c r="U44" i="106"/>
  <c r="S44" i="106"/>
  <c r="AE43" i="106"/>
  <c r="AC43" i="106"/>
  <c r="AA43" i="106"/>
  <c r="Y43" i="106"/>
  <c r="W43" i="106"/>
  <c r="U43" i="106"/>
  <c r="S43" i="106"/>
  <c r="AE42" i="106"/>
  <c r="AC42" i="106"/>
  <c r="AA42" i="106"/>
  <c r="Y42" i="106"/>
  <c r="W42" i="106"/>
  <c r="U42" i="106"/>
  <c r="S42" i="106"/>
  <c r="AE41" i="106"/>
  <c r="AC41" i="106"/>
  <c r="AA41" i="106"/>
  <c r="Y41" i="106"/>
  <c r="W41" i="106"/>
  <c r="U41" i="106"/>
  <c r="S41" i="106"/>
  <c r="AE40" i="106"/>
  <c r="AC40" i="106"/>
  <c r="AA40" i="106"/>
  <c r="Y40" i="106"/>
  <c r="W40" i="106"/>
  <c r="U40" i="106"/>
  <c r="S40" i="106"/>
  <c r="AE39" i="106"/>
  <c r="AC39" i="106"/>
  <c r="AA39" i="106"/>
  <c r="Y39" i="106"/>
  <c r="W39" i="106"/>
  <c r="U39" i="106"/>
  <c r="S39" i="106"/>
  <c r="AE38" i="106"/>
  <c r="AC38" i="106"/>
  <c r="AA38" i="106"/>
  <c r="Y38" i="106"/>
  <c r="W38" i="106"/>
  <c r="U38" i="106"/>
  <c r="S38" i="106"/>
  <c r="AE37" i="106"/>
  <c r="AC37" i="106"/>
  <c r="AA37" i="106"/>
  <c r="Y37" i="106"/>
  <c r="W37" i="106"/>
  <c r="U37" i="106"/>
  <c r="S37" i="106"/>
  <c r="AE36" i="106"/>
  <c r="AC36" i="106"/>
  <c r="AA36" i="106"/>
  <c r="Y36" i="106"/>
  <c r="W36" i="106"/>
  <c r="U36" i="106"/>
  <c r="S36" i="106"/>
  <c r="AE35" i="106"/>
  <c r="AC35" i="106"/>
  <c r="AA35" i="106"/>
  <c r="Y35" i="106"/>
  <c r="W35" i="106"/>
  <c r="U35" i="106"/>
  <c r="S35" i="106"/>
  <c r="E31" i="106"/>
  <c r="D31" i="106"/>
  <c r="D30" i="106"/>
  <c r="E30" i="106" s="1"/>
  <c r="D29" i="106"/>
  <c r="E29" i="106" s="1"/>
  <c r="D28" i="106"/>
  <c r="E28" i="106" s="1"/>
  <c r="D27" i="106"/>
  <c r="E27" i="106" s="1"/>
  <c r="D26" i="106"/>
  <c r="E26" i="106" s="1"/>
  <c r="AD24" i="106"/>
  <c r="R24" i="106"/>
  <c r="AB18" i="106"/>
  <c r="AB26" i="106" s="1"/>
  <c r="V18" i="106"/>
  <c r="V26" i="106" s="1"/>
  <c r="AD17" i="106"/>
  <c r="AD25" i="106" s="1"/>
  <c r="AB17" i="106"/>
  <c r="AB25" i="106" s="1"/>
  <c r="Z17" i="106"/>
  <c r="Z25" i="106" s="1"/>
  <c r="X17" i="106"/>
  <c r="X25" i="106" s="1"/>
  <c r="V17" i="106"/>
  <c r="V25" i="106" s="1"/>
  <c r="T17" i="106"/>
  <c r="T25" i="106" s="1"/>
  <c r="R17" i="106"/>
  <c r="R25" i="106" s="1"/>
  <c r="AE16" i="106"/>
  <c r="AD16" i="106"/>
  <c r="AD18" i="106" s="1"/>
  <c r="AD26" i="106" s="1"/>
  <c r="AB16" i="106"/>
  <c r="AB24" i="106" s="1"/>
  <c r="Z16" i="106"/>
  <c r="X16" i="106"/>
  <c r="W16" i="106"/>
  <c r="V16" i="106"/>
  <c r="V24" i="106" s="1"/>
  <c r="T16" i="106"/>
  <c r="T18" i="106" s="1"/>
  <c r="T26" i="106" s="1"/>
  <c r="R16" i="106"/>
  <c r="R18" i="106" s="1"/>
  <c r="R26" i="106" s="1"/>
  <c r="P16" i="106"/>
  <c r="O16" i="106"/>
  <c r="N16" i="106"/>
  <c r="L16" i="106"/>
  <c r="K16" i="106"/>
  <c r="J16" i="106"/>
  <c r="H16" i="106"/>
  <c r="G16" i="106"/>
  <c r="F16" i="106"/>
  <c r="O15" i="106"/>
  <c r="AE14" i="106"/>
  <c r="AC14" i="106"/>
  <c r="AA14" i="106"/>
  <c r="Y14" i="106"/>
  <c r="W14" i="106"/>
  <c r="U14" i="106"/>
  <c r="S14" i="106"/>
  <c r="Q14" i="106"/>
  <c r="M14" i="106"/>
  <c r="M16" i="106" s="1"/>
  <c r="I14" i="106"/>
  <c r="O13" i="106"/>
  <c r="AE12" i="106"/>
  <c r="AC12" i="106"/>
  <c r="AA12" i="106"/>
  <c r="Y12" i="106"/>
  <c r="W12" i="106"/>
  <c r="U12" i="106"/>
  <c r="S12" i="106"/>
  <c r="Q12" i="106"/>
  <c r="M12" i="106"/>
  <c r="I12" i="106"/>
  <c r="O11" i="106"/>
  <c r="AE10" i="106"/>
  <c r="AC10" i="106"/>
  <c r="AA10" i="106"/>
  <c r="Y10" i="106"/>
  <c r="W10" i="106"/>
  <c r="U10" i="106"/>
  <c r="S10" i="106"/>
  <c r="Q10" i="106"/>
  <c r="M10" i="106"/>
  <c r="I10" i="106"/>
  <c r="O9" i="106"/>
  <c r="AE8" i="106"/>
  <c r="AC8" i="106"/>
  <c r="AA8" i="106"/>
  <c r="Y8" i="106"/>
  <c r="W8" i="106"/>
  <c r="U8" i="106"/>
  <c r="S8" i="106"/>
  <c r="Q8" i="106"/>
  <c r="M8" i="106"/>
  <c r="I8" i="106"/>
  <c r="O7" i="106"/>
  <c r="AE6" i="106"/>
  <c r="AC6" i="106"/>
  <c r="AA6" i="106"/>
  <c r="Y6" i="106"/>
  <c r="W6" i="106"/>
  <c r="U6" i="106"/>
  <c r="S6" i="106"/>
  <c r="Q6" i="106"/>
  <c r="M6" i="106"/>
  <c r="I6" i="106"/>
  <c r="C3" i="106"/>
  <c r="AE64" i="105"/>
  <c r="AC64" i="105"/>
  <c r="AA64" i="105"/>
  <c r="Y64" i="105"/>
  <c r="W64" i="105"/>
  <c r="U64" i="105"/>
  <c r="S64" i="105"/>
  <c r="AE63" i="105"/>
  <c r="AC63" i="105"/>
  <c r="AA63" i="105"/>
  <c r="Y63" i="105"/>
  <c r="W63" i="105"/>
  <c r="U63" i="105"/>
  <c r="S63" i="105"/>
  <c r="AE62" i="105"/>
  <c r="AC62" i="105"/>
  <c r="AA62" i="105"/>
  <c r="Y62" i="105"/>
  <c r="W62" i="105"/>
  <c r="U62" i="105"/>
  <c r="S62" i="105"/>
  <c r="AE61" i="105"/>
  <c r="AC61" i="105"/>
  <c r="AA61" i="105"/>
  <c r="Y61" i="105"/>
  <c r="W61" i="105"/>
  <c r="U61" i="105"/>
  <c r="S61" i="105"/>
  <c r="AE60" i="105"/>
  <c r="AC60" i="105"/>
  <c r="AA60" i="105"/>
  <c r="Y60" i="105"/>
  <c r="W60" i="105"/>
  <c r="U60" i="105"/>
  <c r="S60" i="105"/>
  <c r="AE59" i="105"/>
  <c r="AC59" i="105"/>
  <c r="AA59" i="105"/>
  <c r="Y59" i="105"/>
  <c r="W59" i="105"/>
  <c r="U59" i="105"/>
  <c r="S59" i="105"/>
  <c r="AE58" i="105"/>
  <c r="AC58" i="105"/>
  <c r="AA58" i="105"/>
  <c r="Y58" i="105"/>
  <c r="W58" i="105"/>
  <c r="U58" i="105"/>
  <c r="S58" i="105"/>
  <c r="AE57" i="105"/>
  <c r="AC57" i="105"/>
  <c r="AA57" i="105"/>
  <c r="Y57" i="105"/>
  <c r="W57" i="105"/>
  <c r="U57" i="105"/>
  <c r="S57" i="105"/>
  <c r="AE56" i="105"/>
  <c r="AC56" i="105"/>
  <c r="AA56" i="105"/>
  <c r="Y56" i="105"/>
  <c r="W56" i="105"/>
  <c r="U56" i="105"/>
  <c r="S56" i="105"/>
  <c r="AE55" i="105"/>
  <c r="AC55" i="105"/>
  <c r="AA55" i="105"/>
  <c r="Y55" i="105"/>
  <c r="W55" i="105"/>
  <c r="U55" i="105"/>
  <c r="S55" i="105"/>
  <c r="AE54" i="105"/>
  <c r="AC54" i="105"/>
  <c r="AA54" i="105"/>
  <c r="Y54" i="105"/>
  <c r="W54" i="105"/>
  <c r="U54" i="105"/>
  <c r="S54" i="105"/>
  <c r="AE53" i="105"/>
  <c r="AC53" i="105"/>
  <c r="AA53" i="105"/>
  <c r="Y53" i="105"/>
  <c r="W53" i="105"/>
  <c r="U53" i="105"/>
  <c r="S53" i="105"/>
  <c r="AE52" i="105"/>
  <c r="AC52" i="105"/>
  <c r="AA52" i="105"/>
  <c r="Y52" i="105"/>
  <c r="W52" i="105"/>
  <c r="U52" i="105"/>
  <c r="S52" i="105"/>
  <c r="AE51" i="105"/>
  <c r="AC51" i="105"/>
  <c r="AA51" i="105"/>
  <c r="Y51" i="105"/>
  <c r="W51" i="105"/>
  <c r="U51" i="105"/>
  <c r="S51" i="105"/>
  <c r="AE50" i="105"/>
  <c r="AC50" i="105"/>
  <c r="AA50" i="105"/>
  <c r="Y50" i="105"/>
  <c r="W50" i="105"/>
  <c r="U50" i="105"/>
  <c r="S50" i="105"/>
  <c r="AE49" i="105"/>
  <c r="AC49" i="105"/>
  <c r="AA49" i="105"/>
  <c r="Y49" i="105"/>
  <c r="W49" i="105"/>
  <c r="U49" i="105"/>
  <c r="S49" i="105"/>
  <c r="AE48" i="105"/>
  <c r="AC48" i="105"/>
  <c r="AA48" i="105"/>
  <c r="Y48" i="105"/>
  <c r="W48" i="105"/>
  <c r="U48" i="105"/>
  <c r="S48" i="105"/>
  <c r="AE47" i="105"/>
  <c r="AC47" i="105"/>
  <c r="AA47" i="105"/>
  <c r="Y47" i="105"/>
  <c r="W47" i="105"/>
  <c r="U47" i="105"/>
  <c r="S47" i="105"/>
  <c r="AE46" i="105"/>
  <c r="AC46" i="105"/>
  <c r="AA46" i="105"/>
  <c r="Y46" i="105"/>
  <c r="W46" i="105"/>
  <c r="U46" i="105"/>
  <c r="S46" i="105"/>
  <c r="AE45" i="105"/>
  <c r="AC45" i="105"/>
  <c r="AA45" i="105"/>
  <c r="Y45" i="105"/>
  <c r="W45" i="105"/>
  <c r="U45" i="105"/>
  <c r="S45" i="105"/>
  <c r="AE44" i="105"/>
  <c r="AC44" i="105"/>
  <c r="AA44" i="105"/>
  <c r="Y44" i="105"/>
  <c r="W44" i="105"/>
  <c r="U44" i="105"/>
  <c r="S44" i="105"/>
  <c r="AE43" i="105"/>
  <c r="AC43" i="105"/>
  <c r="AA43" i="105"/>
  <c r="Y43" i="105"/>
  <c r="W43" i="105"/>
  <c r="U43" i="105"/>
  <c r="S43" i="105"/>
  <c r="AE42" i="105"/>
  <c r="AC42" i="105"/>
  <c r="AA42" i="105"/>
  <c r="Y42" i="105"/>
  <c r="W42" i="105"/>
  <c r="U42" i="105"/>
  <c r="S42" i="105"/>
  <c r="AE41" i="105"/>
  <c r="AC41" i="105"/>
  <c r="AA41" i="105"/>
  <c r="Y41" i="105"/>
  <c r="W41" i="105"/>
  <c r="U41" i="105"/>
  <c r="S41" i="105"/>
  <c r="AE40" i="105"/>
  <c r="AC40" i="105"/>
  <c r="AA40" i="105"/>
  <c r="Y40" i="105"/>
  <c r="W40" i="105"/>
  <c r="U40" i="105"/>
  <c r="S40" i="105"/>
  <c r="AE39" i="105"/>
  <c r="AC39" i="105"/>
  <c r="AA39" i="105"/>
  <c r="Y39" i="105"/>
  <c r="W39" i="105"/>
  <c r="U39" i="105"/>
  <c r="S39" i="105"/>
  <c r="AE38" i="105"/>
  <c r="AC38" i="105"/>
  <c r="AA38" i="105"/>
  <c r="Y38" i="105"/>
  <c r="W38" i="105"/>
  <c r="U38" i="105"/>
  <c r="S38" i="105"/>
  <c r="AE37" i="105"/>
  <c r="AC37" i="105"/>
  <c r="AA37" i="105"/>
  <c r="Y37" i="105"/>
  <c r="W37" i="105"/>
  <c r="U37" i="105"/>
  <c r="S37" i="105"/>
  <c r="AE36" i="105"/>
  <c r="AC36" i="105"/>
  <c r="AA36" i="105"/>
  <c r="Y36" i="105"/>
  <c r="W36" i="105"/>
  <c r="U36" i="105"/>
  <c r="S36" i="105"/>
  <c r="AE35" i="105"/>
  <c r="AC35" i="105"/>
  <c r="AA35" i="105"/>
  <c r="Y35" i="105"/>
  <c r="W35" i="105"/>
  <c r="U35" i="105"/>
  <c r="S35" i="105"/>
  <c r="D31" i="105"/>
  <c r="E31" i="105" s="1"/>
  <c r="D30" i="105"/>
  <c r="E30" i="105" s="1"/>
  <c r="D29" i="105"/>
  <c r="E29" i="105" s="1"/>
  <c r="E28" i="105"/>
  <c r="D28" i="105"/>
  <c r="D27" i="105"/>
  <c r="E27" i="105" s="1"/>
  <c r="E26" i="105"/>
  <c r="D26" i="105"/>
  <c r="AB25" i="105"/>
  <c r="R25" i="105"/>
  <c r="Z24" i="105"/>
  <c r="X18" i="105"/>
  <c r="X26" i="105" s="1"/>
  <c r="AD17" i="105"/>
  <c r="AD25" i="105" s="1"/>
  <c r="AB17" i="105"/>
  <c r="Z17" i="105"/>
  <c r="Z25" i="105" s="1"/>
  <c r="X17" i="105"/>
  <c r="X25" i="105" s="1"/>
  <c r="V17" i="105"/>
  <c r="V25" i="105" s="1"/>
  <c r="T17" i="105"/>
  <c r="T25" i="105" s="1"/>
  <c r="R17" i="105"/>
  <c r="AD16" i="105"/>
  <c r="AD24" i="105" s="1"/>
  <c r="AB16" i="105"/>
  <c r="AB18" i="105" s="1"/>
  <c r="AB26" i="105" s="1"/>
  <c r="Z16" i="105"/>
  <c r="Y16" i="105"/>
  <c r="X16" i="105"/>
  <c r="X24" i="105" s="1"/>
  <c r="V16" i="105"/>
  <c r="V18" i="105" s="1"/>
  <c r="V26" i="105" s="1"/>
  <c r="T16" i="105"/>
  <c r="R16" i="105"/>
  <c r="R18" i="105" s="1"/>
  <c r="R26" i="105" s="1"/>
  <c r="P16" i="105"/>
  <c r="O16" i="105"/>
  <c r="N16" i="105"/>
  <c r="L16" i="105"/>
  <c r="K16" i="105"/>
  <c r="J16" i="105"/>
  <c r="H16" i="105"/>
  <c r="G16" i="105"/>
  <c r="F16" i="105"/>
  <c r="O15" i="105"/>
  <c r="AE14" i="105"/>
  <c r="AC14" i="105"/>
  <c r="AA14" i="105"/>
  <c r="Y14" i="105"/>
  <c r="W14" i="105"/>
  <c r="U14" i="105"/>
  <c r="S14" i="105"/>
  <c r="Q14" i="105"/>
  <c r="M14" i="105"/>
  <c r="I14" i="105"/>
  <c r="O13" i="105"/>
  <c r="AE12" i="105"/>
  <c r="AC12" i="105"/>
  <c r="AA12" i="105"/>
  <c r="Y12" i="105"/>
  <c r="W12" i="105"/>
  <c r="U12" i="105"/>
  <c r="S12" i="105"/>
  <c r="Q12" i="105"/>
  <c r="M12" i="105"/>
  <c r="I12" i="105"/>
  <c r="O11" i="105"/>
  <c r="AE10" i="105"/>
  <c r="AC10" i="105"/>
  <c r="AA10" i="105"/>
  <c r="Y10" i="105"/>
  <c r="W10" i="105"/>
  <c r="U10" i="105"/>
  <c r="S10" i="105"/>
  <c r="Q10" i="105"/>
  <c r="M10" i="105"/>
  <c r="I10" i="105"/>
  <c r="O9" i="105"/>
  <c r="AE8" i="105"/>
  <c r="AC8" i="105"/>
  <c r="AA8" i="105"/>
  <c r="Y8" i="105"/>
  <c r="W8" i="105"/>
  <c r="U8" i="105"/>
  <c r="S8" i="105"/>
  <c r="Q8" i="105"/>
  <c r="M8" i="105"/>
  <c r="I8" i="105"/>
  <c r="O7" i="105"/>
  <c r="AE6" i="105"/>
  <c r="AC6" i="105"/>
  <c r="AA6" i="105"/>
  <c r="Y6" i="105"/>
  <c r="W6" i="105"/>
  <c r="U6" i="105"/>
  <c r="S6" i="105"/>
  <c r="Q6" i="105"/>
  <c r="Q16" i="105" s="1"/>
  <c r="M6" i="105"/>
  <c r="I6" i="105"/>
  <c r="I16" i="105" s="1"/>
  <c r="C3" i="105"/>
  <c r="AE64" i="104"/>
  <c r="AC64" i="104"/>
  <c r="AA64" i="104"/>
  <c r="Y64" i="104"/>
  <c r="W64" i="104"/>
  <c r="U64" i="104"/>
  <c r="S64" i="104"/>
  <c r="AE63" i="104"/>
  <c r="AC63" i="104"/>
  <c r="AA63" i="104"/>
  <c r="Y63" i="104"/>
  <c r="W63" i="104"/>
  <c r="U63" i="104"/>
  <c r="S63" i="104"/>
  <c r="AE62" i="104"/>
  <c r="AC62" i="104"/>
  <c r="AA62" i="104"/>
  <c r="Y62" i="104"/>
  <c r="W62" i="104"/>
  <c r="U62" i="104"/>
  <c r="S62" i="104"/>
  <c r="AE61" i="104"/>
  <c r="AC61" i="104"/>
  <c r="AA61" i="104"/>
  <c r="Y61" i="104"/>
  <c r="W61" i="104"/>
  <c r="U61" i="104"/>
  <c r="S61" i="104"/>
  <c r="AE60" i="104"/>
  <c r="AC60" i="104"/>
  <c r="AA60" i="104"/>
  <c r="Y60" i="104"/>
  <c r="W60" i="104"/>
  <c r="U60" i="104"/>
  <c r="S60" i="104"/>
  <c r="AE59" i="104"/>
  <c r="AC59" i="104"/>
  <c r="AA59" i="104"/>
  <c r="Y59" i="104"/>
  <c r="W59" i="104"/>
  <c r="U59" i="104"/>
  <c r="S59" i="104"/>
  <c r="AE58" i="104"/>
  <c r="AC58" i="104"/>
  <c r="AA58" i="104"/>
  <c r="Y58" i="104"/>
  <c r="W58" i="104"/>
  <c r="U58" i="104"/>
  <c r="S58" i="104"/>
  <c r="AE57" i="104"/>
  <c r="AC57" i="104"/>
  <c r="AA57" i="104"/>
  <c r="Y57" i="104"/>
  <c r="W57" i="104"/>
  <c r="U57" i="104"/>
  <c r="S57" i="104"/>
  <c r="AE56" i="104"/>
  <c r="AC56" i="104"/>
  <c r="AA56" i="104"/>
  <c r="Y56" i="104"/>
  <c r="W56" i="104"/>
  <c r="U56" i="104"/>
  <c r="S56" i="104"/>
  <c r="AE55" i="104"/>
  <c r="AC55" i="104"/>
  <c r="AA55" i="104"/>
  <c r="Y55" i="104"/>
  <c r="W55" i="104"/>
  <c r="U55" i="104"/>
  <c r="S55" i="104"/>
  <c r="AE54" i="104"/>
  <c r="AC54" i="104"/>
  <c r="AA54" i="104"/>
  <c r="Y54" i="104"/>
  <c r="W54" i="104"/>
  <c r="U54" i="104"/>
  <c r="S54" i="104"/>
  <c r="AE53" i="104"/>
  <c r="AC53" i="104"/>
  <c r="AA53" i="104"/>
  <c r="Y53" i="104"/>
  <c r="W53" i="104"/>
  <c r="U53" i="104"/>
  <c r="S53" i="104"/>
  <c r="AE52" i="104"/>
  <c r="AC52" i="104"/>
  <c r="AA52" i="104"/>
  <c r="Y52" i="104"/>
  <c r="W52" i="104"/>
  <c r="U52" i="104"/>
  <c r="S52" i="104"/>
  <c r="AE51" i="104"/>
  <c r="AC51" i="104"/>
  <c r="AA51" i="104"/>
  <c r="Y51" i="104"/>
  <c r="W51" i="104"/>
  <c r="U51" i="104"/>
  <c r="S51" i="104"/>
  <c r="AE50" i="104"/>
  <c r="AC50" i="104"/>
  <c r="AA50" i="104"/>
  <c r="Y50" i="104"/>
  <c r="W50" i="104"/>
  <c r="U50" i="104"/>
  <c r="S50" i="104"/>
  <c r="AE49" i="104"/>
  <c r="AC49" i="104"/>
  <c r="AA49" i="104"/>
  <c r="Y49" i="104"/>
  <c r="W49" i="104"/>
  <c r="U49" i="104"/>
  <c r="S49" i="104"/>
  <c r="AE48" i="104"/>
  <c r="AC48" i="104"/>
  <c r="AA48" i="104"/>
  <c r="Y48" i="104"/>
  <c r="W48" i="104"/>
  <c r="U48" i="104"/>
  <c r="S48" i="104"/>
  <c r="AE47" i="104"/>
  <c r="AC47" i="104"/>
  <c r="AA47" i="104"/>
  <c r="Y47" i="104"/>
  <c r="W47" i="104"/>
  <c r="U47" i="104"/>
  <c r="S47" i="104"/>
  <c r="AE46" i="104"/>
  <c r="AC46" i="104"/>
  <c r="AA46" i="104"/>
  <c r="Y46" i="104"/>
  <c r="W46" i="104"/>
  <c r="U46" i="104"/>
  <c r="S46" i="104"/>
  <c r="AE45" i="104"/>
  <c r="AC45" i="104"/>
  <c r="AA45" i="104"/>
  <c r="Y45" i="104"/>
  <c r="W45" i="104"/>
  <c r="U45" i="104"/>
  <c r="S45" i="104"/>
  <c r="AE44" i="104"/>
  <c r="AC44" i="104"/>
  <c r="AA44" i="104"/>
  <c r="Y44" i="104"/>
  <c r="W44" i="104"/>
  <c r="U44" i="104"/>
  <c r="S44" i="104"/>
  <c r="AE43" i="104"/>
  <c r="AC43" i="104"/>
  <c r="AA43" i="104"/>
  <c r="Y43" i="104"/>
  <c r="W43" i="104"/>
  <c r="U43" i="104"/>
  <c r="S43" i="104"/>
  <c r="AE42" i="104"/>
  <c r="AC42" i="104"/>
  <c r="AA42" i="104"/>
  <c r="Y42" i="104"/>
  <c r="W42" i="104"/>
  <c r="U42" i="104"/>
  <c r="S42" i="104"/>
  <c r="AE41" i="104"/>
  <c r="AC41" i="104"/>
  <c r="AA41" i="104"/>
  <c r="Y41" i="104"/>
  <c r="W41" i="104"/>
  <c r="U41" i="104"/>
  <c r="S41" i="104"/>
  <c r="AE40" i="104"/>
  <c r="AC40" i="104"/>
  <c r="AA40" i="104"/>
  <c r="Y40" i="104"/>
  <c r="W40" i="104"/>
  <c r="U40" i="104"/>
  <c r="S40" i="104"/>
  <c r="AE39" i="104"/>
  <c r="AC39" i="104"/>
  <c r="AA39" i="104"/>
  <c r="Y39" i="104"/>
  <c r="W39" i="104"/>
  <c r="U39" i="104"/>
  <c r="S39" i="104"/>
  <c r="AE38" i="104"/>
  <c r="AC38" i="104"/>
  <c r="AA38" i="104"/>
  <c r="Y38" i="104"/>
  <c r="W38" i="104"/>
  <c r="U38" i="104"/>
  <c r="S38" i="104"/>
  <c r="AE37" i="104"/>
  <c r="AC37" i="104"/>
  <c r="AA37" i="104"/>
  <c r="Y37" i="104"/>
  <c r="W37" i="104"/>
  <c r="U37" i="104"/>
  <c r="S37" i="104"/>
  <c r="AE36" i="104"/>
  <c r="AC36" i="104"/>
  <c r="AA36" i="104"/>
  <c r="Y36" i="104"/>
  <c r="W36" i="104"/>
  <c r="U36" i="104"/>
  <c r="S36" i="104"/>
  <c r="AE35" i="104"/>
  <c r="AC35" i="104"/>
  <c r="AA35" i="104"/>
  <c r="Y35" i="104"/>
  <c r="W35" i="104"/>
  <c r="U35" i="104"/>
  <c r="S35" i="104"/>
  <c r="D31" i="104"/>
  <c r="E31" i="104" s="1"/>
  <c r="E30" i="104"/>
  <c r="D30" i="104"/>
  <c r="D29" i="104"/>
  <c r="E29" i="104" s="1"/>
  <c r="D28" i="104"/>
  <c r="E28" i="104" s="1"/>
  <c r="D27" i="104"/>
  <c r="E27" i="104" s="1"/>
  <c r="D26" i="104"/>
  <c r="E26" i="104" s="1"/>
  <c r="Z25" i="104"/>
  <c r="AD24" i="104"/>
  <c r="R18" i="104"/>
  <c r="R26" i="104" s="1"/>
  <c r="AD17" i="104"/>
  <c r="AD25" i="104" s="1"/>
  <c r="AB17" i="104"/>
  <c r="AB25" i="104" s="1"/>
  <c r="Z17" i="104"/>
  <c r="X17" i="104"/>
  <c r="X25" i="104" s="1"/>
  <c r="V17" i="104"/>
  <c r="V25" i="104" s="1"/>
  <c r="T17" i="104"/>
  <c r="T25" i="104" s="1"/>
  <c r="R17" i="104"/>
  <c r="R25" i="104" s="1"/>
  <c r="AD16" i="104"/>
  <c r="AB16" i="104"/>
  <c r="Z16" i="104"/>
  <c r="X16" i="104"/>
  <c r="V16" i="104"/>
  <c r="T16" i="104"/>
  <c r="T24" i="104" s="1"/>
  <c r="R16" i="104"/>
  <c r="R24" i="104" s="1"/>
  <c r="P16" i="104"/>
  <c r="O16" i="104"/>
  <c r="N16" i="104"/>
  <c r="L16" i="104"/>
  <c r="K16" i="104"/>
  <c r="J16" i="104"/>
  <c r="H16" i="104"/>
  <c r="G16" i="104"/>
  <c r="F16" i="104"/>
  <c r="O15" i="104"/>
  <c r="AA14" i="104"/>
  <c r="Q14" i="104"/>
  <c r="M14" i="104"/>
  <c r="I14" i="104"/>
  <c r="O13" i="104"/>
  <c r="Q12" i="104"/>
  <c r="AA12" i="104" s="1"/>
  <c r="M12" i="104"/>
  <c r="I12" i="104"/>
  <c r="O11" i="104"/>
  <c r="Q10" i="104"/>
  <c r="Y10" i="104" s="1"/>
  <c r="M10" i="104"/>
  <c r="I10" i="104"/>
  <c r="O9" i="104"/>
  <c r="AC8" i="104"/>
  <c r="Y8" i="104"/>
  <c r="Q8" i="104"/>
  <c r="M8" i="104"/>
  <c r="I8" i="104"/>
  <c r="O7" i="104"/>
  <c r="AE6" i="104"/>
  <c r="AC6" i="104"/>
  <c r="Y6" i="104"/>
  <c r="Q6" i="104"/>
  <c r="M6" i="104"/>
  <c r="M16" i="104" s="1"/>
  <c r="I6" i="104"/>
  <c r="C3" i="104"/>
  <c r="AE64" i="103"/>
  <c r="AC64" i="103"/>
  <c r="AA64" i="103"/>
  <c r="Y64" i="103"/>
  <c r="W64" i="103"/>
  <c r="U64" i="103"/>
  <c r="S64" i="103"/>
  <c r="AE63" i="103"/>
  <c r="AC63" i="103"/>
  <c r="AA63" i="103"/>
  <c r="Y63" i="103"/>
  <c r="W63" i="103"/>
  <c r="U63" i="103"/>
  <c r="S63" i="103"/>
  <c r="AE62" i="103"/>
  <c r="AC62" i="103"/>
  <c r="AA62" i="103"/>
  <c r="Y62" i="103"/>
  <c r="W62" i="103"/>
  <c r="U62" i="103"/>
  <c r="S62" i="103"/>
  <c r="AE61" i="103"/>
  <c r="AC61" i="103"/>
  <c r="AA61" i="103"/>
  <c r="Y61" i="103"/>
  <c r="W61" i="103"/>
  <c r="U61" i="103"/>
  <c r="S61" i="103"/>
  <c r="AE60" i="103"/>
  <c r="AC60" i="103"/>
  <c r="AA60" i="103"/>
  <c r="Y60" i="103"/>
  <c r="W60" i="103"/>
  <c r="U60" i="103"/>
  <c r="S60" i="103"/>
  <c r="AE59" i="103"/>
  <c r="AC59" i="103"/>
  <c r="AA59" i="103"/>
  <c r="Y59" i="103"/>
  <c r="W59" i="103"/>
  <c r="U59" i="103"/>
  <c r="S59" i="103"/>
  <c r="AE58" i="103"/>
  <c r="AC58" i="103"/>
  <c r="AA58" i="103"/>
  <c r="Y58" i="103"/>
  <c r="W58" i="103"/>
  <c r="U58" i="103"/>
  <c r="S58" i="103"/>
  <c r="AE57" i="103"/>
  <c r="AC57" i="103"/>
  <c r="AA57" i="103"/>
  <c r="Y57" i="103"/>
  <c r="W57" i="103"/>
  <c r="U57" i="103"/>
  <c r="S57" i="103"/>
  <c r="AE56" i="103"/>
  <c r="AC56" i="103"/>
  <c r="AA56" i="103"/>
  <c r="Y56" i="103"/>
  <c r="W56" i="103"/>
  <c r="U56" i="103"/>
  <c r="S56" i="103"/>
  <c r="AE55" i="103"/>
  <c r="AC55" i="103"/>
  <c r="AA55" i="103"/>
  <c r="Y55" i="103"/>
  <c r="W55" i="103"/>
  <c r="U55" i="103"/>
  <c r="S55" i="103"/>
  <c r="AE54" i="103"/>
  <c r="AC54" i="103"/>
  <c r="AA54" i="103"/>
  <c r="Y54" i="103"/>
  <c r="W54" i="103"/>
  <c r="U54" i="103"/>
  <c r="S54" i="103"/>
  <c r="AE53" i="103"/>
  <c r="AC53" i="103"/>
  <c r="AA53" i="103"/>
  <c r="Y53" i="103"/>
  <c r="W53" i="103"/>
  <c r="U53" i="103"/>
  <c r="S53" i="103"/>
  <c r="AE52" i="103"/>
  <c r="AC52" i="103"/>
  <c r="AA52" i="103"/>
  <c r="Y52" i="103"/>
  <c r="W52" i="103"/>
  <c r="U52" i="103"/>
  <c r="S52" i="103"/>
  <c r="AE51" i="103"/>
  <c r="AC51" i="103"/>
  <c r="AA51" i="103"/>
  <c r="Y51" i="103"/>
  <c r="W51" i="103"/>
  <c r="U51" i="103"/>
  <c r="S51" i="103"/>
  <c r="AE50" i="103"/>
  <c r="AC50" i="103"/>
  <c r="AA50" i="103"/>
  <c r="Y50" i="103"/>
  <c r="W50" i="103"/>
  <c r="U50" i="103"/>
  <c r="S50" i="103"/>
  <c r="AE49" i="103"/>
  <c r="AC49" i="103"/>
  <c r="AA49" i="103"/>
  <c r="Y49" i="103"/>
  <c r="W49" i="103"/>
  <c r="U49" i="103"/>
  <c r="S49" i="103"/>
  <c r="AE48" i="103"/>
  <c r="AC48" i="103"/>
  <c r="AA48" i="103"/>
  <c r="Y48" i="103"/>
  <c r="W48" i="103"/>
  <c r="U48" i="103"/>
  <c r="S48" i="103"/>
  <c r="AE47" i="103"/>
  <c r="AC47" i="103"/>
  <c r="AA47" i="103"/>
  <c r="Y47" i="103"/>
  <c r="W47" i="103"/>
  <c r="U47" i="103"/>
  <c r="S47" i="103"/>
  <c r="AE46" i="103"/>
  <c r="AC46" i="103"/>
  <c r="AA46" i="103"/>
  <c r="Y46" i="103"/>
  <c r="W46" i="103"/>
  <c r="U46" i="103"/>
  <c r="S46" i="103"/>
  <c r="AE45" i="103"/>
  <c r="AC45" i="103"/>
  <c r="AA45" i="103"/>
  <c r="Y45" i="103"/>
  <c r="W45" i="103"/>
  <c r="U45" i="103"/>
  <c r="S45" i="103"/>
  <c r="AE44" i="103"/>
  <c r="AC44" i="103"/>
  <c r="AA44" i="103"/>
  <c r="Y44" i="103"/>
  <c r="W44" i="103"/>
  <c r="U44" i="103"/>
  <c r="S44" i="103"/>
  <c r="AE43" i="103"/>
  <c r="AC43" i="103"/>
  <c r="AA43" i="103"/>
  <c r="Y43" i="103"/>
  <c r="W43" i="103"/>
  <c r="U43" i="103"/>
  <c r="S43" i="103"/>
  <c r="AE42" i="103"/>
  <c r="AC42" i="103"/>
  <c r="AA42" i="103"/>
  <c r="Y42" i="103"/>
  <c r="W42" i="103"/>
  <c r="U42" i="103"/>
  <c r="S42" i="103"/>
  <c r="AE41" i="103"/>
  <c r="AC41" i="103"/>
  <c r="AA41" i="103"/>
  <c r="Y41" i="103"/>
  <c r="W41" i="103"/>
  <c r="U41" i="103"/>
  <c r="S41" i="103"/>
  <c r="AE40" i="103"/>
  <c r="AC40" i="103"/>
  <c r="AA40" i="103"/>
  <c r="Y40" i="103"/>
  <c r="W40" i="103"/>
  <c r="U40" i="103"/>
  <c r="S40" i="103"/>
  <c r="AE39" i="103"/>
  <c r="AC39" i="103"/>
  <c r="AA39" i="103"/>
  <c r="Y39" i="103"/>
  <c r="W39" i="103"/>
  <c r="U39" i="103"/>
  <c r="S39" i="103"/>
  <c r="AE38" i="103"/>
  <c r="AC38" i="103"/>
  <c r="AA38" i="103"/>
  <c r="Y38" i="103"/>
  <c r="W38" i="103"/>
  <c r="U38" i="103"/>
  <c r="S38" i="103"/>
  <c r="AE37" i="103"/>
  <c r="AC37" i="103"/>
  <c r="AA37" i="103"/>
  <c r="Y37" i="103"/>
  <c r="W37" i="103"/>
  <c r="U37" i="103"/>
  <c r="S37" i="103"/>
  <c r="AE36" i="103"/>
  <c r="AC36" i="103"/>
  <c r="AA36" i="103"/>
  <c r="Y36" i="103"/>
  <c r="W36" i="103"/>
  <c r="U36" i="103"/>
  <c r="S36" i="103"/>
  <c r="AE35" i="103"/>
  <c r="AC35" i="103"/>
  <c r="AA35" i="103"/>
  <c r="Y35" i="103"/>
  <c r="W35" i="103"/>
  <c r="U35" i="103"/>
  <c r="S35" i="103"/>
  <c r="D31" i="103"/>
  <c r="E31" i="103" s="1"/>
  <c r="D30" i="103"/>
  <c r="E30" i="103" s="1"/>
  <c r="E29" i="103"/>
  <c r="D29" i="103"/>
  <c r="D28" i="103"/>
  <c r="E28" i="103" s="1"/>
  <c r="D27" i="103"/>
  <c r="E27" i="103" s="1"/>
  <c r="AB26" i="103"/>
  <c r="E26" i="103"/>
  <c r="D26" i="103"/>
  <c r="AD25" i="103"/>
  <c r="AD17" i="103"/>
  <c r="AB17" i="103"/>
  <c r="AB25" i="103" s="1"/>
  <c r="Z17" i="103"/>
  <c r="Z25" i="103" s="1"/>
  <c r="X17" i="103"/>
  <c r="X25" i="103" s="1"/>
  <c r="V17" i="103"/>
  <c r="V25" i="103" s="1"/>
  <c r="T17" i="103"/>
  <c r="T25" i="103" s="1"/>
  <c r="R17" i="103"/>
  <c r="R25" i="103" s="1"/>
  <c r="AD16" i="103"/>
  <c r="AB16" i="103"/>
  <c r="AB18" i="103" s="1"/>
  <c r="Z16" i="103"/>
  <c r="Z18" i="103" s="1"/>
  <c r="Z26" i="103" s="1"/>
  <c r="Y16" i="103"/>
  <c r="X16" i="103"/>
  <c r="X24" i="103" s="1"/>
  <c r="V16" i="103"/>
  <c r="V18" i="103" s="1"/>
  <c r="V26" i="103" s="1"/>
  <c r="T16" i="103"/>
  <c r="U16" i="103" s="1"/>
  <c r="R16" i="103"/>
  <c r="R24" i="103" s="1"/>
  <c r="P16" i="103"/>
  <c r="O16" i="103"/>
  <c r="N16" i="103"/>
  <c r="L16" i="103"/>
  <c r="K16" i="103"/>
  <c r="J16" i="103"/>
  <c r="H16" i="103"/>
  <c r="G16" i="103"/>
  <c r="F16" i="103"/>
  <c r="O15" i="103"/>
  <c r="AE14" i="103"/>
  <c r="AC14" i="103"/>
  <c r="AA14" i="103"/>
  <c r="Y14" i="103"/>
  <c r="W14" i="103"/>
  <c r="U14" i="103"/>
  <c r="S14" i="103"/>
  <c r="Q14" i="103"/>
  <c r="M14" i="103"/>
  <c r="I14" i="103"/>
  <c r="O13" i="103"/>
  <c r="AE12" i="103"/>
  <c r="AC12" i="103"/>
  <c r="AA12" i="103"/>
  <c r="Y12" i="103"/>
  <c r="W12" i="103"/>
  <c r="U12" i="103"/>
  <c r="S12" i="103"/>
  <c r="Q12" i="103"/>
  <c r="M12" i="103"/>
  <c r="I12" i="103"/>
  <c r="O11" i="103"/>
  <c r="AE10" i="103"/>
  <c r="AC10" i="103"/>
  <c r="AA10" i="103"/>
  <c r="Y10" i="103"/>
  <c r="W10" i="103"/>
  <c r="U10" i="103"/>
  <c r="S10" i="103"/>
  <c r="Q10" i="103"/>
  <c r="M10" i="103"/>
  <c r="I10" i="103"/>
  <c r="O9" i="103"/>
  <c r="AE8" i="103"/>
  <c r="AC8" i="103"/>
  <c r="AA8" i="103"/>
  <c r="Y8" i="103"/>
  <c r="W8" i="103"/>
  <c r="U8" i="103"/>
  <c r="S8" i="103"/>
  <c r="Q8" i="103"/>
  <c r="M8" i="103"/>
  <c r="I8" i="103"/>
  <c r="O7" i="103"/>
  <c r="AE6" i="103"/>
  <c r="AC6" i="103"/>
  <c r="AA6" i="103"/>
  <c r="Y6" i="103"/>
  <c r="W6" i="103"/>
  <c r="U6" i="103"/>
  <c r="S6" i="103"/>
  <c r="Q6" i="103"/>
  <c r="M6" i="103"/>
  <c r="I6" i="103"/>
  <c r="C3" i="103"/>
  <c r="AE64" i="102"/>
  <c r="AC64" i="102"/>
  <c r="AA64" i="102"/>
  <c r="Y64" i="102"/>
  <c r="W64" i="102"/>
  <c r="U64" i="102"/>
  <c r="S64" i="102"/>
  <c r="AE63" i="102"/>
  <c r="AC63" i="102"/>
  <c r="AA63" i="102"/>
  <c r="Y63" i="102"/>
  <c r="W63" i="102"/>
  <c r="U63" i="102"/>
  <c r="S63" i="102"/>
  <c r="AE62" i="102"/>
  <c r="AC62" i="102"/>
  <c r="AA62" i="102"/>
  <c r="Y62" i="102"/>
  <c r="W62" i="102"/>
  <c r="U62" i="102"/>
  <c r="S62" i="102"/>
  <c r="AE61" i="102"/>
  <c r="AC61" i="102"/>
  <c r="AA61" i="102"/>
  <c r="Y61" i="102"/>
  <c r="W61" i="102"/>
  <c r="U61" i="102"/>
  <c r="S61" i="102"/>
  <c r="AE60" i="102"/>
  <c r="AC60" i="102"/>
  <c r="AA60" i="102"/>
  <c r="Y60" i="102"/>
  <c r="W60" i="102"/>
  <c r="U60" i="102"/>
  <c r="S60" i="102"/>
  <c r="AE59" i="102"/>
  <c r="AC59" i="102"/>
  <c r="AA59" i="102"/>
  <c r="Y59" i="102"/>
  <c r="W59" i="102"/>
  <c r="U59" i="102"/>
  <c r="S59" i="102"/>
  <c r="AE58" i="102"/>
  <c r="AC58" i="102"/>
  <c r="AA58" i="102"/>
  <c r="Y58" i="102"/>
  <c r="W58" i="102"/>
  <c r="U58" i="102"/>
  <c r="S58" i="102"/>
  <c r="AE57" i="102"/>
  <c r="AC57" i="102"/>
  <c r="AA57" i="102"/>
  <c r="Y57" i="102"/>
  <c r="W57" i="102"/>
  <c r="U57" i="102"/>
  <c r="S57" i="102"/>
  <c r="AE56" i="102"/>
  <c r="AC56" i="102"/>
  <c r="AA56" i="102"/>
  <c r="Y56" i="102"/>
  <c r="W56" i="102"/>
  <c r="U56" i="102"/>
  <c r="S56" i="102"/>
  <c r="AE55" i="102"/>
  <c r="AC55" i="102"/>
  <c r="AA55" i="102"/>
  <c r="Y55" i="102"/>
  <c r="W55" i="102"/>
  <c r="U55" i="102"/>
  <c r="S55" i="102"/>
  <c r="AE54" i="102"/>
  <c r="AC54" i="102"/>
  <c r="AA54" i="102"/>
  <c r="Y54" i="102"/>
  <c r="W54" i="102"/>
  <c r="U54" i="102"/>
  <c r="S54" i="102"/>
  <c r="AE53" i="102"/>
  <c r="AC53" i="102"/>
  <c r="AA53" i="102"/>
  <c r="Y53" i="102"/>
  <c r="W53" i="102"/>
  <c r="U53" i="102"/>
  <c r="S53" i="102"/>
  <c r="AE52" i="102"/>
  <c r="AC52" i="102"/>
  <c r="AA52" i="102"/>
  <c r="Y52" i="102"/>
  <c r="W52" i="102"/>
  <c r="U52" i="102"/>
  <c r="S52" i="102"/>
  <c r="AE51" i="102"/>
  <c r="AC51" i="102"/>
  <c r="AA51" i="102"/>
  <c r="Y51" i="102"/>
  <c r="W51" i="102"/>
  <c r="U51" i="102"/>
  <c r="S51" i="102"/>
  <c r="AE50" i="102"/>
  <c r="AC50" i="102"/>
  <c r="AA50" i="102"/>
  <c r="Y50" i="102"/>
  <c r="W50" i="102"/>
  <c r="U50" i="102"/>
  <c r="S50" i="102"/>
  <c r="AE49" i="102"/>
  <c r="AC49" i="102"/>
  <c r="AA49" i="102"/>
  <c r="Y49" i="102"/>
  <c r="W49" i="102"/>
  <c r="U49" i="102"/>
  <c r="S49" i="102"/>
  <c r="AE48" i="102"/>
  <c r="AC48" i="102"/>
  <c r="AA48" i="102"/>
  <c r="Y48" i="102"/>
  <c r="W48" i="102"/>
  <c r="U48" i="102"/>
  <c r="S48" i="102"/>
  <c r="AE47" i="102"/>
  <c r="AC47" i="102"/>
  <c r="AA47" i="102"/>
  <c r="Y47" i="102"/>
  <c r="W47" i="102"/>
  <c r="U47" i="102"/>
  <c r="S47" i="102"/>
  <c r="AE46" i="102"/>
  <c r="AC46" i="102"/>
  <c r="AA46" i="102"/>
  <c r="Y46" i="102"/>
  <c r="W46" i="102"/>
  <c r="U46" i="102"/>
  <c r="S46" i="102"/>
  <c r="AE45" i="102"/>
  <c r="AC45" i="102"/>
  <c r="AA45" i="102"/>
  <c r="Y45" i="102"/>
  <c r="W45" i="102"/>
  <c r="U45" i="102"/>
  <c r="S45" i="102"/>
  <c r="AE44" i="102"/>
  <c r="AC44" i="102"/>
  <c r="AA44" i="102"/>
  <c r="Y44" i="102"/>
  <c r="W44" i="102"/>
  <c r="U44" i="102"/>
  <c r="S44" i="102"/>
  <c r="AE43" i="102"/>
  <c r="AC43" i="102"/>
  <c r="AA43" i="102"/>
  <c r="Y43" i="102"/>
  <c r="W43" i="102"/>
  <c r="U43" i="102"/>
  <c r="S43" i="102"/>
  <c r="AE42" i="102"/>
  <c r="AC42" i="102"/>
  <c r="AA42" i="102"/>
  <c r="Y42" i="102"/>
  <c r="W42" i="102"/>
  <c r="U42" i="102"/>
  <c r="S42" i="102"/>
  <c r="AE41" i="102"/>
  <c r="AC41" i="102"/>
  <c r="AA41" i="102"/>
  <c r="Y41" i="102"/>
  <c r="W41" i="102"/>
  <c r="U41" i="102"/>
  <c r="S41" i="102"/>
  <c r="AE40" i="102"/>
  <c r="AC40" i="102"/>
  <c r="AA40" i="102"/>
  <c r="Y40" i="102"/>
  <c r="W40" i="102"/>
  <c r="U40" i="102"/>
  <c r="S40" i="102"/>
  <c r="AE39" i="102"/>
  <c r="AC39" i="102"/>
  <c r="AA39" i="102"/>
  <c r="Y39" i="102"/>
  <c r="W39" i="102"/>
  <c r="U39" i="102"/>
  <c r="S39" i="102"/>
  <c r="AE38" i="102"/>
  <c r="AC38" i="102"/>
  <c r="AA38" i="102"/>
  <c r="Y38" i="102"/>
  <c r="W38" i="102"/>
  <c r="U38" i="102"/>
  <c r="S38" i="102"/>
  <c r="AE37" i="102"/>
  <c r="AC37" i="102"/>
  <c r="AA37" i="102"/>
  <c r="Y37" i="102"/>
  <c r="W37" i="102"/>
  <c r="U37" i="102"/>
  <c r="S37" i="102"/>
  <c r="AE36" i="102"/>
  <c r="AC36" i="102"/>
  <c r="AA36" i="102"/>
  <c r="Y36" i="102"/>
  <c r="W36" i="102"/>
  <c r="U36" i="102"/>
  <c r="S36" i="102"/>
  <c r="AE35" i="102"/>
  <c r="AC35" i="102"/>
  <c r="AA35" i="102"/>
  <c r="Y35" i="102"/>
  <c r="W35" i="102"/>
  <c r="U35" i="102"/>
  <c r="S35" i="102"/>
  <c r="D31" i="102"/>
  <c r="E31" i="102" s="1"/>
  <c r="D30" i="102"/>
  <c r="E30" i="102" s="1"/>
  <c r="D29" i="102"/>
  <c r="E29" i="102" s="1"/>
  <c r="D28" i="102"/>
  <c r="E28" i="102" s="1"/>
  <c r="D27" i="102"/>
  <c r="E27" i="102" s="1"/>
  <c r="X26" i="102"/>
  <c r="D26" i="102"/>
  <c r="E26" i="102" s="1"/>
  <c r="AD25" i="102"/>
  <c r="AB25" i="102"/>
  <c r="Z25" i="102"/>
  <c r="X24" i="102"/>
  <c r="T24" i="102"/>
  <c r="X18" i="102"/>
  <c r="AD17" i="102"/>
  <c r="AB17" i="102"/>
  <c r="Z17" i="102"/>
  <c r="X17" i="102"/>
  <c r="X25" i="102" s="1"/>
  <c r="V17" i="102"/>
  <c r="V25" i="102" s="1"/>
  <c r="T17" i="102"/>
  <c r="T25" i="102" s="1"/>
  <c r="R17" i="102"/>
  <c r="R25" i="102" s="1"/>
  <c r="AD16" i="102"/>
  <c r="AD24" i="102" s="1"/>
  <c r="AB16" i="102"/>
  <c r="AB24" i="102" s="1"/>
  <c r="Z16" i="102"/>
  <c r="Z24" i="102" s="1"/>
  <c r="X16" i="102"/>
  <c r="V16" i="102"/>
  <c r="V24" i="102" s="1"/>
  <c r="T16" i="102"/>
  <c r="R16" i="102"/>
  <c r="P16" i="102"/>
  <c r="O16" i="102"/>
  <c r="N16" i="102"/>
  <c r="L16" i="102"/>
  <c r="K16" i="102"/>
  <c r="J16" i="102"/>
  <c r="H16" i="102"/>
  <c r="G16" i="102"/>
  <c r="F16" i="102"/>
  <c r="O15" i="102"/>
  <c r="AC14" i="102"/>
  <c r="AA14" i="102"/>
  <c r="Q14" i="102"/>
  <c r="Y14" i="102" s="1"/>
  <c r="M14" i="102"/>
  <c r="I14" i="102"/>
  <c r="O13" i="102"/>
  <c r="Q12" i="102"/>
  <c r="M12" i="102"/>
  <c r="I12" i="102"/>
  <c r="O11" i="102"/>
  <c r="AC10" i="102"/>
  <c r="AA10" i="102"/>
  <c r="Y10" i="102"/>
  <c r="W10" i="102"/>
  <c r="S10" i="102"/>
  <c r="Q10" i="102"/>
  <c r="U10" i="102" s="1"/>
  <c r="M10" i="102"/>
  <c r="I10" i="102"/>
  <c r="O9" i="102"/>
  <c r="AE8" i="102"/>
  <c r="AC8" i="102"/>
  <c r="Y8" i="102"/>
  <c r="U8" i="102"/>
  <c r="S8" i="102"/>
  <c r="Q8" i="102"/>
  <c r="AA8" i="102" s="1"/>
  <c r="M8" i="102"/>
  <c r="I8" i="102"/>
  <c r="O7" i="102"/>
  <c r="Q6" i="102"/>
  <c r="AE6" i="102" s="1"/>
  <c r="M6" i="102"/>
  <c r="I6" i="102"/>
  <c r="C3" i="102"/>
  <c r="AE64" i="101"/>
  <c r="AC64" i="101"/>
  <c r="AA64" i="101"/>
  <c r="Y64" i="101"/>
  <c r="W64" i="101"/>
  <c r="U64" i="101"/>
  <c r="S64" i="101"/>
  <c r="AE63" i="101"/>
  <c r="AC63" i="101"/>
  <c r="AA63" i="101"/>
  <c r="Y63" i="101"/>
  <c r="W63" i="101"/>
  <c r="U63" i="101"/>
  <c r="S63" i="101"/>
  <c r="AE62" i="101"/>
  <c r="AC62" i="101"/>
  <c r="AA62" i="101"/>
  <c r="Y62" i="101"/>
  <c r="W62" i="101"/>
  <c r="U62" i="101"/>
  <c r="S62" i="101"/>
  <c r="AE61" i="101"/>
  <c r="AC61" i="101"/>
  <c r="AA61" i="101"/>
  <c r="Y61" i="101"/>
  <c r="W61" i="101"/>
  <c r="U61" i="101"/>
  <c r="S61" i="101"/>
  <c r="AE60" i="101"/>
  <c r="AC60" i="101"/>
  <c r="AA60" i="101"/>
  <c r="Y60" i="101"/>
  <c r="W60" i="101"/>
  <c r="U60" i="101"/>
  <c r="S60" i="101"/>
  <c r="AE59" i="101"/>
  <c r="AC59" i="101"/>
  <c r="AA59" i="101"/>
  <c r="Y59" i="101"/>
  <c r="W59" i="101"/>
  <c r="U59" i="101"/>
  <c r="S59" i="101"/>
  <c r="AE58" i="101"/>
  <c r="AC58" i="101"/>
  <c r="AA58" i="101"/>
  <c r="Y58" i="101"/>
  <c r="W58" i="101"/>
  <c r="U58" i="101"/>
  <c r="S58" i="101"/>
  <c r="AE57" i="101"/>
  <c r="AC57" i="101"/>
  <c r="AA57" i="101"/>
  <c r="Y57" i="101"/>
  <c r="W57" i="101"/>
  <c r="U57" i="101"/>
  <c r="S57" i="101"/>
  <c r="AE56" i="101"/>
  <c r="AC56" i="101"/>
  <c r="AA56" i="101"/>
  <c r="Y56" i="101"/>
  <c r="W56" i="101"/>
  <c r="U56" i="101"/>
  <c r="S56" i="101"/>
  <c r="AE55" i="101"/>
  <c r="AC55" i="101"/>
  <c r="AA55" i="101"/>
  <c r="Y55" i="101"/>
  <c r="W55" i="101"/>
  <c r="U55" i="101"/>
  <c r="S55" i="101"/>
  <c r="AE54" i="101"/>
  <c r="AC54" i="101"/>
  <c r="AA54" i="101"/>
  <c r="Y54" i="101"/>
  <c r="W54" i="101"/>
  <c r="U54" i="101"/>
  <c r="S54" i="101"/>
  <c r="AE53" i="101"/>
  <c r="AC53" i="101"/>
  <c r="AA53" i="101"/>
  <c r="Y53" i="101"/>
  <c r="W53" i="101"/>
  <c r="U53" i="101"/>
  <c r="S53" i="101"/>
  <c r="AE52" i="101"/>
  <c r="AC52" i="101"/>
  <c r="AA52" i="101"/>
  <c r="Y52" i="101"/>
  <c r="W52" i="101"/>
  <c r="U52" i="101"/>
  <c r="S52" i="101"/>
  <c r="AE51" i="101"/>
  <c r="AC51" i="101"/>
  <c r="AA51" i="101"/>
  <c r="Y51" i="101"/>
  <c r="W51" i="101"/>
  <c r="U51" i="101"/>
  <c r="S51" i="101"/>
  <c r="AE50" i="101"/>
  <c r="AC50" i="101"/>
  <c r="AA50" i="101"/>
  <c r="Y50" i="101"/>
  <c r="W50" i="101"/>
  <c r="U50" i="101"/>
  <c r="S50" i="101"/>
  <c r="AE49" i="101"/>
  <c r="AC49" i="101"/>
  <c r="AA49" i="101"/>
  <c r="Y49" i="101"/>
  <c r="W49" i="101"/>
  <c r="U49" i="101"/>
  <c r="S49" i="101"/>
  <c r="AE48" i="101"/>
  <c r="AC48" i="101"/>
  <c r="AA48" i="101"/>
  <c r="Y48" i="101"/>
  <c r="W48" i="101"/>
  <c r="U48" i="101"/>
  <c r="S48" i="101"/>
  <c r="AE47" i="101"/>
  <c r="AC47" i="101"/>
  <c r="AA47" i="101"/>
  <c r="Y47" i="101"/>
  <c r="W47" i="101"/>
  <c r="U47" i="101"/>
  <c r="S47" i="101"/>
  <c r="AE46" i="101"/>
  <c r="AC46" i="101"/>
  <c r="AA46" i="101"/>
  <c r="Y46" i="101"/>
  <c r="W46" i="101"/>
  <c r="U46" i="101"/>
  <c r="S46" i="101"/>
  <c r="AE45" i="101"/>
  <c r="AC45" i="101"/>
  <c r="AA45" i="101"/>
  <c r="Y45" i="101"/>
  <c r="W45" i="101"/>
  <c r="U45" i="101"/>
  <c r="S45" i="101"/>
  <c r="AE44" i="101"/>
  <c r="AC44" i="101"/>
  <c r="AA44" i="101"/>
  <c r="Y44" i="101"/>
  <c r="W44" i="101"/>
  <c r="U44" i="101"/>
  <c r="S44" i="101"/>
  <c r="AE43" i="101"/>
  <c r="AC43" i="101"/>
  <c r="AA43" i="101"/>
  <c r="Y43" i="101"/>
  <c r="W43" i="101"/>
  <c r="U43" i="101"/>
  <c r="S43" i="101"/>
  <c r="AE42" i="101"/>
  <c r="AC42" i="101"/>
  <c r="AA42" i="101"/>
  <c r="Y42" i="101"/>
  <c r="W42" i="101"/>
  <c r="U42" i="101"/>
  <c r="S42" i="101"/>
  <c r="AE41" i="101"/>
  <c r="AC41" i="101"/>
  <c r="AA41" i="101"/>
  <c r="Y41" i="101"/>
  <c r="W41" i="101"/>
  <c r="U41" i="101"/>
  <c r="S41" i="101"/>
  <c r="AE40" i="101"/>
  <c r="AC40" i="101"/>
  <c r="AA40" i="101"/>
  <c r="Y40" i="101"/>
  <c r="W40" i="101"/>
  <c r="U40" i="101"/>
  <c r="S40" i="101"/>
  <c r="AE39" i="101"/>
  <c r="AC39" i="101"/>
  <c r="AA39" i="101"/>
  <c r="Y39" i="101"/>
  <c r="W39" i="101"/>
  <c r="U39" i="101"/>
  <c r="S39" i="101"/>
  <c r="AE38" i="101"/>
  <c r="AC38" i="101"/>
  <c r="AA38" i="101"/>
  <c r="Y38" i="101"/>
  <c r="W38" i="101"/>
  <c r="U38" i="101"/>
  <c r="S38" i="101"/>
  <c r="AE37" i="101"/>
  <c r="AC37" i="101"/>
  <c r="AA37" i="101"/>
  <c r="Y37" i="101"/>
  <c r="W37" i="101"/>
  <c r="U37" i="101"/>
  <c r="S37" i="101"/>
  <c r="AE36" i="101"/>
  <c r="AC36" i="101"/>
  <c r="AA36" i="101"/>
  <c r="Y36" i="101"/>
  <c r="W36" i="101"/>
  <c r="U36" i="101"/>
  <c r="S36" i="101"/>
  <c r="AE35" i="101"/>
  <c r="AC35" i="101"/>
  <c r="AA35" i="101"/>
  <c r="Y35" i="101"/>
  <c r="W35" i="101"/>
  <c r="U35" i="101"/>
  <c r="S35" i="101"/>
  <c r="D31" i="101"/>
  <c r="E31" i="101" s="1"/>
  <c r="D30" i="101"/>
  <c r="E30" i="101" s="1"/>
  <c r="D29" i="101"/>
  <c r="E29" i="101" s="1"/>
  <c r="D28" i="101"/>
  <c r="E28" i="101" s="1"/>
  <c r="E27" i="101"/>
  <c r="D27" i="101"/>
  <c r="D26" i="101"/>
  <c r="E26" i="101" s="1"/>
  <c r="Z25" i="101"/>
  <c r="V25" i="101"/>
  <c r="T25" i="101"/>
  <c r="R25" i="101"/>
  <c r="AD17" i="101"/>
  <c r="AD25" i="101" s="1"/>
  <c r="AB17" i="101"/>
  <c r="AB25" i="101" s="1"/>
  <c r="Z17" i="101"/>
  <c r="X17" i="101"/>
  <c r="X25" i="101" s="1"/>
  <c r="V17" i="101"/>
  <c r="T17" i="101"/>
  <c r="R17" i="101"/>
  <c r="AD16" i="101"/>
  <c r="AD24" i="101" s="1"/>
  <c r="AB16" i="101"/>
  <c r="Z16" i="101"/>
  <c r="Z24" i="101" s="1"/>
  <c r="X16" i="101"/>
  <c r="X18" i="101" s="1"/>
  <c r="X26" i="101" s="1"/>
  <c r="V16" i="101"/>
  <c r="T16" i="101"/>
  <c r="R16" i="101"/>
  <c r="R24" i="101" s="1"/>
  <c r="P16" i="101"/>
  <c r="O16" i="101"/>
  <c r="N16" i="101"/>
  <c r="L16" i="101"/>
  <c r="K16" i="101"/>
  <c r="J16" i="101"/>
  <c r="H16" i="101"/>
  <c r="G16" i="101"/>
  <c r="F16" i="101"/>
  <c r="O15" i="101"/>
  <c r="AE14" i="101"/>
  <c r="AC14" i="101"/>
  <c r="AA14" i="101"/>
  <c r="Y14" i="101"/>
  <c r="W14" i="101"/>
  <c r="U14" i="101"/>
  <c r="Q14" i="101"/>
  <c r="S14" i="101" s="1"/>
  <c r="M14" i="101"/>
  <c r="I14" i="101"/>
  <c r="O13" i="101"/>
  <c r="AE12" i="101"/>
  <c r="AA12" i="101"/>
  <c r="Y12" i="101"/>
  <c r="Q12" i="101"/>
  <c r="W12" i="101" s="1"/>
  <c r="M12" i="101"/>
  <c r="I12" i="101"/>
  <c r="O11" i="101"/>
  <c r="Q10" i="101"/>
  <c r="M10" i="101"/>
  <c r="I10" i="101"/>
  <c r="O9" i="101"/>
  <c r="Q8" i="101"/>
  <c r="S8" i="101" s="1"/>
  <c r="M8" i="101"/>
  <c r="I8" i="101"/>
  <c r="O7" i="101"/>
  <c r="Q6" i="101"/>
  <c r="Y6" i="101" s="1"/>
  <c r="M6" i="101"/>
  <c r="M16" i="101" s="1"/>
  <c r="I6" i="101"/>
  <c r="C3" i="101"/>
  <c r="AE64" i="100"/>
  <c r="AC64" i="100"/>
  <c r="AA64" i="100"/>
  <c r="Y64" i="100"/>
  <c r="W64" i="100"/>
  <c r="U64" i="100"/>
  <c r="S64" i="100"/>
  <c r="AE63" i="100"/>
  <c r="AC63" i="100"/>
  <c r="AA63" i="100"/>
  <c r="Y63" i="100"/>
  <c r="W63" i="100"/>
  <c r="U63" i="100"/>
  <c r="S63" i="100"/>
  <c r="AE62" i="100"/>
  <c r="AC62" i="100"/>
  <c r="AA62" i="100"/>
  <c r="Y62" i="100"/>
  <c r="W62" i="100"/>
  <c r="U62" i="100"/>
  <c r="S62" i="100"/>
  <c r="AE61" i="100"/>
  <c r="AC61" i="100"/>
  <c r="AA61" i="100"/>
  <c r="Y61" i="100"/>
  <c r="W61" i="100"/>
  <c r="U61" i="100"/>
  <c r="S61" i="100"/>
  <c r="AE60" i="100"/>
  <c r="AC60" i="100"/>
  <c r="AA60" i="100"/>
  <c r="Y60" i="100"/>
  <c r="W60" i="100"/>
  <c r="U60" i="100"/>
  <c r="S60" i="100"/>
  <c r="AE59" i="100"/>
  <c r="AC59" i="100"/>
  <c r="AA59" i="100"/>
  <c r="Y59" i="100"/>
  <c r="W59" i="100"/>
  <c r="U59" i="100"/>
  <c r="S59" i="100"/>
  <c r="AE58" i="100"/>
  <c r="AC58" i="100"/>
  <c r="AA58" i="100"/>
  <c r="Y58" i="100"/>
  <c r="W58" i="100"/>
  <c r="U58" i="100"/>
  <c r="S58" i="100"/>
  <c r="AE57" i="100"/>
  <c r="AC57" i="100"/>
  <c r="AA57" i="100"/>
  <c r="Y57" i="100"/>
  <c r="W57" i="100"/>
  <c r="U57" i="100"/>
  <c r="S57" i="100"/>
  <c r="AE56" i="100"/>
  <c r="AC56" i="100"/>
  <c r="AA56" i="100"/>
  <c r="Y56" i="100"/>
  <c r="W56" i="100"/>
  <c r="U56" i="100"/>
  <c r="S56" i="100"/>
  <c r="AE55" i="100"/>
  <c r="AC55" i="100"/>
  <c r="AA55" i="100"/>
  <c r="Y55" i="100"/>
  <c r="W55" i="100"/>
  <c r="U55" i="100"/>
  <c r="S55" i="100"/>
  <c r="AE54" i="100"/>
  <c r="AC54" i="100"/>
  <c r="AA54" i="100"/>
  <c r="Y54" i="100"/>
  <c r="W54" i="100"/>
  <c r="U54" i="100"/>
  <c r="S54" i="100"/>
  <c r="AE53" i="100"/>
  <c r="AC53" i="100"/>
  <c r="AA53" i="100"/>
  <c r="Y53" i="100"/>
  <c r="W53" i="100"/>
  <c r="U53" i="100"/>
  <c r="S53" i="100"/>
  <c r="AE52" i="100"/>
  <c r="AC52" i="100"/>
  <c r="AA52" i="100"/>
  <c r="Y52" i="100"/>
  <c r="W52" i="100"/>
  <c r="U52" i="100"/>
  <c r="S52" i="100"/>
  <c r="AE51" i="100"/>
  <c r="AC51" i="100"/>
  <c r="AA51" i="100"/>
  <c r="Y51" i="100"/>
  <c r="W51" i="100"/>
  <c r="U51" i="100"/>
  <c r="S51" i="100"/>
  <c r="AE50" i="100"/>
  <c r="AC50" i="100"/>
  <c r="AA50" i="100"/>
  <c r="Y50" i="100"/>
  <c r="W50" i="100"/>
  <c r="U50" i="100"/>
  <c r="S50" i="100"/>
  <c r="AE49" i="100"/>
  <c r="AC49" i="100"/>
  <c r="AA49" i="100"/>
  <c r="Y49" i="100"/>
  <c r="W49" i="100"/>
  <c r="U49" i="100"/>
  <c r="S49" i="100"/>
  <c r="AE48" i="100"/>
  <c r="AC48" i="100"/>
  <c r="AA48" i="100"/>
  <c r="Y48" i="100"/>
  <c r="W48" i="100"/>
  <c r="U48" i="100"/>
  <c r="S48" i="100"/>
  <c r="AE47" i="100"/>
  <c r="AC47" i="100"/>
  <c r="AA47" i="100"/>
  <c r="Y47" i="100"/>
  <c r="W47" i="100"/>
  <c r="U47" i="100"/>
  <c r="S47" i="100"/>
  <c r="AE46" i="100"/>
  <c r="AC46" i="100"/>
  <c r="AA46" i="100"/>
  <c r="Y46" i="100"/>
  <c r="W46" i="100"/>
  <c r="U46" i="100"/>
  <c r="S46" i="100"/>
  <c r="AE45" i="100"/>
  <c r="AC45" i="100"/>
  <c r="AA45" i="100"/>
  <c r="Y45" i="100"/>
  <c r="W45" i="100"/>
  <c r="U45" i="100"/>
  <c r="S45" i="100"/>
  <c r="AE44" i="100"/>
  <c r="AC44" i="100"/>
  <c r="AA44" i="100"/>
  <c r="Y44" i="100"/>
  <c r="W44" i="100"/>
  <c r="U44" i="100"/>
  <c r="S44" i="100"/>
  <c r="AE43" i="100"/>
  <c r="AC43" i="100"/>
  <c r="AA43" i="100"/>
  <c r="Y43" i="100"/>
  <c r="W43" i="100"/>
  <c r="U43" i="100"/>
  <c r="S43" i="100"/>
  <c r="AE42" i="100"/>
  <c r="AC42" i="100"/>
  <c r="AA42" i="100"/>
  <c r="Y42" i="100"/>
  <c r="W42" i="100"/>
  <c r="U42" i="100"/>
  <c r="S42" i="100"/>
  <c r="AE41" i="100"/>
  <c r="AC41" i="100"/>
  <c r="AA41" i="100"/>
  <c r="Y41" i="100"/>
  <c r="W41" i="100"/>
  <c r="U41" i="100"/>
  <c r="S41" i="100"/>
  <c r="AE40" i="100"/>
  <c r="AC40" i="100"/>
  <c r="AA40" i="100"/>
  <c r="Y40" i="100"/>
  <c r="W40" i="100"/>
  <c r="U40" i="100"/>
  <c r="S40" i="100"/>
  <c r="AE39" i="100"/>
  <c r="AC39" i="100"/>
  <c r="AA39" i="100"/>
  <c r="Y39" i="100"/>
  <c r="W39" i="100"/>
  <c r="U39" i="100"/>
  <c r="S39" i="100"/>
  <c r="AE38" i="100"/>
  <c r="AC38" i="100"/>
  <c r="AA38" i="100"/>
  <c r="Y38" i="100"/>
  <c r="W38" i="100"/>
  <c r="U38" i="100"/>
  <c r="S38" i="100"/>
  <c r="AE37" i="100"/>
  <c r="AC37" i="100"/>
  <c r="AA37" i="100"/>
  <c r="Y37" i="100"/>
  <c r="W37" i="100"/>
  <c r="U37" i="100"/>
  <c r="S37" i="100"/>
  <c r="AE36" i="100"/>
  <c r="AC36" i="100"/>
  <c r="AA36" i="100"/>
  <c r="Y36" i="100"/>
  <c r="W36" i="100"/>
  <c r="U36" i="100"/>
  <c r="S36" i="100"/>
  <c r="AE35" i="100"/>
  <c r="AC35" i="100"/>
  <c r="AA35" i="100"/>
  <c r="Y35" i="100"/>
  <c r="W35" i="100"/>
  <c r="U35" i="100"/>
  <c r="S35" i="100"/>
  <c r="D34" i="100"/>
  <c r="E34" i="100" s="1"/>
  <c r="D33" i="100"/>
  <c r="E33" i="100" s="1"/>
  <c r="E32" i="100"/>
  <c r="D32" i="100"/>
  <c r="D31" i="100"/>
  <c r="E31" i="100" s="1"/>
  <c r="D30" i="100"/>
  <c r="E30" i="100" s="1"/>
  <c r="E29" i="100"/>
  <c r="D29" i="100"/>
  <c r="AD25" i="100"/>
  <c r="AB25" i="100"/>
  <c r="Z25" i="100"/>
  <c r="X18" i="100"/>
  <c r="X26" i="100" s="1"/>
  <c r="V18" i="100"/>
  <c r="V26" i="100" s="1"/>
  <c r="AD17" i="100"/>
  <c r="AB17" i="100"/>
  <c r="Z17" i="100"/>
  <c r="X17" i="100"/>
  <c r="X25" i="100" s="1"/>
  <c r="V17" i="100"/>
  <c r="V25" i="100" s="1"/>
  <c r="T17" i="100"/>
  <c r="T25" i="100" s="1"/>
  <c r="R17" i="100"/>
  <c r="R25" i="100" s="1"/>
  <c r="AD16" i="100"/>
  <c r="AE16" i="100" s="1"/>
  <c r="AC16" i="100"/>
  <c r="AB16" i="100"/>
  <c r="AB24" i="100" s="1"/>
  <c r="Z16" i="100"/>
  <c r="Z18" i="100" s="1"/>
  <c r="Z26" i="100" s="1"/>
  <c r="X16" i="100"/>
  <c r="Y16" i="100" s="1"/>
  <c r="V16" i="100"/>
  <c r="V24" i="100" s="1"/>
  <c r="T16" i="100"/>
  <c r="T18" i="100" s="1"/>
  <c r="T26" i="100" s="1"/>
  <c r="R16" i="100"/>
  <c r="P16" i="100"/>
  <c r="O16" i="100"/>
  <c r="N16" i="100"/>
  <c r="L16" i="100"/>
  <c r="K16" i="100"/>
  <c r="J16" i="100"/>
  <c r="H16" i="100"/>
  <c r="G16" i="100"/>
  <c r="F16" i="100"/>
  <c r="O15" i="100"/>
  <c r="AE14" i="100"/>
  <c r="AC14" i="100"/>
  <c r="AA14" i="100"/>
  <c r="Y14" i="100"/>
  <c r="W14" i="100"/>
  <c r="U14" i="100"/>
  <c r="S14" i="100"/>
  <c r="Q14" i="100"/>
  <c r="M14" i="100"/>
  <c r="I14" i="100"/>
  <c r="O13" i="100"/>
  <c r="AE12" i="100"/>
  <c r="AC12" i="100"/>
  <c r="AA12" i="100"/>
  <c r="Y12" i="100"/>
  <c r="W12" i="100"/>
  <c r="U12" i="100"/>
  <c r="S12" i="100"/>
  <c r="Q12" i="100"/>
  <c r="M12" i="100"/>
  <c r="I12" i="100"/>
  <c r="O11" i="100"/>
  <c r="AE10" i="100"/>
  <c r="AC10" i="100"/>
  <c r="AA10" i="100"/>
  <c r="Y10" i="100"/>
  <c r="W10" i="100"/>
  <c r="U10" i="100"/>
  <c r="S10" i="100"/>
  <c r="Q10" i="100"/>
  <c r="M10" i="100"/>
  <c r="I10" i="100"/>
  <c r="O9" i="100"/>
  <c r="AE8" i="100"/>
  <c r="AC8" i="100"/>
  <c r="AA8" i="100"/>
  <c r="Y8" i="100"/>
  <c r="W8" i="100"/>
  <c r="U8" i="100"/>
  <c r="S8" i="100"/>
  <c r="Q8" i="100"/>
  <c r="M8" i="100"/>
  <c r="I8" i="100"/>
  <c r="O7" i="100"/>
  <c r="AE6" i="100"/>
  <c r="AC6" i="100"/>
  <c r="AA6" i="100"/>
  <c r="Y6" i="100"/>
  <c r="W6" i="100"/>
  <c r="U6" i="100"/>
  <c r="S6" i="100"/>
  <c r="Q6" i="100"/>
  <c r="M6" i="100"/>
  <c r="I6" i="100"/>
  <c r="C3" i="100"/>
  <c r="AE64" i="99"/>
  <c r="AC64" i="99"/>
  <c r="AA64" i="99"/>
  <c r="Y64" i="99"/>
  <c r="W64" i="99"/>
  <c r="U64" i="99"/>
  <c r="S64" i="99"/>
  <c r="AE63" i="99"/>
  <c r="AC63" i="99"/>
  <c r="AA63" i="99"/>
  <c r="Y63" i="99"/>
  <c r="W63" i="99"/>
  <c r="U63" i="99"/>
  <c r="S63" i="99"/>
  <c r="AE62" i="99"/>
  <c r="AC62" i="99"/>
  <c r="AA62" i="99"/>
  <c r="Y62" i="99"/>
  <c r="W62" i="99"/>
  <c r="U62" i="99"/>
  <c r="S62" i="99"/>
  <c r="AE61" i="99"/>
  <c r="AC61" i="99"/>
  <c r="AA61" i="99"/>
  <c r="Y61" i="99"/>
  <c r="W61" i="99"/>
  <c r="U61" i="99"/>
  <c r="S61" i="99"/>
  <c r="AE60" i="99"/>
  <c r="AC60" i="99"/>
  <c r="AA60" i="99"/>
  <c r="Y60" i="99"/>
  <c r="W60" i="99"/>
  <c r="U60" i="99"/>
  <c r="S60" i="99"/>
  <c r="AE59" i="99"/>
  <c r="AC59" i="99"/>
  <c r="AA59" i="99"/>
  <c r="Y59" i="99"/>
  <c r="W59" i="99"/>
  <c r="U59" i="99"/>
  <c r="S59" i="99"/>
  <c r="AE58" i="99"/>
  <c r="AC58" i="99"/>
  <c r="AA58" i="99"/>
  <c r="Y58" i="99"/>
  <c r="W58" i="99"/>
  <c r="U58" i="99"/>
  <c r="S58" i="99"/>
  <c r="AE57" i="99"/>
  <c r="AC57" i="99"/>
  <c r="AA57" i="99"/>
  <c r="Y57" i="99"/>
  <c r="W57" i="99"/>
  <c r="U57" i="99"/>
  <c r="S57" i="99"/>
  <c r="AE56" i="99"/>
  <c r="AC56" i="99"/>
  <c r="AA56" i="99"/>
  <c r="Y56" i="99"/>
  <c r="W56" i="99"/>
  <c r="U56" i="99"/>
  <c r="S56" i="99"/>
  <c r="AE55" i="99"/>
  <c r="AC55" i="99"/>
  <c r="AA55" i="99"/>
  <c r="Y55" i="99"/>
  <c r="W55" i="99"/>
  <c r="U55" i="99"/>
  <c r="S55" i="99"/>
  <c r="AE54" i="99"/>
  <c r="AC54" i="99"/>
  <c r="AA54" i="99"/>
  <c r="Y54" i="99"/>
  <c r="W54" i="99"/>
  <c r="U54" i="99"/>
  <c r="S54" i="99"/>
  <c r="AE53" i="99"/>
  <c r="AC53" i="99"/>
  <c r="AA53" i="99"/>
  <c r="Y53" i="99"/>
  <c r="W53" i="99"/>
  <c r="U53" i="99"/>
  <c r="S53" i="99"/>
  <c r="AE52" i="99"/>
  <c r="AC52" i="99"/>
  <c r="AA52" i="99"/>
  <c r="Y52" i="99"/>
  <c r="W52" i="99"/>
  <c r="U52" i="99"/>
  <c r="S52" i="99"/>
  <c r="AE51" i="99"/>
  <c r="AC51" i="99"/>
  <c r="AA51" i="99"/>
  <c r="Y51" i="99"/>
  <c r="W51" i="99"/>
  <c r="U51" i="99"/>
  <c r="S51" i="99"/>
  <c r="AE50" i="99"/>
  <c r="AC50" i="99"/>
  <c r="AA50" i="99"/>
  <c r="Y50" i="99"/>
  <c r="W50" i="99"/>
  <c r="U50" i="99"/>
  <c r="S50" i="99"/>
  <c r="AE49" i="99"/>
  <c r="AC49" i="99"/>
  <c r="AA49" i="99"/>
  <c r="Y49" i="99"/>
  <c r="W49" i="99"/>
  <c r="U49" i="99"/>
  <c r="S49" i="99"/>
  <c r="AE48" i="99"/>
  <c r="AC48" i="99"/>
  <c r="AA48" i="99"/>
  <c r="Y48" i="99"/>
  <c r="W48" i="99"/>
  <c r="U48" i="99"/>
  <c r="S48" i="99"/>
  <c r="AE47" i="99"/>
  <c r="AC47" i="99"/>
  <c r="AA47" i="99"/>
  <c r="Y47" i="99"/>
  <c r="W47" i="99"/>
  <c r="U47" i="99"/>
  <c r="S47" i="99"/>
  <c r="AE46" i="99"/>
  <c r="AC46" i="99"/>
  <c r="AA46" i="99"/>
  <c r="Y46" i="99"/>
  <c r="W46" i="99"/>
  <c r="U46" i="99"/>
  <c r="S46" i="99"/>
  <c r="AE45" i="99"/>
  <c r="AC45" i="99"/>
  <c r="AA45" i="99"/>
  <c r="Y45" i="99"/>
  <c r="W45" i="99"/>
  <c r="U45" i="99"/>
  <c r="S45" i="99"/>
  <c r="AE44" i="99"/>
  <c r="AC44" i="99"/>
  <c r="AA44" i="99"/>
  <c r="Y44" i="99"/>
  <c r="W44" i="99"/>
  <c r="U44" i="99"/>
  <c r="S44" i="99"/>
  <c r="AE43" i="99"/>
  <c r="AC43" i="99"/>
  <c r="AA43" i="99"/>
  <c r="Y43" i="99"/>
  <c r="W43" i="99"/>
  <c r="U43" i="99"/>
  <c r="S43" i="99"/>
  <c r="AE42" i="99"/>
  <c r="AC42" i="99"/>
  <c r="AA42" i="99"/>
  <c r="Y42" i="99"/>
  <c r="W42" i="99"/>
  <c r="U42" i="99"/>
  <c r="S42" i="99"/>
  <c r="AE41" i="99"/>
  <c r="AC41" i="99"/>
  <c r="AA41" i="99"/>
  <c r="Y41" i="99"/>
  <c r="W41" i="99"/>
  <c r="U41" i="99"/>
  <c r="S41" i="99"/>
  <c r="AE40" i="99"/>
  <c r="AC40" i="99"/>
  <c r="AA40" i="99"/>
  <c r="Y40" i="99"/>
  <c r="W40" i="99"/>
  <c r="U40" i="99"/>
  <c r="S40" i="99"/>
  <c r="AE39" i="99"/>
  <c r="AC39" i="99"/>
  <c r="AA39" i="99"/>
  <c r="Y39" i="99"/>
  <c r="W39" i="99"/>
  <c r="U39" i="99"/>
  <c r="S39" i="99"/>
  <c r="AE38" i="99"/>
  <c r="AC38" i="99"/>
  <c r="AA38" i="99"/>
  <c r="Y38" i="99"/>
  <c r="W38" i="99"/>
  <c r="U38" i="99"/>
  <c r="S38" i="99"/>
  <c r="AE37" i="99"/>
  <c r="AC37" i="99"/>
  <c r="AA37" i="99"/>
  <c r="Y37" i="99"/>
  <c r="W37" i="99"/>
  <c r="U37" i="99"/>
  <c r="S37" i="99"/>
  <c r="AE36" i="99"/>
  <c r="AC36" i="99"/>
  <c r="AA36" i="99"/>
  <c r="Y36" i="99"/>
  <c r="W36" i="99"/>
  <c r="U36" i="99"/>
  <c r="S36" i="99"/>
  <c r="AE35" i="99"/>
  <c r="AC35" i="99"/>
  <c r="AA35" i="99"/>
  <c r="Y35" i="99"/>
  <c r="W35" i="99"/>
  <c r="U35" i="99"/>
  <c r="S35" i="99"/>
  <c r="E34" i="99"/>
  <c r="D34" i="99"/>
  <c r="D33" i="99"/>
  <c r="E33" i="99" s="1"/>
  <c r="D32" i="99"/>
  <c r="E32" i="99" s="1"/>
  <c r="E31" i="99"/>
  <c r="D31" i="99"/>
  <c r="D30" i="99"/>
  <c r="E30" i="99" s="1"/>
  <c r="D29" i="99"/>
  <c r="E29" i="99" s="1"/>
  <c r="Z25" i="99"/>
  <c r="R25" i="99"/>
  <c r="R24" i="99"/>
  <c r="AD18" i="99"/>
  <c r="AD26" i="99" s="1"/>
  <c r="Z18" i="99"/>
  <c r="Z26" i="99" s="1"/>
  <c r="AD17" i="99"/>
  <c r="AD25" i="99" s="1"/>
  <c r="AB17" i="99"/>
  <c r="AB25" i="99" s="1"/>
  <c r="Z17" i="99"/>
  <c r="X17" i="99"/>
  <c r="X25" i="99" s="1"/>
  <c r="V17" i="99"/>
  <c r="V25" i="99" s="1"/>
  <c r="T17" i="99"/>
  <c r="T25" i="99" s="1"/>
  <c r="R17" i="99"/>
  <c r="AE16" i="99"/>
  <c r="AD16" i="99"/>
  <c r="AD24" i="99" s="1"/>
  <c r="AB16" i="99"/>
  <c r="AB18" i="99" s="1"/>
  <c r="AB26" i="99" s="1"/>
  <c r="Z16" i="99"/>
  <c r="Z24" i="99" s="1"/>
  <c r="X16" i="99"/>
  <c r="X18" i="99" s="1"/>
  <c r="X26" i="99" s="1"/>
  <c r="V16" i="99"/>
  <c r="T16" i="99"/>
  <c r="U16" i="99" s="1"/>
  <c r="R16" i="99"/>
  <c r="S16" i="99" s="1"/>
  <c r="P16" i="99"/>
  <c r="O16" i="99"/>
  <c r="N16" i="99"/>
  <c r="L16" i="99"/>
  <c r="K16" i="99"/>
  <c r="J16" i="99"/>
  <c r="H16" i="99"/>
  <c r="G16" i="99"/>
  <c r="F16" i="99"/>
  <c r="O15" i="99"/>
  <c r="AE14" i="99"/>
  <c r="AC14" i="99"/>
  <c r="AA14" i="99"/>
  <c r="Y14" i="99"/>
  <c r="W14" i="99"/>
  <c r="U14" i="99"/>
  <c r="S14" i="99"/>
  <c r="Q14" i="99"/>
  <c r="M14" i="99"/>
  <c r="I14" i="99"/>
  <c r="O13" i="99"/>
  <c r="AE12" i="99"/>
  <c r="AC12" i="99"/>
  <c r="AA12" i="99"/>
  <c r="Y12" i="99"/>
  <c r="W12" i="99"/>
  <c r="U12" i="99"/>
  <c r="S12" i="99"/>
  <c r="Q12" i="99"/>
  <c r="M12" i="99"/>
  <c r="I12" i="99"/>
  <c r="O11" i="99"/>
  <c r="AE10" i="99"/>
  <c r="AC10" i="99"/>
  <c r="AA10" i="99"/>
  <c r="Y10" i="99"/>
  <c r="W10" i="99"/>
  <c r="U10" i="99"/>
  <c r="S10" i="99"/>
  <c r="Q10" i="99"/>
  <c r="M10" i="99"/>
  <c r="I10" i="99"/>
  <c r="O9" i="99"/>
  <c r="AE8" i="99"/>
  <c r="AC8" i="99"/>
  <c r="AA8" i="99"/>
  <c r="Y8" i="99"/>
  <c r="W8" i="99"/>
  <c r="U8" i="99"/>
  <c r="S8" i="99"/>
  <c r="Q8" i="99"/>
  <c r="M8" i="99"/>
  <c r="I8" i="99"/>
  <c r="O7" i="99"/>
  <c r="AE6" i="99"/>
  <c r="AC6" i="99"/>
  <c r="AA6" i="99"/>
  <c r="Y6" i="99"/>
  <c r="W6" i="99"/>
  <c r="U6" i="99"/>
  <c r="S6" i="99"/>
  <c r="Q6" i="99"/>
  <c r="Q16" i="99" s="1"/>
  <c r="M6" i="99"/>
  <c r="I6" i="99"/>
  <c r="C3" i="99"/>
  <c r="AE64" i="98"/>
  <c r="AC64" i="98"/>
  <c r="AA64" i="98"/>
  <c r="Y64" i="98"/>
  <c r="W64" i="98"/>
  <c r="U64" i="98"/>
  <c r="S64" i="98"/>
  <c r="AE63" i="98"/>
  <c r="AC63" i="98"/>
  <c r="AA63" i="98"/>
  <c r="Y63" i="98"/>
  <c r="W63" i="98"/>
  <c r="U63" i="98"/>
  <c r="S63" i="98"/>
  <c r="AE62" i="98"/>
  <c r="AC62" i="98"/>
  <c r="AA62" i="98"/>
  <c r="Y62" i="98"/>
  <c r="W62" i="98"/>
  <c r="U62" i="98"/>
  <c r="S62" i="98"/>
  <c r="AE61" i="98"/>
  <c r="AC61" i="98"/>
  <c r="AA61" i="98"/>
  <c r="Y61" i="98"/>
  <c r="W61" i="98"/>
  <c r="U61" i="98"/>
  <c r="S61" i="98"/>
  <c r="AE60" i="98"/>
  <c r="AC60" i="98"/>
  <c r="AA60" i="98"/>
  <c r="Y60" i="98"/>
  <c r="W60" i="98"/>
  <c r="U60" i="98"/>
  <c r="S60" i="98"/>
  <c r="AE59" i="98"/>
  <c r="AC59" i="98"/>
  <c r="AA59" i="98"/>
  <c r="Y59" i="98"/>
  <c r="W59" i="98"/>
  <c r="U59" i="98"/>
  <c r="S59" i="98"/>
  <c r="AE58" i="98"/>
  <c r="AC58" i="98"/>
  <c r="AA58" i="98"/>
  <c r="Y58" i="98"/>
  <c r="W58" i="98"/>
  <c r="U58" i="98"/>
  <c r="S58" i="98"/>
  <c r="AE57" i="98"/>
  <c r="AC57" i="98"/>
  <c r="AA57" i="98"/>
  <c r="Y57" i="98"/>
  <c r="W57" i="98"/>
  <c r="U57" i="98"/>
  <c r="S57" i="98"/>
  <c r="AE56" i="98"/>
  <c r="AC56" i="98"/>
  <c r="AA56" i="98"/>
  <c r="Y56" i="98"/>
  <c r="W56" i="98"/>
  <c r="U56" i="98"/>
  <c r="S56" i="98"/>
  <c r="AE55" i="98"/>
  <c r="AC55" i="98"/>
  <c r="AA55" i="98"/>
  <c r="Y55" i="98"/>
  <c r="W55" i="98"/>
  <c r="U55" i="98"/>
  <c r="S55" i="98"/>
  <c r="AE54" i="98"/>
  <c r="AC54" i="98"/>
  <c r="AA54" i="98"/>
  <c r="Y54" i="98"/>
  <c r="W54" i="98"/>
  <c r="U54" i="98"/>
  <c r="S54" i="98"/>
  <c r="AE53" i="98"/>
  <c r="AC53" i="98"/>
  <c r="AA53" i="98"/>
  <c r="Y53" i="98"/>
  <c r="W53" i="98"/>
  <c r="U53" i="98"/>
  <c r="S53" i="98"/>
  <c r="AE52" i="98"/>
  <c r="AC52" i="98"/>
  <c r="AA52" i="98"/>
  <c r="Y52" i="98"/>
  <c r="W52" i="98"/>
  <c r="U52" i="98"/>
  <c r="S52" i="98"/>
  <c r="AE51" i="98"/>
  <c r="AC51" i="98"/>
  <c r="AA51" i="98"/>
  <c r="Y51" i="98"/>
  <c r="W51" i="98"/>
  <c r="U51" i="98"/>
  <c r="S51" i="98"/>
  <c r="AE50" i="98"/>
  <c r="AC50" i="98"/>
  <c r="AA50" i="98"/>
  <c r="Y50" i="98"/>
  <c r="W50" i="98"/>
  <c r="U50" i="98"/>
  <c r="S50" i="98"/>
  <c r="AE49" i="98"/>
  <c r="AC49" i="98"/>
  <c r="AA49" i="98"/>
  <c r="Y49" i="98"/>
  <c r="W49" i="98"/>
  <c r="U49" i="98"/>
  <c r="S49" i="98"/>
  <c r="AE48" i="98"/>
  <c r="AC48" i="98"/>
  <c r="AA48" i="98"/>
  <c r="Y48" i="98"/>
  <c r="W48" i="98"/>
  <c r="U48" i="98"/>
  <c r="S48" i="98"/>
  <c r="AE47" i="98"/>
  <c r="AC47" i="98"/>
  <c r="AA47" i="98"/>
  <c r="Y47" i="98"/>
  <c r="W47" i="98"/>
  <c r="U47" i="98"/>
  <c r="S47" i="98"/>
  <c r="AE46" i="98"/>
  <c r="AC46" i="98"/>
  <c r="AA46" i="98"/>
  <c r="Y46" i="98"/>
  <c r="W46" i="98"/>
  <c r="U46" i="98"/>
  <c r="S46" i="98"/>
  <c r="AE45" i="98"/>
  <c r="AC45" i="98"/>
  <c r="AA45" i="98"/>
  <c r="Y45" i="98"/>
  <c r="W45" i="98"/>
  <c r="U45" i="98"/>
  <c r="S45" i="98"/>
  <c r="AE44" i="98"/>
  <c r="AC44" i="98"/>
  <c r="AA44" i="98"/>
  <c r="Y44" i="98"/>
  <c r="W44" i="98"/>
  <c r="U44" i="98"/>
  <c r="S44" i="98"/>
  <c r="AE43" i="98"/>
  <c r="AC43" i="98"/>
  <c r="AA43" i="98"/>
  <c r="Y43" i="98"/>
  <c r="W43" i="98"/>
  <c r="U43" i="98"/>
  <c r="S43" i="98"/>
  <c r="AE42" i="98"/>
  <c r="AC42" i="98"/>
  <c r="AA42" i="98"/>
  <c r="Y42" i="98"/>
  <c r="W42" i="98"/>
  <c r="U42" i="98"/>
  <c r="S42" i="98"/>
  <c r="AE41" i="98"/>
  <c r="AC41" i="98"/>
  <c r="AA41" i="98"/>
  <c r="Y41" i="98"/>
  <c r="W41" i="98"/>
  <c r="U41" i="98"/>
  <c r="S41" i="98"/>
  <c r="AE40" i="98"/>
  <c r="AC40" i="98"/>
  <c r="AA40" i="98"/>
  <c r="Y40" i="98"/>
  <c r="W40" i="98"/>
  <c r="U40" i="98"/>
  <c r="S40" i="98"/>
  <c r="AE39" i="98"/>
  <c r="AC39" i="98"/>
  <c r="AA39" i="98"/>
  <c r="Y39" i="98"/>
  <c r="W39" i="98"/>
  <c r="U39" i="98"/>
  <c r="S39" i="98"/>
  <c r="AE38" i="98"/>
  <c r="AC38" i="98"/>
  <c r="AA38" i="98"/>
  <c r="Y38" i="98"/>
  <c r="W38" i="98"/>
  <c r="U38" i="98"/>
  <c r="S38" i="98"/>
  <c r="AE37" i="98"/>
  <c r="AC37" i="98"/>
  <c r="AA37" i="98"/>
  <c r="Y37" i="98"/>
  <c r="W37" i="98"/>
  <c r="U37" i="98"/>
  <c r="S37" i="98"/>
  <c r="AE36" i="98"/>
  <c r="AC36" i="98"/>
  <c r="AA36" i="98"/>
  <c r="Y36" i="98"/>
  <c r="W36" i="98"/>
  <c r="U36" i="98"/>
  <c r="S36" i="98"/>
  <c r="AE35" i="98"/>
  <c r="AC35" i="98"/>
  <c r="AA35" i="98"/>
  <c r="Y35" i="98"/>
  <c r="W35" i="98"/>
  <c r="U35" i="98"/>
  <c r="S35" i="98"/>
  <c r="D34" i="98"/>
  <c r="E34" i="98" s="1"/>
  <c r="D33" i="98"/>
  <c r="E33" i="98" s="1"/>
  <c r="D32" i="98"/>
  <c r="E32" i="98" s="1"/>
  <c r="D31" i="98"/>
  <c r="E31" i="98" s="1"/>
  <c r="D30" i="98"/>
  <c r="E30" i="98" s="1"/>
  <c r="E29" i="98"/>
  <c r="D29" i="98"/>
  <c r="AD25" i="98"/>
  <c r="AB25" i="98"/>
  <c r="Z25" i="98"/>
  <c r="X18" i="98"/>
  <c r="X26" i="98" s="1"/>
  <c r="V18" i="98"/>
  <c r="V26" i="98" s="1"/>
  <c r="AD17" i="98"/>
  <c r="AB17" i="98"/>
  <c r="Z17" i="98"/>
  <c r="X17" i="98"/>
  <c r="X25" i="98" s="1"/>
  <c r="V17" i="98"/>
  <c r="V25" i="98" s="1"/>
  <c r="T17" i="98"/>
  <c r="T25" i="98" s="1"/>
  <c r="R17" i="98"/>
  <c r="R25" i="98" s="1"/>
  <c r="AD16" i="98"/>
  <c r="AE16" i="98" s="1"/>
  <c r="AC16" i="98"/>
  <c r="AB16" i="98"/>
  <c r="AB24" i="98" s="1"/>
  <c r="Z16" i="98"/>
  <c r="X16" i="98"/>
  <c r="Y16" i="98" s="1"/>
  <c r="V16" i="98"/>
  <c r="V24" i="98" s="1"/>
  <c r="T16" i="98"/>
  <c r="T18" i="98" s="1"/>
  <c r="T26" i="98" s="1"/>
  <c r="R16" i="98"/>
  <c r="P16" i="98"/>
  <c r="O16" i="98"/>
  <c r="N16" i="98"/>
  <c r="L16" i="98"/>
  <c r="K16" i="98"/>
  <c r="J16" i="98"/>
  <c r="H16" i="98"/>
  <c r="G16" i="98"/>
  <c r="F16" i="98"/>
  <c r="O15" i="98"/>
  <c r="AE14" i="98"/>
  <c r="AC14" i="98"/>
  <c r="AA14" i="98"/>
  <c r="Y14" i="98"/>
  <c r="W14" i="98"/>
  <c r="U14" i="98"/>
  <c r="S14" i="98"/>
  <c r="Q14" i="98"/>
  <c r="M14" i="98"/>
  <c r="I14" i="98"/>
  <c r="O13" i="98"/>
  <c r="AE12" i="98"/>
  <c r="AC12" i="98"/>
  <c r="AA12" i="98"/>
  <c r="Y12" i="98"/>
  <c r="W12" i="98"/>
  <c r="U12" i="98"/>
  <c r="S12" i="98"/>
  <c r="Q12" i="98"/>
  <c r="M12" i="98"/>
  <c r="I12" i="98"/>
  <c r="O11" i="98"/>
  <c r="AE10" i="98"/>
  <c r="AC10" i="98"/>
  <c r="AA10" i="98"/>
  <c r="Y10" i="98"/>
  <c r="W10" i="98"/>
  <c r="U10" i="98"/>
  <c r="S10" i="98"/>
  <c r="Q10" i="98"/>
  <c r="M10" i="98"/>
  <c r="I10" i="98"/>
  <c r="O9" i="98"/>
  <c r="AE8" i="98"/>
  <c r="AC8" i="98"/>
  <c r="AA8" i="98"/>
  <c r="Y8" i="98"/>
  <c r="W8" i="98"/>
  <c r="U8" i="98"/>
  <c r="S8" i="98"/>
  <c r="Q8" i="98"/>
  <c r="M8" i="98"/>
  <c r="I8" i="98"/>
  <c r="O7" i="98"/>
  <c r="AE6" i="98"/>
  <c r="AC6" i="98"/>
  <c r="AA6" i="98"/>
  <c r="Y6" i="98"/>
  <c r="W6" i="98"/>
  <c r="U6" i="98"/>
  <c r="S6" i="98"/>
  <c r="Q6" i="98"/>
  <c r="M6" i="98"/>
  <c r="I6" i="98"/>
  <c r="I16" i="98" s="1"/>
  <c r="C3" i="98"/>
  <c r="AE64" i="97"/>
  <c r="AC64" i="97"/>
  <c r="AA64" i="97"/>
  <c r="Y64" i="97"/>
  <c r="W64" i="97"/>
  <c r="U64" i="97"/>
  <c r="S64" i="97"/>
  <c r="AE63" i="97"/>
  <c r="AC63" i="97"/>
  <c r="AA63" i="97"/>
  <c r="Y63" i="97"/>
  <c r="W63" i="97"/>
  <c r="U63" i="97"/>
  <c r="S63" i="97"/>
  <c r="AE62" i="97"/>
  <c r="AC62" i="97"/>
  <c r="AA62" i="97"/>
  <c r="Y62" i="97"/>
  <c r="W62" i="97"/>
  <c r="U62" i="97"/>
  <c r="S62" i="97"/>
  <c r="AE61" i="97"/>
  <c r="AC61" i="97"/>
  <c r="AA61" i="97"/>
  <c r="Y61" i="97"/>
  <c r="W61" i="97"/>
  <c r="U61" i="97"/>
  <c r="S61" i="97"/>
  <c r="AE60" i="97"/>
  <c r="AC60" i="97"/>
  <c r="AA60" i="97"/>
  <c r="Y60" i="97"/>
  <c r="W60" i="97"/>
  <c r="U60" i="97"/>
  <c r="S60" i="97"/>
  <c r="AE59" i="97"/>
  <c r="AC59" i="97"/>
  <c r="AA59" i="97"/>
  <c r="Y59" i="97"/>
  <c r="W59" i="97"/>
  <c r="U59" i="97"/>
  <c r="S59" i="97"/>
  <c r="AE58" i="97"/>
  <c r="AC58" i="97"/>
  <c r="AA58" i="97"/>
  <c r="Y58" i="97"/>
  <c r="W58" i="97"/>
  <c r="U58" i="97"/>
  <c r="S58" i="97"/>
  <c r="AE57" i="97"/>
  <c r="AC57" i="97"/>
  <c r="AA57" i="97"/>
  <c r="Y57" i="97"/>
  <c r="W57" i="97"/>
  <c r="U57" i="97"/>
  <c r="S57" i="97"/>
  <c r="AE56" i="97"/>
  <c r="AC56" i="97"/>
  <c r="AA56" i="97"/>
  <c r="Y56" i="97"/>
  <c r="W56" i="97"/>
  <c r="U56" i="97"/>
  <c r="S56" i="97"/>
  <c r="AE55" i="97"/>
  <c r="AC55" i="97"/>
  <c r="AA55" i="97"/>
  <c r="Y55" i="97"/>
  <c r="W55" i="97"/>
  <c r="U55" i="97"/>
  <c r="S55" i="97"/>
  <c r="AE54" i="97"/>
  <c r="AC54" i="97"/>
  <c r="AA54" i="97"/>
  <c r="Y54" i="97"/>
  <c r="W54" i="97"/>
  <c r="U54" i="97"/>
  <c r="S54" i="97"/>
  <c r="AE53" i="97"/>
  <c r="AC53" i="97"/>
  <c r="AA53" i="97"/>
  <c r="Y53" i="97"/>
  <c r="W53" i="97"/>
  <c r="U53" i="97"/>
  <c r="S53" i="97"/>
  <c r="AE52" i="97"/>
  <c r="AC52" i="97"/>
  <c r="AA52" i="97"/>
  <c r="Y52" i="97"/>
  <c r="W52" i="97"/>
  <c r="U52" i="97"/>
  <c r="S52" i="97"/>
  <c r="AE51" i="97"/>
  <c r="AC51" i="97"/>
  <c r="AA51" i="97"/>
  <c r="Y51" i="97"/>
  <c r="W51" i="97"/>
  <c r="U51" i="97"/>
  <c r="S51" i="97"/>
  <c r="AE50" i="97"/>
  <c r="AC50" i="97"/>
  <c r="AA50" i="97"/>
  <c r="Y50" i="97"/>
  <c r="W50" i="97"/>
  <c r="U50" i="97"/>
  <c r="S50" i="97"/>
  <c r="AE49" i="97"/>
  <c r="AC49" i="97"/>
  <c r="AA49" i="97"/>
  <c r="Y49" i="97"/>
  <c r="W49" i="97"/>
  <c r="U49" i="97"/>
  <c r="S49" i="97"/>
  <c r="AE48" i="97"/>
  <c r="AC48" i="97"/>
  <c r="AA48" i="97"/>
  <c r="Y48" i="97"/>
  <c r="W48" i="97"/>
  <c r="U48" i="97"/>
  <c r="S48" i="97"/>
  <c r="AE47" i="97"/>
  <c r="AC47" i="97"/>
  <c r="AA47" i="97"/>
  <c r="Y47" i="97"/>
  <c r="W47" i="97"/>
  <c r="U47" i="97"/>
  <c r="S47" i="97"/>
  <c r="AE46" i="97"/>
  <c r="AC46" i="97"/>
  <c r="AA46" i="97"/>
  <c r="Y46" i="97"/>
  <c r="W46" i="97"/>
  <c r="U46" i="97"/>
  <c r="S46" i="97"/>
  <c r="AE45" i="97"/>
  <c r="AC45" i="97"/>
  <c r="AA45" i="97"/>
  <c r="Y45" i="97"/>
  <c r="W45" i="97"/>
  <c r="U45" i="97"/>
  <c r="S45" i="97"/>
  <c r="AE44" i="97"/>
  <c r="AC44" i="97"/>
  <c r="AA44" i="97"/>
  <c r="Y44" i="97"/>
  <c r="W44" i="97"/>
  <c r="U44" i="97"/>
  <c r="S44" i="97"/>
  <c r="AE43" i="97"/>
  <c r="AC43" i="97"/>
  <c r="AA43" i="97"/>
  <c r="Y43" i="97"/>
  <c r="W43" i="97"/>
  <c r="U43" i="97"/>
  <c r="S43" i="97"/>
  <c r="AE42" i="97"/>
  <c r="AC42" i="97"/>
  <c r="AA42" i="97"/>
  <c r="Y42" i="97"/>
  <c r="W42" i="97"/>
  <c r="U42" i="97"/>
  <c r="S42" i="97"/>
  <c r="AE41" i="97"/>
  <c r="AC41" i="97"/>
  <c r="AA41" i="97"/>
  <c r="Y41" i="97"/>
  <c r="W41" i="97"/>
  <c r="U41" i="97"/>
  <c r="S41" i="97"/>
  <c r="AE40" i="97"/>
  <c r="AC40" i="97"/>
  <c r="AA40" i="97"/>
  <c r="Y40" i="97"/>
  <c r="W40" i="97"/>
  <c r="U40" i="97"/>
  <c r="S40" i="97"/>
  <c r="AE39" i="97"/>
  <c r="AC39" i="97"/>
  <c r="AA39" i="97"/>
  <c r="Y39" i="97"/>
  <c r="W39" i="97"/>
  <c r="U39" i="97"/>
  <c r="S39" i="97"/>
  <c r="AE38" i="97"/>
  <c r="AC38" i="97"/>
  <c r="AA38" i="97"/>
  <c r="Y38" i="97"/>
  <c r="W38" i="97"/>
  <c r="U38" i="97"/>
  <c r="S38" i="97"/>
  <c r="AE37" i="97"/>
  <c r="AC37" i="97"/>
  <c r="AA37" i="97"/>
  <c r="Y37" i="97"/>
  <c r="W37" i="97"/>
  <c r="U37" i="97"/>
  <c r="S37" i="97"/>
  <c r="AE36" i="97"/>
  <c r="AC36" i="97"/>
  <c r="AA36" i="97"/>
  <c r="Y36" i="97"/>
  <c r="W36" i="97"/>
  <c r="U36" i="97"/>
  <c r="S36" i="97"/>
  <c r="AE35" i="97"/>
  <c r="AC35" i="97"/>
  <c r="AA35" i="97"/>
  <c r="Y35" i="97"/>
  <c r="W35" i="97"/>
  <c r="U35" i="97"/>
  <c r="S35" i="97"/>
  <c r="D34" i="97"/>
  <c r="E34" i="97" s="1"/>
  <c r="D33" i="97"/>
  <c r="E33" i="97" s="1"/>
  <c r="D32" i="97"/>
  <c r="E32" i="97" s="1"/>
  <c r="D31" i="97"/>
  <c r="E31" i="97" s="1"/>
  <c r="D30" i="97"/>
  <c r="E30" i="97" s="1"/>
  <c r="D29" i="97"/>
  <c r="E29" i="97" s="1"/>
  <c r="Z25" i="97"/>
  <c r="AD18" i="97"/>
  <c r="AD26" i="97" s="1"/>
  <c r="Z18" i="97"/>
  <c r="Z26" i="97" s="1"/>
  <c r="AD17" i="97"/>
  <c r="AD25" i="97" s="1"/>
  <c r="AB17" i="97"/>
  <c r="AB25" i="97" s="1"/>
  <c r="Z17" i="97"/>
  <c r="X17" i="97"/>
  <c r="X25" i="97" s="1"/>
  <c r="V17" i="97"/>
  <c r="V25" i="97" s="1"/>
  <c r="T17" i="97"/>
  <c r="T25" i="97" s="1"/>
  <c r="R17" i="97"/>
  <c r="R25" i="97" s="1"/>
  <c r="AD16" i="97"/>
  <c r="AD24" i="97" s="1"/>
  <c r="AB16" i="97"/>
  <c r="Z16" i="97"/>
  <c r="Z24" i="97" s="1"/>
  <c r="X16" i="97"/>
  <c r="V16" i="97"/>
  <c r="T16" i="97"/>
  <c r="R16" i="97"/>
  <c r="R18" i="97" s="1"/>
  <c r="R26" i="97" s="1"/>
  <c r="P16" i="97"/>
  <c r="O16" i="97"/>
  <c r="N16" i="97"/>
  <c r="L16" i="97"/>
  <c r="K16" i="97"/>
  <c r="J16" i="97"/>
  <c r="H16" i="97"/>
  <c r="G16" i="97"/>
  <c r="F16" i="97"/>
  <c r="O15" i="97"/>
  <c r="W14" i="97"/>
  <c r="U14" i="97"/>
  <c r="S14" i="97"/>
  <c r="Q14" i="97"/>
  <c r="AE14" i="97" s="1"/>
  <c r="M14" i="97"/>
  <c r="I14" i="97"/>
  <c r="O13" i="97"/>
  <c r="AC12" i="97"/>
  <c r="AA12" i="97"/>
  <c r="Y12" i="97"/>
  <c r="U12" i="97"/>
  <c r="Q12" i="97"/>
  <c r="W12" i="97" s="1"/>
  <c r="M12" i="97"/>
  <c r="I12" i="97"/>
  <c r="O11" i="97"/>
  <c r="Q10" i="97"/>
  <c r="AE10" i="97" s="1"/>
  <c r="M10" i="97"/>
  <c r="I10" i="97"/>
  <c r="O9" i="97"/>
  <c r="S8" i="97"/>
  <c r="Q8" i="97"/>
  <c r="AE8" i="97" s="1"/>
  <c r="M8" i="97"/>
  <c r="I8" i="97"/>
  <c r="O7" i="97"/>
  <c r="AC6" i="97"/>
  <c r="AA6" i="97"/>
  <c r="Q6" i="97"/>
  <c r="Y6" i="97" s="1"/>
  <c r="M6" i="97"/>
  <c r="I6" i="97"/>
  <c r="I16" i="97" s="1"/>
  <c r="C3" i="97"/>
  <c r="AE64" i="96"/>
  <c r="AC64" i="96"/>
  <c r="AA64" i="96"/>
  <c r="Y64" i="96"/>
  <c r="W64" i="96"/>
  <c r="U64" i="96"/>
  <c r="S64" i="96"/>
  <c r="AE63" i="96"/>
  <c r="AC63" i="96"/>
  <c r="AA63" i="96"/>
  <c r="Y63" i="96"/>
  <c r="W63" i="96"/>
  <c r="U63" i="96"/>
  <c r="S63" i="96"/>
  <c r="AE62" i="96"/>
  <c r="AC62" i="96"/>
  <c r="AA62" i="96"/>
  <c r="Y62" i="96"/>
  <c r="W62" i="96"/>
  <c r="U62" i="96"/>
  <c r="S62" i="96"/>
  <c r="AE61" i="96"/>
  <c r="AC61" i="96"/>
  <c r="AA61" i="96"/>
  <c r="Y61" i="96"/>
  <c r="W61" i="96"/>
  <c r="U61" i="96"/>
  <c r="S61" i="96"/>
  <c r="AE60" i="96"/>
  <c r="AC60" i="96"/>
  <c r="AA60" i="96"/>
  <c r="Y60" i="96"/>
  <c r="W60" i="96"/>
  <c r="U60" i="96"/>
  <c r="S60" i="96"/>
  <c r="AE59" i="96"/>
  <c r="AC59" i="96"/>
  <c r="AA59" i="96"/>
  <c r="Y59" i="96"/>
  <c r="W59" i="96"/>
  <c r="U59" i="96"/>
  <c r="S59" i="96"/>
  <c r="AE58" i="96"/>
  <c r="AC58" i="96"/>
  <c r="AA58" i="96"/>
  <c r="Y58" i="96"/>
  <c r="W58" i="96"/>
  <c r="U58" i="96"/>
  <c r="S58" i="96"/>
  <c r="AE57" i="96"/>
  <c r="AC57" i="96"/>
  <c r="AA57" i="96"/>
  <c r="Y57" i="96"/>
  <c r="W57" i="96"/>
  <c r="U57" i="96"/>
  <c r="S57" i="96"/>
  <c r="AE56" i="96"/>
  <c r="AC56" i="96"/>
  <c r="AA56" i="96"/>
  <c r="Y56" i="96"/>
  <c r="W56" i="96"/>
  <c r="U56" i="96"/>
  <c r="S56" i="96"/>
  <c r="AE55" i="96"/>
  <c r="AC55" i="96"/>
  <c r="AA55" i="96"/>
  <c r="Y55" i="96"/>
  <c r="W55" i="96"/>
  <c r="U55" i="96"/>
  <c r="S55" i="96"/>
  <c r="AE54" i="96"/>
  <c r="AC54" i="96"/>
  <c r="AA54" i="96"/>
  <c r="Y54" i="96"/>
  <c r="W54" i="96"/>
  <c r="U54" i="96"/>
  <c r="S54" i="96"/>
  <c r="AE53" i="96"/>
  <c r="AC53" i="96"/>
  <c r="AA53" i="96"/>
  <c r="Y53" i="96"/>
  <c r="W53" i="96"/>
  <c r="U53" i="96"/>
  <c r="S53" i="96"/>
  <c r="AE52" i="96"/>
  <c r="AC52" i="96"/>
  <c r="AA52" i="96"/>
  <c r="Y52" i="96"/>
  <c r="W52" i="96"/>
  <c r="U52" i="96"/>
  <c r="S52" i="96"/>
  <c r="AE51" i="96"/>
  <c r="AC51" i="96"/>
  <c r="AA51" i="96"/>
  <c r="Y51" i="96"/>
  <c r="W51" i="96"/>
  <c r="U51" i="96"/>
  <c r="S51" i="96"/>
  <c r="AE50" i="96"/>
  <c r="AC50" i="96"/>
  <c r="AA50" i="96"/>
  <c r="Y50" i="96"/>
  <c r="W50" i="96"/>
  <c r="U50" i="96"/>
  <c r="S50" i="96"/>
  <c r="AE49" i="96"/>
  <c r="AC49" i="96"/>
  <c r="AA49" i="96"/>
  <c r="Y49" i="96"/>
  <c r="W49" i="96"/>
  <c r="U49" i="96"/>
  <c r="S49" i="96"/>
  <c r="AE48" i="96"/>
  <c r="AC48" i="96"/>
  <c r="AA48" i="96"/>
  <c r="Y48" i="96"/>
  <c r="W48" i="96"/>
  <c r="U48" i="96"/>
  <c r="S48" i="96"/>
  <c r="AE47" i="96"/>
  <c r="AC47" i="96"/>
  <c r="AA47" i="96"/>
  <c r="Y47" i="96"/>
  <c r="W47" i="96"/>
  <c r="U47" i="96"/>
  <c r="S47" i="96"/>
  <c r="AE46" i="96"/>
  <c r="AC46" i="96"/>
  <c r="AA46" i="96"/>
  <c r="Y46" i="96"/>
  <c r="W46" i="96"/>
  <c r="U46" i="96"/>
  <c r="S46" i="96"/>
  <c r="AE45" i="96"/>
  <c r="AC45" i="96"/>
  <c r="AA45" i="96"/>
  <c r="Y45" i="96"/>
  <c r="W45" i="96"/>
  <c r="U45" i="96"/>
  <c r="S45" i="96"/>
  <c r="AE44" i="96"/>
  <c r="AC44" i="96"/>
  <c r="AA44" i="96"/>
  <c r="Y44" i="96"/>
  <c r="W44" i="96"/>
  <c r="U44" i="96"/>
  <c r="S44" i="96"/>
  <c r="AE43" i="96"/>
  <c r="AC43" i="96"/>
  <c r="AA43" i="96"/>
  <c r="Y43" i="96"/>
  <c r="W43" i="96"/>
  <c r="U43" i="96"/>
  <c r="S43" i="96"/>
  <c r="AE42" i="96"/>
  <c r="AC42" i="96"/>
  <c r="AA42" i="96"/>
  <c r="Y42" i="96"/>
  <c r="W42" i="96"/>
  <c r="U42" i="96"/>
  <c r="S42" i="96"/>
  <c r="AE41" i="96"/>
  <c r="AC41" i="96"/>
  <c r="AA41" i="96"/>
  <c r="Y41" i="96"/>
  <c r="W41" i="96"/>
  <c r="U41" i="96"/>
  <c r="S41" i="96"/>
  <c r="AE40" i="96"/>
  <c r="AC40" i="96"/>
  <c r="AA40" i="96"/>
  <c r="Y40" i="96"/>
  <c r="W40" i="96"/>
  <c r="U40" i="96"/>
  <c r="S40" i="96"/>
  <c r="AE39" i="96"/>
  <c r="AC39" i="96"/>
  <c r="AA39" i="96"/>
  <c r="Y39" i="96"/>
  <c r="W39" i="96"/>
  <c r="U39" i="96"/>
  <c r="S39" i="96"/>
  <c r="AE38" i="96"/>
  <c r="AC38" i="96"/>
  <c r="AA38" i="96"/>
  <c r="Y38" i="96"/>
  <c r="W38" i="96"/>
  <c r="U38" i="96"/>
  <c r="S38" i="96"/>
  <c r="AE37" i="96"/>
  <c r="AC37" i="96"/>
  <c r="AA37" i="96"/>
  <c r="Y37" i="96"/>
  <c r="W37" i="96"/>
  <c r="U37" i="96"/>
  <c r="S37" i="96"/>
  <c r="AE36" i="96"/>
  <c r="AC36" i="96"/>
  <c r="AA36" i="96"/>
  <c r="Y36" i="96"/>
  <c r="W36" i="96"/>
  <c r="U36" i="96"/>
  <c r="S36" i="96"/>
  <c r="AE35" i="96"/>
  <c r="AC35" i="96"/>
  <c r="AA35" i="96"/>
  <c r="Y35" i="96"/>
  <c r="W35" i="96"/>
  <c r="U35" i="96"/>
  <c r="S35" i="96"/>
  <c r="D34" i="96"/>
  <c r="E34" i="96" s="1"/>
  <c r="D33" i="96"/>
  <c r="E33" i="96" s="1"/>
  <c r="D32" i="96"/>
  <c r="E32" i="96" s="1"/>
  <c r="D31" i="96"/>
  <c r="E31" i="96" s="1"/>
  <c r="D30" i="96"/>
  <c r="E30" i="96" s="1"/>
  <c r="E29" i="96"/>
  <c r="D29" i="96"/>
  <c r="AB25" i="96"/>
  <c r="Z25" i="96"/>
  <c r="R25" i="96"/>
  <c r="T24" i="96"/>
  <c r="V18" i="96"/>
  <c r="V26" i="96" s="1"/>
  <c r="AD17" i="96"/>
  <c r="AD25" i="96" s="1"/>
  <c r="AB17" i="96"/>
  <c r="Z17" i="96"/>
  <c r="X17" i="96"/>
  <c r="X25" i="96" s="1"/>
  <c r="V17" i="96"/>
  <c r="V25" i="96" s="1"/>
  <c r="T17" i="96"/>
  <c r="T25" i="96" s="1"/>
  <c r="R17" i="96"/>
  <c r="AD16" i="96"/>
  <c r="AE16" i="96" s="1"/>
  <c r="AC16" i="96"/>
  <c r="AB16" i="96"/>
  <c r="AB24" i="96" s="1"/>
  <c r="Z16" i="96"/>
  <c r="Z18" i="96" s="1"/>
  <c r="Z26" i="96" s="1"/>
  <c r="X16" i="96"/>
  <c r="Y16" i="96" s="1"/>
  <c r="V16" i="96"/>
  <c r="V24" i="96" s="1"/>
  <c r="T16" i="96"/>
  <c r="T18" i="96" s="1"/>
  <c r="T26" i="96" s="1"/>
  <c r="R16" i="96"/>
  <c r="P16" i="96"/>
  <c r="O16" i="96"/>
  <c r="N16" i="96"/>
  <c r="L16" i="96"/>
  <c r="K16" i="96"/>
  <c r="J16" i="96"/>
  <c r="H16" i="96"/>
  <c r="G16" i="96"/>
  <c r="F16" i="96"/>
  <c r="O15" i="96"/>
  <c r="AE14" i="96"/>
  <c r="AC14" i="96"/>
  <c r="AA14" i="96"/>
  <c r="Y14" i="96"/>
  <c r="W14" i="96"/>
  <c r="U14" i="96"/>
  <c r="S14" i="96"/>
  <c r="Q14" i="96"/>
  <c r="M14" i="96"/>
  <c r="I14" i="96"/>
  <c r="O13" i="96"/>
  <c r="AE12" i="96"/>
  <c r="AC12" i="96"/>
  <c r="AA12" i="96"/>
  <c r="Y12" i="96"/>
  <c r="W12" i="96"/>
  <c r="U12" i="96"/>
  <c r="S12" i="96"/>
  <c r="Q12" i="96"/>
  <c r="M12" i="96"/>
  <c r="I12" i="96"/>
  <c r="O11" i="96"/>
  <c r="AE10" i="96"/>
  <c r="AC10" i="96"/>
  <c r="AA10" i="96"/>
  <c r="Y10" i="96"/>
  <c r="W10" i="96"/>
  <c r="U10" i="96"/>
  <c r="S10" i="96"/>
  <c r="Q10" i="96"/>
  <c r="M10" i="96"/>
  <c r="I10" i="96"/>
  <c r="O9" i="96"/>
  <c r="AE8" i="96"/>
  <c r="AC8" i="96"/>
  <c r="AA8" i="96"/>
  <c r="Y8" i="96"/>
  <c r="W8" i="96"/>
  <c r="U8" i="96"/>
  <c r="S8" i="96"/>
  <c r="Q8" i="96"/>
  <c r="M8" i="96"/>
  <c r="I8" i="96"/>
  <c r="O7" i="96"/>
  <c r="AE6" i="96"/>
  <c r="AC6" i="96"/>
  <c r="AA6" i="96"/>
  <c r="Y6" i="96"/>
  <c r="W6" i="96"/>
  <c r="U6" i="96"/>
  <c r="S6" i="96"/>
  <c r="Q6" i="96"/>
  <c r="M6" i="96"/>
  <c r="I6" i="96"/>
  <c r="I16" i="96" s="1"/>
  <c r="C3" i="96"/>
  <c r="AE64" i="95"/>
  <c r="AC64" i="95"/>
  <c r="AA64" i="95"/>
  <c r="Y64" i="95"/>
  <c r="W64" i="95"/>
  <c r="U64" i="95"/>
  <c r="S64" i="95"/>
  <c r="AE63" i="95"/>
  <c r="AC63" i="95"/>
  <c r="AA63" i="95"/>
  <c r="Y63" i="95"/>
  <c r="W63" i="95"/>
  <c r="U63" i="95"/>
  <c r="S63" i="95"/>
  <c r="AE62" i="95"/>
  <c r="AC62" i="95"/>
  <c r="AA62" i="95"/>
  <c r="Y62" i="95"/>
  <c r="W62" i="95"/>
  <c r="U62" i="95"/>
  <c r="S62" i="95"/>
  <c r="AE61" i="95"/>
  <c r="AC61" i="95"/>
  <c r="AA61" i="95"/>
  <c r="Y61" i="95"/>
  <c r="W61" i="95"/>
  <c r="U61" i="95"/>
  <c r="S61" i="95"/>
  <c r="AE60" i="95"/>
  <c r="AC60" i="95"/>
  <c r="AA60" i="95"/>
  <c r="Y60" i="95"/>
  <c r="W60" i="95"/>
  <c r="U60" i="95"/>
  <c r="S60" i="95"/>
  <c r="AE59" i="95"/>
  <c r="AC59" i="95"/>
  <c r="AA59" i="95"/>
  <c r="Y59" i="95"/>
  <c r="W59" i="95"/>
  <c r="U59" i="95"/>
  <c r="S59" i="95"/>
  <c r="AE58" i="95"/>
  <c r="AC58" i="95"/>
  <c r="AA58" i="95"/>
  <c r="Y58" i="95"/>
  <c r="W58" i="95"/>
  <c r="U58" i="95"/>
  <c r="S58" i="95"/>
  <c r="AE57" i="95"/>
  <c r="AC57" i="95"/>
  <c r="AA57" i="95"/>
  <c r="Y57" i="95"/>
  <c r="W57" i="95"/>
  <c r="U57" i="95"/>
  <c r="S57" i="95"/>
  <c r="AE56" i="95"/>
  <c r="AC56" i="95"/>
  <c r="AA56" i="95"/>
  <c r="Y56" i="95"/>
  <c r="W56" i="95"/>
  <c r="U56" i="95"/>
  <c r="S56" i="95"/>
  <c r="AE55" i="95"/>
  <c r="AC55" i="95"/>
  <c r="AA55" i="95"/>
  <c r="Y55" i="95"/>
  <c r="W55" i="95"/>
  <c r="U55" i="95"/>
  <c r="S55" i="95"/>
  <c r="AE54" i="95"/>
  <c r="AC54" i="95"/>
  <c r="AA54" i="95"/>
  <c r="Y54" i="95"/>
  <c r="W54" i="95"/>
  <c r="U54" i="95"/>
  <c r="S54" i="95"/>
  <c r="AE53" i="95"/>
  <c r="AC53" i="95"/>
  <c r="AA53" i="95"/>
  <c r="Y53" i="95"/>
  <c r="W53" i="95"/>
  <c r="U53" i="95"/>
  <c r="S53" i="95"/>
  <c r="AE52" i="95"/>
  <c r="AC52" i="95"/>
  <c r="AA52" i="95"/>
  <c r="Y52" i="95"/>
  <c r="W52" i="95"/>
  <c r="U52" i="95"/>
  <c r="S52" i="95"/>
  <c r="AE51" i="95"/>
  <c r="AC51" i="95"/>
  <c r="AA51" i="95"/>
  <c r="Y51" i="95"/>
  <c r="W51" i="95"/>
  <c r="U51" i="95"/>
  <c r="S51" i="95"/>
  <c r="AE50" i="95"/>
  <c r="AC50" i="95"/>
  <c r="AA50" i="95"/>
  <c r="Y50" i="95"/>
  <c r="W50" i="95"/>
  <c r="U50" i="95"/>
  <c r="S50" i="95"/>
  <c r="AE49" i="95"/>
  <c r="AC49" i="95"/>
  <c r="AA49" i="95"/>
  <c r="Y49" i="95"/>
  <c r="W49" i="95"/>
  <c r="U49" i="95"/>
  <c r="S49" i="95"/>
  <c r="AE48" i="95"/>
  <c r="AC48" i="95"/>
  <c r="AA48" i="95"/>
  <c r="Y48" i="95"/>
  <c r="W48" i="95"/>
  <c r="U48" i="95"/>
  <c r="S48" i="95"/>
  <c r="AE47" i="95"/>
  <c r="AC47" i="95"/>
  <c r="AA47" i="95"/>
  <c r="Y47" i="95"/>
  <c r="W47" i="95"/>
  <c r="U47" i="95"/>
  <c r="S47" i="95"/>
  <c r="AE46" i="95"/>
  <c r="AC46" i="95"/>
  <c r="AA46" i="95"/>
  <c r="Y46" i="95"/>
  <c r="W46" i="95"/>
  <c r="U46" i="95"/>
  <c r="S46" i="95"/>
  <c r="AE45" i="95"/>
  <c r="AC45" i="95"/>
  <c r="AA45" i="95"/>
  <c r="Y45" i="95"/>
  <c r="W45" i="95"/>
  <c r="U45" i="95"/>
  <c r="S45" i="95"/>
  <c r="AE44" i="95"/>
  <c r="AC44" i="95"/>
  <c r="AA44" i="95"/>
  <c r="Y44" i="95"/>
  <c r="W44" i="95"/>
  <c r="U44" i="95"/>
  <c r="S44" i="95"/>
  <c r="AE43" i="95"/>
  <c r="AC43" i="95"/>
  <c r="AA43" i="95"/>
  <c r="Y43" i="95"/>
  <c r="W43" i="95"/>
  <c r="U43" i="95"/>
  <c r="S43" i="95"/>
  <c r="AE42" i="95"/>
  <c r="AC42" i="95"/>
  <c r="AA42" i="95"/>
  <c r="Y42" i="95"/>
  <c r="W42" i="95"/>
  <c r="U42" i="95"/>
  <c r="S42" i="95"/>
  <c r="AE41" i="95"/>
  <c r="AC41" i="95"/>
  <c r="AA41" i="95"/>
  <c r="Y41" i="95"/>
  <c r="W41" i="95"/>
  <c r="U41" i="95"/>
  <c r="S41" i="95"/>
  <c r="AE40" i="95"/>
  <c r="AC40" i="95"/>
  <c r="AA40" i="95"/>
  <c r="Y40" i="95"/>
  <c r="W40" i="95"/>
  <c r="U40" i="95"/>
  <c r="S40" i="95"/>
  <c r="AE39" i="95"/>
  <c r="AC39" i="95"/>
  <c r="AA39" i="95"/>
  <c r="Y39" i="95"/>
  <c r="W39" i="95"/>
  <c r="U39" i="95"/>
  <c r="S39" i="95"/>
  <c r="AE38" i="95"/>
  <c r="AC38" i="95"/>
  <c r="AA38" i="95"/>
  <c r="Y38" i="95"/>
  <c r="W38" i="95"/>
  <c r="U38" i="95"/>
  <c r="S38" i="95"/>
  <c r="AE37" i="95"/>
  <c r="AC37" i="95"/>
  <c r="AA37" i="95"/>
  <c r="Y37" i="95"/>
  <c r="W37" i="95"/>
  <c r="U37" i="95"/>
  <c r="S37" i="95"/>
  <c r="AE36" i="95"/>
  <c r="AC36" i="95"/>
  <c r="AA36" i="95"/>
  <c r="Y36" i="95"/>
  <c r="W36" i="95"/>
  <c r="U36" i="95"/>
  <c r="S36" i="95"/>
  <c r="AE35" i="95"/>
  <c r="AC35" i="95"/>
  <c r="AA35" i="95"/>
  <c r="Y35" i="95"/>
  <c r="W35" i="95"/>
  <c r="U35" i="95"/>
  <c r="S35" i="95"/>
  <c r="E34" i="95"/>
  <c r="D34" i="95"/>
  <c r="D33" i="95"/>
  <c r="E33" i="95" s="1"/>
  <c r="D32" i="95"/>
  <c r="E32" i="95" s="1"/>
  <c r="D31" i="95"/>
  <c r="E31" i="95" s="1"/>
  <c r="D30" i="95"/>
  <c r="E30" i="95" s="1"/>
  <c r="D29" i="95"/>
  <c r="E29" i="95" s="1"/>
  <c r="X25" i="95"/>
  <c r="V25" i="95"/>
  <c r="T25" i="95"/>
  <c r="R25" i="95"/>
  <c r="R24" i="95"/>
  <c r="R18" i="95"/>
  <c r="R26" i="95" s="1"/>
  <c r="AD17" i="95"/>
  <c r="AD25" i="95" s="1"/>
  <c r="AB17" i="95"/>
  <c r="AB25" i="95" s="1"/>
  <c r="Z17" i="95"/>
  <c r="Z25" i="95" s="1"/>
  <c r="X17" i="95"/>
  <c r="V17" i="95"/>
  <c r="T17" i="95"/>
  <c r="R17" i="95"/>
  <c r="AD16" i="95"/>
  <c r="AB16" i="95"/>
  <c r="AB18" i="95" s="1"/>
  <c r="AB26" i="95" s="1"/>
  <c r="Z16" i="95"/>
  <c r="Z24" i="95" s="1"/>
  <c r="X16" i="95"/>
  <c r="X18" i="95" s="1"/>
  <c r="X26" i="95" s="1"/>
  <c r="V16" i="95"/>
  <c r="T16" i="95"/>
  <c r="U16" i="95" s="1"/>
  <c r="R16" i="95"/>
  <c r="S16" i="95" s="1"/>
  <c r="P16" i="95"/>
  <c r="O16" i="95"/>
  <c r="N16" i="95"/>
  <c r="L16" i="95"/>
  <c r="K16" i="95"/>
  <c r="J16" i="95"/>
  <c r="H16" i="95"/>
  <c r="G16" i="95"/>
  <c r="F16" i="95"/>
  <c r="O15" i="95"/>
  <c r="AE14" i="95"/>
  <c r="AC14" i="95"/>
  <c r="AA14" i="95"/>
  <c r="Y14" i="95"/>
  <c r="W14" i="95"/>
  <c r="U14" i="95"/>
  <c r="S14" i="95"/>
  <c r="Q14" i="95"/>
  <c r="M14" i="95"/>
  <c r="I14" i="95"/>
  <c r="O13" i="95"/>
  <c r="AE12" i="95"/>
  <c r="AC12" i="95"/>
  <c r="AA12" i="95"/>
  <c r="Y12" i="95"/>
  <c r="W12" i="95"/>
  <c r="U12" i="95"/>
  <c r="S12" i="95"/>
  <c r="Q12" i="95"/>
  <c r="M12" i="95"/>
  <c r="I12" i="95"/>
  <c r="O11" i="95"/>
  <c r="AE10" i="95"/>
  <c r="AC10" i="95"/>
  <c r="AA10" i="95"/>
  <c r="Y10" i="95"/>
  <c r="W10" i="95"/>
  <c r="U10" i="95"/>
  <c r="S10" i="95"/>
  <c r="Q10" i="95"/>
  <c r="M10" i="95"/>
  <c r="I10" i="95"/>
  <c r="O9" i="95"/>
  <c r="AE8" i="95"/>
  <c r="AC8" i="95"/>
  <c r="AA8" i="95"/>
  <c r="Y8" i="95"/>
  <c r="W8" i="95"/>
  <c r="U8" i="95"/>
  <c r="S8" i="95"/>
  <c r="Q8" i="95"/>
  <c r="M8" i="95"/>
  <c r="I8" i="95"/>
  <c r="O7" i="95"/>
  <c r="AE6" i="95"/>
  <c r="AC6" i="95"/>
  <c r="AA6" i="95"/>
  <c r="Y6" i="95"/>
  <c r="W6" i="95"/>
  <c r="U6" i="95"/>
  <c r="S6" i="95"/>
  <c r="Q6" i="95"/>
  <c r="M6" i="95"/>
  <c r="I6" i="95"/>
  <c r="C3" i="95"/>
  <c r="AE64" i="94"/>
  <c r="AC64" i="94"/>
  <c r="AA64" i="94"/>
  <c r="Y64" i="94"/>
  <c r="W64" i="94"/>
  <c r="U64" i="94"/>
  <c r="S64" i="94"/>
  <c r="AE63" i="94"/>
  <c r="AC63" i="94"/>
  <c r="AA63" i="94"/>
  <c r="Y63" i="94"/>
  <c r="W63" i="94"/>
  <c r="U63" i="94"/>
  <c r="S63" i="94"/>
  <c r="AE62" i="94"/>
  <c r="AC62" i="94"/>
  <c r="AA62" i="94"/>
  <c r="Y62" i="94"/>
  <c r="W62" i="94"/>
  <c r="U62" i="94"/>
  <c r="S62" i="94"/>
  <c r="AE61" i="94"/>
  <c r="AC61" i="94"/>
  <c r="AA61" i="94"/>
  <c r="Y61" i="94"/>
  <c r="W61" i="94"/>
  <c r="U61" i="94"/>
  <c r="S61" i="94"/>
  <c r="AE60" i="94"/>
  <c r="AC60" i="94"/>
  <c r="AA60" i="94"/>
  <c r="Y60" i="94"/>
  <c r="W60" i="94"/>
  <c r="U60" i="94"/>
  <c r="S60" i="94"/>
  <c r="AE59" i="94"/>
  <c r="AC59" i="94"/>
  <c r="AA59" i="94"/>
  <c r="Y59" i="94"/>
  <c r="W59" i="94"/>
  <c r="U59" i="94"/>
  <c r="S59" i="94"/>
  <c r="AE58" i="94"/>
  <c r="AC58" i="94"/>
  <c r="AA58" i="94"/>
  <c r="Y58" i="94"/>
  <c r="W58" i="94"/>
  <c r="U58" i="94"/>
  <c r="S58" i="94"/>
  <c r="AE57" i="94"/>
  <c r="AC57" i="94"/>
  <c r="AA57" i="94"/>
  <c r="Y57" i="94"/>
  <c r="W57" i="94"/>
  <c r="U57" i="94"/>
  <c r="S57" i="94"/>
  <c r="AE56" i="94"/>
  <c r="AC56" i="94"/>
  <c r="AA56" i="94"/>
  <c r="Y56" i="94"/>
  <c r="W56" i="94"/>
  <c r="U56" i="94"/>
  <c r="S56" i="94"/>
  <c r="AE55" i="94"/>
  <c r="AC55" i="94"/>
  <c r="AA55" i="94"/>
  <c r="Y55" i="94"/>
  <c r="W55" i="94"/>
  <c r="U55" i="94"/>
  <c r="S55" i="94"/>
  <c r="AE54" i="94"/>
  <c r="AC54" i="94"/>
  <c r="AA54" i="94"/>
  <c r="Y54" i="94"/>
  <c r="W54" i="94"/>
  <c r="U54" i="94"/>
  <c r="S54" i="94"/>
  <c r="AE53" i="94"/>
  <c r="AC53" i="94"/>
  <c r="AA53" i="94"/>
  <c r="Y53" i="94"/>
  <c r="W53" i="94"/>
  <c r="U53" i="94"/>
  <c r="S53" i="94"/>
  <c r="AE52" i="94"/>
  <c r="AC52" i="94"/>
  <c r="AA52" i="94"/>
  <c r="Y52" i="94"/>
  <c r="W52" i="94"/>
  <c r="U52" i="94"/>
  <c r="S52" i="94"/>
  <c r="AE51" i="94"/>
  <c r="AC51" i="94"/>
  <c r="AA51" i="94"/>
  <c r="Y51" i="94"/>
  <c r="W51" i="94"/>
  <c r="U51" i="94"/>
  <c r="S51" i="94"/>
  <c r="AE50" i="94"/>
  <c r="AC50" i="94"/>
  <c r="AA50" i="94"/>
  <c r="Y50" i="94"/>
  <c r="W50" i="94"/>
  <c r="U50" i="94"/>
  <c r="S50" i="94"/>
  <c r="AE49" i="94"/>
  <c r="AC49" i="94"/>
  <c r="AA49" i="94"/>
  <c r="Y49" i="94"/>
  <c r="W49" i="94"/>
  <c r="U49" i="94"/>
  <c r="S49" i="94"/>
  <c r="AE48" i="94"/>
  <c r="AC48" i="94"/>
  <c r="AA48" i="94"/>
  <c r="Y48" i="94"/>
  <c r="W48" i="94"/>
  <c r="U48" i="94"/>
  <c r="S48" i="94"/>
  <c r="AE47" i="94"/>
  <c r="AC47" i="94"/>
  <c r="AA47" i="94"/>
  <c r="Y47" i="94"/>
  <c r="W47" i="94"/>
  <c r="U47" i="94"/>
  <c r="S47" i="94"/>
  <c r="AE46" i="94"/>
  <c r="AC46" i="94"/>
  <c r="AA46" i="94"/>
  <c r="Y46" i="94"/>
  <c r="W46" i="94"/>
  <c r="U46" i="94"/>
  <c r="S46" i="94"/>
  <c r="AE45" i="94"/>
  <c r="AC45" i="94"/>
  <c r="AA45" i="94"/>
  <c r="Y45" i="94"/>
  <c r="W45" i="94"/>
  <c r="U45" i="94"/>
  <c r="S45" i="94"/>
  <c r="AE44" i="94"/>
  <c r="AC44" i="94"/>
  <c r="AA44" i="94"/>
  <c r="Y44" i="94"/>
  <c r="W44" i="94"/>
  <c r="U44" i="94"/>
  <c r="S44" i="94"/>
  <c r="AE43" i="94"/>
  <c r="AC43" i="94"/>
  <c r="AA43" i="94"/>
  <c r="Y43" i="94"/>
  <c r="W43" i="94"/>
  <c r="U43" i="94"/>
  <c r="S43" i="94"/>
  <c r="AE42" i="94"/>
  <c r="AC42" i="94"/>
  <c r="AA42" i="94"/>
  <c r="Y42" i="94"/>
  <c r="W42" i="94"/>
  <c r="U42" i="94"/>
  <c r="S42" i="94"/>
  <c r="AE41" i="94"/>
  <c r="AC41" i="94"/>
  <c r="AA41" i="94"/>
  <c r="Y41" i="94"/>
  <c r="W41" i="94"/>
  <c r="U41" i="94"/>
  <c r="S41" i="94"/>
  <c r="AE40" i="94"/>
  <c r="AC40" i="94"/>
  <c r="AA40" i="94"/>
  <c r="Y40" i="94"/>
  <c r="W40" i="94"/>
  <c r="U40" i="94"/>
  <c r="S40" i="94"/>
  <c r="AE39" i="94"/>
  <c r="AC39" i="94"/>
  <c r="AA39" i="94"/>
  <c r="Y39" i="94"/>
  <c r="W39" i="94"/>
  <c r="U39" i="94"/>
  <c r="S39" i="94"/>
  <c r="AE38" i="94"/>
  <c r="AC38" i="94"/>
  <c r="AA38" i="94"/>
  <c r="Y38" i="94"/>
  <c r="W38" i="94"/>
  <c r="U38" i="94"/>
  <c r="S38" i="94"/>
  <c r="AE37" i="94"/>
  <c r="AC37" i="94"/>
  <c r="AA37" i="94"/>
  <c r="Y37" i="94"/>
  <c r="W37" i="94"/>
  <c r="U37" i="94"/>
  <c r="S37" i="94"/>
  <c r="AE36" i="94"/>
  <c r="AC36" i="94"/>
  <c r="AA36" i="94"/>
  <c r="Y36" i="94"/>
  <c r="W36" i="94"/>
  <c r="U36" i="94"/>
  <c r="S36" i="94"/>
  <c r="AE35" i="94"/>
  <c r="AC35" i="94"/>
  <c r="AA35" i="94"/>
  <c r="Y35" i="94"/>
  <c r="W35" i="94"/>
  <c r="U35" i="94"/>
  <c r="S35" i="94"/>
  <c r="D34" i="94"/>
  <c r="E34" i="94" s="1"/>
  <c r="E33" i="94"/>
  <c r="D33" i="94"/>
  <c r="D32" i="94"/>
  <c r="E32" i="94" s="1"/>
  <c r="D31" i="94"/>
  <c r="E31" i="94" s="1"/>
  <c r="D30" i="94"/>
  <c r="E30" i="94" s="1"/>
  <c r="D29" i="94"/>
  <c r="E29" i="94" s="1"/>
  <c r="AD25" i="94"/>
  <c r="AB25" i="94"/>
  <c r="AD24" i="94"/>
  <c r="T24" i="94"/>
  <c r="AB18" i="94"/>
  <c r="AB26" i="94" s="1"/>
  <c r="AD17" i="94"/>
  <c r="AB17" i="94"/>
  <c r="Z17" i="94"/>
  <c r="Z25" i="94" s="1"/>
  <c r="X17" i="94"/>
  <c r="X25" i="94" s="1"/>
  <c r="V17" i="94"/>
  <c r="V25" i="94" s="1"/>
  <c r="T17" i="94"/>
  <c r="T25" i="94" s="1"/>
  <c r="R17" i="94"/>
  <c r="R25" i="94" s="1"/>
  <c r="AD16" i="94"/>
  <c r="AE16" i="94" s="1"/>
  <c r="AC16" i="94"/>
  <c r="AB16" i="94"/>
  <c r="AB24" i="94" s="1"/>
  <c r="Z16" i="94"/>
  <c r="Z18" i="94" s="1"/>
  <c r="Z26" i="94" s="1"/>
  <c r="X16" i="94"/>
  <c r="Y16" i="94" s="1"/>
  <c r="V16" i="94"/>
  <c r="V24" i="94" s="1"/>
  <c r="T16" i="94"/>
  <c r="T18" i="94" s="1"/>
  <c r="T26" i="94" s="1"/>
  <c r="R16" i="94"/>
  <c r="S16" i="94" s="1"/>
  <c r="P16" i="94"/>
  <c r="O16" i="94"/>
  <c r="N16" i="94"/>
  <c r="L16" i="94"/>
  <c r="K16" i="94"/>
  <c r="J16" i="94"/>
  <c r="H16" i="94"/>
  <c r="G16" i="94"/>
  <c r="F16" i="94"/>
  <c r="O15" i="94"/>
  <c r="AE14" i="94"/>
  <c r="AC14" i="94"/>
  <c r="AA14" i="94"/>
  <c r="Y14" i="94"/>
  <c r="W14" i="94"/>
  <c r="U14" i="94"/>
  <c r="S14" i="94"/>
  <c r="Q14" i="94"/>
  <c r="M14" i="94"/>
  <c r="I14" i="94"/>
  <c r="O13" i="94"/>
  <c r="AE12" i="94"/>
  <c r="AC12" i="94"/>
  <c r="AA12" i="94"/>
  <c r="Y12" i="94"/>
  <c r="W12" i="94"/>
  <c r="U12" i="94"/>
  <c r="S12" i="94"/>
  <c r="Q12" i="94"/>
  <c r="M12" i="94"/>
  <c r="I12" i="94"/>
  <c r="O11" i="94"/>
  <c r="AE10" i="94"/>
  <c r="AC10" i="94"/>
  <c r="AA10" i="94"/>
  <c r="Y10" i="94"/>
  <c r="W10" i="94"/>
  <c r="U10" i="94"/>
  <c r="S10" i="94"/>
  <c r="Q10" i="94"/>
  <c r="M10" i="94"/>
  <c r="I10" i="94"/>
  <c r="O9" i="94"/>
  <c r="AE8" i="94"/>
  <c r="AC8" i="94"/>
  <c r="AA8" i="94"/>
  <c r="Y8" i="94"/>
  <c r="W8" i="94"/>
  <c r="U8" i="94"/>
  <c r="S8" i="94"/>
  <c r="Q8" i="94"/>
  <c r="M8" i="94"/>
  <c r="M16" i="94" s="1"/>
  <c r="I8" i="94"/>
  <c r="O7" i="94"/>
  <c r="AE6" i="94"/>
  <c r="AC6" i="94"/>
  <c r="AA6" i="94"/>
  <c r="Y6" i="94"/>
  <c r="W6" i="94"/>
  <c r="U6" i="94"/>
  <c r="S6" i="94"/>
  <c r="Q6" i="94"/>
  <c r="M6" i="94"/>
  <c r="I6" i="94"/>
  <c r="C3" i="94"/>
  <c r="AE64" i="93"/>
  <c r="AC64" i="93"/>
  <c r="AA64" i="93"/>
  <c r="Y64" i="93"/>
  <c r="W64" i="93"/>
  <c r="U64" i="93"/>
  <c r="S64" i="93"/>
  <c r="AE63" i="93"/>
  <c r="AC63" i="93"/>
  <c r="AA63" i="93"/>
  <c r="Y63" i="93"/>
  <c r="W63" i="93"/>
  <c r="U63" i="93"/>
  <c r="S63" i="93"/>
  <c r="AE62" i="93"/>
  <c r="AC62" i="93"/>
  <c r="AA62" i="93"/>
  <c r="Y62" i="93"/>
  <c r="W62" i="93"/>
  <c r="U62" i="93"/>
  <c r="S62" i="93"/>
  <c r="AE61" i="93"/>
  <c r="AC61" i="93"/>
  <c r="AA61" i="93"/>
  <c r="Y61" i="93"/>
  <c r="W61" i="93"/>
  <c r="U61" i="93"/>
  <c r="S61" i="93"/>
  <c r="AE60" i="93"/>
  <c r="AC60" i="93"/>
  <c r="AA60" i="93"/>
  <c r="Y60" i="93"/>
  <c r="W60" i="93"/>
  <c r="U60" i="93"/>
  <c r="S60" i="93"/>
  <c r="AE59" i="93"/>
  <c r="AC59" i="93"/>
  <c r="AA59" i="93"/>
  <c r="Y59" i="93"/>
  <c r="W59" i="93"/>
  <c r="U59" i="93"/>
  <c r="S59" i="93"/>
  <c r="AE58" i="93"/>
  <c r="AC58" i="93"/>
  <c r="AA58" i="93"/>
  <c r="Y58" i="93"/>
  <c r="W58" i="93"/>
  <c r="U58" i="93"/>
  <c r="S58" i="93"/>
  <c r="AE57" i="93"/>
  <c r="AC57" i="93"/>
  <c r="AA57" i="93"/>
  <c r="Y57" i="93"/>
  <c r="W57" i="93"/>
  <c r="U57" i="93"/>
  <c r="S57" i="93"/>
  <c r="AE56" i="93"/>
  <c r="AC56" i="93"/>
  <c r="AA56" i="93"/>
  <c r="Y56" i="93"/>
  <c r="W56" i="93"/>
  <c r="U56" i="93"/>
  <c r="S56" i="93"/>
  <c r="AE55" i="93"/>
  <c r="AC55" i="93"/>
  <c r="AA55" i="93"/>
  <c r="Y55" i="93"/>
  <c r="W55" i="93"/>
  <c r="U55" i="93"/>
  <c r="S55" i="93"/>
  <c r="AE54" i="93"/>
  <c r="AC54" i="93"/>
  <c r="AA54" i="93"/>
  <c r="Y54" i="93"/>
  <c r="W54" i="93"/>
  <c r="U54" i="93"/>
  <c r="S54" i="93"/>
  <c r="AE53" i="93"/>
  <c r="AC53" i="93"/>
  <c r="AA53" i="93"/>
  <c r="Y53" i="93"/>
  <c r="W53" i="93"/>
  <c r="U53" i="93"/>
  <c r="S53" i="93"/>
  <c r="AE52" i="93"/>
  <c r="AC52" i="93"/>
  <c r="AA52" i="93"/>
  <c r="Y52" i="93"/>
  <c r="W52" i="93"/>
  <c r="U52" i="93"/>
  <c r="S52" i="93"/>
  <c r="AE51" i="93"/>
  <c r="AC51" i="93"/>
  <c r="AA51" i="93"/>
  <c r="Y51" i="93"/>
  <c r="W51" i="93"/>
  <c r="U51" i="93"/>
  <c r="S51" i="93"/>
  <c r="AE50" i="93"/>
  <c r="AC50" i="93"/>
  <c r="AA50" i="93"/>
  <c r="Y50" i="93"/>
  <c r="W50" i="93"/>
  <c r="U50" i="93"/>
  <c r="S50" i="93"/>
  <c r="AE49" i="93"/>
  <c r="AC49" i="93"/>
  <c r="AA49" i="93"/>
  <c r="Y49" i="93"/>
  <c r="W49" i="93"/>
  <c r="U49" i="93"/>
  <c r="S49" i="93"/>
  <c r="AE48" i="93"/>
  <c r="AC48" i="93"/>
  <c r="AA48" i="93"/>
  <c r="Y48" i="93"/>
  <c r="W48" i="93"/>
  <c r="U48" i="93"/>
  <c r="S48" i="93"/>
  <c r="AE47" i="93"/>
  <c r="AC47" i="93"/>
  <c r="AA47" i="93"/>
  <c r="Y47" i="93"/>
  <c r="W47" i="93"/>
  <c r="U47" i="93"/>
  <c r="S47" i="93"/>
  <c r="AE46" i="93"/>
  <c r="AC46" i="93"/>
  <c r="AA46" i="93"/>
  <c r="Y46" i="93"/>
  <c r="W46" i="93"/>
  <c r="U46" i="93"/>
  <c r="S46" i="93"/>
  <c r="AE45" i="93"/>
  <c r="AC45" i="93"/>
  <c r="AA45" i="93"/>
  <c r="Y45" i="93"/>
  <c r="W45" i="93"/>
  <c r="U45" i="93"/>
  <c r="S45" i="93"/>
  <c r="AE44" i="93"/>
  <c r="AC44" i="93"/>
  <c r="AA44" i="93"/>
  <c r="Y44" i="93"/>
  <c r="W44" i="93"/>
  <c r="U44" i="93"/>
  <c r="S44" i="93"/>
  <c r="AE43" i="93"/>
  <c r="AC43" i="93"/>
  <c r="AA43" i="93"/>
  <c r="Y43" i="93"/>
  <c r="W43" i="93"/>
  <c r="U43" i="93"/>
  <c r="S43" i="93"/>
  <c r="AE42" i="93"/>
  <c r="AC42" i="93"/>
  <c r="AA42" i="93"/>
  <c r="Y42" i="93"/>
  <c r="W42" i="93"/>
  <c r="U42" i="93"/>
  <c r="S42" i="93"/>
  <c r="AE41" i="93"/>
  <c r="AC41" i="93"/>
  <c r="AA41" i="93"/>
  <c r="Y41" i="93"/>
  <c r="W41" i="93"/>
  <c r="U41" i="93"/>
  <c r="S41" i="93"/>
  <c r="AE40" i="93"/>
  <c r="AC40" i="93"/>
  <c r="AA40" i="93"/>
  <c r="Y40" i="93"/>
  <c r="W40" i="93"/>
  <c r="U40" i="93"/>
  <c r="S40" i="93"/>
  <c r="AE39" i="93"/>
  <c r="AC39" i="93"/>
  <c r="AA39" i="93"/>
  <c r="Y39" i="93"/>
  <c r="W39" i="93"/>
  <c r="U39" i="93"/>
  <c r="S39" i="93"/>
  <c r="AE38" i="93"/>
  <c r="AC38" i="93"/>
  <c r="AA38" i="93"/>
  <c r="Y38" i="93"/>
  <c r="W38" i="93"/>
  <c r="U38" i="93"/>
  <c r="S38" i="93"/>
  <c r="AE37" i="93"/>
  <c r="AC37" i="93"/>
  <c r="AA37" i="93"/>
  <c r="Y37" i="93"/>
  <c r="W37" i="93"/>
  <c r="U37" i="93"/>
  <c r="S37" i="93"/>
  <c r="AE36" i="93"/>
  <c r="AC36" i="93"/>
  <c r="AA36" i="93"/>
  <c r="Y36" i="93"/>
  <c r="W36" i="93"/>
  <c r="U36" i="93"/>
  <c r="S36" i="93"/>
  <c r="AE35" i="93"/>
  <c r="AC35" i="93"/>
  <c r="AA35" i="93"/>
  <c r="Y35" i="93"/>
  <c r="W35" i="93"/>
  <c r="U35" i="93"/>
  <c r="S35" i="93"/>
  <c r="E34" i="93"/>
  <c r="D34" i="93"/>
  <c r="D33" i="93"/>
  <c r="E33" i="93" s="1"/>
  <c r="D32" i="93"/>
  <c r="E32" i="93" s="1"/>
  <c r="E31" i="93"/>
  <c r="D31" i="93"/>
  <c r="D30" i="93"/>
  <c r="E30" i="93" s="1"/>
  <c r="D29" i="93"/>
  <c r="E29" i="93" s="1"/>
  <c r="Z26" i="93"/>
  <c r="Z25" i="93"/>
  <c r="R24" i="93"/>
  <c r="AD18" i="93"/>
  <c r="AD26" i="93" s="1"/>
  <c r="Z18" i="93"/>
  <c r="AD17" i="93"/>
  <c r="AD25" i="93" s="1"/>
  <c r="AB17" i="93"/>
  <c r="AB25" i="93" s="1"/>
  <c r="Z17" i="93"/>
  <c r="X17" i="93"/>
  <c r="X25" i="93" s="1"/>
  <c r="V17" i="93"/>
  <c r="V25" i="93" s="1"/>
  <c r="T17" i="93"/>
  <c r="T25" i="93" s="1"/>
  <c r="R17" i="93"/>
  <c r="R25" i="93" s="1"/>
  <c r="AD16" i="93"/>
  <c r="AD24" i="93" s="1"/>
  <c r="AB16" i="93"/>
  <c r="AB18" i="93" s="1"/>
  <c r="AB26" i="93" s="1"/>
  <c r="Z16" i="93"/>
  <c r="Z24" i="93" s="1"/>
  <c r="X16" i="93"/>
  <c r="X18" i="93" s="1"/>
  <c r="X26" i="93" s="1"/>
  <c r="W16" i="93"/>
  <c r="V16" i="93"/>
  <c r="T16" i="93"/>
  <c r="U16" i="93" s="1"/>
  <c r="R16" i="93"/>
  <c r="S16" i="93" s="1"/>
  <c r="P16" i="93"/>
  <c r="O16" i="93"/>
  <c r="N16" i="93"/>
  <c r="L16" i="93"/>
  <c r="K16" i="93"/>
  <c r="J16" i="93"/>
  <c r="H16" i="93"/>
  <c r="G16" i="93"/>
  <c r="F16" i="93"/>
  <c r="O15" i="93"/>
  <c r="AE14" i="93"/>
  <c r="AC14" i="93"/>
  <c r="AA14" i="93"/>
  <c r="Y14" i="93"/>
  <c r="W14" i="93"/>
  <c r="U14" i="93"/>
  <c r="S14" i="93"/>
  <c r="Q14" i="93"/>
  <c r="M14" i="93"/>
  <c r="I14" i="93"/>
  <c r="O13" i="93"/>
  <c r="AE12" i="93"/>
  <c r="AC12" i="93"/>
  <c r="AA12" i="93"/>
  <c r="Y12" i="93"/>
  <c r="W12" i="93"/>
  <c r="U12" i="93"/>
  <c r="S12" i="93"/>
  <c r="Q12" i="93"/>
  <c r="M12" i="93"/>
  <c r="I12" i="93"/>
  <c r="O11" i="93"/>
  <c r="AE10" i="93"/>
  <c r="AC10" i="93"/>
  <c r="AA10" i="93"/>
  <c r="Y10" i="93"/>
  <c r="W10" i="93"/>
  <c r="U10" i="93"/>
  <c r="S10" i="93"/>
  <c r="Q10" i="93"/>
  <c r="M10" i="93"/>
  <c r="I10" i="93"/>
  <c r="O9" i="93"/>
  <c r="AE8" i="93"/>
  <c r="AC8" i="93"/>
  <c r="AA8" i="93"/>
  <c r="Y8" i="93"/>
  <c r="W8" i="93"/>
  <c r="U8" i="93"/>
  <c r="S8" i="93"/>
  <c r="Q8" i="93"/>
  <c r="M8" i="93"/>
  <c r="I8" i="93"/>
  <c r="O7" i="93"/>
  <c r="AE6" i="93"/>
  <c r="AC6" i="93"/>
  <c r="AA6" i="93"/>
  <c r="Y6" i="93"/>
  <c r="W6" i="93"/>
  <c r="U6" i="93"/>
  <c r="S6" i="93"/>
  <c r="Q6" i="93"/>
  <c r="M6" i="93"/>
  <c r="I6" i="93"/>
  <c r="C3" i="93"/>
  <c r="AE64" i="92"/>
  <c r="AC64" i="92"/>
  <c r="AA64" i="92"/>
  <c r="Y64" i="92"/>
  <c r="W64" i="92"/>
  <c r="U64" i="92"/>
  <c r="S64" i="92"/>
  <c r="AE63" i="92"/>
  <c r="AC63" i="92"/>
  <c r="AA63" i="92"/>
  <c r="Y63" i="92"/>
  <c r="W63" i="92"/>
  <c r="U63" i="92"/>
  <c r="S63" i="92"/>
  <c r="AE62" i="92"/>
  <c r="AC62" i="92"/>
  <c r="AA62" i="92"/>
  <c r="Y62" i="92"/>
  <c r="W62" i="92"/>
  <c r="U62" i="92"/>
  <c r="S62" i="92"/>
  <c r="AE61" i="92"/>
  <c r="AC61" i="92"/>
  <c r="AA61" i="92"/>
  <c r="Y61" i="92"/>
  <c r="W61" i="92"/>
  <c r="U61" i="92"/>
  <c r="S61" i="92"/>
  <c r="AE60" i="92"/>
  <c r="AC60" i="92"/>
  <c r="AA60" i="92"/>
  <c r="Y60" i="92"/>
  <c r="W60" i="92"/>
  <c r="U60" i="92"/>
  <c r="S60" i="92"/>
  <c r="AE59" i="92"/>
  <c r="AC59" i="92"/>
  <c r="AA59" i="92"/>
  <c r="Y59" i="92"/>
  <c r="W59" i="92"/>
  <c r="U59" i="92"/>
  <c r="S59" i="92"/>
  <c r="AE58" i="92"/>
  <c r="AC58" i="92"/>
  <c r="AA58" i="92"/>
  <c r="Y58" i="92"/>
  <c r="W58" i="92"/>
  <c r="U58" i="92"/>
  <c r="S58" i="92"/>
  <c r="AE57" i="92"/>
  <c r="AC57" i="92"/>
  <c r="AA57" i="92"/>
  <c r="Y57" i="92"/>
  <c r="W57" i="92"/>
  <c r="U57" i="92"/>
  <c r="S57" i="92"/>
  <c r="AE56" i="92"/>
  <c r="AC56" i="92"/>
  <c r="AA56" i="92"/>
  <c r="Y56" i="92"/>
  <c r="W56" i="92"/>
  <c r="U56" i="92"/>
  <c r="S56" i="92"/>
  <c r="AE55" i="92"/>
  <c r="AC55" i="92"/>
  <c r="AA55" i="92"/>
  <c r="Y55" i="92"/>
  <c r="W55" i="92"/>
  <c r="U55" i="92"/>
  <c r="S55" i="92"/>
  <c r="AE54" i="92"/>
  <c r="AC54" i="92"/>
  <c r="AA54" i="92"/>
  <c r="Y54" i="92"/>
  <c r="W54" i="92"/>
  <c r="U54" i="92"/>
  <c r="S54" i="92"/>
  <c r="AE53" i="92"/>
  <c r="AC53" i="92"/>
  <c r="AA53" i="92"/>
  <c r="Y53" i="92"/>
  <c r="W53" i="92"/>
  <c r="U53" i="92"/>
  <c r="S53" i="92"/>
  <c r="AE52" i="92"/>
  <c r="AC52" i="92"/>
  <c r="AA52" i="92"/>
  <c r="Y52" i="92"/>
  <c r="W52" i="92"/>
  <c r="U52" i="92"/>
  <c r="S52" i="92"/>
  <c r="AE51" i="92"/>
  <c r="AC51" i="92"/>
  <c r="AA51" i="92"/>
  <c r="Y51" i="92"/>
  <c r="W51" i="92"/>
  <c r="U51" i="92"/>
  <c r="S51" i="92"/>
  <c r="AE50" i="92"/>
  <c r="AC50" i="92"/>
  <c r="AA50" i="92"/>
  <c r="Y50" i="92"/>
  <c r="W50" i="92"/>
  <c r="U50" i="92"/>
  <c r="S50" i="92"/>
  <c r="AE49" i="92"/>
  <c r="AC49" i="92"/>
  <c r="AA49" i="92"/>
  <c r="Y49" i="92"/>
  <c r="W49" i="92"/>
  <c r="U49" i="92"/>
  <c r="S49" i="92"/>
  <c r="AE48" i="92"/>
  <c r="AC48" i="92"/>
  <c r="AA48" i="92"/>
  <c r="Y48" i="92"/>
  <c r="W48" i="92"/>
  <c r="U48" i="92"/>
  <c r="S48" i="92"/>
  <c r="AE47" i="92"/>
  <c r="AC47" i="92"/>
  <c r="AA47" i="92"/>
  <c r="Y47" i="92"/>
  <c r="W47" i="92"/>
  <c r="U47" i="92"/>
  <c r="S47" i="92"/>
  <c r="AE46" i="92"/>
  <c r="AC46" i="92"/>
  <c r="AA46" i="92"/>
  <c r="Y46" i="92"/>
  <c r="W46" i="92"/>
  <c r="U46" i="92"/>
  <c r="S46" i="92"/>
  <c r="AE45" i="92"/>
  <c r="AC45" i="92"/>
  <c r="AA45" i="92"/>
  <c r="Y45" i="92"/>
  <c r="W45" i="92"/>
  <c r="U45" i="92"/>
  <c r="S45" i="92"/>
  <c r="AE44" i="92"/>
  <c r="AC44" i="92"/>
  <c r="AA44" i="92"/>
  <c r="Y44" i="92"/>
  <c r="W44" i="92"/>
  <c r="U44" i="92"/>
  <c r="S44" i="92"/>
  <c r="AE43" i="92"/>
  <c r="AC43" i="92"/>
  <c r="AA43" i="92"/>
  <c r="Y43" i="92"/>
  <c r="W43" i="92"/>
  <c r="U43" i="92"/>
  <c r="S43" i="92"/>
  <c r="AE42" i="92"/>
  <c r="AC42" i="92"/>
  <c r="AA42" i="92"/>
  <c r="Y42" i="92"/>
  <c r="W42" i="92"/>
  <c r="U42" i="92"/>
  <c r="S42" i="92"/>
  <c r="AE41" i="92"/>
  <c r="AC41" i="92"/>
  <c r="AA41" i="92"/>
  <c r="Y41" i="92"/>
  <c r="W41" i="92"/>
  <c r="U41" i="92"/>
  <c r="S41" i="92"/>
  <c r="AE40" i="92"/>
  <c r="AC40" i="92"/>
  <c r="AA40" i="92"/>
  <c r="Y40" i="92"/>
  <c r="W40" i="92"/>
  <c r="U40" i="92"/>
  <c r="S40" i="92"/>
  <c r="AE39" i="92"/>
  <c r="AC39" i="92"/>
  <c r="AA39" i="92"/>
  <c r="Y39" i="92"/>
  <c r="W39" i="92"/>
  <c r="U39" i="92"/>
  <c r="S39" i="92"/>
  <c r="AE38" i="92"/>
  <c r="AC38" i="92"/>
  <c r="AA38" i="92"/>
  <c r="Y38" i="92"/>
  <c r="W38" i="92"/>
  <c r="U38" i="92"/>
  <c r="S38" i="92"/>
  <c r="AE37" i="92"/>
  <c r="AC37" i="92"/>
  <c r="AA37" i="92"/>
  <c r="Y37" i="92"/>
  <c r="W37" i="92"/>
  <c r="U37" i="92"/>
  <c r="S37" i="92"/>
  <c r="AE36" i="92"/>
  <c r="AC36" i="92"/>
  <c r="AA36" i="92"/>
  <c r="Y36" i="92"/>
  <c r="W36" i="92"/>
  <c r="U36" i="92"/>
  <c r="S36" i="92"/>
  <c r="AE35" i="92"/>
  <c r="AC35" i="92"/>
  <c r="AA35" i="92"/>
  <c r="Y35" i="92"/>
  <c r="W35" i="92"/>
  <c r="U35" i="92"/>
  <c r="S35" i="92"/>
  <c r="D34" i="92"/>
  <c r="E34" i="92" s="1"/>
  <c r="E33" i="92"/>
  <c r="D33" i="92"/>
  <c r="D32" i="92"/>
  <c r="E32" i="92" s="1"/>
  <c r="D31" i="92"/>
  <c r="E31" i="92" s="1"/>
  <c r="D30" i="92"/>
  <c r="E30" i="92" s="1"/>
  <c r="D29" i="92"/>
  <c r="E29" i="92" s="1"/>
  <c r="AD25" i="92"/>
  <c r="AB25" i="92"/>
  <c r="Z25" i="92"/>
  <c r="V18" i="92"/>
  <c r="V26" i="92" s="1"/>
  <c r="AD17" i="92"/>
  <c r="AB17" i="92"/>
  <c r="Z17" i="92"/>
  <c r="X17" i="92"/>
  <c r="X25" i="92" s="1"/>
  <c r="V17" i="92"/>
  <c r="V25" i="92" s="1"/>
  <c r="T17" i="92"/>
  <c r="T25" i="92" s="1"/>
  <c r="R17" i="92"/>
  <c r="R25" i="92" s="1"/>
  <c r="AD16" i="92"/>
  <c r="AE16" i="92" s="1"/>
  <c r="AB16" i="92"/>
  <c r="AB24" i="92" s="1"/>
  <c r="Z16" i="92"/>
  <c r="X16" i="92"/>
  <c r="X18" i="92" s="1"/>
  <c r="X26" i="92" s="1"/>
  <c r="V16" i="92"/>
  <c r="V24" i="92" s="1"/>
  <c r="T16" i="92"/>
  <c r="T18" i="92" s="1"/>
  <c r="T26" i="92" s="1"/>
  <c r="R16" i="92"/>
  <c r="R24" i="92" s="1"/>
  <c r="P16" i="92"/>
  <c r="O16" i="92"/>
  <c r="N16" i="92"/>
  <c r="L16" i="92"/>
  <c r="K16" i="92"/>
  <c r="J16" i="92"/>
  <c r="H16" i="92"/>
  <c r="G16" i="92"/>
  <c r="F16" i="92"/>
  <c r="O15" i="92"/>
  <c r="AE14" i="92"/>
  <c r="AC14" i="92"/>
  <c r="AA14" i="92"/>
  <c r="Y14" i="92"/>
  <c r="W14" i="92"/>
  <c r="U14" i="92"/>
  <c r="S14" i="92"/>
  <c r="Q14" i="92"/>
  <c r="M14" i="92"/>
  <c r="I14" i="92"/>
  <c r="O13" i="92"/>
  <c r="AE12" i="92"/>
  <c r="AC12" i="92"/>
  <c r="AA12" i="92"/>
  <c r="Y12" i="92"/>
  <c r="W12" i="92"/>
  <c r="U12" i="92"/>
  <c r="S12" i="92"/>
  <c r="Q12" i="92"/>
  <c r="M12" i="92"/>
  <c r="I12" i="92"/>
  <c r="O11" i="92"/>
  <c r="AE10" i="92"/>
  <c r="AC10" i="92"/>
  <c r="AA10" i="92"/>
  <c r="Y10" i="92"/>
  <c r="W10" i="92"/>
  <c r="U10" i="92"/>
  <c r="S10" i="92"/>
  <c r="Q10" i="92"/>
  <c r="M10" i="92"/>
  <c r="I10" i="92"/>
  <c r="O9" i="92"/>
  <c r="AE8" i="92"/>
  <c r="AC8" i="92"/>
  <c r="AA8" i="92"/>
  <c r="Y8" i="92"/>
  <c r="W8" i="92"/>
  <c r="U8" i="92"/>
  <c r="S8" i="92"/>
  <c r="Q8" i="92"/>
  <c r="M8" i="92"/>
  <c r="I8" i="92"/>
  <c r="O7" i="92"/>
  <c r="AE6" i="92"/>
  <c r="AC6" i="92"/>
  <c r="AA6" i="92"/>
  <c r="Y6" i="92"/>
  <c r="W6" i="92"/>
  <c r="U6" i="92"/>
  <c r="S6" i="92"/>
  <c r="Q6" i="92"/>
  <c r="M6" i="92"/>
  <c r="M16" i="92" s="1"/>
  <c r="I6" i="92"/>
  <c r="C3" i="92"/>
  <c r="AE64" i="91"/>
  <c r="AC64" i="91"/>
  <c r="AA64" i="91"/>
  <c r="Y64" i="91"/>
  <c r="W64" i="91"/>
  <c r="U64" i="91"/>
  <c r="S64" i="91"/>
  <c r="AE63" i="91"/>
  <c r="AC63" i="91"/>
  <c r="AA63" i="91"/>
  <c r="Y63" i="91"/>
  <c r="W63" i="91"/>
  <c r="U63" i="91"/>
  <c r="S63" i="91"/>
  <c r="AE62" i="91"/>
  <c r="AC62" i="91"/>
  <c r="AA62" i="91"/>
  <c r="Y62" i="91"/>
  <c r="W62" i="91"/>
  <c r="U62" i="91"/>
  <c r="S62" i="91"/>
  <c r="AE61" i="91"/>
  <c r="AC61" i="91"/>
  <c r="AA61" i="91"/>
  <c r="Y61" i="91"/>
  <c r="W61" i="91"/>
  <c r="U61" i="91"/>
  <c r="S61" i="91"/>
  <c r="AE60" i="91"/>
  <c r="AC60" i="91"/>
  <c r="AA60" i="91"/>
  <c r="Y60" i="91"/>
  <c r="W60" i="91"/>
  <c r="U60" i="91"/>
  <c r="S60" i="91"/>
  <c r="AE59" i="91"/>
  <c r="AC59" i="91"/>
  <c r="AA59" i="91"/>
  <c r="Y59" i="91"/>
  <c r="W59" i="91"/>
  <c r="U59" i="91"/>
  <c r="S59" i="91"/>
  <c r="AE58" i="91"/>
  <c r="AC58" i="91"/>
  <c r="AA58" i="91"/>
  <c r="Y58" i="91"/>
  <c r="W58" i="91"/>
  <c r="U58" i="91"/>
  <c r="S58" i="91"/>
  <c r="AE57" i="91"/>
  <c r="AC57" i="91"/>
  <c r="AA57" i="91"/>
  <c r="Y57" i="91"/>
  <c r="W57" i="91"/>
  <c r="U57" i="91"/>
  <c r="S57" i="91"/>
  <c r="AE56" i="91"/>
  <c r="AC56" i="91"/>
  <c r="AA56" i="91"/>
  <c r="Y56" i="91"/>
  <c r="W56" i="91"/>
  <c r="U56" i="91"/>
  <c r="S56" i="91"/>
  <c r="AE55" i="91"/>
  <c r="AC55" i="91"/>
  <c r="AA55" i="91"/>
  <c r="Y55" i="91"/>
  <c r="W55" i="91"/>
  <c r="U55" i="91"/>
  <c r="S55" i="91"/>
  <c r="AE54" i="91"/>
  <c r="AC54" i="91"/>
  <c r="AA54" i="91"/>
  <c r="Y54" i="91"/>
  <c r="W54" i="91"/>
  <c r="U54" i="91"/>
  <c r="S54" i="91"/>
  <c r="AE53" i="91"/>
  <c r="AC53" i="91"/>
  <c r="AA53" i="91"/>
  <c r="Y53" i="91"/>
  <c r="W53" i="91"/>
  <c r="U53" i="91"/>
  <c r="S53" i="91"/>
  <c r="AE52" i="91"/>
  <c r="AC52" i="91"/>
  <c r="AA52" i="91"/>
  <c r="Y52" i="91"/>
  <c r="W52" i="91"/>
  <c r="U52" i="91"/>
  <c r="S52" i="91"/>
  <c r="AE51" i="91"/>
  <c r="AC51" i="91"/>
  <c r="AA51" i="91"/>
  <c r="Y51" i="91"/>
  <c r="W51" i="91"/>
  <c r="U51" i="91"/>
  <c r="S51" i="91"/>
  <c r="AE50" i="91"/>
  <c r="AC50" i="91"/>
  <c r="AA50" i="91"/>
  <c r="Y50" i="91"/>
  <c r="W50" i="91"/>
  <c r="U50" i="91"/>
  <c r="S50" i="91"/>
  <c r="AE49" i="91"/>
  <c r="AC49" i="91"/>
  <c r="AA49" i="91"/>
  <c r="Y49" i="91"/>
  <c r="W49" i="91"/>
  <c r="U49" i="91"/>
  <c r="S49" i="91"/>
  <c r="AE48" i="91"/>
  <c r="AC48" i="91"/>
  <c r="AA48" i="91"/>
  <c r="Y48" i="91"/>
  <c r="W48" i="91"/>
  <c r="U48" i="91"/>
  <c r="S48" i="91"/>
  <c r="AE47" i="91"/>
  <c r="AC47" i="91"/>
  <c r="AA47" i="91"/>
  <c r="Y47" i="91"/>
  <c r="W47" i="91"/>
  <c r="U47" i="91"/>
  <c r="S47" i="91"/>
  <c r="AE46" i="91"/>
  <c r="AC46" i="91"/>
  <c r="AA46" i="91"/>
  <c r="Y46" i="91"/>
  <c r="W46" i="91"/>
  <c r="U46" i="91"/>
  <c r="S46" i="91"/>
  <c r="AE45" i="91"/>
  <c r="AC45" i="91"/>
  <c r="AA45" i="91"/>
  <c r="Y45" i="91"/>
  <c r="W45" i="91"/>
  <c r="U45" i="91"/>
  <c r="S45" i="91"/>
  <c r="AE44" i="91"/>
  <c r="AC44" i="91"/>
  <c r="AA44" i="91"/>
  <c r="Y44" i="91"/>
  <c r="W44" i="91"/>
  <c r="U44" i="91"/>
  <c r="S44" i="91"/>
  <c r="AE43" i="91"/>
  <c r="AC43" i="91"/>
  <c r="AA43" i="91"/>
  <c r="Y43" i="91"/>
  <c r="W43" i="91"/>
  <c r="U43" i="91"/>
  <c r="S43" i="91"/>
  <c r="AE42" i="91"/>
  <c r="AC42" i="91"/>
  <c r="AA42" i="91"/>
  <c r="Y42" i="91"/>
  <c r="W42" i="91"/>
  <c r="U42" i="91"/>
  <c r="S42" i="91"/>
  <c r="AE41" i="91"/>
  <c r="AC41" i="91"/>
  <c r="AA41" i="91"/>
  <c r="Y41" i="91"/>
  <c r="W41" i="91"/>
  <c r="U41" i="91"/>
  <c r="S41" i="91"/>
  <c r="AE40" i="91"/>
  <c r="AC40" i="91"/>
  <c r="AA40" i="91"/>
  <c r="Y40" i="91"/>
  <c r="W40" i="91"/>
  <c r="U40" i="91"/>
  <c r="S40" i="91"/>
  <c r="AE39" i="91"/>
  <c r="AC39" i="91"/>
  <c r="AA39" i="91"/>
  <c r="Y39" i="91"/>
  <c r="W39" i="91"/>
  <c r="U39" i="91"/>
  <c r="S39" i="91"/>
  <c r="AE38" i="91"/>
  <c r="AC38" i="91"/>
  <c r="AA38" i="91"/>
  <c r="Y38" i="91"/>
  <c r="W38" i="91"/>
  <c r="U38" i="91"/>
  <c r="S38" i="91"/>
  <c r="AE37" i="91"/>
  <c r="AC37" i="91"/>
  <c r="AA37" i="91"/>
  <c r="Y37" i="91"/>
  <c r="W37" i="91"/>
  <c r="U37" i="91"/>
  <c r="S37" i="91"/>
  <c r="AE36" i="91"/>
  <c r="AC36" i="91"/>
  <c r="AA36" i="91"/>
  <c r="Y36" i="91"/>
  <c r="W36" i="91"/>
  <c r="U36" i="91"/>
  <c r="S36" i="91"/>
  <c r="AE35" i="91"/>
  <c r="AC35" i="91"/>
  <c r="AA35" i="91"/>
  <c r="Y35" i="91"/>
  <c r="W35" i="91"/>
  <c r="U35" i="91"/>
  <c r="S35" i="91"/>
  <c r="E34" i="91"/>
  <c r="D34" i="91"/>
  <c r="D33" i="91"/>
  <c r="E33" i="91" s="1"/>
  <c r="D32" i="91"/>
  <c r="E32" i="91" s="1"/>
  <c r="E31" i="91"/>
  <c r="D31" i="91"/>
  <c r="E30" i="91"/>
  <c r="D30" i="91"/>
  <c r="D29" i="91"/>
  <c r="E29" i="91" s="1"/>
  <c r="Z25" i="91"/>
  <c r="X25" i="91"/>
  <c r="T25" i="91"/>
  <c r="R24" i="91"/>
  <c r="R18" i="91"/>
  <c r="R26" i="91" s="1"/>
  <c r="AD17" i="91"/>
  <c r="AD25" i="91" s="1"/>
  <c r="AB17" i="91"/>
  <c r="AB25" i="91" s="1"/>
  <c r="Z17" i="91"/>
  <c r="X17" i="91"/>
  <c r="V17" i="91"/>
  <c r="V25" i="91" s="1"/>
  <c r="T17" i="91"/>
  <c r="R17" i="91"/>
  <c r="R25" i="91" s="1"/>
  <c r="AD16" i="91"/>
  <c r="AD24" i="91" s="1"/>
  <c r="AB16" i="91"/>
  <c r="Z16" i="91"/>
  <c r="Z24" i="91" s="1"/>
  <c r="X16" i="91"/>
  <c r="V16" i="91"/>
  <c r="V18" i="91" s="1"/>
  <c r="V26" i="91" s="1"/>
  <c r="T16" i="91"/>
  <c r="T18" i="91" s="1"/>
  <c r="T26" i="91" s="1"/>
  <c r="R16" i="91"/>
  <c r="S16" i="91" s="1"/>
  <c r="P16" i="91"/>
  <c r="O16" i="91"/>
  <c r="N16" i="91"/>
  <c r="L16" i="91"/>
  <c r="K16" i="91"/>
  <c r="J16" i="91"/>
  <c r="H16" i="91"/>
  <c r="G16" i="91"/>
  <c r="F16" i="91"/>
  <c r="O15" i="91"/>
  <c r="AE14" i="91"/>
  <c r="AC14" i="91"/>
  <c r="AA14" i="91"/>
  <c r="Y14" i="91"/>
  <c r="W14" i="91"/>
  <c r="U14" i="91"/>
  <c r="S14" i="91"/>
  <c r="Q14" i="91"/>
  <c r="M14" i="91"/>
  <c r="I14" i="91"/>
  <c r="O13" i="91"/>
  <c r="AE12" i="91"/>
  <c r="AC12" i="91"/>
  <c r="AA12" i="91"/>
  <c r="Y12" i="91"/>
  <c r="W12" i="91"/>
  <c r="U12" i="91"/>
  <c r="S12" i="91"/>
  <c r="Q12" i="91"/>
  <c r="M12" i="91"/>
  <c r="I12" i="91"/>
  <c r="O11" i="91"/>
  <c r="AE10" i="91"/>
  <c r="AC10" i="91"/>
  <c r="AA10" i="91"/>
  <c r="Y10" i="91"/>
  <c r="W10" i="91"/>
  <c r="U10" i="91"/>
  <c r="S10" i="91"/>
  <c r="Q10" i="91"/>
  <c r="M10" i="91"/>
  <c r="I10" i="91"/>
  <c r="O9" i="91"/>
  <c r="AE8" i="91"/>
  <c r="AC8" i="91"/>
  <c r="AA8" i="91"/>
  <c r="Y8" i="91"/>
  <c r="W8" i="91"/>
  <c r="U8" i="91"/>
  <c r="S8" i="91"/>
  <c r="Q8" i="91"/>
  <c r="M8" i="91"/>
  <c r="I8" i="91"/>
  <c r="O7" i="91"/>
  <c r="AE6" i="91"/>
  <c r="AC6" i="91"/>
  <c r="AA6" i="91"/>
  <c r="Y6" i="91"/>
  <c r="W6" i="91"/>
  <c r="U6" i="91"/>
  <c r="S6" i="91"/>
  <c r="Q6" i="91"/>
  <c r="M6" i="91"/>
  <c r="I6" i="91"/>
  <c r="C3" i="91"/>
  <c r="AE64" i="90"/>
  <c r="AC64" i="90"/>
  <c r="AA64" i="90"/>
  <c r="Y64" i="90"/>
  <c r="W64" i="90"/>
  <c r="U64" i="90"/>
  <c r="S64" i="90"/>
  <c r="AE63" i="90"/>
  <c r="AC63" i="90"/>
  <c r="AA63" i="90"/>
  <c r="Y63" i="90"/>
  <c r="W63" i="90"/>
  <c r="U63" i="90"/>
  <c r="S63" i="90"/>
  <c r="AE62" i="90"/>
  <c r="AC62" i="90"/>
  <c r="AA62" i="90"/>
  <c r="Y62" i="90"/>
  <c r="W62" i="90"/>
  <c r="U62" i="90"/>
  <c r="S62" i="90"/>
  <c r="AE61" i="90"/>
  <c r="AC61" i="90"/>
  <c r="AA61" i="90"/>
  <c r="Y61" i="90"/>
  <c r="W61" i="90"/>
  <c r="U61" i="90"/>
  <c r="S61" i="90"/>
  <c r="AE60" i="90"/>
  <c r="AC60" i="90"/>
  <c r="AA60" i="90"/>
  <c r="Y60" i="90"/>
  <c r="W60" i="90"/>
  <c r="U60" i="90"/>
  <c r="S60" i="90"/>
  <c r="AE59" i="90"/>
  <c r="AC59" i="90"/>
  <c r="AA59" i="90"/>
  <c r="Y59" i="90"/>
  <c r="W59" i="90"/>
  <c r="U59" i="90"/>
  <c r="S59" i="90"/>
  <c r="AE58" i="90"/>
  <c r="AC58" i="90"/>
  <c r="AA58" i="90"/>
  <c r="Y58" i="90"/>
  <c r="W58" i="90"/>
  <c r="U58" i="90"/>
  <c r="S58" i="90"/>
  <c r="AE57" i="90"/>
  <c r="AC57" i="90"/>
  <c r="AA57" i="90"/>
  <c r="Y57" i="90"/>
  <c r="W57" i="90"/>
  <c r="U57" i="90"/>
  <c r="S57" i="90"/>
  <c r="AE56" i="90"/>
  <c r="AC56" i="90"/>
  <c r="AA56" i="90"/>
  <c r="Y56" i="90"/>
  <c r="W56" i="90"/>
  <c r="U56" i="90"/>
  <c r="S56" i="90"/>
  <c r="AE55" i="90"/>
  <c r="AC55" i="90"/>
  <c r="AA55" i="90"/>
  <c r="Y55" i="90"/>
  <c r="W55" i="90"/>
  <c r="U55" i="90"/>
  <c r="S55" i="90"/>
  <c r="AE54" i="90"/>
  <c r="AC54" i="90"/>
  <c r="AA54" i="90"/>
  <c r="Y54" i="90"/>
  <c r="W54" i="90"/>
  <c r="U54" i="90"/>
  <c r="S54" i="90"/>
  <c r="AE53" i="90"/>
  <c r="AC53" i="90"/>
  <c r="AA53" i="90"/>
  <c r="Y53" i="90"/>
  <c r="W53" i="90"/>
  <c r="U53" i="90"/>
  <c r="S53" i="90"/>
  <c r="AE52" i="90"/>
  <c r="AC52" i="90"/>
  <c r="AA52" i="90"/>
  <c r="Y52" i="90"/>
  <c r="W52" i="90"/>
  <c r="U52" i="90"/>
  <c r="S52" i="90"/>
  <c r="AE51" i="90"/>
  <c r="AC51" i="90"/>
  <c r="AA51" i="90"/>
  <c r="Y51" i="90"/>
  <c r="W51" i="90"/>
  <c r="U51" i="90"/>
  <c r="S51" i="90"/>
  <c r="AE50" i="90"/>
  <c r="AC50" i="90"/>
  <c r="AA50" i="90"/>
  <c r="Y50" i="90"/>
  <c r="W50" i="90"/>
  <c r="U50" i="90"/>
  <c r="S50" i="90"/>
  <c r="AE49" i="90"/>
  <c r="AC49" i="90"/>
  <c r="AA49" i="90"/>
  <c r="Y49" i="90"/>
  <c r="W49" i="90"/>
  <c r="U49" i="90"/>
  <c r="S49" i="90"/>
  <c r="AE48" i="90"/>
  <c r="AC48" i="90"/>
  <c r="AA48" i="90"/>
  <c r="Y48" i="90"/>
  <c r="W48" i="90"/>
  <c r="U48" i="90"/>
  <c r="S48" i="90"/>
  <c r="AE47" i="90"/>
  <c r="AC47" i="90"/>
  <c r="AA47" i="90"/>
  <c r="Y47" i="90"/>
  <c r="W47" i="90"/>
  <c r="U47" i="90"/>
  <c r="S47" i="90"/>
  <c r="AE46" i="90"/>
  <c r="AC46" i="90"/>
  <c r="AA46" i="90"/>
  <c r="Y46" i="90"/>
  <c r="W46" i="90"/>
  <c r="U46" i="90"/>
  <c r="S46" i="90"/>
  <c r="AE45" i="90"/>
  <c r="AC45" i="90"/>
  <c r="AA45" i="90"/>
  <c r="Y45" i="90"/>
  <c r="W45" i="90"/>
  <c r="U45" i="90"/>
  <c r="S45" i="90"/>
  <c r="AE44" i="90"/>
  <c r="AC44" i="90"/>
  <c r="AA44" i="90"/>
  <c r="Y44" i="90"/>
  <c r="W44" i="90"/>
  <c r="U44" i="90"/>
  <c r="S44" i="90"/>
  <c r="AE43" i="90"/>
  <c r="AC43" i="90"/>
  <c r="AA43" i="90"/>
  <c r="Y43" i="90"/>
  <c r="W43" i="90"/>
  <c r="U43" i="90"/>
  <c r="S43" i="90"/>
  <c r="AE42" i="90"/>
  <c r="AC42" i="90"/>
  <c r="AA42" i="90"/>
  <c r="Y42" i="90"/>
  <c r="W42" i="90"/>
  <c r="U42" i="90"/>
  <c r="S42" i="90"/>
  <c r="AE41" i="90"/>
  <c r="AC41" i="90"/>
  <c r="AA41" i="90"/>
  <c r="Y41" i="90"/>
  <c r="W41" i="90"/>
  <c r="U41" i="90"/>
  <c r="S41" i="90"/>
  <c r="AE40" i="90"/>
  <c r="AC40" i="90"/>
  <c r="AA40" i="90"/>
  <c r="Y40" i="90"/>
  <c r="W40" i="90"/>
  <c r="U40" i="90"/>
  <c r="S40" i="90"/>
  <c r="AE39" i="90"/>
  <c r="AC39" i="90"/>
  <c r="AA39" i="90"/>
  <c r="Y39" i="90"/>
  <c r="W39" i="90"/>
  <c r="U39" i="90"/>
  <c r="S39" i="90"/>
  <c r="AE38" i="90"/>
  <c r="AC38" i="90"/>
  <c r="AA38" i="90"/>
  <c r="Y38" i="90"/>
  <c r="W38" i="90"/>
  <c r="U38" i="90"/>
  <c r="S38" i="90"/>
  <c r="AE37" i="90"/>
  <c r="AC37" i="90"/>
  <c r="AA37" i="90"/>
  <c r="Y37" i="90"/>
  <c r="W37" i="90"/>
  <c r="U37" i="90"/>
  <c r="S37" i="90"/>
  <c r="AE36" i="90"/>
  <c r="AC36" i="90"/>
  <c r="AA36" i="90"/>
  <c r="Y36" i="90"/>
  <c r="W36" i="90"/>
  <c r="U36" i="90"/>
  <c r="S36" i="90"/>
  <c r="AE35" i="90"/>
  <c r="AC35" i="90"/>
  <c r="AA35" i="90"/>
  <c r="Y35" i="90"/>
  <c r="W35" i="90"/>
  <c r="U35" i="90"/>
  <c r="S35" i="90"/>
  <c r="D34" i="90"/>
  <c r="E34" i="90" s="1"/>
  <c r="D33" i="90"/>
  <c r="E33" i="90" s="1"/>
  <c r="D32" i="90"/>
  <c r="E32" i="90" s="1"/>
  <c r="D31" i="90"/>
  <c r="E31" i="90" s="1"/>
  <c r="D30" i="90"/>
  <c r="E30" i="90" s="1"/>
  <c r="D29" i="90"/>
  <c r="E29" i="90" s="1"/>
  <c r="T24" i="90"/>
  <c r="V18" i="90"/>
  <c r="V26" i="90" s="1"/>
  <c r="AD17" i="90"/>
  <c r="AD25" i="90" s="1"/>
  <c r="AB17" i="90"/>
  <c r="AB25" i="90" s="1"/>
  <c r="Z17" i="90"/>
  <c r="Z25" i="90" s="1"/>
  <c r="X17" i="90"/>
  <c r="X25" i="90" s="1"/>
  <c r="V17" i="90"/>
  <c r="V25" i="90" s="1"/>
  <c r="T17" i="90"/>
  <c r="T25" i="90" s="1"/>
  <c r="R17" i="90"/>
  <c r="R25" i="90" s="1"/>
  <c r="AD16" i="90"/>
  <c r="AE16" i="90" s="1"/>
  <c r="AB16" i="90"/>
  <c r="AC16" i="90" s="1"/>
  <c r="Z16" i="90"/>
  <c r="AA16" i="90" s="1"/>
  <c r="X16" i="90"/>
  <c r="Y16" i="90" s="1"/>
  <c r="V16" i="90"/>
  <c r="V24" i="90" s="1"/>
  <c r="T16" i="90"/>
  <c r="T18" i="90" s="1"/>
  <c r="T26" i="90" s="1"/>
  <c r="R16" i="90"/>
  <c r="S16" i="90" s="1"/>
  <c r="P16" i="90"/>
  <c r="O16" i="90"/>
  <c r="N16" i="90"/>
  <c r="L16" i="90"/>
  <c r="K16" i="90"/>
  <c r="J16" i="90"/>
  <c r="H16" i="90"/>
  <c r="G16" i="90"/>
  <c r="F16" i="90"/>
  <c r="O15" i="90"/>
  <c r="AE14" i="90"/>
  <c r="AC14" i="90"/>
  <c r="AA14" i="90"/>
  <c r="Y14" i="90"/>
  <c r="W14" i="90"/>
  <c r="U14" i="90"/>
  <c r="S14" i="90"/>
  <c r="Q14" i="90"/>
  <c r="M14" i="90"/>
  <c r="I14" i="90"/>
  <c r="O13" i="90"/>
  <c r="AE12" i="90"/>
  <c r="AC12" i="90"/>
  <c r="AA12" i="90"/>
  <c r="Y12" i="90"/>
  <c r="W12" i="90"/>
  <c r="U12" i="90"/>
  <c r="S12" i="90"/>
  <c r="Q12" i="90"/>
  <c r="M12" i="90"/>
  <c r="I12" i="90"/>
  <c r="O11" i="90"/>
  <c r="AE10" i="90"/>
  <c r="AC10" i="90"/>
  <c r="AA10" i="90"/>
  <c r="Y10" i="90"/>
  <c r="W10" i="90"/>
  <c r="U10" i="90"/>
  <c r="S10" i="90"/>
  <c r="Q10" i="90"/>
  <c r="M10" i="90"/>
  <c r="I10" i="90"/>
  <c r="O9" i="90"/>
  <c r="AE8" i="90"/>
  <c r="AC8" i="90"/>
  <c r="AA8" i="90"/>
  <c r="Y8" i="90"/>
  <c r="W8" i="90"/>
  <c r="U8" i="90"/>
  <c r="S8" i="90"/>
  <c r="Q8" i="90"/>
  <c r="M8" i="90"/>
  <c r="I8" i="90"/>
  <c r="O7" i="90"/>
  <c r="AE6" i="90"/>
  <c r="AC6" i="90"/>
  <c r="AA6" i="90"/>
  <c r="Y6" i="90"/>
  <c r="W6" i="90"/>
  <c r="U6" i="90"/>
  <c r="S6" i="90"/>
  <c r="Q6" i="90"/>
  <c r="M6" i="90"/>
  <c r="M16" i="90" s="1"/>
  <c r="I6" i="90"/>
  <c r="C3" i="90"/>
  <c r="AE64" i="89"/>
  <c r="AC64" i="89"/>
  <c r="AA64" i="89"/>
  <c r="Y64" i="89"/>
  <c r="W64" i="89"/>
  <c r="U64" i="89"/>
  <c r="S64" i="89"/>
  <c r="AE63" i="89"/>
  <c r="AC63" i="89"/>
  <c r="AA63" i="89"/>
  <c r="Y63" i="89"/>
  <c r="W63" i="89"/>
  <c r="U63" i="89"/>
  <c r="S63" i="89"/>
  <c r="AE62" i="89"/>
  <c r="AC62" i="89"/>
  <c r="AA62" i="89"/>
  <c r="Y62" i="89"/>
  <c r="W62" i="89"/>
  <c r="U62" i="89"/>
  <c r="S62" i="89"/>
  <c r="AE61" i="89"/>
  <c r="AC61" i="89"/>
  <c r="AA61" i="89"/>
  <c r="Y61" i="89"/>
  <c r="W61" i="89"/>
  <c r="U61" i="89"/>
  <c r="S61" i="89"/>
  <c r="AE60" i="89"/>
  <c r="AC60" i="89"/>
  <c r="AA60" i="89"/>
  <c r="Y60" i="89"/>
  <c r="W60" i="89"/>
  <c r="U60" i="89"/>
  <c r="S60" i="89"/>
  <c r="AE59" i="89"/>
  <c r="AC59" i="89"/>
  <c r="AA59" i="89"/>
  <c r="Y59" i="89"/>
  <c r="W59" i="89"/>
  <c r="U59" i="89"/>
  <c r="S59" i="89"/>
  <c r="AE58" i="89"/>
  <c r="AC58" i="89"/>
  <c r="AA58" i="89"/>
  <c r="Y58" i="89"/>
  <c r="W58" i="89"/>
  <c r="U58" i="89"/>
  <c r="S58" i="89"/>
  <c r="AE57" i="89"/>
  <c r="AC57" i="89"/>
  <c r="AA57" i="89"/>
  <c r="Y57" i="89"/>
  <c r="W57" i="89"/>
  <c r="U57" i="89"/>
  <c r="S57" i="89"/>
  <c r="AE56" i="89"/>
  <c r="AC56" i="89"/>
  <c r="AA56" i="89"/>
  <c r="Y56" i="89"/>
  <c r="W56" i="89"/>
  <c r="U56" i="89"/>
  <c r="S56" i="89"/>
  <c r="AE55" i="89"/>
  <c r="AC55" i="89"/>
  <c r="AA55" i="89"/>
  <c r="Y55" i="89"/>
  <c r="W55" i="89"/>
  <c r="U55" i="89"/>
  <c r="S55" i="89"/>
  <c r="AE54" i="89"/>
  <c r="AC54" i="89"/>
  <c r="AA54" i="89"/>
  <c r="Y54" i="89"/>
  <c r="W54" i="89"/>
  <c r="U54" i="89"/>
  <c r="S54" i="89"/>
  <c r="AE53" i="89"/>
  <c r="AC53" i="89"/>
  <c r="AA53" i="89"/>
  <c r="Y53" i="89"/>
  <c r="W53" i="89"/>
  <c r="U53" i="89"/>
  <c r="S53" i="89"/>
  <c r="AE52" i="89"/>
  <c r="AC52" i="89"/>
  <c r="AA52" i="89"/>
  <c r="Y52" i="89"/>
  <c r="W52" i="89"/>
  <c r="U52" i="89"/>
  <c r="S52" i="89"/>
  <c r="AE51" i="89"/>
  <c r="AC51" i="89"/>
  <c r="AA51" i="89"/>
  <c r="Y51" i="89"/>
  <c r="W51" i="89"/>
  <c r="U51" i="89"/>
  <c r="S51" i="89"/>
  <c r="AE50" i="89"/>
  <c r="AC50" i="89"/>
  <c r="AA50" i="89"/>
  <c r="Y50" i="89"/>
  <c r="W50" i="89"/>
  <c r="U50" i="89"/>
  <c r="S50" i="89"/>
  <c r="AE49" i="89"/>
  <c r="AC49" i="89"/>
  <c r="AA49" i="89"/>
  <c r="Y49" i="89"/>
  <c r="W49" i="89"/>
  <c r="U49" i="89"/>
  <c r="S49" i="89"/>
  <c r="AE48" i="89"/>
  <c r="AC48" i="89"/>
  <c r="AA48" i="89"/>
  <c r="Y48" i="89"/>
  <c r="W48" i="89"/>
  <c r="U48" i="89"/>
  <c r="S48" i="89"/>
  <c r="AE47" i="89"/>
  <c r="AC47" i="89"/>
  <c r="AA47" i="89"/>
  <c r="Y47" i="89"/>
  <c r="W47" i="89"/>
  <c r="U47" i="89"/>
  <c r="S47" i="89"/>
  <c r="AE46" i="89"/>
  <c r="AC46" i="89"/>
  <c r="AA46" i="89"/>
  <c r="Y46" i="89"/>
  <c r="W46" i="89"/>
  <c r="U46" i="89"/>
  <c r="S46" i="89"/>
  <c r="AE45" i="89"/>
  <c r="AC45" i="89"/>
  <c r="AA45" i="89"/>
  <c r="Y45" i="89"/>
  <c r="W45" i="89"/>
  <c r="U45" i="89"/>
  <c r="S45" i="89"/>
  <c r="AE44" i="89"/>
  <c r="AC44" i="89"/>
  <c r="AA44" i="89"/>
  <c r="Y44" i="89"/>
  <c r="W44" i="89"/>
  <c r="U44" i="89"/>
  <c r="S44" i="89"/>
  <c r="AE43" i="89"/>
  <c r="AC43" i="89"/>
  <c r="AA43" i="89"/>
  <c r="Y43" i="89"/>
  <c r="W43" i="89"/>
  <c r="U43" i="89"/>
  <c r="S43" i="89"/>
  <c r="AE42" i="89"/>
  <c r="AC42" i="89"/>
  <c r="AA42" i="89"/>
  <c r="Y42" i="89"/>
  <c r="W42" i="89"/>
  <c r="U42" i="89"/>
  <c r="S42" i="89"/>
  <c r="AE41" i="89"/>
  <c r="AC41" i="89"/>
  <c r="AA41" i="89"/>
  <c r="Y41" i="89"/>
  <c r="W41" i="89"/>
  <c r="U41" i="89"/>
  <c r="S41" i="89"/>
  <c r="AE40" i="89"/>
  <c r="AC40" i="89"/>
  <c r="AA40" i="89"/>
  <c r="Y40" i="89"/>
  <c r="W40" i="89"/>
  <c r="U40" i="89"/>
  <c r="S40" i="89"/>
  <c r="AE39" i="89"/>
  <c r="AC39" i="89"/>
  <c r="AA39" i="89"/>
  <c r="Y39" i="89"/>
  <c r="W39" i="89"/>
  <c r="U39" i="89"/>
  <c r="S39" i="89"/>
  <c r="AE38" i="89"/>
  <c r="AC38" i="89"/>
  <c r="AA38" i="89"/>
  <c r="Y38" i="89"/>
  <c r="W38" i="89"/>
  <c r="U38" i="89"/>
  <c r="S38" i="89"/>
  <c r="AE37" i="89"/>
  <c r="AC37" i="89"/>
  <c r="AA37" i="89"/>
  <c r="Y37" i="89"/>
  <c r="W37" i="89"/>
  <c r="U37" i="89"/>
  <c r="S37" i="89"/>
  <c r="AE36" i="89"/>
  <c r="AC36" i="89"/>
  <c r="AA36" i="89"/>
  <c r="Y36" i="89"/>
  <c r="W36" i="89"/>
  <c r="U36" i="89"/>
  <c r="S36" i="89"/>
  <c r="AE35" i="89"/>
  <c r="AC35" i="89"/>
  <c r="AA35" i="89"/>
  <c r="Y35" i="89"/>
  <c r="W35" i="89"/>
  <c r="U35" i="89"/>
  <c r="S35" i="89"/>
  <c r="D34" i="89"/>
  <c r="E34" i="89" s="1"/>
  <c r="D33" i="89"/>
  <c r="E33" i="89" s="1"/>
  <c r="D32" i="89"/>
  <c r="E32" i="89" s="1"/>
  <c r="D31" i="89"/>
  <c r="E31" i="89" s="1"/>
  <c r="E30" i="89"/>
  <c r="D30" i="89"/>
  <c r="D29" i="89"/>
  <c r="E29" i="89" s="1"/>
  <c r="V25" i="89"/>
  <c r="AB24" i="89"/>
  <c r="AD17" i="89"/>
  <c r="AD25" i="89" s="1"/>
  <c r="AB17" i="89"/>
  <c r="AB25" i="89" s="1"/>
  <c r="Z17" i="89"/>
  <c r="Z25" i="89" s="1"/>
  <c r="X17" i="89"/>
  <c r="X25" i="89" s="1"/>
  <c r="V17" i="89"/>
  <c r="T17" i="89"/>
  <c r="T25" i="89" s="1"/>
  <c r="R17" i="89"/>
  <c r="R25" i="89" s="1"/>
  <c r="AD16" i="89"/>
  <c r="AD24" i="89" s="1"/>
  <c r="AB16" i="89"/>
  <c r="Z16" i="89"/>
  <c r="Z24" i="89" s="1"/>
  <c r="X16" i="89"/>
  <c r="V16" i="89"/>
  <c r="T16" i="89"/>
  <c r="R16" i="89"/>
  <c r="R18" i="89" s="1"/>
  <c r="R26" i="89" s="1"/>
  <c r="P16" i="89"/>
  <c r="O16" i="89"/>
  <c r="N16" i="89"/>
  <c r="L16" i="89"/>
  <c r="K16" i="89"/>
  <c r="J16" i="89"/>
  <c r="H16" i="89"/>
  <c r="G16" i="89"/>
  <c r="F16" i="89"/>
  <c r="O15" i="89"/>
  <c r="O17" i="89" s="1"/>
  <c r="W14" i="89"/>
  <c r="U14" i="89"/>
  <c r="Q14" i="89"/>
  <c r="S14" i="89" s="1"/>
  <c r="M14" i="89"/>
  <c r="I14" i="89"/>
  <c r="O13" i="89"/>
  <c r="AE12" i="89"/>
  <c r="AC12" i="89"/>
  <c r="AA12" i="89"/>
  <c r="U12" i="89"/>
  <c r="Q12" i="89"/>
  <c r="W12" i="89" s="1"/>
  <c r="M12" i="89"/>
  <c r="I12" i="89"/>
  <c r="O11" i="89"/>
  <c r="Q10" i="89"/>
  <c r="M10" i="89"/>
  <c r="I10" i="89"/>
  <c r="O9" i="89"/>
  <c r="Q8" i="89"/>
  <c r="M8" i="89"/>
  <c r="I8" i="89"/>
  <c r="O7" i="89"/>
  <c r="Q6" i="89"/>
  <c r="M6" i="89"/>
  <c r="I6" i="89"/>
  <c r="C3" i="89"/>
  <c r="AE64" i="88"/>
  <c r="AC64" i="88"/>
  <c r="AA64" i="88"/>
  <c r="Y64" i="88"/>
  <c r="W64" i="88"/>
  <c r="U64" i="88"/>
  <c r="S64" i="88"/>
  <c r="AE63" i="88"/>
  <c r="AC63" i="88"/>
  <c r="AA63" i="88"/>
  <c r="Y63" i="88"/>
  <c r="W63" i="88"/>
  <c r="U63" i="88"/>
  <c r="S63" i="88"/>
  <c r="AE62" i="88"/>
  <c r="AC62" i="88"/>
  <c r="AA62" i="88"/>
  <c r="Y62" i="88"/>
  <c r="W62" i="88"/>
  <c r="U62" i="88"/>
  <c r="S62" i="88"/>
  <c r="AE61" i="88"/>
  <c r="AC61" i="88"/>
  <c r="AA61" i="88"/>
  <c r="Y61" i="88"/>
  <c r="W61" i="88"/>
  <c r="U61" i="88"/>
  <c r="S61" i="88"/>
  <c r="AE60" i="88"/>
  <c r="AC60" i="88"/>
  <c r="AA60" i="88"/>
  <c r="Y60" i="88"/>
  <c r="W60" i="88"/>
  <c r="U60" i="88"/>
  <c r="S60" i="88"/>
  <c r="AE59" i="88"/>
  <c r="AC59" i="88"/>
  <c r="AA59" i="88"/>
  <c r="Y59" i="88"/>
  <c r="W59" i="88"/>
  <c r="U59" i="88"/>
  <c r="S59" i="88"/>
  <c r="AE58" i="88"/>
  <c r="AC58" i="88"/>
  <c r="AA58" i="88"/>
  <c r="Y58" i="88"/>
  <c r="W58" i="88"/>
  <c r="U58" i="88"/>
  <c r="S58" i="88"/>
  <c r="AE57" i="88"/>
  <c r="AC57" i="88"/>
  <c r="AA57" i="88"/>
  <c r="Y57" i="88"/>
  <c r="W57" i="88"/>
  <c r="U57" i="88"/>
  <c r="S57" i="88"/>
  <c r="AE56" i="88"/>
  <c r="AC56" i="88"/>
  <c r="AA56" i="88"/>
  <c r="Y56" i="88"/>
  <c r="W56" i="88"/>
  <c r="U56" i="88"/>
  <c r="S56" i="88"/>
  <c r="AE55" i="88"/>
  <c r="AC55" i="88"/>
  <c r="AA55" i="88"/>
  <c r="Y55" i="88"/>
  <c r="W55" i="88"/>
  <c r="U55" i="88"/>
  <c r="S55" i="88"/>
  <c r="AE54" i="88"/>
  <c r="AC54" i="88"/>
  <c r="AA54" i="88"/>
  <c r="Y54" i="88"/>
  <c r="W54" i="88"/>
  <c r="U54" i="88"/>
  <c r="S54" i="88"/>
  <c r="AE53" i="88"/>
  <c r="AC53" i="88"/>
  <c r="AA53" i="88"/>
  <c r="Y53" i="88"/>
  <c r="W53" i="88"/>
  <c r="U53" i="88"/>
  <c r="S53" i="88"/>
  <c r="AE52" i="88"/>
  <c r="AC52" i="88"/>
  <c r="AA52" i="88"/>
  <c r="Y52" i="88"/>
  <c r="W52" i="88"/>
  <c r="U52" i="88"/>
  <c r="S52" i="88"/>
  <c r="AE51" i="88"/>
  <c r="AC51" i="88"/>
  <c r="AA51" i="88"/>
  <c r="Y51" i="88"/>
  <c r="W51" i="88"/>
  <c r="U51" i="88"/>
  <c r="S51" i="88"/>
  <c r="AE50" i="88"/>
  <c r="AC50" i="88"/>
  <c r="AA50" i="88"/>
  <c r="Y50" i="88"/>
  <c r="W50" i="88"/>
  <c r="U50" i="88"/>
  <c r="S50" i="88"/>
  <c r="AE49" i="88"/>
  <c r="AC49" i="88"/>
  <c r="AA49" i="88"/>
  <c r="Y49" i="88"/>
  <c r="W49" i="88"/>
  <c r="U49" i="88"/>
  <c r="S49" i="88"/>
  <c r="AE48" i="88"/>
  <c r="AC48" i="88"/>
  <c r="AA48" i="88"/>
  <c r="Y48" i="88"/>
  <c r="W48" i="88"/>
  <c r="U48" i="88"/>
  <c r="S48" i="88"/>
  <c r="AE47" i="88"/>
  <c r="AC47" i="88"/>
  <c r="AA47" i="88"/>
  <c r="Y47" i="88"/>
  <c r="W47" i="88"/>
  <c r="U47" i="88"/>
  <c r="S47" i="88"/>
  <c r="AE46" i="88"/>
  <c r="AC46" i="88"/>
  <c r="AA46" i="88"/>
  <c r="Y46" i="88"/>
  <c r="W46" i="88"/>
  <c r="U46" i="88"/>
  <c r="S46" i="88"/>
  <c r="AE45" i="88"/>
  <c r="AC45" i="88"/>
  <c r="AA45" i="88"/>
  <c r="Y45" i="88"/>
  <c r="W45" i="88"/>
  <c r="U45" i="88"/>
  <c r="S45" i="88"/>
  <c r="AE44" i="88"/>
  <c r="AC44" i="88"/>
  <c r="AA44" i="88"/>
  <c r="Y44" i="88"/>
  <c r="W44" i="88"/>
  <c r="U44" i="88"/>
  <c r="S44" i="88"/>
  <c r="AE43" i="88"/>
  <c r="AC43" i="88"/>
  <c r="AA43" i="88"/>
  <c r="Y43" i="88"/>
  <c r="W43" i="88"/>
  <c r="U43" i="88"/>
  <c r="S43" i="88"/>
  <c r="AE42" i="88"/>
  <c r="AC42" i="88"/>
  <c r="AA42" i="88"/>
  <c r="Y42" i="88"/>
  <c r="W42" i="88"/>
  <c r="U42" i="88"/>
  <c r="S42" i="88"/>
  <c r="AE41" i="88"/>
  <c r="AC41" i="88"/>
  <c r="AA41" i="88"/>
  <c r="Y41" i="88"/>
  <c r="W41" i="88"/>
  <c r="U41" i="88"/>
  <c r="S41" i="88"/>
  <c r="AE40" i="88"/>
  <c r="AC40" i="88"/>
  <c r="AA40" i="88"/>
  <c r="Y40" i="88"/>
  <c r="W40" i="88"/>
  <c r="U40" i="88"/>
  <c r="S40" i="88"/>
  <c r="AE39" i="88"/>
  <c r="AC39" i="88"/>
  <c r="AA39" i="88"/>
  <c r="Y39" i="88"/>
  <c r="W39" i="88"/>
  <c r="U39" i="88"/>
  <c r="S39" i="88"/>
  <c r="AE38" i="88"/>
  <c r="AC38" i="88"/>
  <c r="AA38" i="88"/>
  <c r="Y38" i="88"/>
  <c r="W38" i="88"/>
  <c r="U38" i="88"/>
  <c r="S38" i="88"/>
  <c r="AE37" i="88"/>
  <c r="AC37" i="88"/>
  <c r="AA37" i="88"/>
  <c r="Y37" i="88"/>
  <c r="W37" i="88"/>
  <c r="U37" i="88"/>
  <c r="S37" i="88"/>
  <c r="AE36" i="88"/>
  <c r="AC36" i="88"/>
  <c r="AA36" i="88"/>
  <c r="Y36" i="88"/>
  <c r="W36" i="88"/>
  <c r="U36" i="88"/>
  <c r="S36" i="88"/>
  <c r="AE35" i="88"/>
  <c r="AC35" i="88"/>
  <c r="AA35" i="88"/>
  <c r="Y35" i="88"/>
  <c r="W35" i="88"/>
  <c r="U35" i="88"/>
  <c r="S35" i="88"/>
  <c r="D34" i="88"/>
  <c r="E34" i="88" s="1"/>
  <c r="D33" i="88"/>
  <c r="E33" i="88" s="1"/>
  <c r="D32" i="88"/>
  <c r="E32" i="88" s="1"/>
  <c r="D31" i="88"/>
  <c r="E31" i="88" s="1"/>
  <c r="D30" i="88"/>
  <c r="E30" i="88" s="1"/>
  <c r="E29" i="88"/>
  <c r="D29" i="88"/>
  <c r="AB25" i="88"/>
  <c r="R25" i="88"/>
  <c r="AD24" i="88"/>
  <c r="Z24" i="88"/>
  <c r="AD17" i="88"/>
  <c r="AD25" i="88" s="1"/>
  <c r="AB17" i="88"/>
  <c r="Z17" i="88"/>
  <c r="Z25" i="88" s="1"/>
  <c r="X17" i="88"/>
  <c r="X25" i="88" s="1"/>
  <c r="V17" i="88"/>
  <c r="V25" i="88" s="1"/>
  <c r="T17" i="88"/>
  <c r="T25" i="88" s="1"/>
  <c r="R17" i="88"/>
  <c r="AD16" i="88"/>
  <c r="AB16" i="88"/>
  <c r="AB24" i="88" s="1"/>
  <c r="Z16" i="88"/>
  <c r="X16" i="88"/>
  <c r="V16" i="88"/>
  <c r="V24" i="88" s="1"/>
  <c r="T16" i="88"/>
  <c r="R16" i="88"/>
  <c r="R24" i="88" s="1"/>
  <c r="P16" i="88"/>
  <c r="O16" i="88"/>
  <c r="N16" i="88"/>
  <c r="L16" i="88"/>
  <c r="K16" i="88"/>
  <c r="J16" i="88"/>
  <c r="H16" i="88"/>
  <c r="G16" i="88"/>
  <c r="F16" i="88"/>
  <c r="O15" i="88"/>
  <c r="O17" i="88" s="1"/>
  <c r="Q14" i="88"/>
  <c r="AE14" i="88" s="1"/>
  <c r="M14" i="88"/>
  <c r="I14" i="88"/>
  <c r="O13" i="88"/>
  <c r="Q12" i="88"/>
  <c r="AC12" i="88" s="1"/>
  <c r="M12" i="88"/>
  <c r="I12" i="88"/>
  <c r="O11" i="88"/>
  <c r="AE10" i="88"/>
  <c r="AC10" i="88"/>
  <c r="Y10" i="88"/>
  <c r="W10" i="88"/>
  <c r="S10" i="88"/>
  <c r="Q10" i="88"/>
  <c r="U10" i="88" s="1"/>
  <c r="M10" i="88"/>
  <c r="I10" i="88"/>
  <c r="O9" i="88"/>
  <c r="W8" i="88"/>
  <c r="U8" i="88"/>
  <c r="S8" i="88"/>
  <c r="Q8" i="88"/>
  <c r="AA8" i="88" s="1"/>
  <c r="M8" i="88"/>
  <c r="I8" i="88"/>
  <c r="O7" i="88"/>
  <c r="AA6" i="88"/>
  <c r="Y6" i="88"/>
  <c r="U6" i="88"/>
  <c r="Q6" i="88"/>
  <c r="W6" i="88" s="1"/>
  <c r="M6" i="88"/>
  <c r="I6" i="88"/>
  <c r="C3" i="88"/>
  <c r="AE64" i="87"/>
  <c r="AC64" i="87"/>
  <c r="AA64" i="87"/>
  <c r="Y64" i="87"/>
  <c r="W64" i="87"/>
  <c r="U64" i="87"/>
  <c r="S64" i="87"/>
  <c r="AE63" i="87"/>
  <c r="AC63" i="87"/>
  <c r="AA63" i="87"/>
  <c r="Y63" i="87"/>
  <c r="W63" i="87"/>
  <c r="U63" i="87"/>
  <c r="S63" i="87"/>
  <c r="AE62" i="87"/>
  <c r="AC62" i="87"/>
  <c r="AA62" i="87"/>
  <c r="Y62" i="87"/>
  <c r="W62" i="87"/>
  <c r="U62" i="87"/>
  <c r="S62" i="87"/>
  <c r="AE61" i="87"/>
  <c r="AC61" i="87"/>
  <c r="AA61" i="87"/>
  <c r="Y61" i="87"/>
  <c r="W61" i="87"/>
  <c r="U61" i="87"/>
  <c r="S61" i="87"/>
  <c r="AE60" i="87"/>
  <c r="AC60" i="87"/>
  <c r="AA60" i="87"/>
  <c r="Y60" i="87"/>
  <c r="W60" i="87"/>
  <c r="U60" i="87"/>
  <c r="S60" i="87"/>
  <c r="AE59" i="87"/>
  <c r="AC59" i="87"/>
  <c r="AA59" i="87"/>
  <c r="Y59" i="87"/>
  <c r="W59" i="87"/>
  <c r="U59" i="87"/>
  <c r="S59" i="87"/>
  <c r="AE58" i="87"/>
  <c r="AC58" i="87"/>
  <c r="AA58" i="87"/>
  <c r="Y58" i="87"/>
  <c r="W58" i="87"/>
  <c r="U58" i="87"/>
  <c r="S58" i="87"/>
  <c r="AE57" i="87"/>
  <c r="AC57" i="87"/>
  <c r="AA57" i="87"/>
  <c r="Y57" i="87"/>
  <c r="W57" i="87"/>
  <c r="U57" i="87"/>
  <c r="S57" i="87"/>
  <c r="AE56" i="87"/>
  <c r="AC56" i="87"/>
  <c r="AA56" i="87"/>
  <c r="Y56" i="87"/>
  <c r="W56" i="87"/>
  <c r="U56" i="87"/>
  <c r="S56" i="87"/>
  <c r="AE55" i="87"/>
  <c r="AC55" i="87"/>
  <c r="AA55" i="87"/>
  <c r="Y55" i="87"/>
  <c r="W55" i="87"/>
  <c r="U55" i="87"/>
  <c r="S55" i="87"/>
  <c r="AE54" i="87"/>
  <c r="AC54" i="87"/>
  <c r="AA54" i="87"/>
  <c r="Y54" i="87"/>
  <c r="W54" i="87"/>
  <c r="U54" i="87"/>
  <c r="S54" i="87"/>
  <c r="AE53" i="87"/>
  <c r="AC53" i="87"/>
  <c r="AA53" i="87"/>
  <c r="Y53" i="87"/>
  <c r="W53" i="87"/>
  <c r="U53" i="87"/>
  <c r="S53" i="87"/>
  <c r="AE52" i="87"/>
  <c r="AC52" i="87"/>
  <c r="AA52" i="87"/>
  <c r="Y52" i="87"/>
  <c r="W52" i="87"/>
  <c r="U52" i="87"/>
  <c r="S52" i="87"/>
  <c r="AE51" i="87"/>
  <c r="AC51" i="87"/>
  <c r="AA51" i="87"/>
  <c r="Y51" i="87"/>
  <c r="W51" i="87"/>
  <c r="U51" i="87"/>
  <c r="S51" i="87"/>
  <c r="AE50" i="87"/>
  <c r="AC50" i="87"/>
  <c r="AA50" i="87"/>
  <c r="Y50" i="87"/>
  <c r="W50" i="87"/>
  <c r="U50" i="87"/>
  <c r="S50" i="87"/>
  <c r="AE49" i="87"/>
  <c r="AC49" i="87"/>
  <c r="AA49" i="87"/>
  <c r="Y49" i="87"/>
  <c r="W49" i="87"/>
  <c r="U49" i="87"/>
  <c r="S49" i="87"/>
  <c r="AE48" i="87"/>
  <c r="AC48" i="87"/>
  <c r="AA48" i="87"/>
  <c r="Y48" i="87"/>
  <c r="W48" i="87"/>
  <c r="U48" i="87"/>
  <c r="S48" i="87"/>
  <c r="AE47" i="87"/>
  <c r="AC47" i="87"/>
  <c r="AA47" i="87"/>
  <c r="Y47" i="87"/>
  <c r="W47" i="87"/>
  <c r="U47" i="87"/>
  <c r="S47" i="87"/>
  <c r="AE46" i="87"/>
  <c r="AC46" i="87"/>
  <c r="AA46" i="87"/>
  <c r="Y46" i="87"/>
  <c r="W46" i="87"/>
  <c r="U46" i="87"/>
  <c r="S46" i="87"/>
  <c r="AE45" i="87"/>
  <c r="AC45" i="87"/>
  <c r="AA45" i="87"/>
  <c r="Y45" i="87"/>
  <c r="W45" i="87"/>
  <c r="U45" i="87"/>
  <c r="S45" i="87"/>
  <c r="AE44" i="87"/>
  <c r="AC44" i="87"/>
  <c r="AA44" i="87"/>
  <c r="Y44" i="87"/>
  <c r="W44" i="87"/>
  <c r="U44" i="87"/>
  <c r="S44" i="87"/>
  <c r="AE43" i="87"/>
  <c r="AC43" i="87"/>
  <c r="AA43" i="87"/>
  <c r="Y43" i="87"/>
  <c r="W43" i="87"/>
  <c r="U43" i="87"/>
  <c r="S43" i="87"/>
  <c r="AE42" i="87"/>
  <c r="AC42" i="87"/>
  <c r="AA42" i="87"/>
  <c r="Y42" i="87"/>
  <c r="W42" i="87"/>
  <c r="U42" i="87"/>
  <c r="S42" i="87"/>
  <c r="AE41" i="87"/>
  <c r="AC41" i="87"/>
  <c r="AA41" i="87"/>
  <c r="Y41" i="87"/>
  <c r="W41" i="87"/>
  <c r="U41" i="87"/>
  <c r="S41" i="87"/>
  <c r="AE40" i="87"/>
  <c r="AC40" i="87"/>
  <c r="AA40" i="87"/>
  <c r="Y40" i="87"/>
  <c r="W40" i="87"/>
  <c r="U40" i="87"/>
  <c r="S40" i="87"/>
  <c r="AE39" i="87"/>
  <c r="AC39" i="87"/>
  <c r="AA39" i="87"/>
  <c r="Y39" i="87"/>
  <c r="W39" i="87"/>
  <c r="U39" i="87"/>
  <c r="S39" i="87"/>
  <c r="AE38" i="87"/>
  <c r="AC38" i="87"/>
  <c r="AA38" i="87"/>
  <c r="Y38" i="87"/>
  <c r="W38" i="87"/>
  <c r="U38" i="87"/>
  <c r="S38" i="87"/>
  <c r="AE37" i="87"/>
  <c r="AC37" i="87"/>
  <c r="AA37" i="87"/>
  <c r="Y37" i="87"/>
  <c r="W37" i="87"/>
  <c r="U37" i="87"/>
  <c r="S37" i="87"/>
  <c r="AE36" i="87"/>
  <c r="AC36" i="87"/>
  <c r="AA36" i="87"/>
  <c r="Y36" i="87"/>
  <c r="W36" i="87"/>
  <c r="U36" i="87"/>
  <c r="S36" i="87"/>
  <c r="AE35" i="87"/>
  <c r="AC35" i="87"/>
  <c r="AA35" i="87"/>
  <c r="Y35" i="87"/>
  <c r="W35" i="87"/>
  <c r="U35" i="87"/>
  <c r="S35" i="87"/>
  <c r="D34" i="87"/>
  <c r="E34" i="87" s="1"/>
  <c r="D33" i="87"/>
  <c r="E33" i="87" s="1"/>
  <c r="D32" i="87"/>
  <c r="E32" i="87" s="1"/>
  <c r="D31" i="87"/>
  <c r="E31" i="87" s="1"/>
  <c r="D30" i="87"/>
  <c r="E30" i="87" s="1"/>
  <c r="D29" i="87"/>
  <c r="E29" i="87" s="1"/>
  <c r="V25" i="87"/>
  <c r="R25" i="87"/>
  <c r="AD17" i="87"/>
  <c r="AD25" i="87" s="1"/>
  <c r="AB17" i="87"/>
  <c r="AB25" i="87" s="1"/>
  <c r="Z17" i="87"/>
  <c r="Z25" i="87" s="1"/>
  <c r="X17" i="87"/>
  <c r="X25" i="87" s="1"/>
  <c r="V17" i="87"/>
  <c r="T17" i="87"/>
  <c r="T25" i="87" s="1"/>
  <c r="R17" i="87"/>
  <c r="AD16" i="87"/>
  <c r="AD24" i="87" s="1"/>
  <c r="AB16" i="87"/>
  <c r="Z16" i="87"/>
  <c r="X16" i="87"/>
  <c r="V16" i="87"/>
  <c r="V24" i="87" s="1"/>
  <c r="T16" i="87"/>
  <c r="T24" i="87" s="1"/>
  <c r="R16" i="87"/>
  <c r="R24" i="87" s="1"/>
  <c r="P16" i="87"/>
  <c r="O16" i="87"/>
  <c r="N16" i="87"/>
  <c r="L16" i="87"/>
  <c r="K16" i="87"/>
  <c r="J16" i="87"/>
  <c r="H16" i="87"/>
  <c r="G16" i="87"/>
  <c r="F16" i="87"/>
  <c r="O15" i="87"/>
  <c r="AE14" i="87"/>
  <c r="Q14" i="87"/>
  <c r="AC14" i="87" s="1"/>
  <c r="M14" i="87"/>
  <c r="I14" i="87"/>
  <c r="O13" i="87"/>
  <c r="Q12" i="87"/>
  <c r="AE12" i="87" s="1"/>
  <c r="M12" i="87"/>
  <c r="I12" i="87"/>
  <c r="O11" i="87"/>
  <c r="AE10" i="87"/>
  <c r="W10" i="87"/>
  <c r="U10" i="87"/>
  <c r="S10" i="87"/>
  <c r="Q10" i="87"/>
  <c r="AA10" i="87" s="1"/>
  <c r="M10" i="87"/>
  <c r="I10" i="87"/>
  <c r="O9" i="87"/>
  <c r="U8" i="87"/>
  <c r="S8" i="87"/>
  <c r="Q8" i="87"/>
  <c r="AE8" i="87" s="1"/>
  <c r="M8" i="87"/>
  <c r="I8" i="87"/>
  <c r="I16" i="87" s="1"/>
  <c r="O7" i="87"/>
  <c r="Q6" i="87"/>
  <c r="Q16" i="87" s="1"/>
  <c r="W16" i="87" s="1"/>
  <c r="M6" i="87"/>
  <c r="I6" i="87"/>
  <c r="C3" i="87"/>
  <c r="AE64" i="86"/>
  <c r="AC64" i="86"/>
  <c r="AA64" i="86"/>
  <c r="Y64" i="86"/>
  <c r="W64" i="86"/>
  <c r="U64" i="86"/>
  <c r="S64" i="86"/>
  <c r="AE63" i="86"/>
  <c r="AC63" i="86"/>
  <c r="AA63" i="86"/>
  <c r="Y63" i="86"/>
  <c r="W63" i="86"/>
  <c r="U63" i="86"/>
  <c r="S63" i="86"/>
  <c r="AE62" i="86"/>
  <c r="AC62" i="86"/>
  <c r="AA62" i="86"/>
  <c r="Y62" i="86"/>
  <c r="W62" i="86"/>
  <c r="U62" i="86"/>
  <c r="S62" i="86"/>
  <c r="AE61" i="86"/>
  <c r="AC61" i="86"/>
  <c r="AA61" i="86"/>
  <c r="Y61" i="86"/>
  <c r="W61" i="86"/>
  <c r="U61" i="86"/>
  <c r="S61" i="86"/>
  <c r="AE60" i="86"/>
  <c r="AC60" i="86"/>
  <c r="AA60" i="86"/>
  <c r="Y60" i="86"/>
  <c r="W60" i="86"/>
  <c r="U60" i="86"/>
  <c r="S60" i="86"/>
  <c r="AE59" i="86"/>
  <c r="AC59" i="86"/>
  <c r="AA59" i="86"/>
  <c r="Y59" i="86"/>
  <c r="W59" i="86"/>
  <c r="U59" i="86"/>
  <c r="S59" i="86"/>
  <c r="AE58" i="86"/>
  <c r="AC58" i="86"/>
  <c r="AA58" i="86"/>
  <c r="Y58" i="86"/>
  <c r="W58" i="86"/>
  <c r="U58" i="86"/>
  <c r="S58" i="86"/>
  <c r="AE57" i="86"/>
  <c r="AC57" i="86"/>
  <c r="AA57" i="86"/>
  <c r="Y57" i="86"/>
  <c r="W57" i="86"/>
  <c r="U57" i="86"/>
  <c r="S57" i="86"/>
  <c r="AE56" i="86"/>
  <c r="AC56" i="86"/>
  <c r="AA56" i="86"/>
  <c r="Y56" i="86"/>
  <c r="W56" i="86"/>
  <c r="U56" i="86"/>
  <c r="S56" i="86"/>
  <c r="AE55" i="86"/>
  <c r="AC55" i="86"/>
  <c r="AA55" i="86"/>
  <c r="Y55" i="86"/>
  <c r="W55" i="86"/>
  <c r="U55" i="86"/>
  <c r="S55" i="86"/>
  <c r="AE54" i="86"/>
  <c r="AC54" i="86"/>
  <c r="AA54" i="86"/>
  <c r="Y54" i="86"/>
  <c r="W54" i="86"/>
  <c r="U54" i="86"/>
  <c r="S54" i="86"/>
  <c r="AE53" i="86"/>
  <c r="AC53" i="86"/>
  <c r="AA53" i="86"/>
  <c r="Y53" i="86"/>
  <c r="W53" i="86"/>
  <c r="U53" i="86"/>
  <c r="S53" i="86"/>
  <c r="AE52" i="86"/>
  <c r="AC52" i="86"/>
  <c r="AA52" i="86"/>
  <c r="Y52" i="86"/>
  <c r="W52" i="86"/>
  <c r="U52" i="86"/>
  <c r="S52" i="86"/>
  <c r="AE51" i="86"/>
  <c r="AC51" i="86"/>
  <c r="AA51" i="86"/>
  <c r="Y51" i="86"/>
  <c r="W51" i="86"/>
  <c r="U51" i="86"/>
  <c r="S51" i="86"/>
  <c r="AE50" i="86"/>
  <c r="AC50" i="86"/>
  <c r="AA50" i="86"/>
  <c r="Y50" i="86"/>
  <c r="W50" i="86"/>
  <c r="U50" i="86"/>
  <c r="S50" i="86"/>
  <c r="AE49" i="86"/>
  <c r="AC49" i="86"/>
  <c r="AA49" i="86"/>
  <c r="Y49" i="86"/>
  <c r="W49" i="86"/>
  <c r="U49" i="86"/>
  <c r="S49" i="86"/>
  <c r="AE48" i="86"/>
  <c r="AC48" i="86"/>
  <c r="AA48" i="86"/>
  <c r="Y48" i="86"/>
  <c r="W48" i="86"/>
  <c r="U48" i="86"/>
  <c r="S48" i="86"/>
  <c r="AE47" i="86"/>
  <c r="AC47" i="86"/>
  <c r="AA47" i="86"/>
  <c r="Y47" i="86"/>
  <c r="W47" i="86"/>
  <c r="U47" i="86"/>
  <c r="S47" i="86"/>
  <c r="AE46" i="86"/>
  <c r="AC46" i="86"/>
  <c r="AA46" i="86"/>
  <c r="Y46" i="86"/>
  <c r="W46" i="86"/>
  <c r="U46" i="86"/>
  <c r="S46" i="86"/>
  <c r="AE45" i="86"/>
  <c r="AC45" i="86"/>
  <c r="AA45" i="86"/>
  <c r="Y45" i="86"/>
  <c r="W45" i="86"/>
  <c r="U45" i="86"/>
  <c r="S45" i="86"/>
  <c r="AE44" i="86"/>
  <c r="AC44" i="86"/>
  <c r="AA44" i="86"/>
  <c r="Y44" i="86"/>
  <c r="W44" i="86"/>
  <c r="U44" i="86"/>
  <c r="S44" i="86"/>
  <c r="AE43" i="86"/>
  <c r="AC43" i="86"/>
  <c r="AA43" i="86"/>
  <c r="Y43" i="86"/>
  <c r="W43" i="86"/>
  <c r="U43" i="86"/>
  <c r="S43" i="86"/>
  <c r="AE42" i="86"/>
  <c r="AC42" i="86"/>
  <c r="AA42" i="86"/>
  <c r="Y42" i="86"/>
  <c r="W42" i="86"/>
  <c r="U42" i="86"/>
  <c r="S42" i="86"/>
  <c r="AE41" i="86"/>
  <c r="AC41" i="86"/>
  <c r="AA41" i="86"/>
  <c r="Y41" i="86"/>
  <c r="W41" i="86"/>
  <c r="U41" i="86"/>
  <c r="S41" i="86"/>
  <c r="AE40" i="86"/>
  <c r="AC40" i="86"/>
  <c r="AA40" i="86"/>
  <c r="Y40" i="86"/>
  <c r="W40" i="86"/>
  <c r="U40" i="86"/>
  <c r="S40" i="86"/>
  <c r="AE39" i="86"/>
  <c r="AC39" i="86"/>
  <c r="AA39" i="86"/>
  <c r="Y39" i="86"/>
  <c r="W39" i="86"/>
  <c r="U39" i="86"/>
  <c r="S39" i="86"/>
  <c r="AE38" i="86"/>
  <c r="AC38" i="86"/>
  <c r="AA38" i="86"/>
  <c r="Y38" i="86"/>
  <c r="W38" i="86"/>
  <c r="U38" i="86"/>
  <c r="S38" i="86"/>
  <c r="AE37" i="86"/>
  <c r="AC37" i="86"/>
  <c r="AA37" i="86"/>
  <c r="Y37" i="86"/>
  <c r="W37" i="86"/>
  <c r="U37" i="86"/>
  <c r="S37" i="86"/>
  <c r="AE36" i="86"/>
  <c r="AC36" i="86"/>
  <c r="AA36" i="86"/>
  <c r="Y36" i="86"/>
  <c r="W36" i="86"/>
  <c r="U36" i="86"/>
  <c r="S36" i="86"/>
  <c r="AE35" i="86"/>
  <c r="AC35" i="86"/>
  <c r="AA35" i="86"/>
  <c r="Y35" i="86"/>
  <c r="W35" i="86"/>
  <c r="U35" i="86"/>
  <c r="S35" i="86"/>
  <c r="D34" i="86"/>
  <c r="E34" i="86" s="1"/>
  <c r="D33" i="86"/>
  <c r="E33" i="86" s="1"/>
  <c r="E32" i="86"/>
  <c r="D32" i="86"/>
  <c r="D31" i="86"/>
  <c r="E31" i="86" s="1"/>
  <c r="D30" i="86"/>
  <c r="E30" i="86" s="1"/>
  <c r="D29" i="86"/>
  <c r="E29" i="86" s="1"/>
  <c r="Z25" i="86"/>
  <c r="X24" i="86"/>
  <c r="T24" i="86"/>
  <c r="AD17" i="86"/>
  <c r="AD25" i="86" s="1"/>
  <c r="AB17" i="86"/>
  <c r="AB25" i="86" s="1"/>
  <c r="Z17" i="86"/>
  <c r="X17" i="86"/>
  <c r="X25" i="86" s="1"/>
  <c r="V17" i="86"/>
  <c r="V25" i="86" s="1"/>
  <c r="T17" i="86"/>
  <c r="T25" i="86" s="1"/>
  <c r="R17" i="86"/>
  <c r="R25" i="86" s="1"/>
  <c r="AD16" i="86"/>
  <c r="AB16" i="86"/>
  <c r="Z16" i="86"/>
  <c r="Z24" i="86" s="1"/>
  <c r="X16" i="86"/>
  <c r="V16" i="86"/>
  <c r="T16" i="86"/>
  <c r="R16" i="86"/>
  <c r="R24" i="86" s="1"/>
  <c r="P16" i="86"/>
  <c r="O16" i="86"/>
  <c r="N16" i="86"/>
  <c r="L16" i="86"/>
  <c r="K16" i="86"/>
  <c r="J16" i="86"/>
  <c r="H16" i="86"/>
  <c r="G16" i="86"/>
  <c r="F16" i="86"/>
  <c r="O15" i="86"/>
  <c r="AE14" i="86"/>
  <c r="AC14" i="86"/>
  <c r="Q14" i="86"/>
  <c r="Y14" i="86" s="1"/>
  <c r="M14" i="86"/>
  <c r="I14" i="86"/>
  <c r="O13" i="86"/>
  <c r="Q12" i="86"/>
  <c r="M12" i="86"/>
  <c r="I12" i="86"/>
  <c r="O11" i="86"/>
  <c r="AA10" i="86"/>
  <c r="Y10" i="86"/>
  <c r="W10" i="86"/>
  <c r="S10" i="86"/>
  <c r="Q10" i="86"/>
  <c r="U10" i="86" s="1"/>
  <c r="M10" i="86"/>
  <c r="I10" i="86"/>
  <c r="O9" i="86"/>
  <c r="Y8" i="86"/>
  <c r="W8" i="86"/>
  <c r="U8" i="86"/>
  <c r="S8" i="86"/>
  <c r="Q8" i="86"/>
  <c r="AA8" i="86" s="1"/>
  <c r="M8" i="86"/>
  <c r="I8" i="86"/>
  <c r="O7" i="86"/>
  <c r="AE6" i="86"/>
  <c r="AC6" i="86"/>
  <c r="Y6" i="86"/>
  <c r="W6" i="86"/>
  <c r="U6" i="86"/>
  <c r="Q6" i="86"/>
  <c r="AA6" i="86" s="1"/>
  <c r="M6" i="86"/>
  <c r="M16" i="86" s="1"/>
  <c r="I6" i="86"/>
  <c r="I16" i="86" s="1"/>
  <c r="C3" i="86"/>
  <c r="AE64" i="85"/>
  <c r="AC64" i="85"/>
  <c r="AA64" i="85"/>
  <c r="Y64" i="85"/>
  <c r="W64" i="85"/>
  <c r="U64" i="85"/>
  <c r="S64" i="85"/>
  <c r="AE63" i="85"/>
  <c r="AC63" i="85"/>
  <c r="AA63" i="85"/>
  <c r="Y63" i="85"/>
  <c r="W63" i="85"/>
  <c r="U63" i="85"/>
  <c r="S63" i="85"/>
  <c r="AE62" i="85"/>
  <c r="AC62" i="85"/>
  <c r="AA62" i="85"/>
  <c r="Y62" i="85"/>
  <c r="W62" i="85"/>
  <c r="U62" i="85"/>
  <c r="S62" i="85"/>
  <c r="AE61" i="85"/>
  <c r="AC61" i="85"/>
  <c r="AA61" i="85"/>
  <c r="Y61" i="85"/>
  <c r="W61" i="85"/>
  <c r="U61" i="85"/>
  <c r="S61" i="85"/>
  <c r="AE60" i="85"/>
  <c r="AC60" i="85"/>
  <c r="AA60" i="85"/>
  <c r="Y60" i="85"/>
  <c r="W60" i="85"/>
  <c r="U60" i="85"/>
  <c r="S60" i="85"/>
  <c r="AE59" i="85"/>
  <c r="AC59" i="85"/>
  <c r="AA59" i="85"/>
  <c r="Y59" i="85"/>
  <c r="W59" i="85"/>
  <c r="U59" i="85"/>
  <c r="S59" i="85"/>
  <c r="AE58" i="85"/>
  <c r="AC58" i="85"/>
  <c r="AA58" i="85"/>
  <c r="Y58" i="85"/>
  <c r="W58" i="85"/>
  <c r="U58" i="85"/>
  <c r="S58" i="85"/>
  <c r="AE57" i="85"/>
  <c r="AC57" i="85"/>
  <c r="AA57" i="85"/>
  <c r="Y57" i="85"/>
  <c r="W57" i="85"/>
  <c r="U57" i="85"/>
  <c r="S57" i="85"/>
  <c r="AE56" i="85"/>
  <c r="AC56" i="85"/>
  <c r="AA56" i="85"/>
  <c r="Y56" i="85"/>
  <c r="W56" i="85"/>
  <c r="U56" i="85"/>
  <c r="S56" i="85"/>
  <c r="AE55" i="85"/>
  <c r="AC55" i="85"/>
  <c r="AA55" i="85"/>
  <c r="Y55" i="85"/>
  <c r="W55" i="85"/>
  <c r="U55" i="85"/>
  <c r="S55" i="85"/>
  <c r="AE54" i="85"/>
  <c r="AC54" i="85"/>
  <c r="AA54" i="85"/>
  <c r="Y54" i="85"/>
  <c r="W54" i="85"/>
  <c r="U54" i="85"/>
  <c r="S54" i="85"/>
  <c r="AE53" i="85"/>
  <c r="AC53" i="85"/>
  <c r="AA53" i="85"/>
  <c r="Y53" i="85"/>
  <c r="W53" i="85"/>
  <c r="U53" i="85"/>
  <c r="S53" i="85"/>
  <c r="AE52" i="85"/>
  <c r="AC52" i="85"/>
  <c r="AA52" i="85"/>
  <c r="Y52" i="85"/>
  <c r="W52" i="85"/>
  <c r="U52" i="85"/>
  <c r="S52" i="85"/>
  <c r="AE51" i="85"/>
  <c r="AC51" i="85"/>
  <c r="AA51" i="85"/>
  <c r="Y51" i="85"/>
  <c r="W51" i="85"/>
  <c r="U51" i="85"/>
  <c r="S51" i="85"/>
  <c r="AE50" i="85"/>
  <c r="AC50" i="85"/>
  <c r="AA50" i="85"/>
  <c r="Y50" i="85"/>
  <c r="W50" i="85"/>
  <c r="U50" i="85"/>
  <c r="S50" i="85"/>
  <c r="AE49" i="85"/>
  <c r="AC49" i="85"/>
  <c r="AA49" i="85"/>
  <c r="Y49" i="85"/>
  <c r="W49" i="85"/>
  <c r="U49" i="85"/>
  <c r="S49" i="85"/>
  <c r="AE48" i="85"/>
  <c r="AC48" i="85"/>
  <c r="AA48" i="85"/>
  <c r="Y48" i="85"/>
  <c r="W48" i="85"/>
  <c r="U48" i="85"/>
  <c r="S48" i="85"/>
  <c r="AE47" i="85"/>
  <c r="AC47" i="85"/>
  <c r="AA47" i="85"/>
  <c r="Y47" i="85"/>
  <c r="W47" i="85"/>
  <c r="U47" i="85"/>
  <c r="S47" i="85"/>
  <c r="AE46" i="85"/>
  <c r="AC46" i="85"/>
  <c r="AA46" i="85"/>
  <c r="Y46" i="85"/>
  <c r="W46" i="85"/>
  <c r="U46" i="85"/>
  <c r="S46" i="85"/>
  <c r="AE45" i="85"/>
  <c r="AC45" i="85"/>
  <c r="AA45" i="85"/>
  <c r="Y45" i="85"/>
  <c r="W45" i="85"/>
  <c r="U45" i="85"/>
  <c r="S45" i="85"/>
  <c r="AE44" i="85"/>
  <c r="AC44" i="85"/>
  <c r="AA44" i="85"/>
  <c r="Y44" i="85"/>
  <c r="W44" i="85"/>
  <c r="U44" i="85"/>
  <c r="S44" i="85"/>
  <c r="AE43" i="85"/>
  <c r="AC43" i="85"/>
  <c r="AA43" i="85"/>
  <c r="Y43" i="85"/>
  <c r="W43" i="85"/>
  <c r="U43" i="85"/>
  <c r="S43" i="85"/>
  <c r="AE42" i="85"/>
  <c r="AC42" i="85"/>
  <c r="AA42" i="85"/>
  <c r="Y42" i="85"/>
  <c r="W42" i="85"/>
  <c r="U42" i="85"/>
  <c r="S42" i="85"/>
  <c r="AE41" i="85"/>
  <c r="AC41" i="85"/>
  <c r="AA41" i="85"/>
  <c r="Y41" i="85"/>
  <c r="W41" i="85"/>
  <c r="U41" i="85"/>
  <c r="S41" i="85"/>
  <c r="AE40" i="85"/>
  <c r="AC40" i="85"/>
  <c r="AA40" i="85"/>
  <c r="Y40" i="85"/>
  <c r="W40" i="85"/>
  <c r="U40" i="85"/>
  <c r="S40" i="85"/>
  <c r="AE39" i="85"/>
  <c r="AC39" i="85"/>
  <c r="AA39" i="85"/>
  <c r="Y39" i="85"/>
  <c r="W39" i="85"/>
  <c r="U39" i="85"/>
  <c r="S39" i="85"/>
  <c r="AE38" i="85"/>
  <c r="AC38" i="85"/>
  <c r="AA38" i="85"/>
  <c r="Y38" i="85"/>
  <c r="W38" i="85"/>
  <c r="U38" i="85"/>
  <c r="S38" i="85"/>
  <c r="AE37" i="85"/>
  <c r="AC37" i="85"/>
  <c r="AA37" i="85"/>
  <c r="Y37" i="85"/>
  <c r="W37" i="85"/>
  <c r="U37" i="85"/>
  <c r="S37" i="85"/>
  <c r="AE36" i="85"/>
  <c r="AC36" i="85"/>
  <c r="AA36" i="85"/>
  <c r="Y36" i="85"/>
  <c r="W36" i="85"/>
  <c r="U36" i="85"/>
  <c r="S36" i="85"/>
  <c r="AE35" i="85"/>
  <c r="AC35" i="85"/>
  <c r="AA35" i="85"/>
  <c r="Y35" i="85"/>
  <c r="W35" i="85"/>
  <c r="U35" i="85"/>
  <c r="S35" i="85"/>
  <c r="D34" i="85"/>
  <c r="E34" i="85" s="1"/>
  <c r="D33" i="85"/>
  <c r="E33" i="85" s="1"/>
  <c r="D32" i="85"/>
  <c r="E32" i="85" s="1"/>
  <c r="E31" i="85"/>
  <c r="D31" i="85"/>
  <c r="D30" i="85"/>
  <c r="E30" i="85" s="1"/>
  <c r="D29" i="85"/>
  <c r="E29" i="85" s="1"/>
  <c r="AD24" i="85"/>
  <c r="Z24" i="85"/>
  <c r="Z18" i="85"/>
  <c r="Z26" i="85" s="1"/>
  <c r="AD17" i="85"/>
  <c r="AD25" i="85" s="1"/>
  <c r="AB17" i="85"/>
  <c r="AB25" i="85" s="1"/>
  <c r="Z17" i="85"/>
  <c r="Z25" i="85" s="1"/>
  <c r="X17" i="85"/>
  <c r="X25" i="85" s="1"/>
  <c r="V17" i="85"/>
  <c r="V25" i="85" s="1"/>
  <c r="T17" i="85"/>
  <c r="T25" i="85" s="1"/>
  <c r="R17" i="85"/>
  <c r="R25" i="85" s="1"/>
  <c r="AD16" i="85"/>
  <c r="AB16" i="85"/>
  <c r="Z16" i="85"/>
  <c r="X16" i="85"/>
  <c r="X24" i="85" s="1"/>
  <c r="V16" i="85"/>
  <c r="T16" i="85"/>
  <c r="R16" i="85"/>
  <c r="R18" i="85" s="1"/>
  <c r="R26" i="85" s="1"/>
  <c r="P16" i="85"/>
  <c r="O16" i="85"/>
  <c r="N16" i="85"/>
  <c r="L16" i="85"/>
  <c r="K16" i="85"/>
  <c r="J16" i="85"/>
  <c r="H16" i="85"/>
  <c r="G16" i="85"/>
  <c r="F16" i="85"/>
  <c r="O15" i="85"/>
  <c r="AE14" i="85"/>
  <c r="Q14" i="85"/>
  <c r="AA14" i="85" s="1"/>
  <c r="M14" i="85"/>
  <c r="I14" i="85"/>
  <c r="O13" i="85"/>
  <c r="Q12" i="85"/>
  <c r="AC12" i="85" s="1"/>
  <c r="M12" i="85"/>
  <c r="I12" i="85"/>
  <c r="O11" i="85"/>
  <c r="W10" i="85"/>
  <c r="U10" i="85"/>
  <c r="Q10" i="85"/>
  <c r="S10" i="85" s="1"/>
  <c r="M10" i="85"/>
  <c r="I10" i="85"/>
  <c r="O9" i="85"/>
  <c r="U8" i="85"/>
  <c r="S8" i="85"/>
  <c r="Q8" i="85"/>
  <c r="M8" i="85"/>
  <c r="I8" i="85"/>
  <c r="O7" i="85"/>
  <c r="Q6" i="85"/>
  <c r="S6" i="85" s="1"/>
  <c r="M6" i="85"/>
  <c r="I6" i="85"/>
  <c r="C3" i="85"/>
  <c r="AE64" i="84"/>
  <c r="AC64" i="84"/>
  <c r="AA64" i="84"/>
  <c r="Y64" i="84"/>
  <c r="W64" i="84"/>
  <c r="U64" i="84"/>
  <c r="S64" i="84"/>
  <c r="AE63" i="84"/>
  <c r="AC63" i="84"/>
  <c r="AA63" i="84"/>
  <c r="Y63" i="84"/>
  <c r="W63" i="84"/>
  <c r="U63" i="84"/>
  <c r="S63" i="84"/>
  <c r="AE62" i="84"/>
  <c r="AC62" i="84"/>
  <c r="AA62" i="84"/>
  <c r="Y62" i="84"/>
  <c r="W62" i="84"/>
  <c r="U62" i="84"/>
  <c r="S62" i="84"/>
  <c r="AE61" i="84"/>
  <c r="AC61" i="84"/>
  <c r="AA61" i="84"/>
  <c r="Y61" i="84"/>
  <c r="W61" i="84"/>
  <c r="U61" i="84"/>
  <c r="S61" i="84"/>
  <c r="AE60" i="84"/>
  <c r="AC60" i="84"/>
  <c r="AA60" i="84"/>
  <c r="Y60" i="84"/>
  <c r="W60" i="84"/>
  <c r="U60" i="84"/>
  <c r="S60" i="84"/>
  <c r="AE59" i="84"/>
  <c r="AC59" i="84"/>
  <c r="AA59" i="84"/>
  <c r="Y59" i="84"/>
  <c r="W59" i="84"/>
  <c r="U59" i="84"/>
  <c r="S59" i="84"/>
  <c r="AE58" i="84"/>
  <c r="AC58" i="84"/>
  <c r="AA58" i="84"/>
  <c r="Y58" i="84"/>
  <c r="W58" i="84"/>
  <c r="U58" i="84"/>
  <c r="S58" i="84"/>
  <c r="AE57" i="84"/>
  <c r="AC57" i="84"/>
  <c r="AA57" i="84"/>
  <c r="Y57" i="84"/>
  <c r="W57" i="84"/>
  <c r="U57" i="84"/>
  <c r="S57" i="84"/>
  <c r="AE56" i="84"/>
  <c r="AC56" i="84"/>
  <c r="AA56" i="84"/>
  <c r="Y56" i="84"/>
  <c r="W56" i="84"/>
  <c r="U56" i="84"/>
  <c r="S56" i="84"/>
  <c r="AE55" i="84"/>
  <c r="AC55" i="84"/>
  <c r="AA55" i="84"/>
  <c r="Y55" i="84"/>
  <c r="W55" i="84"/>
  <c r="U55" i="84"/>
  <c r="S55" i="84"/>
  <c r="AE54" i="84"/>
  <c r="AC54" i="84"/>
  <c r="AA54" i="84"/>
  <c r="Y54" i="84"/>
  <c r="W54" i="84"/>
  <c r="U54" i="84"/>
  <c r="S54" i="84"/>
  <c r="AE53" i="84"/>
  <c r="AC53" i="84"/>
  <c r="AA53" i="84"/>
  <c r="Y53" i="84"/>
  <c r="W53" i="84"/>
  <c r="U53" i="84"/>
  <c r="S53" i="84"/>
  <c r="AE52" i="84"/>
  <c r="AC52" i="84"/>
  <c r="AA52" i="84"/>
  <c r="Y52" i="84"/>
  <c r="W52" i="84"/>
  <c r="U52" i="84"/>
  <c r="S52" i="84"/>
  <c r="AE51" i="84"/>
  <c r="AC51" i="84"/>
  <c r="AA51" i="84"/>
  <c r="Y51" i="84"/>
  <c r="W51" i="84"/>
  <c r="U51" i="84"/>
  <c r="S51" i="84"/>
  <c r="AE50" i="84"/>
  <c r="AC50" i="84"/>
  <c r="AA50" i="84"/>
  <c r="Y50" i="84"/>
  <c r="W50" i="84"/>
  <c r="U50" i="84"/>
  <c r="S50" i="84"/>
  <c r="AE49" i="84"/>
  <c r="AC49" i="84"/>
  <c r="AA49" i="84"/>
  <c r="Y49" i="84"/>
  <c r="W49" i="84"/>
  <c r="U49" i="84"/>
  <c r="S49" i="84"/>
  <c r="AE48" i="84"/>
  <c r="AC48" i="84"/>
  <c r="AA48" i="84"/>
  <c r="Y48" i="84"/>
  <c r="W48" i="84"/>
  <c r="U48" i="84"/>
  <c r="S48" i="84"/>
  <c r="AE47" i="84"/>
  <c r="AC47" i="84"/>
  <c r="AA47" i="84"/>
  <c r="Y47" i="84"/>
  <c r="W47" i="84"/>
  <c r="U47" i="84"/>
  <c r="S47" i="84"/>
  <c r="AE46" i="84"/>
  <c r="AC46" i="84"/>
  <c r="AA46" i="84"/>
  <c r="Y46" i="84"/>
  <c r="W46" i="84"/>
  <c r="U46" i="84"/>
  <c r="S46" i="84"/>
  <c r="AE45" i="84"/>
  <c r="AC45" i="84"/>
  <c r="AA45" i="84"/>
  <c r="Y45" i="84"/>
  <c r="W45" i="84"/>
  <c r="U45" i="84"/>
  <c r="S45" i="84"/>
  <c r="AE44" i="84"/>
  <c r="AC44" i="84"/>
  <c r="AA44" i="84"/>
  <c r="Y44" i="84"/>
  <c r="W44" i="84"/>
  <c r="U44" i="84"/>
  <c r="S44" i="84"/>
  <c r="AE43" i="84"/>
  <c r="AC43" i="84"/>
  <c r="AA43" i="84"/>
  <c r="Y43" i="84"/>
  <c r="W43" i="84"/>
  <c r="U43" i="84"/>
  <c r="S43" i="84"/>
  <c r="AE42" i="84"/>
  <c r="AC42" i="84"/>
  <c r="AA42" i="84"/>
  <c r="Y42" i="84"/>
  <c r="W42" i="84"/>
  <c r="U42" i="84"/>
  <c r="S42" i="84"/>
  <c r="AE41" i="84"/>
  <c r="AC41" i="84"/>
  <c r="AA41" i="84"/>
  <c r="Y41" i="84"/>
  <c r="W41" i="84"/>
  <c r="U41" i="84"/>
  <c r="S41" i="84"/>
  <c r="AE40" i="84"/>
  <c r="AC40" i="84"/>
  <c r="AA40" i="84"/>
  <c r="Y40" i="84"/>
  <c r="W40" i="84"/>
  <c r="U40" i="84"/>
  <c r="S40" i="84"/>
  <c r="AE39" i="84"/>
  <c r="AC39" i="84"/>
  <c r="AA39" i="84"/>
  <c r="Y39" i="84"/>
  <c r="W39" i="84"/>
  <c r="U39" i="84"/>
  <c r="S39" i="84"/>
  <c r="AE38" i="84"/>
  <c r="AC38" i="84"/>
  <c r="AA38" i="84"/>
  <c r="Y38" i="84"/>
  <c r="W38" i="84"/>
  <c r="U38" i="84"/>
  <c r="S38" i="84"/>
  <c r="AE37" i="84"/>
  <c r="AC37" i="84"/>
  <c r="AA37" i="84"/>
  <c r="Y37" i="84"/>
  <c r="W37" i="84"/>
  <c r="U37" i="84"/>
  <c r="S37" i="84"/>
  <c r="AE36" i="84"/>
  <c r="AC36" i="84"/>
  <c r="AA36" i="84"/>
  <c r="Y36" i="84"/>
  <c r="W36" i="84"/>
  <c r="U36" i="84"/>
  <c r="S36" i="84"/>
  <c r="AE35" i="84"/>
  <c r="AC35" i="84"/>
  <c r="AA35" i="84"/>
  <c r="Y35" i="84"/>
  <c r="W35" i="84"/>
  <c r="U35" i="84"/>
  <c r="S35" i="84"/>
  <c r="D34" i="84"/>
  <c r="E34" i="84" s="1"/>
  <c r="E33" i="84"/>
  <c r="D33" i="84"/>
  <c r="D32" i="84"/>
  <c r="E32" i="84" s="1"/>
  <c r="D31" i="84"/>
  <c r="E31" i="84" s="1"/>
  <c r="E30" i="84"/>
  <c r="D30" i="84"/>
  <c r="D29" i="84"/>
  <c r="E29" i="84" s="1"/>
  <c r="X25" i="84"/>
  <c r="T25" i="84"/>
  <c r="T24" i="84"/>
  <c r="R24" i="84"/>
  <c r="AD17" i="84"/>
  <c r="AD25" i="84" s="1"/>
  <c r="AB17" i="84"/>
  <c r="AB25" i="84" s="1"/>
  <c r="Z17" i="84"/>
  <c r="Z25" i="84" s="1"/>
  <c r="X17" i="84"/>
  <c r="V17" i="84"/>
  <c r="V25" i="84" s="1"/>
  <c r="T17" i="84"/>
  <c r="R17" i="84"/>
  <c r="R25" i="84" s="1"/>
  <c r="AD16" i="84"/>
  <c r="AD18" i="84" s="1"/>
  <c r="AD26" i="84" s="1"/>
  <c r="AB16" i="84"/>
  <c r="AB24" i="84" s="1"/>
  <c r="Z16" i="84"/>
  <c r="AB18" i="84" s="1"/>
  <c r="AB26" i="84" s="1"/>
  <c r="X16" i="84"/>
  <c r="V16" i="84"/>
  <c r="V18" i="84" s="1"/>
  <c r="V26" i="84" s="1"/>
  <c r="T16" i="84"/>
  <c r="R16" i="84"/>
  <c r="T18" i="84" s="1"/>
  <c r="T26" i="84" s="1"/>
  <c r="P16" i="84"/>
  <c r="O16" i="84"/>
  <c r="N16" i="84"/>
  <c r="L16" i="84"/>
  <c r="K16" i="84"/>
  <c r="J16" i="84"/>
  <c r="H16" i="84"/>
  <c r="G16" i="84"/>
  <c r="F16" i="84"/>
  <c r="O15" i="84"/>
  <c r="O17" i="84" s="1"/>
  <c r="AA14" i="84"/>
  <c r="Y14" i="84"/>
  <c r="W14" i="84"/>
  <c r="U14" i="84"/>
  <c r="Q14" i="84"/>
  <c r="S14" i="84" s="1"/>
  <c r="M14" i="84"/>
  <c r="I14" i="84"/>
  <c r="O13" i="84"/>
  <c r="Q12" i="84"/>
  <c r="Y12" i="84" s="1"/>
  <c r="M12" i="84"/>
  <c r="I12" i="84"/>
  <c r="O11" i="84"/>
  <c r="S10" i="84"/>
  <c r="Q10" i="84"/>
  <c r="M10" i="84"/>
  <c r="I10" i="84"/>
  <c r="O9" i="84"/>
  <c r="AA8" i="84"/>
  <c r="W8" i="84"/>
  <c r="U8" i="84"/>
  <c r="S8" i="84"/>
  <c r="Q8" i="84"/>
  <c r="AE8" i="84" s="1"/>
  <c r="M8" i="84"/>
  <c r="I8" i="84"/>
  <c r="O7" i="84"/>
  <c r="AE6" i="84"/>
  <c r="AC6" i="84"/>
  <c r="Q6" i="84"/>
  <c r="AA6" i="84" s="1"/>
  <c r="M6" i="84"/>
  <c r="I6" i="84"/>
  <c r="C3" i="84"/>
  <c r="AE64" i="83"/>
  <c r="AC64" i="83"/>
  <c r="AA64" i="83"/>
  <c r="Y64" i="83"/>
  <c r="W64" i="83"/>
  <c r="U64" i="83"/>
  <c r="S64" i="83"/>
  <c r="AE63" i="83"/>
  <c r="AC63" i="83"/>
  <c r="AA63" i="83"/>
  <c r="Y63" i="83"/>
  <c r="W63" i="83"/>
  <c r="U63" i="83"/>
  <c r="S63" i="83"/>
  <c r="AE62" i="83"/>
  <c r="AC62" i="83"/>
  <c r="AA62" i="83"/>
  <c r="Y62" i="83"/>
  <c r="W62" i="83"/>
  <c r="U62" i="83"/>
  <c r="S62" i="83"/>
  <c r="AE61" i="83"/>
  <c r="AC61" i="83"/>
  <c r="AA61" i="83"/>
  <c r="Y61" i="83"/>
  <c r="W61" i="83"/>
  <c r="U61" i="83"/>
  <c r="S61" i="83"/>
  <c r="AE60" i="83"/>
  <c r="AC60" i="83"/>
  <c r="AA60" i="83"/>
  <c r="Y60" i="83"/>
  <c r="W60" i="83"/>
  <c r="U60" i="83"/>
  <c r="S60" i="83"/>
  <c r="AE59" i="83"/>
  <c r="AC59" i="83"/>
  <c r="AA59" i="83"/>
  <c r="Y59" i="83"/>
  <c r="W59" i="83"/>
  <c r="U59" i="83"/>
  <c r="S59" i="83"/>
  <c r="AE58" i="83"/>
  <c r="AC58" i="83"/>
  <c r="AA58" i="83"/>
  <c r="Y58" i="83"/>
  <c r="W58" i="83"/>
  <c r="U58" i="83"/>
  <c r="S58" i="83"/>
  <c r="AE57" i="83"/>
  <c r="AC57" i="83"/>
  <c r="AA57" i="83"/>
  <c r="Y57" i="83"/>
  <c r="W57" i="83"/>
  <c r="U57" i="83"/>
  <c r="S57" i="83"/>
  <c r="AE56" i="83"/>
  <c r="AC56" i="83"/>
  <c r="AA56" i="83"/>
  <c r="Y56" i="83"/>
  <c r="W56" i="83"/>
  <c r="U56" i="83"/>
  <c r="S56" i="83"/>
  <c r="AE55" i="83"/>
  <c r="AC55" i="83"/>
  <c r="AA55" i="83"/>
  <c r="Y55" i="83"/>
  <c r="W55" i="83"/>
  <c r="U55" i="83"/>
  <c r="S55" i="83"/>
  <c r="AE54" i="83"/>
  <c r="AC54" i="83"/>
  <c r="AA54" i="83"/>
  <c r="Y54" i="83"/>
  <c r="W54" i="83"/>
  <c r="U54" i="83"/>
  <c r="S54" i="83"/>
  <c r="AE53" i="83"/>
  <c r="AC53" i="83"/>
  <c r="AA53" i="83"/>
  <c r="Y53" i="83"/>
  <c r="W53" i="83"/>
  <c r="U53" i="83"/>
  <c r="S53" i="83"/>
  <c r="AE52" i="83"/>
  <c r="AC52" i="83"/>
  <c r="AA52" i="83"/>
  <c r="Y52" i="83"/>
  <c r="W52" i="83"/>
  <c r="U52" i="83"/>
  <c r="S52" i="83"/>
  <c r="AE51" i="83"/>
  <c r="AC51" i="83"/>
  <c r="AA51" i="83"/>
  <c r="Y51" i="83"/>
  <c r="W51" i="83"/>
  <c r="U51" i="83"/>
  <c r="S51" i="83"/>
  <c r="AE50" i="83"/>
  <c r="AC50" i="83"/>
  <c r="AA50" i="83"/>
  <c r="Y50" i="83"/>
  <c r="W50" i="83"/>
  <c r="U50" i="83"/>
  <c r="S50" i="83"/>
  <c r="AE49" i="83"/>
  <c r="AC49" i="83"/>
  <c r="AA49" i="83"/>
  <c r="Y49" i="83"/>
  <c r="W49" i="83"/>
  <c r="U49" i="83"/>
  <c r="S49" i="83"/>
  <c r="AE48" i="83"/>
  <c r="AC48" i="83"/>
  <c r="AA48" i="83"/>
  <c r="Y48" i="83"/>
  <c r="W48" i="83"/>
  <c r="U48" i="83"/>
  <c r="S48" i="83"/>
  <c r="AE47" i="83"/>
  <c r="AC47" i="83"/>
  <c r="AA47" i="83"/>
  <c r="Y47" i="83"/>
  <c r="W47" i="83"/>
  <c r="U47" i="83"/>
  <c r="S47" i="83"/>
  <c r="AE46" i="83"/>
  <c r="AC46" i="83"/>
  <c r="AA46" i="83"/>
  <c r="Y46" i="83"/>
  <c r="W46" i="83"/>
  <c r="U46" i="83"/>
  <c r="S46" i="83"/>
  <c r="AE45" i="83"/>
  <c r="AC45" i="83"/>
  <c r="AA45" i="83"/>
  <c r="Y45" i="83"/>
  <c r="W45" i="83"/>
  <c r="U45" i="83"/>
  <c r="S45" i="83"/>
  <c r="AE44" i="83"/>
  <c r="AC44" i="83"/>
  <c r="AA44" i="83"/>
  <c r="Y44" i="83"/>
  <c r="W44" i="83"/>
  <c r="U44" i="83"/>
  <c r="S44" i="83"/>
  <c r="AE43" i="83"/>
  <c r="AC43" i="83"/>
  <c r="AA43" i="83"/>
  <c r="Y43" i="83"/>
  <c r="W43" i="83"/>
  <c r="U43" i="83"/>
  <c r="S43" i="83"/>
  <c r="AE42" i="83"/>
  <c r="AC42" i="83"/>
  <c r="AA42" i="83"/>
  <c r="Y42" i="83"/>
  <c r="W42" i="83"/>
  <c r="U42" i="83"/>
  <c r="S42" i="83"/>
  <c r="AE41" i="83"/>
  <c r="AC41" i="83"/>
  <c r="AA41" i="83"/>
  <c r="Y41" i="83"/>
  <c r="W41" i="83"/>
  <c r="U41" i="83"/>
  <c r="S41" i="83"/>
  <c r="AE40" i="83"/>
  <c r="AC40" i="83"/>
  <c r="AA40" i="83"/>
  <c r="Y40" i="83"/>
  <c r="W40" i="83"/>
  <c r="U40" i="83"/>
  <c r="S40" i="83"/>
  <c r="AE39" i="83"/>
  <c r="AC39" i="83"/>
  <c r="AA39" i="83"/>
  <c r="Y39" i="83"/>
  <c r="W39" i="83"/>
  <c r="U39" i="83"/>
  <c r="S39" i="83"/>
  <c r="AE38" i="83"/>
  <c r="AC38" i="83"/>
  <c r="AA38" i="83"/>
  <c r="Y38" i="83"/>
  <c r="W38" i="83"/>
  <c r="U38" i="83"/>
  <c r="S38" i="83"/>
  <c r="AE37" i="83"/>
  <c r="AC37" i="83"/>
  <c r="AA37" i="83"/>
  <c r="Y37" i="83"/>
  <c r="W37" i="83"/>
  <c r="U37" i="83"/>
  <c r="S37" i="83"/>
  <c r="AE36" i="83"/>
  <c r="AC36" i="83"/>
  <c r="AA36" i="83"/>
  <c r="Y36" i="83"/>
  <c r="W36" i="83"/>
  <c r="U36" i="83"/>
  <c r="S36" i="83"/>
  <c r="AE35" i="83"/>
  <c r="AC35" i="83"/>
  <c r="AA35" i="83"/>
  <c r="Y35" i="83"/>
  <c r="W35" i="83"/>
  <c r="U35" i="83"/>
  <c r="S35" i="83"/>
  <c r="D34" i="83"/>
  <c r="E34" i="83" s="1"/>
  <c r="D33" i="83"/>
  <c r="E33" i="83" s="1"/>
  <c r="D32" i="83"/>
  <c r="E32" i="83" s="1"/>
  <c r="D31" i="83"/>
  <c r="E31" i="83" s="1"/>
  <c r="D30" i="83"/>
  <c r="E30" i="83" s="1"/>
  <c r="D29" i="83"/>
  <c r="E29" i="83" s="1"/>
  <c r="AB25" i="83"/>
  <c r="AB24" i="83"/>
  <c r="Z24" i="83"/>
  <c r="X24" i="83"/>
  <c r="Z18" i="83"/>
  <c r="Z26" i="83" s="1"/>
  <c r="AD17" i="83"/>
  <c r="AD25" i="83" s="1"/>
  <c r="AB17" i="83"/>
  <c r="Z17" i="83"/>
  <c r="Z25" i="83" s="1"/>
  <c r="X17" i="83"/>
  <c r="X25" i="83" s="1"/>
  <c r="V17" i="83"/>
  <c r="V25" i="83" s="1"/>
  <c r="T17" i="83"/>
  <c r="T25" i="83" s="1"/>
  <c r="R17" i="83"/>
  <c r="R25" i="83" s="1"/>
  <c r="AD16" i="83"/>
  <c r="AD24" i="83" s="1"/>
  <c r="AB16" i="83"/>
  <c r="Z16" i="83"/>
  <c r="X16" i="83"/>
  <c r="X18" i="83" s="1"/>
  <c r="X26" i="83" s="1"/>
  <c r="V16" i="83"/>
  <c r="V24" i="83" s="1"/>
  <c r="T16" i="83"/>
  <c r="R16" i="83"/>
  <c r="R18" i="83" s="1"/>
  <c r="R26" i="83" s="1"/>
  <c r="P16" i="83"/>
  <c r="O16" i="83"/>
  <c r="N16" i="83"/>
  <c r="L16" i="83"/>
  <c r="K16" i="83"/>
  <c r="J16" i="83"/>
  <c r="H16" i="83"/>
  <c r="G16" i="83"/>
  <c r="F16" i="83"/>
  <c r="Q14" i="83"/>
  <c r="Y14" i="83" s="1"/>
  <c r="M14" i="83"/>
  <c r="I14" i="83"/>
  <c r="O13" i="83"/>
  <c r="Q12" i="83"/>
  <c r="S12" i="83" s="1"/>
  <c r="M12" i="83"/>
  <c r="I12" i="83"/>
  <c r="O11" i="83"/>
  <c r="AC10" i="83"/>
  <c r="Y10" i="83"/>
  <c r="Q10" i="83"/>
  <c r="AE10" i="83" s="1"/>
  <c r="M10" i="83"/>
  <c r="I10" i="83"/>
  <c r="O9" i="83"/>
  <c r="AE8" i="83"/>
  <c r="U8" i="83"/>
  <c r="S8" i="83"/>
  <c r="Q8" i="83"/>
  <c r="AA8" i="83" s="1"/>
  <c r="M8" i="83"/>
  <c r="I8" i="83"/>
  <c r="O7" i="83"/>
  <c r="Q6" i="83"/>
  <c r="AC6" i="83" s="1"/>
  <c r="M6" i="83"/>
  <c r="I6" i="83"/>
  <c r="C3" i="83"/>
  <c r="AE64" i="82"/>
  <c r="AC64" i="82"/>
  <c r="AA64" i="82"/>
  <c r="Y64" i="82"/>
  <c r="W64" i="82"/>
  <c r="U64" i="82"/>
  <c r="S64" i="82"/>
  <c r="AE63" i="82"/>
  <c r="AC63" i="82"/>
  <c r="AA63" i="82"/>
  <c r="Y63" i="82"/>
  <c r="W63" i="82"/>
  <c r="U63" i="82"/>
  <c r="S63" i="82"/>
  <c r="AE62" i="82"/>
  <c r="AC62" i="82"/>
  <c r="AA62" i="82"/>
  <c r="Y62" i="82"/>
  <c r="W62" i="82"/>
  <c r="U62" i="82"/>
  <c r="S62" i="82"/>
  <c r="AE61" i="82"/>
  <c r="AC61" i="82"/>
  <c r="AA61" i="82"/>
  <c r="Y61" i="82"/>
  <c r="W61" i="82"/>
  <c r="U61" i="82"/>
  <c r="S61" i="82"/>
  <c r="AE60" i="82"/>
  <c r="AC60" i="82"/>
  <c r="AA60" i="82"/>
  <c r="Y60" i="82"/>
  <c r="W60" i="82"/>
  <c r="U60" i="82"/>
  <c r="S60" i="82"/>
  <c r="AE59" i="82"/>
  <c r="AC59" i="82"/>
  <c r="AA59" i="82"/>
  <c r="Y59" i="82"/>
  <c r="W59" i="82"/>
  <c r="U59" i="82"/>
  <c r="S59" i="82"/>
  <c r="AE58" i="82"/>
  <c r="AC58" i="82"/>
  <c r="AA58" i="82"/>
  <c r="Y58" i="82"/>
  <c r="W58" i="82"/>
  <c r="U58" i="82"/>
  <c r="S58" i="82"/>
  <c r="AE57" i="82"/>
  <c r="AC57" i="82"/>
  <c r="AA57" i="82"/>
  <c r="Y57" i="82"/>
  <c r="W57" i="82"/>
  <c r="U57" i="82"/>
  <c r="S57" i="82"/>
  <c r="AE56" i="82"/>
  <c r="AC56" i="82"/>
  <c r="AA56" i="82"/>
  <c r="Y56" i="82"/>
  <c r="W56" i="82"/>
  <c r="U56" i="82"/>
  <c r="S56" i="82"/>
  <c r="AE55" i="82"/>
  <c r="AC55" i="82"/>
  <c r="AA55" i="82"/>
  <c r="Y55" i="82"/>
  <c r="W55" i="82"/>
  <c r="U55" i="82"/>
  <c r="S55" i="82"/>
  <c r="AE54" i="82"/>
  <c r="AC54" i="82"/>
  <c r="AA54" i="82"/>
  <c r="Y54" i="82"/>
  <c r="W54" i="82"/>
  <c r="U54" i="82"/>
  <c r="S54" i="82"/>
  <c r="AE53" i="82"/>
  <c r="AC53" i="82"/>
  <c r="AA53" i="82"/>
  <c r="Y53" i="82"/>
  <c r="W53" i="82"/>
  <c r="U53" i="82"/>
  <c r="S53" i="82"/>
  <c r="AE52" i="82"/>
  <c r="AC52" i="82"/>
  <c r="AA52" i="82"/>
  <c r="Y52" i="82"/>
  <c r="W52" i="82"/>
  <c r="U52" i="82"/>
  <c r="S52" i="82"/>
  <c r="AE51" i="82"/>
  <c r="AC51" i="82"/>
  <c r="AA51" i="82"/>
  <c r="Y51" i="82"/>
  <c r="W51" i="82"/>
  <c r="U51" i="82"/>
  <c r="S51" i="82"/>
  <c r="AE50" i="82"/>
  <c r="AC50" i="82"/>
  <c r="AA50" i="82"/>
  <c r="Y50" i="82"/>
  <c r="W50" i="82"/>
  <c r="U50" i="82"/>
  <c r="S50" i="82"/>
  <c r="AE49" i="82"/>
  <c r="AC49" i="82"/>
  <c r="AA49" i="82"/>
  <c r="Y49" i="82"/>
  <c r="W49" i="82"/>
  <c r="U49" i="82"/>
  <c r="S49" i="82"/>
  <c r="AE48" i="82"/>
  <c r="AC48" i="82"/>
  <c r="AA48" i="82"/>
  <c r="Y48" i="82"/>
  <c r="W48" i="82"/>
  <c r="U48" i="82"/>
  <c r="S48" i="82"/>
  <c r="AE47" i="82"/>
  <c r="AC47" i="82"/>
  <c r="AA47" i="82"/>
  <c r="Y47" i="82"/>
  <c r="W47" i="82"/>
  <c r="U47" i="82"/>
  <c r="S47" i="82"/>
  <c r="AE46" i="82"/>
  <c r="AC46" i="82"/>
  <c r="AA46" i="82"/>
  <c r="Y46" i="82"/>
  <c r="W46" i="82"/>
  <c r="U46" i="82"/>
  <c r="S46" i="82"/>
  <c r="AE45" i="82"/>
  <c r="AC45" i="82"/>
  <c r="AA45" i="82"/>
  <c r="Y45" i="82"/>
  <c r="W45" i="82"/>
  <c r="U45" i="82"/>
  <c r="S45" i="82"/>
  <c r="AE44" i="82"/>
  <c r="AC44" i="82"/>
  <c r="AA44" i="82"/>
  <c r="Y44" i="82"/>
  <c r="W44" i="82"/>
  <c r="U44" i="82"/>
  <c r="S44" i="82"/>
  <c r="AE43" i="82"/>
  <c r="AC43" i="82"/>
  <c r="AA43" i="82"/>
  <c r="Y43" i="82"/>
  <c r="W43" i="82"/>
  <c r="U43" i="82"/>
  <c r="S43" i="82"/>
  <c r="AE42" i="82"/>
  <c r="AC42" i="82"/>
  <c r="AA42" i="82"/>
  <c r="Y42" i="82"/>
  <c r="W42" i="82"/>
  <c r="U42" i="82"/>
  <c r="S42" i="82"/>
  <c r="AE41" i="82"/>
  <c r="AC41" i="82"/>
  <c r="AA41" i="82"/>
  <c r="Y41" i="82"/>
  <c r="W41" i="82"/>
  <c r="U41" i="82"/>
  <c r="S41" i="82"/>
  <c r="AE40" i="82"/>
  <c r="AC40" i="82"/>
  <c r="AA40" i="82"/>
  <c r="Y40" i="82"/>
  <c r="W40" i="82"/>
  <c r="U40" i="82"/>
  <c r="S40" i="82"/>
  <c r="AE39" i="82"/>
  <c r="AC39" i="82"/>
  <c r="AA39" i="82"/>
  <c r="Y39" i="82"/>
  <c r="W39" i="82"/>
  <c r="U39" i="82"/>
  <c r="S39" i="82"/>
  <c r="AE38" i="82"/>
  <c r="AC38" i="82"/>
  <c r="AA38" i="82"/>
  <c r="Y38" i="82"/>
  <c r="W38" i="82"/>
  <c r="U38" i="82"/>
  <c r="S38" i="82"/>
  <c r="AE37" i="82"/>
  <c r="AC37" i="82"/>
  <c r="AA37" i="82"/>
  <c r="Y37" i="82"/>
  <c r="W37" i="82"/>
  <c r="U37" i="82"/>
  <c r="S37" i="82"/>
  <c r="AE36" i="82"/>
  <c r="AC36" i="82"/>
  <c r="AA36" i="82"/>
  <c r="Y36" i="82"/>
  <c r="W36" i="82"/>
  <c r="U36" i="82"/>
  <c r="S36" i="82"/>
  <c r="AE35" i="82"/>
  <c r="AC35" i="82"/>
  <c r="AA35" i="82"/>
  <c r="Y35" i="82"/>
  <c r="W35" i="82"/>
  <c r="U35" i="82"/>
  <c r="S35" i="82"/>
  <c r="D34" i="82"/>
  <c r="E34" i="82" s="1"/>
  <c r="D33" i="82"/>
  <c r="E33" i="82" s="1"/>
  <c r="E32" i="82"/>
  <c r="D32" i="82"/>
  <c r="D31" i="82"/>
  <c r="E31" i="82" s="1"/>
  <c r="D30" i="82"/>
  <c r="E30" i="82" s="1"/>
  <c r="D29" i="82"/>
  <c r="E29" i="82" s="1"/>
  <c r="T25" i="82"/>
  <c r="Z24" i="82"/>
  <c r="Z18" i="82"/>
  <c r="Z26" i="82" s="1"/>
  <c r="R18" i="82"/>
  <c r="R26" i="82" s="1"/>
  <c r="AD17" i="82"/>
  <c r="AD25" i="82" s="1"/>
  <c r="AB17" i="82"/>
  <c r="AB25" i="82" s="1"/>
  <c r="Z17" i="82"/>
  <c r="Z25" i="82" s="1"/>
  <c r="X17" i="82"/>
  <c r="X25" i="82" s="1"/>
  <c r="V17" i="82"/>
  <c r="V25" i="82" s="1"/>
  <c r="T17" i="82"/>
  <c r="R17" i="82"/>
  <c r="R25" i="82" s="1"/>
  <c r="AD16" i="82"/>
  <c r="AD24" i="82" s="1"/>
  <c r="AB16" i="82"/>
  <c r="AB18" i="82" s="1"/>
  <c r="AB26" i="82" s="1"/>
  <c r="Z16" i="82"/>
  <c r="X16" i="82"/>
  <c r="V16" i="82"/>
  <c r="T16" i="82"/>
  <c r="R16" i="82"/>
  <c r="R24" i="82" s="1"/>
  <c r="P16" i="82"/>
  <c r="O16" i="82"/>
  <c r="N16" i="82"/>
  <c r="L16" i="82"/>
  <c r="K16" i="82"/>
  <c r="J16" i="82"/>
  <c r="H16" i="82"/>
  <c r="G16" i="82"/>
  <c r="F16" i="82"/>
  <c r="O15" i="82"/>
  <c r="AE14" i="82"/>
  <c r="W14" i="82"/>
  <c r="U14" i="82"/>
  <c r="S14" i="82"/>
  <c r="Q14" i="82"/>
  <c r="AC14" i="82" s="1"/>
  <c r="M14" i="82"/>
  <c r="I14" i="82"/>
  <c r="O13" i="82"/>
  <c r="AC12" i="82"/>
  <c r="AA12" i="82"/>
  <c r="Y12" i="82"/>
  <c r="U12" i="82"/>
  <c r="S12" i="82"/>
  <c r="Q12" i="82"/>
  <c r="W12" i="82" s="1"/>
  <c r="M12" i="82"/>
  <c r="I12" i="82"/>
  <c r="O11" i="82"/>
  <c r="O17" i="82" s="1"/>
  <c r="AE10" i="82"/>
  <c r="Q10" i="82"/>
  <c r="M10" i="82"/>
  <c r="I10" i="82"/>
  <c r="O9" i="82"/>
  <c r="U8" i="82"/>
  <c r="S8" i="82"/>
  <c r="Q8" i="82"/>
  <c r="M8" i="82"/>
  <c r="I8" i="82"/>
  <c r="O7" i="82"/>
  <c r="Q6" i="82"/>
  <c r="M6" i="82"/>
  <c r="I6" i="82"/>
  <c r="I16" i="82" s="1"/>
  <c r="C3" i="82"/>
  <c r="AE64" i="81"/>
  <c r="AC64" i="81"/>
  <c r="AA64" i="81"/>
  <c r="Y64" i="81"/>
  <c r="W64" i="81"/>
  <c r="U64" i="81"/>
  <c r="S64" i="81"/>
  <c r="AE63" i="81"/>
  <c r="AC63" i="81"/>
  <c r="AA63" i="81"/>
  <c r="Y63" i="81"/>
  <c r="W63" i="81"/>
  <c r="U63" i="81"/>
  <c r="S63" i="81"/>
  <c r="AE62" i="81"/>
  <c r="AC62" i="81"/>
  <c r="AA62" i="81"/>
  <c r="Y62" i="81"/>
  <c r="W62" i="81"/>
  <c r="U62" i="81"/>
  <c r="S62" i="81"/>
  <c r="AE61" i="81"/>
  <c r="AC61" i="81"/>
  <c r="AA61" i="81"/>
  <c r="Y61" i="81"/>
  <c r="W61" i="81"/>
  <c r="U61" i="81"/>
  <c r="S61" i="81"/>
  <c r="AE60" i="81"/>
  <c r="AC60" i="81"/>
  <c r="AA60" i="81"/>
  <c r="Y60" i="81"/>
  <c r="W60" i="81"/>
  <c r="U60" i="81"/>
  <c r="S60" i="81"/>
  <c r="AE59" i="81"/>
  <c r="AC59" i="81"/>
  <c r="AA59" i="81"/>
  <c r="Y59" i="81"/>
  <c r="W59" i="81"/>
  <c r="U59" i="81"/>
  <c r="S59" i="81"/>
  <c r="AE58" i="81"/>
  <c r="AC58" i="81"/>
  <c r="AA58" i="81"/>
  <c r="Y58" i="81"/>
  <c r="W58" i="81"/>
  <c r="U58" i="81"/>
  <c r="S58" i="81"/>
  <c r="AE57" i="81"/>
  <c r="AC57" i="81"/>
  <c r="AA57" i="81"/>
  <c r="Y57" i="81"/>
  <c r="W57" i="81"/>
  <c r="U57" i="81"/>
  <c r="S57" i="81"/>
  <c r="AE56" i="81"/>
  <c r="AC56" i="81"/>
  <c r="AA56" i="81"/>
  <c r="Y56" i="81"/>
  <c r="W56" i="81"/>
  <c r="U56" i="81"/>
  <c r="S56" i="81"/>
  <c r="AE55" i="81"/>
  <c r="AC55" i="81"/>
  <c r="AA55" i="81"/>
  <c r="Y55" i="81"/>
  <c r="W55" i="81"/>
  <c r="U55" i="81"/>
  <c r="S55" i="81"/>
  <c r="AE54" i="81"/>
  <c r="AC54" i="81"/>
  <c r="AA54" i="81"/>
  <c r="Y54" i="81"/>
  <c r="W54" i="81"/>
  <c r="U54" i="81"/>
  <c r="S54" i="81"/>
  <c r="AE53" i="81"/>
  <c r="AC53" i="81"/>
  <c r="AA53" i="81"/>
  <c r="Y53" i="81"/>
  <c r="W53" i="81"/>
  <c r="U53" i="81"/>
  <c r="S53" i="81"/>
  <c r="AE52" i="81"/>
  <c r="AC52" i="81"/>
  <c r="AA52" i="81"/>
  <c r="Y52" i="81"/>
  <c r="W52" i="81"/>
  <c r="U52" i="81"/>
  <c r="S52" i="81"/>
  <c r="AE51" i="81"/>
  <c r="AC51" i="81"/>
  <c r="AA51" i="81"/>
  <c r="Y51" i="81"/>
  <c r="W51" i="81"/>
  <c r="U51" i="81"/>
  <c r="S51" i="81"/>
  <c r="AE50" i="81"/>
  <c r="AC50" i="81"/>
  <c r="AA50" i="81"/>
  <c r="Y50" i="81"/>
  <c r="W50" i="81"/>
  <c r="U50" i="81"/>
  <c r="S50" i="81"/>
  <c r="AE49" i="81"/>
  <c r="AC49" i="81"/>
  <c r="AA49" i="81"/>
  <c r="Y49" i="81"/>
  <c r="W49" i="81"/>
  <c r="U49" i="81"/>
  <c r="S49" i="81"/>
  <c r="AE48" i="81"/>
  <c r="AC48" i="81"/>
  <c r="AA48" i="81"/>
  <c r="Y48" i="81"/>
  <c r="W48" i="81"/>
  <c r="U48" i="81"/>
  <c r="S48" i="81"/>
  <c r="AE47" i="81"/>
  <c r="AC47" i="81"/>
  <c r="AA47" i="81"/>
  <c r="Y47" i="81"/>
  <c r="W47" i="81"/>
  <c r="U47" i="81"/>
  <c r="S47" i="81"/>
  <c r="AE46" i="81"/>
  <c r="AC46" i="81"/>
  <c r="AA46" i="81"/>
  <c r="Y46" i="81"/>
  <c r="W46" i="81"/>
  <c r="U46" i="81"/>
  <c r="S46" i="81"/>
  <c r="AE45" i="81"/>
  <c r="AC45" i="81"/>
  <c r="AA45" i="81"/>
  <c r="Y45" i="81"/>
  <c r="W45" i="81"/>
  <c r="U45" i="81"/>
  <c r="S45" i="81"/>
  <c r="AE44" i="81"/>
  <c r="AC44" i="81"/>
  <c r="AA44" i="81"/>
  <c r="Y44" i="81"/>
  <c r="W44" i="81"/>
  <c r="U44" i="81"/>
  <c r="S44" i="81"/>
  <c r="AE43" i="81"/>
  <c r="AC43" i="81"/>
  <c r="AA43" i="81"/>
  <c r="Y43" i="81"/>
  <c r="W43" i="81"/>
  <c r="U43" i="81"/>
  <c r="S43" i="81"/>
  <c r="AE42" i="81"/>
  <c r="AC42" i="81"/>
  <c r="AA42" i="81"/>
  <c r="Y42" i="81"/>
  <c r="W42" i="81"/>
  <c r="U42" i="81"/>
  <c r="S42" i="81"/>
  <c r="AE41" i="81"/>
  <c r="AC41" i="81"/>
  <c r="AA41" i="81"/>
  <c r="Y41" i="81"/>
  <c r="W41" i="81"/>
  <c r="U41" i="81"/>
  <c r="S41" i="81"/>
  <c r="AE40" i="81"/>
  <c r="AC40" i="81"/>
  <c r="AA40" i="81"/>
  <c r="Y40" i="81"/>
  <c r="W40" i="81"/>
  <c r="U40" i="81"/>
  <c r="S40" i="81"/>
  <c r="AE39" i="81"/>
  <c r="AC39" i="81"/>
  <c r="AA39" i="81"/>
  <c r="Y39" i="81"/>
  <c r="W39" i="81"/>
  <c r="U39" i="81"/>
  <c r="S39" i="81"/>
  <c r="AE38" i="81"/>
  <c r="AC38" i="81"/>
  <c r="AA38" i="81"/>
  <c r="Y38" i="81"/>
  <c r="W38" i="81"/>
  <c r="U38" i="81"/>
  <c r="S38" i="81"/>
  <c r="AE37" i="81"/>
  <c r="AC37" i="81"/>
  <c r="AA37" i="81"/>
  <c r="Y37" i="81"/>
  <c r="W37" i="81"/>
  <c r="U37" i="81"/>
  <c r="S37" i="81"/>
  <c r="AE36" i="81"/>
  <c r="AC36" i="81"/>
  <c r="AA36" i="81"/>
  <c r="Y36" i="81"/>
  <c r="W36" i="81"/>
  <c r="U36" i="81"/>
  <c r="S36" i="81"/>
  <c r="AE35" i="81"/>
  <c r="AC35" i="81"/>
  <c r="AA35" i="81"/>
  <c r="Y35" i="81"/>
  <c r="W35" i="81"/>
  <c r="U35" i="81"/>
  <c r="S35" i="81"/>
  <c r="D34" i="81"/>
  <c r="E34" i="81" s="1"/>
  <c r="D33" i="81"/>
  <c r="E33" i="81" s="1"/>
  <c r="E32" i="81"/>
  <c r="D32" i="81"/>
  <c r="D31" i="81"/>
  <c r="E31" i="81" s="1"/>
  <c r="D30" i="81"/>
  <c r="E30" i="81" s="1"/>
  <c r="D29" i="81"/>
  <c r="E29" i="81" s="1"/>
  <c r="AD24" i="81"/>
  <c r="V24" i="81"/>
  <c r="AD17" i="81"/>
  <c r="AD25" i="81" s="1"/>
  <c r="AB17" i="81"/>
  <c r="AB25" i="81" s="1"/>
  <c r="Z17" i="81"/>
  <c r="Z25" i="81" s="1"/>
  <c r="X17" i="81"/>
  <c r="X25" i="81" s="1"/>
  <c r="V17" i="81"/>
  <c r="V25" i="81" s="1"/>
  <c r="T17" i="81"/>
  <c r="T25" i="81" s="1"/>
  <c r="R17" i="81"/>
  <c r="R25" i="81" s="1"/>
  <c r="AD16" i="81"/>
  <c r="AB16" i="81"/>
  <c r="Z16" i="81"/>
  <c r="X16" i="81"/>
  <c r="V16" i="81"/>
  <c r="V18" i="81" s="1"/>
  <c r="V26" i="81" s="1"/>
  <c r="T16" i="81"/>
  <c r="T18" i="81" s="1"/>
  <c r="T26" i="81" s="1"/>
  <c r="R16" i="81"/>
  <c r="P16" i="81"/>
  <c r="O16" i="81"/>
  <c r="N16" i="81"/>
  <c r="L16" i="81"/>
  <c r="K16" i="81"/>
  <c r="J16" i="81"/>
  <c r="H16" i="81"/>
  <c r="G16" i="81"/>
  <c r="F16" i="81"/>
  <c r="O15" i="81"/>
  <c r="AA14" i="81"/>
  <c r="Q14" i="81"/>
  <c r="Y14" i="81" s="1"/>
  <c r="M14" i="81"/>
  <c r="I14" i="81"/>
  <c r="O13" i="81"/>
  <c r="Q12" i="81"/>
  <c r="M12" i="81"/>
  <c r="I12" i="81"/>
  <c r="O11" i="81"/>
  <c r="Q10" i="81"/>
  <c r="M10" i="81"/>
  <c r="I10" i="81"/>
  <c r="O9" i="81"/>
  <c r="AE8" i="81"/>
  <c r="AC8" i="81"/>
  <c r="Y8" i="81"/>
  <c r="U8" i="81"/>
  <c r="S8" i="81"/>
  <c r="Q8" i="81"/>
  <c r="AA8" i="81" s="1"/>
  <c r="M8" i="81"/>
  <c r="I8" i="81"/>
  <c r="O7" i="81"/>
  <c r="U6" i="81"/>
  <c r="Q6" i="81"/>
  <c r="S6" i="81" s="1"/>
  <c r="M6" i="81"/>
  <c r="I6" i="81"/>
  <c r="C3" i="81"/>
  <c r="AE64" i="80"/>
  <c r="AC64" i="80"/>
  <c r="AA64" i="80"/>
  <c r="Y64" i="80"/>
  <c r="W64" i="80"/>
  <c r="U64" i="80"/>
  <c r="S64" i="80"/>
  <c r="AE63" i="80"/>
  <c r="AC63" i="80"/>
  <c r="AA63" i="80"/>
  <c r="Y63" i="80"/>
  <c r="W63" i="80"/>
  <c r="U63" i="80"/>
  <c r="S63" i="80"/>
  <c r="AE62" i="80"/>
  <c r="AC62" i="80"/>
  <c r="AA62" i="80"/>
  <c r="Y62" i="80"/>
  <c r="W62" i="80"/>
  <c r="U62" i="80"/>
  <c r="S62" i="80"/>
  <c r="AE61" i="80"/>
  <c r="AC61" i="80"/>
  <c r="AA61" i="80"/>
  <c r="Y61" i="80"/>
  <c r="W61" i="80"/>
  <c r="U61" i="80"/>
  <c r="S61" i="80"/>
  <c r="AE60" i="80"/>
  <c r="AC60" i="80"/>
  <c r="AA60" i="80"/>
  <c r="Y60" i="80"/>
  <c r="W60" i="80"/>
  <c r="U60" i="80"/>
  <c r="S60" i="80"/>
  <c r="AE59" i="80"/>
  <c r="AC59" i="80"/>
  <c r="AA59" i="80"/>
  <c r="Y59" i="80"/>
  <c r="W59" i="80"/>
  <c r="U59" i="80"/>
  <c r="S59" i="80"/>
  <c r="AE58" i="80"/>
  <c r="AC58" i="80"/>
  <c r="AA58" i="80"/>
  <c r="Y58" i="80"/>
  <c r="W58" i="80"/>
  <c r="U58" i="80"/>
  <c r="S58" i="80"/>
  <c r="AE57" i="80"/>
  <c r="AC57" i="80"/>
  <c r="AA57" i="80"/>
  <c r="Y57" i="80"/>
  <c r="W57" i="80"/>
  <c r="U57" i="80"/>
  <c r="S57" i="80"/>
  <c r="AE56" i="80"/>
  <c r="AC56" i="80"/>
  <c r="AA56" i="80"/>
  <c r="Y56" i="80"/>
  <c r="W56" i="80"/>
  <c r="U56" i="80"/>
  <c r="S56" i="80"/>
  <c r="AE55" i="80"/>
  <c r="AC55" i="80"/>
  <c r="AA55" i="80"/>
  <c r="Y55" i="80"/>
  <c r="W55" i="80"/>
  <c r="U55" i="80"/>
  <c r="S55" i="80"/>
  <c r="AE54" i="80"/>
  <c r="AC54" i="80"/>
  <c r="AA54" i="80"/>
  <c r="Y54" i="80"/>
  <c r="W54" i="80"/>
  <c r="U54" i="80"/>
  <c r="S54" i="80"/>
  <c r="AE53" i="80"/>
  <c r="AC53" i="80"/>
  <c r="AA53" i="80"/>
  <c r="Y53" i="80"/>
  <c r="W53" i="80"/>
  <c r="U53" i="80"/>
  <c r="S53" i="80"/>
  <c r="AE52" i="80"/>
  <c r="AC52" i="80"/>
  <c r="AA52" i="80"/>
  <c r="Y52" i="80"/>
  <c r="W52" i="80"/>
  <c r="U52" i="80"/>
  <c r="S52" i="80"/>
  <c r="AE51" i="80"/>
  <c r="AC51" i="80"/>
  <c r="AA51" i="80"/>
  <c r="Y51" i="80"/>
  <c r="W51" i="80"/>
  <c r="U51" i="80"/>
  <c r="S51" i="80"/>
  <c r="AE50" i="80"/>
  <c r="AC50" i="80"/>
  <c r="AA50" i="80"/>
  <c r="Y50" i="80"/>
  <c r="W50" i="80"/>
  <c r="U50" i="80"/>
  <c r="S50" i="80"/>
  <c r="AE49" i="80"/>
  <c r="AC49" i="80"/>
  <c r="AA49" i="80"/>
  <c r="Y49" i="80"/>
  <c r="W49" i="80"/>
  <c r="U49" i="80"/>
  <c r="S49" i="80"/>
  <c r="AE48" i="80"/>
  <c r="AC48" i="80"/>
  <c r="AA48" i="80"/>
  <c r="Y48" i="80"/>
  <c r="W48" i="80"/>
  <c r="U48" i="80"/>
  <c r="S48" i="80"/>
  <c r="AE47" i="80"/>
  <c r="AC47" i="80"/>
  <c r="AA47" i="80"/>
  <c r="Y47" i="80"/>
  <c r="W47" i="80"/>
  <c r="U47" i="80"/>
  <c r="S47" i="80"/>
  <c r="AE46" i="80"/>
  <c r="AC46" i="80"/>
  <c r="AA46" i="80"/>
  <c r="Y46" i="80"/>
  <c r="W46" i="80"/>
  <c r="U46" i="80"/>
  <c r="S46" i="80"/>
  <c r="AE45" i="80"/>
  <c r="AC45" i="80"/>
  <c r="AA45" i="80"/>
  <c r="Y45" i="80"/>
  <c r="W45" i="80"/>
  <c r="U45" i="80"/>
  <c r="S45" i="80"/>
  <c r="AE44" i="80"/>
  <c r="AC44" i="80"/>
  <c r="AA44" i="80"/>
  <c r="Y44" i="80"/>
  <c r="W44" i="80"/>
  <c r="U44" i="80"/>
  <c r="S44" i="80"/>
  <c r="AE43" i="80"/>
  <c r="AC43" i="80"/>
  <c r="AA43" i="80"/>
  <c r="Y43" i="80"/>
  <c r="W43" i="80"/>
  <c r="U43" i="80"/>
  <c r="S43" i="80"/>
  <c r="AE42" i="80"/>
  <c r="AC42" i="80"/>
  <c r="AA42" i="80"/>
  <c r="Y42" i="80"/>
  <c r="W42" i="80"/>
  <c r="U42" i="80"/>
  <c r="S42" i="80"/>
  <c r="AE41" i="80"/>
  <c r="AC41" i="80"/>
  <c r="AA41" i="80"/>
  <c r="Y41" i="80"/>
  <c r="W41" i="80"/>
  <c r="U41" i="80"/>
  <c r="S41" i="80"/>
  <c r="AE40" i="80"/>
  <c r="AC40" i="80"/>
  <c r="AA40" i="80"/>
  <c r="Y40" i="80"/>
  <c r="W40" i="80"/>
  <c r="U40" i="80"/>
  <c r="S40" i="80"/>
  <c r="AE39" i="80"/>
  <c r="AC39" i="80"/>
  <c r="AA39" i="80"/>
  <c r="Y39" i="80"/>
  <c r="W39" i="80"/>
  <c r="U39" i="80"/>
  <c r="S39" i="80"/>
  <c r="AE38" i="80"/>
  <c r="AC38" i="80"/>
  <c r="AA38" i="80"/>
  <c r="Y38" i="80"/>
  <c r="W38" i="80"/>
  <c r="U38" i="80"/>
  <c r="S38" i="80"/>
  <c r="AE37" i="80"/>
  <c r="AC37" i="80"/>
  <c r="AA37" i="80"/>
  <c r="Y37" i="80"/>
  <c r="W37" i="80"/>
  <c r="U37" i="80"/>
  <c r="S37" i="80"/>
  <c r="AE36" i="80"/>
  <c r="AC36" i="80"/>
  <c r="AA36" i="80"/>
  <c r="Y36" i="80"/>
  <c r="W36" i="80"/>
  <c r="U36" i="80"/>
  <c r="S36" i="80"/>
  <c r="AE35" i="80"/>
  <c r="AC35" i="80"/>
  <c r="AA35" i="80"/>
  <c r="Y35" i="80"/>
  <c r="W35" i="80"/>
  <c r="U35" i="80"/>
  <c r="S35" i="80"/>
  <c r="E34" i="80"/>
  <c r="D34" i="80"/>
  <c r="D33" i="80"/>
  <c r="E33" i="80" s="1"/>
  <c r="D32" i="80"/>
  <c r="E32" i="80" s="1"/>
  <c r="D31" i="80"/>
  <c r="E31" i="80" s="1"/>
  <c r="D30" i="80"/>
  <c r="E30" i="80" s="1"/>
  <c r="D29" i="80"/>
  <c r="E29" i="80" s="1"/>
  <c r="T25" i="80"/>
  <c r="R24" i="80"/>
  <c r="AD17" i="80"/>
  <c r="AD25" i="80" s="1"/>
  <c r="AB17" i="80"/>
  <c r="AB25" i="80" s="1"/>
  <c r="Z17" i="80"/>
  <c r="Z25" i="80" s="1"/>
  <c r="X17" i="80"/>
  <c r="X25" i="80" s="1"/>
  <c r="V17" i="80"/>
  <c r="V25" i="80" s="1"/>
  <c r="T17" i="80"/>
  <c r="R17" i="80"/>
  <c r="R25" i="80" s="1"/>
  <c r="AD16" i="80"/>
  <c r="AD24" i="80" s="1"/>
  <c r="AB16" i="80"/>
  <c r="Z16" i="80"/>
  <c r="Z24" i="80" s="1"/>
  <c r="X16" i="80"/>
  <c r="V16" i="80"/>
  <c r="T16" i="80"/>
  <c r="R16" i="80"/>
  <c r="R18" i="80" s="1"/>
  <c r="R26" i="80" s="1"/>
  <c r="P16" i="80"/>
  <c r="O16" i="80"/>
  <c r="N16" i="80"/>
  <c r="L16" i="80"/>
  <c r="K16" i="80"/>
  <c r="J16" i="80"/>
  <c r="H16" i="80"/>
  <c r="G16" i="80"/>
  <c r="F16" i="80"/>
  <c r="O15" i="80"/>
  <c r="AE14" i="80"/>
  <c r="Y14" i="80"/>
  <c r="W14" i="80"/>
  <c r="U14" i="80"/>
  <c r="S14" i="80"/>
  <c r="Q14" i="80"/>
  <c r="AC14" i="80" s="1"/>
  <c r="M14" i="80"/>
  <c r="I14" i="80"/>
  <c r="O13" i="80"/>
  <c r="AE12" i="80"/>
  <c r="AC12" i="80"/>
  <c r="Y12" i="80"/>
  <c r="Q12" i="80"/>
  <c r="S12" i="80" s="1"/>
  <c r="M12" i="80"/>
  <c r="I12" i="80"/>
  <c r="O11" i="80"/>
  <c r="O17" i="80" s="1"/>
  <c r="Q10" i="80"/>
  <c r="AE10" i="80" s="1"/>
  <c r="M10" i="80"/>
  <c r="I10" i="80"/>
  <c r="O9" i="80"/>
  <c r="W8" i="80"/>
  <c r="U8" i="80"/>
  <c r="S8" i="80"/>
  <c r="Q8" i="80"/>
  <c r="AE8" i="80" s="1"/>
  <c r="M8" i="80"/>
  <c r="I8" i="80"/>
  <c r="O7" i="80"/>
  <c r="AC6" i="80"/>
  <c r="AA6" i="80"/>
  <c r="W6" i="80"/>
  <c r="Q6" i="80"/>
  <c r="Y6" i="80" s="1"/>
  <c r="M6" i="80"/>
  <c r="I6" i="80"/>
  <c r="C3" i="80"/>
  <c r="AE64" i="79"/>
  <c r="AC64" i="79"/>
  <c r="AA64" i="79"/>
  <c r="Y64" i="79"/>
  <c r="W64" i="79"/>
  <c r="U64" i="79"/>
  <c r="S64" i="79"/>
  <c r="AE63" i="79"/>
  <c r="AC63" i="79"/>
  <c r="AA63" i="79"/>
  <c r="Y63" i="79"/>
  <c r="W63" i="79"/>
  <c r="U63" i="79"/>
  <c r="S63" i="79"/>
  <c r="AE62" i="79"/>
  <c r="AC62" i="79"/>
  <c r="AA62" i="79"/>
  <c r="Y62" i="79"/>
  <c r="W62" i="79"/>
  <c r="U62" i="79"/>
  <c r="S62" i="79"/>
  <c r="AE61" i="79"/>
  <c r="AC61" i="79"/>
  <c r="AA61" i="79"/>
  <c r="Y61" i="79"/>
  <c r="W61" i="79"/>
  <c r="U61" i="79"/>
  <c r="S61" i="79"/>
  <c r="AE60" i="79"/>
  <c r="AC60" i="79"/>
  <c r="AA60" i="79"/>
  <c r="Y60" i="79"/>
  <c r="W60" i="79"/>
  <c r="U60" i="79"/>
  <c r="S60" i="79"/>
  <c r="AE59" i="79"/>
  <c r="AC59" i="79"/>
  <c r="AA59" i="79"/>
  <c r="Y59" i="79"/>
  <c r="W59" i="79"/>
  <c r="U59" i="79"/>
  <c r="S59" i="79"/>
  <c r="AE58" i="79"/>
  <c r="AC58" i="79"/>
  <c r="AA58" i="79"/>
  <c r="Y58" i="79"/>
  <c r="W58" i="79"/>
  <c r="U58" i="79"/>
  <c r="S58" i="79"/>
  <c r="AE57" i="79"/>
  <c r="AC57" i="79"/>
  <c r="AA57" i="79"/>
  <c r="Y57" i="79"/>
  <c r="W57" i="79"/>
  <c r="U57" i="79"/>
  <c r="S57" i="79"/>
  <c r="AE56" i="79"/>
  <c r="AC56" i="79"/>
  <c r="AA56" i="79"/>
  <c r="Y56" i="79"/>
  <c r="W56" i="79"/>
  <c r="U56" i="79"/>
  <c r="S56" i="79"/>
  <c r="AE55" i="79"/>
  <c r="AC55" i="79"/>
  <c r="AA55" i="79"/>
  <c r="Y55" i="79"/>
  <c r="W55" i="79"/>
  <c r="U55" i="79"/>
  <c r="S55" i="79"/>
  <c r="AE54" i="79"/>
  <c r="AC54" i="79"/>
  <c r="AA54" i="79"/>
  <c r="Y54" i="79"/>
  <c r="W54" i="79"/>
  <c r="U54" i="79"/>
  <c r="S54" i="79"/>
  <c r="AE53" i="79"/>
  <c r="AC53" i="79"/>
  <c r="AA53" i="79"/>
  <c r="Y53" i="79"/>
  <c r="W53" i="79"/>
  <c r="U53" i="79"/>
  <c r="S53" i="79"/>
  <c r="AE52" i="79"/>
  <c r="AC52" i="79"/>
  <c r="AA52" i="79"/>
  <c r="Y52" i="79"/>
  <c r="W52" i="79"/>
  <c r="U52" i="79"/>
  <c r="S52" i="79"/>
  <c r="AE51" i="79"/>
  <c r="AC51" i="79"/>
  <c r="AA51" i="79"/>
  <c r="Y51" i="79"/>
  <c r="W51" i="79"/>
  <c r="U51" i="79"/>
  <c r="S51" i="79"/>
  <c r="AE50" i="79"/>
  <c r="AC50" i="79"/>
  <c r="AA50" i="79"/>
  <c r="Y50" i="79"/>
  <c r="W50" i="79"/>
  <c r="U50" i="79"/>
  <c r="S50" i="79"/>
  <c r="AE49" i="79"/>
  <c r="AC49" i="79"/>
  <c r="AA49" i="79"/>
  <c r="Y49" i="79"/>
  <c r="W49" i="79"/>
  <c r="U49" i="79"/>
  <c r="S49" i="79"/>
  <c r="AE48" i="79"/>
  <c r="AC48" i="79"/>
  <c r="AA48" i="79"/>
  <c r="Y48" i="79"/>
  <c r="W48" i="79"/>
  <c r="U48" i="79"/>
  <c r="S48" i="79"/>
  <c r="AE47" i="79"/>
  <c r="AC47" i="79"/>
  <c r="AA47" i="79"/>
  <c r="Y47" i="79"/>
  <c r="W47" i="79"/>
  <c r="U47" i="79"/>
  <c r="S47" i="79"/>
  <c r="AE46" i="79"/>
  <c r="AC46" i="79"/>
  <c r="AA46" i="79"/>
  <c r="Y46" i="79"/>
  <c r="W46" i="79"/>
  <c r="U46" i="79"/>
  <c r="S46" i="79"/>
  <c r="AE45" i="79"/>
  <c r="AC45" i="79"/>
  <c r="AA45" i="79"/>
  <c r="Y45" i="79"/>
  <c r="W45" i="79"/>
  <c r="U45" i="79"/>
  <c r="S45" i="79"/>
  <c r="AE44" i="79"/>
  <c r="AC44" i="79"/>
  <c r="AA44" i="79"/>
  <c r="Y44" i="79"/>
  <c r="W44" i="79"/>
  <c r="U44" i="79"/>
  <c r="S44" i="79"/>
  <c r="AE43" i="79"/>
  <c r="AC43" i="79"/>
  <c r="AA43" i="79"/>
  <c r="Y43" i="79"/>
  <c r="W43" i="79"/>
  <c r="U43" i="79"/>
  <c r="S43" i="79"/>
  <c r="AE42" i="79"/>
  <c r="AC42" i="79"/>
  <c r="AA42" i="79"/>
  <c r="Y42" i="79"/>
  <c r="W42" i="79"/>
  <c r="U42" i="79"/>
  <c r="S42" i="79"/>
  <c r="AE41" i="79"/>
  <c r="AC41" i="79"/>
  <c r="AA41" i="79"/>
  <c r="Y41" i="79"/>
  <c r="W41" i="79"/>
  <c r="U41" i="79"/>
  <c r="S41" i="79"/>
  <c r="AE40" i="79"/>
  <c r="AC40" i="79"/>
  <c r="AA40" i="79"/>
  <c r="Y40" i="79"/>
  <c r="W40" i="79"/>
  <c r="U40" i="79"/>
  <c r="S40" i="79"/>
  <c r="AE39" i="79"/>
  <c r="AC39" i="79"/>
  <c r="AA39" i="79"/>
  <c r="Y39" i="79"/>
  <c r="W39" i="79"/>
  <c r="U39" i="79"/>
  <c r="S39" i="79"/>
  <c r="AE38" i="79"/>
  <c r="AC38" i="79"/>
  <c r="AA38" i="79"/>
  <c r="Y38" i="79"/>
  <c r="W38" i="79"/>
  <c r="U38" i="79"/>
  <c r="S38" i="79"/>
  <c r="AE37" i="79"/>
  <c r="AC37" i="79"/>
  <c r="AA37" i="79"/>
  <c r="Y37" i="79"/>
  <c r="W37" i="79"/>
  <c r="U37" i="79"/>
  <c r="S37" i="79"/>
  <c r="AE36" i="79"/>
  <c r="AC36" i="79"/>
  <c r="AA36" i="79"/>
  <c r="Y36" i="79"/>
  <c r="W36" i="79"/>
  <c r="U36" i="79"/>
  <c r="S36" i="79"/>
  <c r="AE35" i="79"/>
  <c r="AC35" i="79"/>
  <c r="AA35" i="79"/>
  <c r="Y35" i="79"/>
  <c r="W35" i="79"/>
  <c r="U35" i="79"/>
  <c r="S35" i="79"/>
  <c r="D34" i="79"/>
  <c r="E34" i="79" s="1"/>
  <c r="D33" i="79"/>
  <c r="E33" i="79" s="1"/>
  <c r="D32" i="79"/>
  <c r="E32" i="79" s="1"/>
  <c r="D31" i="79"/>
  <c r="E31" i="79" s="1"/>
  <c r="D30" i="79"/>
  <c r="E30" i="79" s="1"/>
  <c r="D29" i="79"/>
  <c r="E29" i="79" s="1"/>
  <c r="Z25" i="79"/>
  <c r="X24" i="79"/>
  <c r="AD17" i="79"/>
  <c r="AD25" i="79" s="1"/>
  <c r="AB17" i="79"/>
  <c r="AB25" i="79" s="1"/>
  <c r="Z17" i="79"/>
  <c r="X17" i="79"/>
  <c r="X25" i="79" s="1"/>
  <c r="V17" i="79"/>
  <c r="V25" i="79" s="1"/>
  <c r="T17" i="79"/>
  <c r="T25" i="79" s="1"/>
  <c r="R17" i="79"/>
  <c r="R25" i="79" s="1"/>
  <c r="AD16" i="79"/>
  <c r="AD24" i="79" s="1"/>
  <c r="AB16" i="79"/>
  <c r="Z16" i="79"/>
  <c r="Z18" i="79" s="1"/>
  <c r="Z26" i="79" s="1"/>
  <c r="X16" i="79"/>
  <c r="X18" i="79" s="1"/>
  <c r="X26" i="79" s="1"/>
  <c r="V16" i="79"/>
  <c r="V24" i="79" s="1"/>
  <c r="T16" i="79"/>
  <c r="T24" i="79" s="1"/>
  <c r="R16" i="79"/>
  <c r="P16" i="79"/>
  <c r="O16" i="79"/>
  <c r="N16" i="79"/>
  <c r="L16" i="79"/>
  <c r="K16" i="79"/>
  <c r="J16" i="79"/>
  <c r="H16" i="79"/>
  <c r="G16" i="79"/>
  <c r="F16" i="79"/>
  <c r="O15" i="79"/>
  <c r="AE14" i="79"/>
  <c r="AC14" i="79"/>
  <c r="W14" i="79"/>
  <c r="Q14" i="79"/>
  <c r="Y14" i="79" s="1"/>
  <c r="M14" i="79"/>
  <c r="I14" i="79"/>
  <c r="O13" i="79"/>
  <c r="Q12" i="79"/>
  <c r="S12" i="79" s="1"/>
  <c r="M12" i="79"/>
  <c r="I12" i="79"/>
  <c r="O11" i="79"/>
  <c r="AA10" i="79"/>
  <c r="Y10" i="79"/>
  <c r="W10" i="79"/>
  <c r="S10" i="79"/>
  <c r="Q10" i="79"/>
  <c r="U10" i="79" s="1"/>
  <c r="M10" i="79"/>
  <c r="I10" i="79"/>
  <c r="O9" i="79"/>
  <c r="AE8" i="79"/>
  <c r="AC8" i="79"/>
  <c r="Y8" i="79"/>
  <c r="U8" i="79"/>
  <c r="S8" i="79"/>
  <c r="Q8" i="79"/>
  <c r="AA8" i="79" s="1"/>
  <c r="M8" i="79"/>
  <c r="I8" i="79"/>
  <c r="O7" i="79"/>
  <c r="AE6" i="79"/>
  <c r="Y6" i="79"/>
  <c r="W6" i="79"/>
  <c r="U6" i="79"/>
  <c r="S6" i="79"/>
  <c r="Q6" i="79"/>
  <c r="M6" i="79"/>
  <c r="M16" i="79" s="1"/>
  <c r="I6" i="79"/>
  <c r="C3" i="79"/>
  <c r="AE64" i="78"/>
  <c r="AC64" i="78"/>
  <c r="AA64" i="78"/>
  <c r="Y64" i="78"/>
  <c r="W64" i="78"/>
  <c r="U64" i="78"/>
  <c r="S64" i="78"/>
  <c r="AE63" i="78"/>
  <c r="AC63" i="78"/>
  <c r="AA63" i="78"/>
  <c r="Y63" i="78"/>
  <c r="W63" i="78"/>
  <c r="U63" i="78"/>
  <c r="S63" i="78"/>
  <c r="AE62" i="78"/>
  <c r="AC62" i="78"/>
  <c r="AA62" i="78"/>
  <c r="Y62" i="78"/>
  <c r="W62" i="78"/>
  <c r="U62" i="78"/>
  <c r="S62" i="78"/>
  <c r="AE61" i="78"/>
  <c r="AC61" i="78"/>
  <c r="AA61" i="78"/>
  <c r="Y61" i="78"/>
  <c r="W61" i="78"/>
  <c r="U61" i="78"/>
  <c r="S61" i="78"/>
  <c r="AE60" i="78"/>
  <c r="AC60" i="78"/>
  <c r="AA60" i="78"/>
  <c r="Y60" i="78"/>
  <c r="W60" i="78"/>
  <c r="U60" i="78"/>
  <c r="S60" i="78"/>
  <c r="AE59" i="78"/>
  <c r="AC59" i="78"/>
  <c r="AA59" i="78"/>
  <c r="Y59" i="78"/>
  <c r="W59" i="78"/>
  <c r="U59" i="78"/>
  <c r="S59" i="78"/>
  <c r="AE58" i="78"/>
  <c r="AC58" i="78"/>
  <c r="AA58" i="78"/>
  <c r="Y58" i="78"/>
  <c r="W58" i="78"/>
  <c r="U58" i="78"/>
  <c r="S58" i="78"/>
  <c r="AE57" i="78"/>
  <c r="AC57" i="78"/>
  <c r="AA57" i="78"/>
  <c r="Y57" i="78"/>
  <c r="W57" i="78"/>
  <c r="U57" i="78"/>
  <c r="S57" i="78"/>
  <c r="AE56" i="78"/>
  <c r="AC56" i="78"/>
  <c r="AA56" i="78"/>
  <c r="Y56" i="78"/>
  <c r="W56" i="78"/>
  <c r="U56" i="78"/>
  <c r="S56" i="78"/>
  <c r="AE55" i="78"/>
  <c r="AC55" i="78"/>
  <c r="AA55" i="78"/>
  <c r="Y55" i="78"/>
  <c r="W55" i="78"/>
  <c r="U55" i="78"/>
  <c r="S55" i="78"/>
  <c r="AE54" i="78"/>
  <c r="AC54" i="78"/>
  <c r="AA54" i="78"/>
  <c r="Y54" i="78"/>
  <c r="W54" i="78"/>
  <c r="U54" i="78"/>
  <c r="S54" i="78"/>
  <c r="AE53" i="78"/>
  <c r="AC53" i="78"/>
  <c r="AA53" i="78"/>
  <c r="Y53" i="78"/>
  <c r="W53" i="78"/>
  <c r="U53" i="78"/>
  <c r="S53" i="78"/>
  <c r="AE52" i="78"/>
  <c r="AC52" i="78"/>
  <c r="AA52" i="78"/>
  <c r="Y52" i="78"/>
  <c r="W52" i="78"/>
  <c r="U52" i="78"/>
  <c r="S52" i="78"/>
  <c r="AE51" i="78"/>
  <c r="AC51" i="78"/>
  <c r="AA51" i="78"/>
  <c r="Y51" i="78"/>
  <c r="W51" i="78"/>
  <c r="U51" i="78"/>
  <c r="S51" i="78"/>
  <c r="AE50" i="78"/>
  <c r="AC50" i="78"/>
  <c r="AA50" i="78"/>
  <c r="Y50" i="78"/>
  <c r="W50" i="78"/>
  <c r="U50" i="78"/>
  <c r="S50" i="78"/>
  <c r="AE49" i="78"/>
  <c r="AC49" i="78"/>
  <c r="AA49" i="78"/>
  <c r="Y49" i="78"/>
  <c r="W49" i="78"/>
  <c r="U49" i="78"/>
  <c r="S49" i="78"/>
  <c r="AE48" i="78"/>
  <c r="AC48" i="78"/>
  <c r="AA48" i="78"/>
  <c r="Y48" i="78"/>
  <c r="W48" i="78"/>
  <c r="U48" i="78"/>
  <c r="S48" i="78"/>
  <c r="AE47" i="78"/>
  <c r="AC47" i="78"/>
  <c r="AA47" i="78"/>
  <c r="Y47" i="78"/>
  <c r="W47" i="78"/>
  <c r="U47" i="78"/>
  <c r="S47" i="78"/>
  <c r="AE46" i="78"/>
  <c r="AC46" i="78"/>
  <c r="AA46" i="78"/>
  <c r="Y46" i="78"/>
  <c r="W46" i="78"/>
  <c r="U46" i="78"/>
  <c r="S46" i="78"/>
  <c r="AE45" i="78"/>
  <c r="AC45" i="78"/>
  <c r="AA45" i="78"/>
  <c r="Y45" i="78"/>
  <c r="W45" i="78"/>
  <c r="U45" i="78"/>
  <c r="S45" i="78"/>
  <c r="AE44" i="78"/>
  <c r="AC44" i="78"/>
  <c r="AA44" i="78"/>
  <c r="Y44" i="78"/>
  <c r="W44" i="78"/>
  <c r="U44" i="78"/>
  <c r="S44" i="78"/>
  <c r="AE43" i="78"/>
  <c r="AC43" i="78"/>
  <c r="AA43" i="78"/>
  <c r="Y43" i="78"/>
  <c r="W43" i="78"/>
  <c r="U43" i="78"/>
  <c r="S43" i="78"/>
  <c r="AE42" i="78"/>
  <c r="AC42" i="78"/>
  <c r="AA42" i="78"/>
  <c r="Y42" i="78"/>
  <c r="W42" i="78"/>
  <c r="U42" i="78"/>
  <c r="S42" i="78"/>
  <c r="AE41" i="78"/>
  <c r="AC41" i="78"/>
  <c r="AA41" i="78"/>
  <c r="Y41" i="78"/>
  <c r="W41" i="78"/>
  <c r="U41" i="78"/>
  <c r="S41" i="78"/>
  <c r="AE40" i="78"/>
  <c r="AC40" i="78"/>
  <c r="AA40" i="78"/>
  <c r="Y40" i="78"/>
  <c r="W40" i="78"/>
  <c r="U40" i="78"/>
  <c r="S40" i="78"/>
  <c r="AE39" i="78"/>
  <c r="AC39" i="78"/>
  <c r="AA39" i="78"/>
  <c r="Y39" i="78"/>
  <c r="W39" i="78"/>
  <c r="U39" i="78"/>
  <c r="S39" i="78"/>
  <c r="AE38" i="78"/>
  <c r="AC38" i="78"/>
  <c r="AA38" i="78"/>
  <c r="Y38" i="78"/>
  <c r="W38" i="78"/>
  <c r="U38" i="78"/>
  <c r="S38" i="78"/>
  <c r="AE37" i="78"/>
  <c r="AC37" i="78"/>
  <c r="AA37" i="78"/>
  <c r="Y37" i="78"/>
  <c r="W37" i="78"/>
  <c r="U37" i="78"/>
  <c r="S37" i="78"/>
  <c r="AE36" i="78"/>
  <c r="AC36" i="78"/>
  <c r="AA36" i="78"/>
  <c r="Y36" i="78"/>
  <c r="W36" i="78"/>
  <c r="U36" i="78"/>
  <c r="S36" i="78"/>
  <c r="AE35" i="78"/>
  <c r="AC35" i="78"/>
  <c r="AA35" i="78"/>
  <c r="Y35" i="78"/>
  <c r="W35" i="78"/>
  <c r="U35" i="78"/>
  <c r="S35" i="78"/>
  <c r="D34" i="78"/>
  <c r="E34" i="78" s="1"/>
  <c r="D33" i="78"/>
  <c r="E33" i="78" s="1"/>
  <c r="D32" i="78"/>
  <c r="E32" i="78" s="1"/>
  <c r="D31" i="78"/>
  <c r="E31" i="78" s="1"/>
  <c r="D30" i="78"/>
  <c r="E30" i="78" s="1"/>
  <c r="D29" i="78"/>
  <c r="E29" i="78" s="1"/>
  <c r="V25" i="78"/>
  <c r="R18" i="78"/>
  <c r="R26" i="78" s="1"/>
  <c r="AD17" i="78"/>
  <c r="AD25" i="78" s="1"/>
  <c r="AB17" i="78"/>
  <c r="AB25" i="78" s="1"/>
  <c r="Z17" i="78"/>
  <c r="Z25" i="78" s="1"/>
  <c r="X17" i="78"/>
  <c r="X25" i="78" s="1"/>
  <c r="V17" i="78"/>
  <c r="T17" i="78"/>
  <c r="T25" i="78" s="1"/>
  <c r="R17" i="78"/>
  <c r="R25" i="78" s="1"/>
  <c r="AD16" i="78"/>
  <c r="AB16" i="78"/>
  <c r="AB18" i="78" s="1"/>
  <c r="AB26" i="78" s="1"/>
  <c r="Z16" i="78"/>
  <c r="Z24" i="78" s="1"/>
  <c r="X16" i="78"/>
  <c r="X18" i="78" s="1"/>
  <c r="X26" i="78" s="1"/>
  <c r="V16" i="78"/>
  <c r="T16" i="78"/>
  <c r="R16" i="78"/>
  <c r="R24" i="78" s="1"/>
  <c r="P16" i="78"/>
  <c r="O16" i="78"/>
  <c r="N16" i="78"/>
  <c r="L16" i="78"/>
  <c r="K16" i="78"/>
  <c r="J16" i="78"/>
  <c r="H16" i="78"/>
  <c r="G16" i="78"/>
  <c r="F16" i="78"/>
  <c r="O15" i="78"/>
  <c r="AE14" i="78"/>
  <c r="W14" i="78"/>
  <c r="Q14" i="78"/>
  <c r="AC14" i="78" s="1"/>
  <c r="M14" i="78"/>
  <c r="I14" i="78"/>
  <c r="O13" i="78"/>
  <c r="AC12" i="78"/>
  <c r="Q12" i="78"/>
  <c r="S12" i="78" s="1"/>
  <c r="M12" i="78"/>
  <c r="I12" i="78"/>
  <c r="O11" i="78"/>
  <c r="Q10" i="78"/>
  <c r="M10" i="78"/>
  <c r="I10" i="78"/>
  <c r="O9" i="78"/>
  <c r="W8" i="78"/>
  <c r="U8" i="78"/>
  <c r="S8" i="78"/>
  <c r="Q8" i="78"/>
  <c r="AE8" i="78" s="1"/>
  <c r="M8" i="78"/>
  <c r="I8" i="78"/>
  <c r="O7" i="78"/>
  <c r="AA6" i="78"/>
  <c r="Q6" i="78"/>
  <c r="Y6" i="78" s="1"/>
  <c r="M6" i="78"/>
  <c r="I6" i="78"/>
  <c r="C3" i="78"/>
  <c r="AE64" i="77"/>
  <c r="AC64" i="77"/>
  <c r="AA64" i="77"/>
  <c r="Y64" i="77"/>
  <c r="W64" i="77"/>
  <c r="U64" i="77"/>
  <c r="S64" i="77"/>
  <c r="AE63" i="77"/>
  <c r="AC63" i="77"/>
  <c r="AA63" i="77"/>
  <c r="Y63" i="77"/>
  <c r="W63" i="77"/>
  <c r="U63" i="77"/>
  <c r="S63" i="77"/>
  <c r="AE62" i="77"/>
  <c r="AC62" i="77"/>
  <c r="AA62" i="77"/>
  <c r="Y62" i="77"/>
  <c r="W62" i="77"/>
  <c r="U62" i="77"/>
  <c r="S62" i="77"/>
  <c r="AE61" i="77"/>
  <c r="AC61" i="77"/>
  <c r="AA61" i="77"/>
  <c r="Y61" i="77"/>
  <c r="W61" i="77"/>
  <c r="U61" i="77"/>
  <c r="S61" i="77"/>
  <c r="AE60" i="77"/>
  <c r="AC60" i="77"/>
  <c r="AA60" i="77"/>
  <c r="Y60" i="77"/>
  <c r="W60" i="77"/>
  <c r="U60" i="77"/>
  <c r="S60" i="77"/>
  <c r="AE59" i="77"/>
  <c r="AC59" i="77"/>
  <c r="AA59" i="77"/>
  <c r="Y59" i="77"/>
  <c r="W59" i="77"/>
  <c r="U59" i="77"/>
  <c r="S59" i="77"/>
  <c r="AE58" i="77"/>
  <c r="AC58" i="77"/>
  <c r="AA58" i="77"/>
  <c r="Y58" i="77"/>
  <c r="W58" i="77"/>
  <c r="U58" i="77"/>
  <c r="S58" i="77"/>
  <c r="AE57" i="77"/>
  <c r="AC57" i="77"/>
  <c r="AA57" i="77"/>
  <c r="Y57" i="77"/>
  <c r="W57" i="77"/>
  <c r="U57" i="77"/>
  <c r="S57" i="77"/>
  <c r="AE56" i="77"/>
  <c r="AC56" i="77"/>
  <c r="AA56" i="77"/>
  <c r="Y56" i="77"/>
  <c r="W56" i="77"/>
  <c r="U56" i="77"/>
  <c r="S56" i="77"/>
  <c r="AE55" i="77"/>
  <c r="AC55" i="77"/>
  <c r="AA55" i="77"/>
  <c r="Y55" i="77"/>
  <c r="W55" i="77"/>
  <c r="U55" i="77"/>
  <c r="S55" i="77"/>
  <c r="AE54" i="77"/>
  <c r="AC54" i="77"/>
  <c r="AA54" i="77"/>
  <c r="Y54" i="77"/>
  <c r="W54" i="77"/>
  <c r="U54" i="77"/>
  <c r="S54" i="77"/>
  <c r="AE53" i="77"/>
  <c r="AC53" i="77"/>
  <c r="AA53" i="77"/>
  <c r="Y53" i="77"/>
  <c r="W53" i="77"/>
  <c r="U53" i="77"/>
  <c r="S53" i="77"/>
  <c r="AE52" i="77"/>
  <c r="AC52" i="77"/>
  <c r="AA52" i="77"/>
  <c r="Y52" i="77"/>
  <c r="W52" i="77"/>
  <c r="U52" i="77"/>
  <c r="S52" i="77"/>
  <c r="AE51" i="77"/>
  <c r="AC51" i="77"/>
  <c r="AA51" i="77"/>
  <c r="Y51" i="77"/>
  <c r="W51" i="77"/>
  <c r="U51" i="77"/>
  <c r="S51" i="77"/>
  <c r="AE50" i="77"/>
  <c r="AC50" i="77"/>
  <c r="AA50" i="77"/>
  <c r="Y50" i="77"/>
  <c r="W50" i="77"/>
  <c r="U50" i="77"/>
  <c r="S50" i="77"/>
  <c r="AE49" i="77"/>
  <c r="AC49" i="77"/>
  <c r="AA49" i="77"/>
  <c r="Y49" i="77"/>
  <c r="W49" i="77"/>
  <c r="U49" i="77"/>
  <c r="S49" i="77"/>
  <c r="AE48" i="77"/>
  <c r="AC48" i="77"/>
  <c r="AA48" i="77"/>
  <c r="Y48" i="77"/>
  <c r="W48" i="77"/>
  <c r="U48" i="77"/>
  <c r="S48" i="77"/>
  <c r="AE47" i="77"/>
  <c r="AC47" i="77"/>
  <c r="AA47" i="77"/>
  <c r="Y47" i="77"/>
  <c r="W47" i="77"/>
  <c r="U47" i="77"/>
  <c r="S47" i="77"/>
  <c r="AE46" i="77"/>
  <c r="AC46" i="77"/>
  <c r="AA46" i="77"/>
  <c r="Y46" i="77"/>
  <c r="W46" i="77"/>
  <c r="U46" i="77"/>
  <c r="S46" i="77"/>
  <c r="AE45" i="77"/>
  <c r="AC45" i="77"/>
  <c r="AA45" i="77"/>
  <c r="Y45" i="77"/>
  <c r="W45" i="77"/>
  <c r="U45" i="77"/>
  <c r="S45" i="77"/>
  <c r="AE44" i="77"/>
  <c r="AC44" i="77"/>
  <c r="AA44" i="77"/>
  <c r="Y44" i="77"/>
  <c r="W44" i="77"/>
  <c r="U44" i="77"/>
  <c r="S44" i="77"/>
  <c r="AE43" i="77"/>
  <c r="AC43" i="77"/>
  <c r="AA43" i="77"/>
  <c r="Y43" i="77"/>
  <c r="W43" i="77"/>
  <c r="U43" i="77"/>
  <c r="S43" i="77"/>
  <c r="AE42" i="77"/>
  <c r="AC42" i="77"/>
  <c r="AA42" i="77"/>
  <c r="Y42" i="77"/>
  <c r="W42" i="77"/>
  <c r="U42" i="77"/>
  <c r="S42" i="77"/>
  <c r="AE41" i="77"/>
  <c r="AC41" i="77"/>
  <c r="AA41" i="77"/>
  <c r="Y41" i="77"/>
  <c r="W41" i="77"/>
  <c r="U41" i="77"/>
  <c r="S41" i="77"/>
  <c r="AE40" i="77"/>
  <c r="AC40" i="77"/>
  <c r="AA40" i="77"/>
  <c r="Y40" i="77"/>
  <c r="W40" i="77"/>
  <c r="U40" i="77"/>
  <c r="S40" i="77"/>
  <c r="AE39" i="77"/>
  <c r="AC39" i="77"/>
  <c r="AA39" i="77"/>
  <c r="Y39" i="77"/>
  <c r="W39" i="77"/>
  <c r="U39" i="77"/>
  <c r="S39" i="77"/>
  <c r="AE38" i="77"/>
  <c r="AC38" i="77"/>
  <c r="AA38" i="77"/>
  <c r="Y38" i="77"/>
  <c r="W38" i="77"/>
  <c r="U38" i="77"/>
  <c r="S38" i="77"/>
  <c r="AE37" i="77"/>
  <c r="AC37" i="77"/>
  <c r="AA37" i="77"/>
  <c r="Y37" i="77"/>
  <c r="W37" i="77"/>
  <c r="U37" i="77"/>
  <c r="S37" i="77"/>
  <c r="AE36" i="77"/>
  <c r="AC36" i="77"/>
  <c r="AA36" i="77"/>
  <c r="Y36" i="77"/>
  <c r="W36" i="77"/>
  <c r="U36" i="77"/>
  <c r="S36" i="77"/>
  <c r="AE35" i="77"/>
  <c r="AC35" i="77"/>
  <c r="AA35" i="77"/>
  <c r="Y35" i="77"/>
  <c r="W35" i="77"/>
  <c r="U35" i="77"/>
  <c r="S35" i="77"/>
  <c r="D34" i="77"/>
  <c r="E34" i="77" s="1"/>
  <c r="D33" i="77"/>
  <c r="E33" i="77" s="1"/>
  <c r="D32" i="77"/>
  <c r="E32" i="77" s="1"/>
  <c r="D31" i="77"/>
  <c r="E31" i="77" s="1"/>
  <c r="D30" i="77"/>
  <c r="E30" i="77" s="1"/>
  <c r="D29" i="77"/>
  <c r="E29" i="77" s="1"/>
  <c r="AB25" i="77"/>
  <c r="Z25" i="77"/>
  <c r="Z24" i="77"/>
  <c r="AD17" i="77"/>
  <c r="AD25" i="77" s="1"/>
  <c r="AB17" i="77"/>
  <c r="Z17" i="77"/>
  <c r="X17" i="77"/>
  <c r="X25" i="77" s="1"/>
  <c r="V17" i="77"/>
  <c r="V25" i="77" s="1"/>
  <c r="T17" i="77"/>
  <c r="T25" i="77" s="1"/>
  <c r="R17" i="77"/>
  <c r="R25" i="77" s="1"/>
  <c r="AD16" i="77"/>
  <c r="AD24" i="77" s="1"/>
  <c r="AB16" i="77"/>
  <c r="Z16" i="77"/>
  <c r="X16" i="77"/>
  <c r="X24" i="77" s="1"/>
  <c r="V16" i="77"/>
  <c r="V24" i="77" s="1"/>
  <c r="T16" i="77"/>
  <c r="T18" i="77" s="1"/>
  <c r="T26" i="77" s="1"/>
  <c r="R16" i="77"/>
  <c r="P16" i="77"/>
  <c r="O16" i="77"/>
  <c r="N16" i="77"/>
  <c r="L16" i="77"/>
  <c r="K16" i="77"/>
  <c r="J16" i="77"/>
  <c r="H16" i="77"/>
  <c r="G16" i="77"/>
  <c r="F16" i="77"/>
  <c r="O15" i="77"/>
  <c r="AE14" i="77"/>
  <c r="Q14" i="77"/>
  <c r="Y14" i="77" s="1"/>
  <c r="M14" i="77"/>
  <c r="I14" i="77"/>
  <c r="O13" i="77"/>
  <c r="S12" i="77"/>
  <c r="Q12" i="77"/>
  <c r="M12" i="77"/>
  <c r="I12" i="77"/>
  <c r="O11" i="77"/>
  <c r="AC10" i="77"/>
  <c r="AA10" i="77"/>
  <c r="Y10" i="77"/>
  <c r="W10" i="77"/>
  <c r="U10" i="77"/>
  <c r="S10" i="77"/>
  <c r="Q10" i="77"/>
  <c r="AE10" i="77" s="1"/>
  <c r="M10" i="77"/>
  <c r="I10" i="77"/>
  <c r="O9" i="77"/>
  <c r="AE8" i="77"/>
  <c r="AC8" i="77"/>
  <c r="Y8" i="77"/>
  <c r="S8" i="77"/>
  <c r="Q8" i="77"/>
  <c r="AA8" i="77" s="1"/>
  <c r="M8" i="77"/>
  <c r="I8" i="77"/>
  <c r="O7" i="77"/>
  <c r="Y6" i="77"/>
  <c r="Q6" i="77"/>
  <c r="Q16" i="77" s="1"/>
  <c r="S16" i="77" s="1"/>
  <c r="M6" i="77"/>
  <c r="I6" i="77"/>
  <c r="C3" i="77"/>
  <c r="AE64" i="76"/>
  <c r="AC64" i="76"/>
  <c r="AA64" i="76"/>
  <c r="Y64" i="76"/>
  <c r="W64" i="76"/>
  <c r="U64" i="76"/>
  <c r="S64" i="76"/>
  <c r="AE63" i="76"/>
  <c r="AC63" i="76"/>
  <c r="AA63" i="76"/>
  <c r="Y63" i="76"/>
  <c r="W63" i="76"/>
  <c r="U63" i="76"/>
  <c r="S63" i="76"/>
  <c r="AE62" i="76"/>
  <c r="AC62" i="76"/>
  <c r="AA62" i="76"/>
  <c r="Y62" i="76"/>
  <c r="W62" i="76"/>
  <c r="U62" i="76"/>
  <c r="S62" i="76"/>
  <c r="AE61" i="76"/>
  <c r="AC61" i="76"/>
  <c r="AA61" i="76"/>
  <c r="Y61" i="76"/>
  <c r="W61" i="76"/>
  <c r="U61" i="76"/>
  <c r="S61" i="76"/>
  <c r="AE60" i="76"/>
  <c r="AC60" i="76"/>
  <c r="AA60" i="76"/>
  <c r="Y60" i="76"/>
  <c r="W60" i="76"/>
  <c r="U60" i="76"/>
  <c r="S60" i="76"/>
  <c r="AE59" i="76"/>
  <c r="AC59" i="76"/>
  <c r="AA59" i="76"/>
  <c r="Y59" i="76"/>
  <c r="W59" i="76"/>
  <c r="U59" i="76"/>
  <c r="S59" i="76"/>
  <c r="AE58" i="76"/>
  <c r="AC58" i="76"/>
  <c r="AA58" i="76"/>
  <c r="Y58" i="76"/>
  <c r="W58" i="76"/>
  <c r="U58" i="76"/>
  <c r="S58" i="76"/>
  <c r="AE57" i="76"/>
  <c r="AC57" i="76"/>
  <c r="AA57" i="76"/>
  <c r="Y57" i="76"/>
  <c r="W57" i="76"/>
  <c r="U57" i="76"/>
  <c r="S57" i="76"/>
  <c r="AE56" i="76"/>
  <c r="AC56" i="76"/>
  <c r="AA56" i="76"/>
  <c r="Y56" i="76"/>
  <c r="W56" i="76"/>
  <c r="U56" i="76"/>
  <c r="S56" i="76"/>
  <c r="AE55" i="76"/>
  <c r="AC55" i="76"/>
  <c r="AA55" i="76"/>
  <c r="Y55" i="76"/>
  <c r="W55" i="76"/>
  <c r="U55" i="76"/>
  <c r="S55" i="76"/>
  <c r="AE54" i="76"/>
  <c r="AC54" i="76"/>
  <c r="AA54" i="76"/>
  <c r="Y54" i="76"/>
  <c r="W54" i="76"/>
  <c r="U54" i="76"/>
  <c r="S54" i="76"/>
  <c r="AE53" i="76"/>
  <c r="AC53" i="76"/>
  <c r="AA53" i="76"/>
  <c r="Y53" i="76"/>
  <c r="W53" i="76"/>
  <c r="U53" i="76"/>
  <c r="S53" i="76"/>
  <c r="AE52" i="76"/>
  <c r="AC52" i="76"/>
  <c r="AA52" i="76"/>
  <c r="Y52" i="76"/>
  <c r="W52" i="76"/>
  <c r="U52" i="76"/>
  <c r="S52" i="76"/>
  <c r="AE51" i="76"/>
  <c r="AC51" i="76"/>
  <c r="AA51" i="76"/>
  <c r="Y51" i="76"/>
  <c r="W51" i="76"/>
  <c r="U51" i="76"/>
  <c r="S51" i="76"/>
  <c r="AE50" i="76"/>
  <c r="AC50" i="76"/>
  <c r="AA50" i="76"/>
  <c r="Y50" i="76"/>
  <c r="W50" i="76"/>
  <c r="U50" i="76"/>
  <c r="S50" i="76"/>
  <c r="AE49" i="76"/>
  <c r="AC49" i="76"/>
  <c r="AA49" i="76"/>
  <c r="Y49" i="76"/>
  <c r="W49" i="76"/>
  <c r="U49" i="76"/>
  <c r="S49" i="76"/>
  <c r="AE48" i="76"/>
  <c r="AC48" i="76"/>
  <c r="AA48" i="76"/>
  <c r="Y48" i="76"/>
  <c r="W48" i="76"/>
  <c r="U48" i="76"/>
  <c r="S48" i="76"/>
  <c r="AE47" i="76"/>
  <c r="AC47" i="76"/>
  <c r="AA47" i="76"/>
  <c r="Y47" i="76"/>
  <c r="W47" i="76"/>
  <c r="U47" i="76"/>
  <c r="S47" i="76"/>
  <c r="AE46" i="76"/>
  <c r="AC46" i="76"/>
  <c r="AA46" i="76"/>
  <c r="Y46" i="76"/>
  <c r="W46" i="76"/>
  <c r="U46" i="76"/>
  <c r="S46" i="76"/>
  <c r="AE45" i="76"/>
  <c r="AC45" i="76"/>
  <c r="AA45" i="76"/>
  <c r="Y45" i="76"/>
  <c r="W45" i="76"/>
  <c r="U45" i="76"/>
  <c r="S45" i="76"/>
  <c r="AE44" i="76"/>
  <c r="AC44" i="76"/>
  <c r="AA44" i="76"/>
  <c r="Y44" i="76"/>
  <c r="W44" i="76"/>
  <c r="U44" i="76"/>
  <c r="S44" i="76"/>
  <c r="AE43" i="76"/>
  <c r="AC43" i="76"/>
  <c r="AA43" i="76"/>
  <c r="Y43" i="76"/>
  <c r="W43" i="76"/>
  <c r="U43" i="76"/>
  <c r="S43" i="76"/>
  <c r="AE42" i="76"/>
  <c r="AC42" i="76"/>
  <c r="AA42" i="76"/>
  <c r="Y42" i="76"/>
  <c r="W42" i="76"/>
  <c r="U42" i="76"/>
  <c r="S42" i="76"/>
  <c r="AE41" i="76"/>
  <c r="AC41" i="76"/>
  <c r="AA41" i="76"/>
  <c r="Y41" i="76"/>
  <c r="W41" i="76"/>
  <c r="U41" i="76"/>
  <c r="S41" i="76"/>
  <c r="AE40" i="76"/>
  <c r="AC40" i="76"/>
  <c r="AA40" i="76"/>
  <c r="Y40" i="76"/>
  <c r="W40" i="76"/>
  <c r="U40" i="76"/>
  <c r="S40" i="76"/>
  <c r="AE39" i="76"/>
  <c r="AC39" i="76"/>
  <c r="AA39" i="76"/>
  <c r="Y39" i="76"/>
  <c r="W39" i="76"/>
  <c r="U39" i="76"/>
  <c r="S39" i="76"/>
  <c r="AE38" i="76"/>
  <c r="AC38" i="76"/>
  <c r="AA38" i="76"/>
  <c r="Y38" i="76"/>
  <c r="W38" i="76"/>
  <c r="U38" i="76"/>
  <c r="S38" i="76"/>
  <c r="AE37" i="76"/>
  <c r="AC37" i="76"/>
  <c r="AA37" i="76"/>
  <c r="Y37" i="76"/>
  <c r="W37" i="76"/>
  <c r="U37" i="76"/>
  <c r="S37" i="76"/>
  <c r="AE36" i="76"/>
  <c r="AC36" i="76"/>
  <c r="AA36" i="76"/>
  <c r="Y36" i="76"/>
  <c r="W36" i="76"/>
  <c r="U36" i="76"/>
  <c r="S36" i="76"/>
  <c r="AE35" i="76"/>
  <c r="AC35" i="76"/>
  <c r="AA35" i="76"/>
  <c r="Y35" i="76"/>
  <c r="W35" i="76"/>
  <c r="U35" i="76"/>
  <c r="S35" i="76"/>
  <c r="E34" i="76"/>
  <c r="D34" i="76"/>
  <c r="D33" i="76"/>
  <c r="E33" i="76" s="1"/>
  <c r="D32" i="76"/>
  <c r="E32" i="76" s="1"/>
  <c r="D31" i="76"/>
  <c r="E31" i="76" s="1"/>
  <c r="D30" i="76"/>
  <c r="E30" i="76" s="1"/>
  <c r="D29" i="76"/>
  <c r="E29" i="76" s="1"/>
  <c r="T25" i="76"/>
  <c r="R24" i="76"/>
  <c r="R18" i="76"/>
  <c r="R26" i="76" s="1"/>
  <c r="AD17" i="76"/>
  <c r="AD25" i="76" s="1"/>
  <c r="AB17" i="76"/>
  <c r="AB25" i="76" s="1"/>
  <c r="Z17" i="76"/>
  <c r="Z25" i="76" s="1"/>
  <c r="X17" i="76"/>
  <c r="X25" i="76" s="1"/>
  <c r="V17" i="76"/>
  <c r="V25" i="76" s="1"/>
  <c r="T17" i="76"/>
  <c r="R17" i="76"/>
  <c r="R25" i="76" s="1"/>
  <c r="AD16" i="76"/>
  <c r="AD24" i="76" s="1"/>
  <c r="AB16" i="76"/>
  <c r="AB18" i="76" s="1"/>
  <c r="AB26" i="76" s="1"/>
  <c r="Z16" i="76"/>
  <c r="Z24" i="76" s="1"/>
  <c r="X16" i="76"/>
  <c r="V16" i="76"/>
  <c r="T16" i="76"/>
  <c r="R16" i="76"/>
  <c r="P16" i="76"/>
  <c r="O16" i="76"/>
  <c r="N16" i="76"/>
  <c r="L16" i="76"/>
  <c r="K16" i="76"/>
  <c r="J16" i="76"/>
  <c r="H16" i="76"/>
  <c r="G16" i="76"/>
  <c r="F16" i="76"/>
  <c r="O15" i="76"/>
  <c r="AE14" i="76"/>
  <c r="Y14" i="76"/>
  <c r="W14" i="76"/>
  <c r="U14" i="76"/>
  <c r="S14" i="76"/>
  <c r="Q14" i="76"/>
  <c r="AC14" i="76" s="1"/>
  <c r="M14" i="76"/>
  <c r="I14" i="76"/>
  <c r="O13" i="76"/>
  <c r="Y12" i="76"/>
  <c r="Q12" i="76"/>
  <c r="S12" i="76" s="1"/>
  <c r="M12" i="76"/>
  <c r="I12" i="76"/>
  <c r="O11" i="76"/>
  <c r="Q10" i="76"/>
  <c r="AE10" i="76" s="1"/>
  <c r="M10" i="76"/>
  <c r="I10" i="76"/>
  <c r="O9" i="76"/>
  <c r="W8" i="76"/>
  <c r="U8" i="76"/>
  <c r="S8" i="76"/>
  <c r="Q8" i="76"/>
  <c r="AE8" i="76" s="1"/>
  <c r="M8" i="76"/>
  <c r="I8" i="76"/>
  <c r="O7" i="76"/>
  <c r="AE6" i="76"/>
  <c r="AC6" i="76"/>
  <c r="W6" i="76"/>
  <c r="Q6" i="76"/>
  <c r="Y6" i="76" s="1"/>
  <c r="M6" i="76"/>
  <c r="I6" i="76"/>
  <c r="C3" i="76"/>
  <c r="AE64" i="75"/>
  <c r="AC64" i="75"/>
  <c r="AA64" i="75"/>
  <c r="Y64" i="75"/>
  <c r="W64" i="75"/>
  <c r="U64" i="75"/>
  <c r="S64" i="75"/>
  <c r="AE63" i="75"/>
  <c r="AC63" i="75"/>
  <c r="AA63" i="75"/>
  <c r="Y63" i="75"/>
  <c r="W63" i="75"/>
  <c r="U63" i="75"/>
  <c r="S63" i="75"/>
  <c r="AE62" i="75"/>
  <c r="AC62" i="75"/>
  <c r="AA62" i="75"/>
  <c r="Y62" i="75"/>
  <c r="W62" i="75"/>
  <c r="U62" i="75"/>
  <c r="S62" i="75"/>
  <c r="AE61" i="75"/>
  <c r="AC61" i="75"/>
  <c r="AA61" i="75"/>
  <c r="Y61" i="75"/>
  <c r="W61" i="75"/>
  <c r="U61" i="75"/>
  <c r="S61" i="75"/>
  <c r="AE60" i="75"/>
  <c r="AC60" i="75"/>
  <c r="AA60" i="75"/>
  <c r="Y60" i="75"/>
  <c r="W60" i="75"/>
  <c r="U60" i="75"/>
  <c r="S60" i="75"/>
  <c r="AE59" i="75"/>
  <c r="AC59" i="75"/>
  <c r="AA59" i="75"/>
  <c r="Y59" i="75"/>
  <c r="W59" i="75"/>
  <c r="U59" i="75"/>
  <c r="S59" i="75"/>
  <c r="AE58" i="75"/>
  <c r="AC58" i="75"/>
  <c r="AA58" i="75"/>
  <c r="Y58" i="75"/>
  <c r="W58" i="75"/>
  <c r="U58" i="75"/>
  <c r="S58" i="75"/>
  <c r="AE57" i="75"/>
  <c r="AC57" i="75"/>
  <c r="AA57" i="75"/>
  <c r="Y57" i="75"/>
  <c r="W57" i="75"/>
  <c r="U57" i="75"/>
  <c r="S57" i="75"/>
  <c r="AE56" i="75"/>
  <c r="AC56" i="75"/>
  <c r="AA56" i="75"/>
  <c r="Y56" i="75"/>
  <c r="W56" i="75"/>
  <c r="U56" i="75"/>
  <c r="S56" i="75"/>
  <c r="AE55" i="75"/>
  <c r="AC55" i="75"/>
  <c r="AA55" i="75"/>
  <c r="Y55" i="75"/>
  <c r="W55" i="75"/>
  <c r="U55" i="75"/>
  <c r="S55" i="75"/>
  <c r="AE54" i="75"/>
  <c r="AC54" i="75"/>
  <c r="AA54" i="75"/>
  <c r="Y54" i="75"/>
  <c r="W54" i="75"/>
  <c r="U54" i="75"/>
  <c r="S54" i="75"/>
  <c r="AE53" i="75"/>
  <c r="AC53" i="75"/>
  <c r="AA53" i="75"/>
  <c r="Y53" i="75"/>
  <c r="W53" i="75"/>
  <c r="U53" i="75"/>
  <c r="S53" i="75"/>
  <c r="AE52" i="75"/>
  <c r="AC52" i="75"/>
  <c r="AA52" i="75"/>
  <c r="Y52" i="75"/>
  <c r="W52" i="75"/>
  <c r="U52" i="75"/>
  <c r="S52" i="75"/>
  <c r="AE51" i="75"/>
  <c r="AC51" i="75"/>
  <c r="AA51" i="75"/>
  <c r="Y51" i="75"/>
  <c r="W51" i="75"/>
  <c r="U51" i="75"/>
  <c r="S51" i="75"/>
  <c r="AE50" i="75"/>
  <c r="AC50" i="75"/>
  <c r="AA50" i="75"/>
  <c r="Y50" i="75"/>
  <c r="W50" i="75"/>
  <c r="U50" i="75"/>
  <c r="S50" i="75"/>
  <c r="AE49" i="75"/>
  <c r="AC49" i="75"/>
  <c r="AA49" i="75"/>
  <c r="Y49" i="75"/>
  <c r="W49" i="75"/>
  <c r="U49" i="75"/>
  <c r="S49" i="75"/>
  <c r="AE48" i="75"/>
  <c r="AC48" i="75"/>
  <c r="AA48" i="75"/>
  <c r="Y48" i="75"/>
  <c r="W48" i="75"/>
  <c r="U48" i="75"/>
  <c r="S48" i="75"/>
  <c r="AE47" i="75"/>
  <c r="AC47" i="75"/>
  <c r="AA47" i="75"/>
  <c r="Y47" i="75"/>
  <c r="W47" i="75"/>
  <c r="U47" i="75"/>
  <c r="S47" i="75"/>
  <c r="AE46" i="75"/>
  <c r="AC46" i="75"/>
  <c r="AA46" i="75"/>
  <c r="Y46" i="75"/>
  <c r="W46" i="75"/>
  <c r="U46" i="75"/>
  <c r="S46" i="75"/>
  <c r="AE45" i="75"/>
  <c r="AC45" i="75"/>
  <c r="AA45" i="75"/>
  <c r="Y45" i="75"/>
  <c r="W45" i="75"/>
  <c r="U45" i="75"/>
  <c r="S45" i="75"/>
  <c r="AE44" i="75"/>
  <c r="AC44" i="75"/>
  <c r="AA44" i="75"/>
  <c r="Y44" i="75"/>
  <c r="W44" i="75"/>
  <c r="U44" i="75"/>
  <c r="S44" i="75"/>
  <c r="AE43" i="75"/>
  <c r="AC43" i="75"/>
  <c r="AA43" i="75"/>
  <c r="Y43" i="75"/>
  <c r="W43" i="75"/>
  <c r="U43" i="75"/>
  <c r="S43" i="75"/>
  <c r="AE42" i="75"/>
  <c r="AC42" i="75"/>
  <c r="AA42" i="75"/>
  <c r="Y42" i="75"/>
  <c r="W42" i="75"/>
  <c r="U42" i="75"/>
  <c r="S42" i="75"/>
  <c r="AE41" i="75"/>
  <c r="AC41" i="75"/>
  <c r="AA41" i="75"/>
  <c r="Y41" i="75"/>
  <c r="W41" i="75"/>
  <c r="U41" i="75"/>
  <c r="S41" i="75"/>
  <c r="AE40" i="75"/>
  <c r="AC40" i="75"/>
  <c r="AA40" i="75"/>
  <c r="Y40" i="75"/>
  <c r="W40" i="75"/>
  <c r="U40" i="75"/>
  <c r="S40" i="75"/>
  <c r="AE39" i="75"/>
  <c r="AC39" i="75"/>
  <c r="AA39" i="75"/>
  <c r="Y39" i="75"/>
  <c r="W39" i="75"/>
  <c r="U39" i="75"/>
  <c r="S39" i="75"/>
  <c r="AE38" i="75"/>
  <c r="AC38" i="75"/>
  <c r="AA38" i="75"/>
  <c r="Y38" i="75"/>
  <c r="W38" i="75"/>
  <c r="U38" i="75"/>
  <c r="S38" i="75"/>
  <c r="AE37" i="75"/>
  <c r="AC37" i="75"/>
  <c r="AA37" i="75"/>
  <c r="Y37" i="75"/>
  <c r="W37" i="75"/>
  <c r="U37" i="75"/>
  <c r="S37" i="75"/>
  <c r="AE36" i="75"/>
  <c r="AC36" i="75"/>
  <c r="AA36" i="75"/>
  <c r="Y36" i="75"/>
  <c r="W36" i="75"/>
  <c r="U36" i="75"/>
  <c r="S36" i="75"/>
  <c r="AE35" i="75"/>
  <c r="AC35" i="75"/>
  <c r="AA35" i="75"/>
  <c r="Y35" i="75"/>
  <c r="W35" i="75"/>
  <c r="U35" i="75"/>
  <c r="S35" i="75"/>
  <c r="D34" i="75"/>
  <c r="E34" i="75" s="1"/>
  <c r="D33" i="75"/>
  <c r="E33" i="75" s="1"/>
  <c r="D32" i="75"/>
  <c r="E32" i="75" s="1"/>
  <c r="D31" i="75"/>
  <c r="E31" i="75" s="1"/>
  <c r="D30" i="75"/>
  <c r="E30" i="75" s="1"/>
  <c r="D29" i="75"/>
  <c r="E29" i="75" s="1"/>
  <c r="AD17" i="75"/>
  <c r="AD25" i="75" s="1"/>
  <c r="AB17" i="75"/>
  <c r="AB25" i="75" s="1"/>
  <c r="Z17" i="75"/>
  <c r="Z25" i="75" s="1"/>
  <c r="X17" i="75"/>
  <c r="X25" i="75" s="1"/>
  <c r="V17" i="75"/>
  <c r="V25" i="75" s="1"/>
  <c r="T17" i="75"/>
  <c r="T25" i="75" s="1"/>
  <c r="R17" i="75"/>
  <c r="R25" i="75" s="1"/>
  <c r="AD16" i="75"/>
  <c r="AD24" i="75" s="1"/>
  <c r="AB16" i="75"/>
  <c r="Z16" i="75"/>
  <c r="X16" i="75"/>
  <c r="V16" i="75"/>
  <c r="V24" i="75" s="1"/>
  <c r="T16" i="75"/>
  <c r="R16" i="75"/>
  <c r="R24" i="75" s="1"/>
  <c r="P16" i="75"/>
  <c r="O16" i="75"/>
  <c r="N16" i="75"/>
  <c r="L16" i="75"/>
  <c r="K16" i="75"/>
  <c r="J16" i="75"/>
  <c r="H16" i="75"/>
  <c r="G16" i="75"/>
  <c r="F16" i="75"/>
  <c r="O15" i="75"/>
  <c r="AE14" i="75"/>
  <c r="AC14" i="75"/>
  <c r="AA14" i="75"/>
  <c r="Q14" i="75"/>
  <c r="Y14" i="75" s="1"/>
  <c r="M14" i="75"/>
  <c r="I14" i="75"/>
  <c r="O13" i="75"/>
  <c r="Q12" i="75"/>
  <c r="AC12" i="75" s="1"/>
  <c r="M12" i="75"/>
  <c r="I12" i="75"/>
  <c r="O11" i="75"/>
  <c r="O17" i="75" s="1"/>
  <c r="AE10" i="75"/>
  <c r="AA10" i="75"/>
  <c r="W10" i="75"/>
  <c r="Q10" i="75"/>
  <c r="AC10" i="75" s="1"/>
  <c r="M10" i="75"/>
  <c r="I10" i="75"/>
  <c r="O9" i="75"/>
  <c r="AE8" i="75"/>
  <c r="AC8" i="75"/>
  <c r="W8" i="75"/>
  <c r="U8" i="75"/>
  <c r="S8" i="75"/>
  <c r="Q8" i="75"/>
  <c r="AA8" i="75" s="1"/>
  <c r="M8" i="75"/>
  <c r="I8" i="75"/>
  <c r="O7" i="75"/>
  <c r="U6" i="75"/>
  <c r="Q6" i="75"/>
  <c r="AE6" i="75" s="1"/>
  <c r="M6" i="75"/>
  <c r="I6" i="75"/>
  <c r="C3" i="75"/>
  <c r="AE64" i="74"/>
  <c r="AC64" i="74"/>
  <c r="AA64" i="74"/>
  <c r="Y64" i="74"/>
  <c r="W64" i="74"/>
  <c r="U64" i="74"/>
  <c r="S64" i="74"/>
  <c r="AE63" i="74"/>
  <c r="AC63" i="74"/>
  <c r="AA63" i="74"/>
  <c r="Y63" i="74"/>
  <c r="W63" i="74"/>
  <c r="U63" i="74"/>
  <c r="S63" i="74"/>
  <c r="AE62" i="74"/>
  <c r="AC62" i="74"/>
  <c r="AA62" i="74"/>
  <c r="Y62" i="74"/>
  <c r="W62" i="74"/>
  <c r="U62" i="74"/>
  <c r="S62" i="74"/>
  <c r="AE61" i="74"/>
  <c r="AC61" i="74"/>
  <c r="AA61" i="74"/>
  <c r="Y61" i="74"/>
  <c r="W61" i="74"/>
  <c r="U61" i="74"/>
  <c r="S61" i="74"/>
  <c r="AE60" i="74"/>
  <c r="AC60" i="74"/>
  <c r="AA60" i="74"/>
  <c r="Y60" i="74"/>
  <c r="W60" i="74"/>
  <c r="U60" i="74"/>
  <c r="S60" i="74"/>
  <c r="AE59" i="74"/>
  <c r="AC59" i="74"/>
  <c r="AA59" i="74"/>
  <c r="Y59" i="74"/>
  <c r="W59" i="74"/>
  <c r="U59" i="74"/>
  <c r="S59" i="74"/>
  <c r="AE58" i="74"/>
  <c r="AC58" i="74"/>
  <c r="AA58" i="74"/>
  <c r="Y58" i="74"/>
  <c r="W58" i="74"/>
  <c r="U58" i="74"/>
  <c r="S58" i="74"/>
  <c r="AE57" i="74"/>
  <c r="AC57" i="74"/>
  <c r="AA57" i="74"/>
  <c r="Y57" i="74"/>
  <c r="W57" i="74"/>
  <c r="U57" i="74"/>
  <c r="S57" i="74"/>
  <c r="AE56" i="74"/>
  <c r="AC56" i="74"/>
  <c r="AA56" i="74"/>
  <c r="Y56" i="74"/>
  <c r="W56" i="74"/>
  <c r="U56" i="74"/>
  <c r="S56" i="74"/>
  <c r="AE55" i="74"/>
  <c r="AC55" i="74"/>
  <c r="AA55" i="74"/>
  <c r="Y55" i="74"/>
  <c r="W55" i="74"/>
  <c r="U55" i="74"/>
  <c r="S55" i="74"/>
  <c r="AE54" i="74"/>
  <c r="AC54" i="74"/>
  <c r="AA54" i="74"/>
  <c r="Y54" i="74"/>
  <c r="W54" i="74"/>
  <c r="U54" i="74"/>
  <c r="S54" i="74"/>
  <c r="AE53" i="74"/>
  <c r="AC53" i="74"/>
  <c r="AA53" i="74"/>
  <c r="Y53" i="74"/>
  <c r="W53" i="74"/>
  <c r="U53" i="74"/>
  <c r="S53" i="74"/>
  <c r="AE52" i="74"/>
  <c r="AC52" i="74"/>
  <c r="AA52" i="74"/>
  <c r="Y52" i="74"/>
  <c r="W52" i="74"/>
  <c r="U52" i="74"/>
  <c r="S52" i="74"/>
  <c r="AE51" i="74"/>
  <c r="AC51" i="74"/>
  <c r="AA51" i="74"/>
  <c r="Y51" i="74"/>
  <c r="W51" i="74"/>
  <c r="U51" i="74"/>
  <c r="S51" i="74"/>
  <c r="AE50" i="74"/>
  <c r="AC50" i="74"/>
  <c r="AA50" i="74"/>
  <c r="Y50" i="74"/>
  <c r="W50" i="74"/>
  <c r="U50" i="74"/>
  <c r="S50" i="74"/>
  <c r="AE49" i="74"/>
  <c r="AC49" i="74"/>
  <c r="AA49" i="74"/>
  <c r="Y49" i="74"/>
  <c r="W49" i="74"/>
  <c r="U49" i="74"/>
  <c r="S49" i="74"/>
  <c r="AE48" i="74"/>
  <c r="AC48" i="74"/>
  <c r="AA48" i="74"/>
  <c r="Y48" i="74"/>
  <c r="W48" i="74"/>
  <c r="U48" i="74"/>
  <c r="S48" i="74"/>
  <c r="AE47" i="74"/>
  <c r="AC47" i="74"/>
  <c r="AA47" i="74"/>
  <c r="Y47" i="74"/>
  <c r="W47" i="74"/>
  <c r="U47" i="74"/>
  <c r="S47" i="74"/>
  <c r="AE46" i="74"/>
  <c r="AC46" i="74"/>
  <c r="AA46" i="74"/>
  <c r="Y46" i="74"/>
  <c r="W46" i="74"/>
  <c r="U46" i="74"/>
  <c r="S46" i="74"/>
  <c r="AE45" i="74"/>
  <c r="AC45" i="74"/>
  <c r="AA45" i="74"/>
  <c r="Y45" i="74"/>
  <c r="W45" i="74"/>
  <c r="U45" i="74"/>
  <c r="S45" i="74"/>
  <c r="AE44" i="74"/>
  <c r="AC44" i="74"/>
  <c r="AA44" i="74"/>
  <c r="Y44" i="74"/>
  <c r="W44" i="74"/>
  <c r="U44" i="74"/>
  <c r="S44" i="74"/>
  <c r="AE43" i="74"/>
  <c r="AC43" i="74"/>
  <c r="AA43" i="74"/>
  <c r="Y43" i="74"/>
  <c r="W43" i="74"/>
  <c r="U43" i="74"/>
  <c r="S43" i="74"/>
  <c r="AE42" i="74"/>
  <c r="AC42" i="74"/>
  <c r="AA42" i="74"/>
  <c r="Y42" i="74"/>
  <c r="W42" i="74"/>
  <c r="U42" i="74"/>
  <c r="S42" i="74"/>
  <c r="AE41" i="74"/>
  <c r="AC41" i="74"/>
  <c r="AA41" i="74"/>
  <c r="Y41" i="74"/>
  <c r="W41" i="74"/>
  <c r="U41" i="74"/>
  <c r="S41" i="74"/>
  <c r="AE40" i="74"/>
  <c r="AC40" i="74"/>
  <c r="AA40" i="74"/>
  <c r="Y40" i="74"/>
  <c r="W40" i="74"/>
  <c r="U40" i="74"/>
  <c r="S40" i="74"/>
  <c r="AE39" i="74"/>
  <c r="AC39" i="74"/>
  <c r="AA39" i="74"/>
  <c r="Y39" i="74"/>
  <c r="W39" i="74"/>
  <c r="U39" i="74"/>
  <c r="S39" i="74"/>
  <c r="AE38" i="74"/>
  <c r="AC38" i="74"/>
  <c r="AA38" i="74"/>
  <c r="Y38" i="74"/>
  <c r="W38" i="74"/>
  <c r="U38" i="74"/>
  <c r="S38" i="74"/>
  <c r="AE37" i="74"/>
  <c r="AC37" i="74"/>
  <c r="AA37" i="74"/>
  <c r="Y37" i="74"/>
  <c r="W37" i="74"/>
  <c r="U37" i="74"/>
  <c r="S37" i="74"/>
  <c r="AE36" i="74"/>
  <c r="AC36" i="74"/>
  <c r="AA36" i="74"/>
  <c r="Y36" i="74"/>
  <c r="W36" i="74"/>
  <c r="U36" i="74"/>
  <c r="S36" i="74"/>
  <c r="AE35" i="74"/>
  <c r="AC35" i="74"/>
  <c r="AA35" i="74"/>
  <c r="Y35" i="74"/>
  <c r="W35" i="74"/>
  <c r="U35" i="74"/>
  <c r="S35" i="74"/>
  <c r="D34" i="74"/>
  <c r="E34" i="74" s="1"/>
  <c r="D33" i="74"/>
  <c r="E33" i="74" s="1"/>
  <c r="D32" i="74"/>
  <c r="E32" i="74" s="1"/>
  <c r="D31" i="74"/>
  <c r="E31" i="74" s="1"/>
  <c r="E30" i="74"/>
  <c r="D30" i="74"/>
  <c r="D29" i="74"/>
  <c r="E29" i="74" s="1"/>
  <c r="T25" i="74"/>
  <c r="AB24" i="74"/>
  <c r="AD17" i="74"/>
  <c r="AD25" i="74" s="1"/>
  <c r="AB17" i="74"/>
  <c r="AB25" i="74" s="1"/>
  <c r="Z17" i="74"/>
  <c r="Z25" i="74" s="1"/>
  <c r="X17" i="74"/>
  <c r="X25" i="74" s="1"/>
  <c r="V17" i="74"/>
  <c r="V25" i="74" s="1"/>
  <c r="T17" i="74"/>
  <c r="R17" i="74"/>
  <c r="R25" i="74" s="1"/>
  <c r="AD16" i="74"/>
  <c r="AB16" i="74"/>
  <c r="Z16" i="74"/>
  <c r="Z24" i="74" s="1"/>
  <c r="X16" i="74"/>
  <c r="V16" i="74"/>
  <c r="T16" i="74"/>
  <c r="R16" i="74"/>
  <c r="R24" i="74" s="1"/>
  <c r="P16" i="74"/>
  <c r="O16" i="74"/>
  <c r="N16" i="74"/>
  <c r="L16" i="74"/>
  <c r="K16" i="74"/>
  <c r="J16" i="74"/>
  <c r="H16" i="74"/>
  <c r="G16" i="74"/>
  <c r="F16" i="74"/>
  <c r="O15" i="74"/>
  <c r="AE14" i="74"/>
  <c r="Y14" i="74"/>
  <c r="W14" i="74"/>
  <c r="S14" i="74"/>
  <c r="Q14" i="74"/>
  <c r="AC14" i="74" s="1"/>
  <c r="M14" i="74"/>
  <c r="I14" i="74"/>
  <c r="O13" i="74"/>
  <c r="AE12" i="74"/>
  <c r="AC12" i="74"/>
  <c r="AA12" i="74"/>
  <c r="Y12" i="74"/>
  <c r="W12" i="74"/>
  <c r="U12" i="74"/>
  <c r="Q12" i="74"/>
  <c r="S12" i="74" s="1"/>
  <c r="M12" i="74"/>
  <c r="I12" i="74"/>
  <c r="O11" i="74"/>
  <c r="Q10" i="74"/>
  <c r="M10" i="74"/>
  <c r="I10" i="74"/>
  <c r="O9" i="74"/>
  <c r="W8" i="74"/>
  <c r="U8" i="74"/>
  <c r="S8" i="74"/>
  <c r="Q8" i="74"/>
  <c r="M8" i="74"/>
  <c r="I8" i="74"/>
  <c r="O7" i="74"/>
  <c r="Q6" i="74"/>
  <c r="M6" i="74"/>
  <c r="I6" i="74"/>
  <c r="I16" i="74" s="1"/>
  <c r="C3" i="74"/>
  <c r="AE64" i="73"/>
  <c r="AC64" i="73"/>
  <c r="AA64" i="73"/>
  <c r="Y64" i="73"/>
  <c r="W64" i="73"/>
  <c r="U64" i="73"/>
  <c r="S64" i="73"/>
  <c r="AE63" i="73"/>
  <c r="AC63" i="73"/>
  <c r="AA63" i="73"/>
  <c r="Y63" i="73"/>
  <c r="W63" i="73"/>
  <c r="U63" i="73"/>
  <c r="S63" i="73"/>
  <c r="AE62" i="73"/>
  <c r="AC62" i="73"/>
  <c r="AA62" i="73"/>
  <c r="Y62" i="73"/>
  <c r="W62" i="73"/>
  <c r="U62" i="73"/>
  <c r="S62" i="73"/>
  <c r="AE61" i="73"/>
  <c r="AC61" i="73"/>
  <c r="AA61" i="73"/>
  <c r="Y61" i="73"/>
  <c r="W61" i="73"/>
  <c r="U61" i="73"/>
  <c r="S61" i="73"/>
  <c r="AE60" i="73"/>
  <c r="AC60" i="73"/>
  <c r="AA60" i="73"/>
  <c r="Y60" i="73"/>
  <c r="W60" i="73"/>
  <c r="U60" i="73"/>
  <c r="S60" i="73"/>
  <c r="AE59" i="73"/>
  <c r="AC59" i="73"/>
  <c r="AA59" i="73"/>
  <c r="Y59" i="73"/>
  <c r="W59" i="73"/>
  <c r="U59" i="73"/>
  <c r="S59" i="73"/>
  <c r="AE58" i="73"/>
  <c r="AC58" i="73"/>
  <c r="AA58" i="73"/>
  <c r="Y58" i="73"/>
  <c r="W58" i="73"/>
  <c r="U58" i="73"/>
  <c r="S58" i="73"/>
  <c r="AE57" i="73"/>
  <c r="AC57" i="73"/>
  <c r="AA57" i="73"/>
  <c r="Y57" i="73"/>
  <c r="W57" i="73"/>
  <c r="U57" i="73"/>
  <c r="S57" i="73"/>
  <c r="AE56" i="73"/>
  <c r="AC56" i="73"/>
  <c r="AA56" i="73"/>
  <c r="Y56" i="73"/>
  <c r="W56" i="73"/>
  <c r="U56" i="73"/>
  <c r="S56" i="73"/>
  <c r="AE55" i="73"/>
  <c r="AC55" i="73"/>
  <c r="AA55" i="73"/>
  <c r="Y55" i="73"/>
  <c r="W55" i="73"/>
  <c r="U55" i="73"/>
  <c r="S55" i="73"/>
  <c r="AE54" i="73"/>
  <c r="AC54" i="73"/>
  <c r="AA54" i="73"/>
  <c r="Y54" i="73"/>
  <c r="W54" i="73"/>
  <c r="U54" i="73"/>
  <c r="S54" i="73"/>
  <c r="AE53" i="73"/>
  <c r="AC53" i="73"/>
  <c r="AA53" i="73"/>
  <c r="Y53" i="73"/>
  <c r="W53" i="73"/>
  <c r="U53" i="73"/>
  <c r="S53" i="73"/>
  <c r="AE52" i="73"/>
  <c r="AC52" i="73"/>
  <c r="AA52" i="73"/>
  <c r="Y52" i="73"/>
  <c r="W52" i="73"/>
  <c r="U52" i="73"/>
  <c r="S52" i="73"/>
  <c r="AE51" i="73"/>
  <c r="AC51" i="73"/>
  <c r="AA51" i="73"/>
  <c r="Y51" i="73"/>
  <c r="W51" i="73"/>
  <c r="U51" i="73"/>
  <c r="S51" i="73"/>
  <c r="AE50" i="73"/>
  <c r="AC50" i="73"/>
  <c r="AA50" i="73"/>
  <c r="Y50" i="73"/>
  <c r="W50" i="73"/>
  <c r="U50" i="73"/>
  <c r="S50" i="73"/>
  <c r="AE49" i="73"/>
  <c r="AC49" i="73"/>
  <c r="AA49" i="73"/>
  <c r="Y49" i="73"/>
  <c r="W49" i="73"/>
  <c r="U49" i="73"/>
  <c r="S49" i="73"/>
  <c r="AE48" i="73"/>
  <c r="AC48" i="73"/>
  <c r="AA48" i="73"/>
  <c r="Y48" i="73"/>
  <c r="W48" i="73"/>
  <c r="U48" i="73"/>
  <c r="S48" i="73"/>
  <c r="AE47" i="73"/>
  <c r="AC47" i="73"/>
  <c r="AA47" i="73"/>
  <c r="Y47" i="73"/>
  <c r="W47" i="73"/>
  <c r="U47" i="73"/>
  <c r="S47" i="73"/>
  <c r="AE46" i="73"/>
  <c r="AC46" i="73"/>
  <c r="AA46" i="73"/>
  <c r="Y46" i="73"/>
  <c r="W46" i="73"/>
  <c r="U46" i="73"/>
  <c r="S46" i="73"/>
  <c r="AE45" i="73"/>
  <c r="AC45" i="73"/>
  <c r="AA45" i="73"/>
  <c r="Y45" i="73"/>
  <c r="W45" i="73"/>
  <c r="U45" i="73"/>
  <c r="S45" i="73"/>
  <c r="AE44" i="73"/>
  <c r="AC44" i="73"/>
  <c r="AA44" i="73"/>
  <c r="Y44" i="73"/>
  <c r="W44" i="73"/>
  <c r="U44" i="73"/>
  <c r="S44" i="73"/>
  <c r="AE43" i="73"/>
  <c r="AC43" i="73"/>
  <c r="AA43" i="73"/>
  <c r="Y43" i="73"/>
  <c r="W43" i="73"/>
  <c r="U43" i="73"/>
  <c r="S43" i="73"/>
  <c r="AE42" i="73"/>
  <c r="AC42" i="73"/>
  <c r="AA42" i="73"/>
  <c r="Y42" i="73"/>
  <c r="W42" i="73"/>
  <c r="U42" i="73"/>
  <c r="S42" i="73"/>
  <c r="AE41" i="73"/>
  <c r="AC41" i="73"/>
  <c r="AA41" i="73"/>
  <c r="Y41" i="73"/>
  <c r="W41" i="73"/>
  <c r="U41" i="73"/>
  <c r="S41" i="73"/>
  <c r="AE40" i="73"/>
  <c r="AC40" i="73"/>
  <c r="AA40" i="73"/>
  <c r="Y40" i="73"/>
  <c r="W40" i="73"/>
  <c r="U40" i="73"/>
  <c r="S40" i="73"/>
  <c r="AE39" i="73"/>
  <c r="AC39" i="73"/>
  <c r="AA39" i="73"/>
  <c r="Y39" i="73"/>
  <c r="W39" i="73"/>
  <c r="U39" i="73"/>
  <c r="S39" i="73"/>
  <c r="AE38" i="73"/>
  <c r="AC38" i="73"/>
  <c r="AA38" i="73"/>
  <c r="Y38" i="73"/>
  <c r="W38" i="73"/>
  <c r="U38" i="73"/>
  <c r="S38" i="73"/>
  <c r="AE37" i="73"/>
  <c r="AC37" i="73"/>
  <c r="AA37" i="73"/>
  <c r="Y37" i="73"/>
  <c r="W37" i="73"/>
  <c r="U37" i="73"/>
  <c r="S37" i="73"/>
  <c r="AE36" i="73"/>
  <c r="AC36" i="73"/>
  <c r="AA36" i="73"/>
  <c r="Y36" i="73"/>
  <c r="W36" i="73"/>
  <c r="U36" i="73"/>
  <c r="S36" i="73"/>
  <c r="AE35" i="73"/>
  <c r="AC35" i="73"/>
  <c r="AA35" i="73"/>
  <c r="Y35" i="73"/>
  <c r="W35" i="73"/>
  <c r="U35" i="73"/>
  <c r="S35" i="73"/>
  <c r="D34" i="73"/>
  <c r="E34" i="73" s="1"/>
  <c r="D33" i="73"/>
  <c r="E33" i="73" s="1"/>
  <c r="D32" i="73"/>
  <c r="E32" i="73" s="1"/>
  <c r="D31" i="73"/>
  <c r="E31" i="73" s="1"/>
  <c r="D30" i="73"/>
  <c r="E30" i="73" s="1"/>
  <c r="D29" i="73"/>
  <c r="E29" i="73" s="1"/>
  <c r="AD25" i="73"/>
  <c r="Z24" i="73"/>
  <c r="T24" i="73"/>
  <c r="AD17" i="73"/>
  <c r="AB17" i="73"/>
  <c r="AB25" i="73" s="1"/>
  <c r="Z17" i="73"/>
  <c r="Z25" i="73" s="1"/>
  <c r="X17" i="73"/>
  <c r="X25" i="73" s="1"/>
  <c r="V17" i="73"/>
  <c r="V25" i="73" s="1"/>
  <c r="T17" i="73"/>
  <c r="T25" i="73" s="1"/>
  <c r="R17" i="73"/>
  <c r="R25" i="73" s="1"/>
  <c r="AD16" i="73"/>
  <c r="AD24" i="73" s="1"/>
  <c r="AB16" i="73"/>
  <c r="Z16" i="73"/>
  <c r="X16" i="73"/>
  <c r="X18" i="73" s="1"/>
  <c r="X26" i="73" s="1"/>
  <c r="V16" i="73"/>
  <c r="T16" i="73"/>
  <c r="R16" i="73"/>
  <c r="R24" i="73" s="1"/>
  <c r="P16" i="73"/>
  <c r="O16" i="73"/>
  <c r="N16" i="73"/>
  <c r="L16" i="73"/>
  <c r="K16" i="73"/>
  <c r="J16" i="73"/>
  <c r="H16" i="73"/>
  <c r="G16" i="73"/>
  <c r="F16" i="73"/>
  <c r="O15" i="73"/>
  <c r="AC14" i="73"/>
  <c r="AA14" i="73"/>
  <c r="W14" i="73"/>
  <c r="Q14" i="73"/>
  <c r="Y14" i="73" s="1"/>
  <c r="M14" i="73"/>
  <c r="I14" i="73"/>
  <c r="O13" i="73"/>
  <c r="Q12" i="73"/>
  <c r="M12" i="73"/>
  <c r="I12" i="73"/>
  <c r="O11" i="73"/>
  <c r="Q10" i="73"/>
  <c r="M10" i="73"/>
  <c r="I10" i="73"/>
  <c r="O9" i="73"/>
  <c r="AE8" i="73"/>
  <c r="W8" i="73"/>
  <c r="U8" i="73"/>
  <c r="S8" i="73"/>
  <c r="Q8" i="73"/>
  <c r="AA8" i="73" s="1"/>
  <c r="M8" i="73"/>
  <c r="I8" i="73"/>
  <c r="O7" i="73"/>
  <c r="U6" i="73"/>
  <c r="Q6" i="73"/>
  <c r="S6" i="73" s="1"/>
  <c r="M6" i="73"/>
  <c r="I6" i="73"/>
  <c r="C3" i="73"/>
  <c r="AE64" i="72"/>
  <c r="AC64" i="72"/>
  <c r="AA64" i="72"/>
  <c r="Y64" i="72"/>
  <c r="W64" i="72"/>
  <c r="U64" i="72"/>
  <c r="S64" i="72"/>
  <c r="AE63" i="72"/>
  <c r="AC63" i="72"/>
  <c r="AA63" i="72"/>
  <c r="Y63" i="72"/>
  <c r="W63" i="72"/>
  <c r="U63" i="72"/>
  <c r="S63" i="72"/>
  <c r="AE62" i="72"/>
  <c r="AC62" i="72"/>
  <c r="AA62" i="72"/>
  <c r="Y62" i="72"/>
  <c r="W62" i="72"/>
  <c r="U62" i="72"/>
  <c r="S62" i="72"/>
  <c r="AE61" i="72"/>
  <c r="AC61" i="72"/>
  <c r="AA61" i="72"/>
  <c r="Y61" i="72"/>
  <c r="W61" i="72"/>
  <c r="U61" i="72"/>
  <c r="S61" i="72"/>
  <c r="AE60" i="72"/>
  <c r="AC60" i="72"/>
  <c r="AA60" i="72"/>
  <c r="Y60" i="72"/>
  <c r="W60" i="72"/>
  <c r="U60" i="72"/>
  <c r="S60" i="72"/>
  <c r="AE59" i="72"/>
  <c r="AC59" i="72"/>
  <c r="AA59" i="72"/>
  <c r="Y59" i="72"/>
  <c r="W59" i="72"/>
  <c r="U59" i="72"/>
  <c r="S59" i="72"/>
  <c r="AE58" i="72"/>
  <c r="AC58" i="72"/>
  <c r="AA58" i="72"/>
  <c r="Y58" i="72"/>
  <c r="W58" i="72"/>
  <c r="U58" i="72"/>
  <c r="S58" i="72"/>
  <c r="AE57" i="72"/>
  <c r="AC57" i="72"/>
  <c r="AA57" i="72"/>
  <c r="Y57" i="72"/>
  <c r="W57" i="72"/>
  <c r="U57" i="72"/>
  <c r="S57" i="72"/>
  <c r="AE56" i="72"/>
  <c r="AC56" i="72"/>
  <c r="AA56" i="72"/>
  <c r="Y56" i="72"/>
  <c r="W56" i="72"/>
  <c r="U56" i="72"/>
  <c r="S56" i="72"/>
  <c r="AE55" i="72"/>
  <c r="AC55" i="72"/>
  <c r="AA55" i="72"/>
  <c r="Y55" i="72"/>
  <c r="W55" i="72"/>
  <c r="U55" i="72"/>
  <c r="S55" i="72"/>
  <c r="AE54" i="72"/>
  <c r="AC54" i="72"/>
  <c r="AA54" i="72"/>
  <c r="Y54" i="72"/>
  <c r="W54" i="72"/>
  <c r="U54" i="72"/>
  <c r="S54" i="72"/>
  <c r="AE53" i="72"/>
  <c r="AC53" i="72"/>
  <c r="AA53" i="72"/>
  <c r="Y53" i="72"/>
  <c r="W53" i="72"/>
  <c r="U53" i="72"/>
  <c r="S53" i="72"/>
  <c r="AE52" i="72"/>
  <c r="AC52" i="72"/>
  <c r="AA52" i="72"/>
  <c r="Y52" i="72"/>
  <c r="W52" i="72"/>
  <c r="U52" i="72"/>
  <c r="S52" i="72"/>
  <c r="AE51" i="72"/>
  <c r="AC51" i="72"/>
  <c r="AA51" i="72"/>
  <c r="Y51" i="72"/>
  <c r="W51" i="72"/>
  <c r="U51" i="72"/>
  <c r="S51" i="72"/>
  <c r="AE50" i="72"/>
  <c r="AC50" i="72"/>
  <c r="AA50" i="72"/>
  <c r="Y50" i="72"/>
  <c r="W50" i="72"/>
  <c r="U50" i="72"/>
  <c r="S50" i="72"/>
  <c r="AE49" i="72"/>
  <c r="AC49" i="72"/>
  <c r="AA49" i="72"/>
  <c r="Y49" i="72"/>
  <c r="W49" i="72"/>
  <c r="U49" i="72"/>
  <c r="S49" i="72"/>
  <c r="AE48" i="72"/>
  <c r="AC48" i="72"/>
  <c r="AA48" i="72"/>
  <c r="Y48" i="72"/>
  <c r="W48" i="72"/>
  <c r="U48" i="72"/>
  <c r="S48" i="72"/>
  <c r="AE47" i="72"/>
  <c r="AC47" i="72"/>
  <c r="AA47" i="72"/>
  <c r="Y47" i="72"/>
  <c r="W47" i="72"/>
  <c r="U47" i="72"/>
  <c r="S47" i="72"/>
  <c r="AE46" i="72"/>
  <c r="AC46" i="72"/>
  <c r="AA46" i="72"/>
  <c r="Y46" i="72"/>
  <c r="W46" i="72"/>
  <c r="U46" i="72"/>
  <c r="S46" i="72"/>
  <c r="AE45" i="72"/>
  <c r="AC45" i="72"/>
  <c r="AA45" i="72"/>
  <c r="Y45" i="72"/>
  <c r="W45" i="72"/>
  <c r="U45" i="72"/>
  <c r="S45" i="72"/>
  <c r="AE44" i="72"/>
  <c r="AC44" i="72"/>
  <c r="AA44" i="72"/>
  <c r="Y44" i="72"/>
  <c r="W44" i="72"/>
  <c r="U44" i="72"/>
  <c r="S44" i="72"/>
  <c r="AE43" i="72"/>
  <c r="AC43" i="72"/>
  <c r="AA43" i="72"/>
  <c r="Y43" i="72"/>
  <c r="W43" i="72"/>
  <c r="U43" i="72"/>
  <c r="S43" i="72"/>
  <c r="AE42" i="72"/>
  <c r="AC42" i="72"/>
  <c r="AA42" i="72"/>
  <c r="Y42" i="72"/>
  <c r="W42" i="72"/>
  <c r="U42" i="72"/>
  <c r="S42" i="72"/>
  <c r="AE41" i="72"/>
  <c r="AC41" i="72"/>
  <c r="AA41" i="72"/>
  <c r="Y41" i="72"/>
  <c r="W41" i="72"/>
  <c r="U41" i="72"/>
  <c r="S41" i="72"/>
  <c r="AE40" i="72"/>
  <c r="AC40" i="72"/>
  <c r="AA40" i="72"/>
  <c r="Y40" i="72"/>
  <c r="W40" i="72"/>
  <c r="U40" i="72"/>
  <c r="S40" i="72"/>
  <c r="AE39" i="72"/>
  <c r="AC39" i="72"/>
  <c r="AA39" i="72"/>
  <c r="Y39" i="72"/>
  <c r="W39" i="72"/>
  <c r="U39" i="72"/>
  <c r="S39" i="72"/>
  <c r="AE38" i="72"/>
  <c r="AC38" i="72"/>
  <c r="AA38" i="72"/>
  <c r="Y38" i="72"/>
  <c r="W38" i="72"/>
  <c r="U38" i="72"/>
  <c r="S38" i="72"/>
  <c r="AE37" i="72"/>
  <c r="AC37" i="72"/>
  <c r="AA37" i="72"/>
  <c r="Y37" i="72"/>
  <c r="W37" i="72"/>
  <c r="U37" i="72"/>
  <c r="S37" i="72"/>
  <c r="AE36" i="72"/>
  <c r="AC36" i="72"/>
  <c r="AA36" i="72"/>
  <c r="Y36" i="72"/>
  <c r="W36" i="72"/>
  <c r="U36" i="72"/>
  <c r="S36" i="72"/>
  <c r="AE35" i="72"/>
  <c r="AC35" i="72"/>
  <c r="AA35" i="72"/>
  <c r="Y35" i="72"/>
  <c r="W35" i="72"/>
  <c r="U35" i="72"/>
  <c r="S35" i="72"/>
  <c r="E34" i="72"/>
  <c r="D34" i="72"/>
  <c r="D33" i="72"/>
  <c r="E33" i="72" s="1"/>
  <c r="D32" i="72"/>
  <c r="E32" i="72" s="1"/>
  <c r="D31" i="72"/>
  <c r="E31" i="72" s="1"/>
  <c r="D30" i="72"/>
  <c r="E30" i="72" s="1"/>
  <c r="D29" i="72"/>
  <c r="E29" i="72" s="1"/>
  <c r="V25" i="72"/>
  <c r="T25" i="72"/>
  <c r="T24" i="72"/>
  <c r="R18" i="72"/>
  <c r="R26" i="72" s="1"/>
  <c r="AD17" i="72"/>
  <c r="AD25" i="72" s="1"/>
  <c r="AB17" i="72"/>
  <c r="AB25" i="72" s="1"/>
  <c r="Z17" i="72"/>
  <c r="Z25" i="72" s="1"/>
  <c r="X17" i="72"/>
  <c r="X25" i="72" s="1"/>
  <c r="V17" i="72"/>
  <c r="T17" i="72"/>
  <c r="R17" i="72"/>
  <c r="R25" i="72" s="1"/>
  <c r="AD16" i="72"/>
  <c r="AB16" i="72"/>
  <c r="Z16" i="72"/>
  <c r="Z24" i="72" s="1"/>
  <c r="X16" i="72"/>
  <c r="Z18" i="72" s="1"/>
  <c r="Z26" i="72" s="1"/>
  <c r="V16" i="72"/>
  <c r="T16" i="72"/>
  <c r="R16" i="72"/>
  <c r="R24" i="72" s="1"/>
  <c r="P16" i="72"/>
  <c r="O16" i="72"/>
  <c r="N16" i="72"/>
  <c r="L16" i="72"/>
  <c r="K16" i="72"/>
  <c r="J16" i="72"/>
  <c r="H16" i="72"/>
  <c r="G16" i="72"/>
  <c r="F16" i="72"/>
  <c r="O15" i="72"/>
  <c r="AE14" i="72"/>
  <c r="W14" i="72"/>
  <c r="U14" i="72"/>
  <c r="S14" i="72"/>
  <c r="Q14" i="72"/>
  <c r="AC14" i="72" s="1"/>
  <c r="M14" i="72"/>
  <c r="I14" i="72"/>
  <c r="O13" i="72"/>
  <c r="AC12" i="72"/>
  <c r="AA12" i="72"/>
  <c r="Y12" i="72"/>
  <c r="U12" i="72"/>
  <c r="Q12" i="72"/>
  <c r="S12" i="72" s="1"/>
  <c r="M12" i="72"/>
  <c r="I12" i="72"/>
  <c r="O11" i="72"/>
  <c r="Q10" i="72"/>
  <c r="M10" i="72"/>
  <c r="I10" i="72"/>
  <c r="O9" i="72"/>
  <c r="U8" i="72"/>
  <c r="S8" i="72"/>
  <c r="Q8" i="72"/>
  <c r="Y8" i="72" s="1"/>
  <c r="M8" i="72"/>
  <c r="I8" i="72"/>
  <c r="O7" i="72"/>
  <c r="AA6" i="72"/>
  <c r="W6" i="72"/>
  <c r="Q6" i="72"/>
  <c r="U6" i="72" s="1"/>
  <c r="M6" i="72"/>
  <c r="I6" i="72"/>
  <c r="C3" i="72"/>
  <c r="AE64" i="71"/>
  <c r="AC64" i="71"/>
  <c r="AA64" i="71"/>
  <c r="Y64" i="71"/>
  <c r="W64" i="71"/>
  <c r="U64" i="71"/>
  <c r="S64" i="71"/>
  <c r="AE63" i="71"/>
  <c r="AC63" i="71"/>
  <c r="AA63" i="71"/>
  <c r="Y63" i="71"/>
  <c r="W63" i="71"/>
  <c r="U63" i="71"/>
  <c r="S63" i="71"/>
  <c r="AE62" i="71"/>
  <c r="AC62" i="71"/>
  <c r="AA62" i="71"/>
  <c r="Y62" i="71"/>
  <c r="W62" i="71"/>
  <c r="U62" i="71"/>
  <c r="S62" i="71"/>
  <c r="AE61" i="71"/>
  <c r="AC61" i="71"/>
  <c r="AA61" i="71"/>
  <c r="Y61" i="71"/>
  <c r="W61" i="71"/>
  <c r="U61" i="71"/>
  <c r="S61" i="71"/>
  <c r="AE60" i="71"/>
  <c r="AC60" i="71"/>
  <c r="AA60" i="71"/>
  <c r="Y60" i="71"/>
  <c r="W60" i="71"/>
  <c r="U60" i="71"/>
  <c r="S60" i="71"/>
  <c r="AE59" i="71"/>
  <c r="AC59" i="71"/>
  <c r="AA59" i="71"/>
  <c r="Y59" i="71"/>
  <c r="W59" i="71"/>
  <c r="U59" i="71"/>
  <c r="S59" i="71"/>
  <c r="AE58" i="71"/>
  <c r="AC58" i="71"/>
  <c r="AA58" i="71"/>
  <c r="Y58" i="71"/>
  <c r="W58" i="71"/>
  <c r="U58" i="71"/>
  <c r="S58" i="71"/>
  <c r="AE57" i="71"/>
  <c r="AC57" i="71"/>
  <c r="AA57" i="71"/>
  <c r="Y57" i="71"/>
  <c r="W57" i="71"/>
  <c r="U57" i="71"/>
  <c r="S57" i="71"/>
  <c r="AE56" i="71"/>
  <c r="AC56" i="71"/>
  <c r="AA56" i="71"/>
  <c r="Y56" i="71"/>
  <c r="W56" i="71"/>
  <c r="U56" i="71"/>
  <c r="S56" i="71"/>
  <c r="AE55" i="71"/>
  <c r="AC55" i="71"/>
  <c r="AA55" i="71"/>
  <c r="Y55" i="71"/>
  <c r="W55" i="71"/>
  <c r="U55" i="71"/>
  <c r="S55" i="71"/>
  <c r="AE54" i="71"/>
  <c r="AC54" i="71"/>
  <c r="AA54" i="71"/>
  <c r="Y54" i="71"/>
  <c r="W54" i="71"/>
  <c r="U54" i="71"/>
  <c r="S54" i="71"/>
  <c r="AE53" i="71"/>
  <c r="AC53" i="71"/>
  <c r="AA53" i="71"/>
  <c r="Y53" i="71"/>
  <c r="W53" i="71"/>
  <c r="U53" i="71"/>
  <c r="S53" i="71"/>
  <c r="AE52" i="71"/>
  <c r="AC52" i="71"/>
  <c r="AA52" i="71"/>
  <c r="Y52" i="71"/>
  <c r="W52" i="71"/>
  <c r="U52" i="71"/>
  <c r="S52" i="71"/>
  <c r="AE51" i="71"/>
  <c r="AC51" i="71"/>
  <c r="AA51" i="71"/>
  <c r="Y51" i="71"/>
  <c r="W51" i="71"/>
  <c r="U51" i="71"/>
  <c r="S51" i="71"/>
  <c r="AE50" i="71"/>
  <c r="AC50" i="71"/>
  <c r="AA50" i="71"/>
  <c r="Y50" i="71"/>
  <c r="W50" i="71"/>
  <c r="U50" i="71"/>
  <c r="S50" i="71"/>
  <c r="AE49" i="71"/>
  <c r="AC49" i="71"/>
  <c r="AA49" i="71"/>
  <c r="Y49" i="71"/>
  <c r="W49" i="71"/>
  <c r="U49" i="71"/>
  <c r="S49" i="71"/>
  <c r="AE48" i="71"/>
  <c r="AC48" i="71"/>
  <c r="AA48" i="71"/>
  <c r="Y48" i="71"/>
  <c r="W48" i="71"/>
  <c r="U48" i="71"/>
  <c r="S48" i="71"/>
  <c r="AE47" i="71"/>
  <c r="AC47" i="71"/>
  <c r="AA47" i="71"/>
  <c r="Y47" i="71"/>
  <c r="W47" i="71"/>
  <c r="U47" i="71"/>
  <c r="S47" i="71"/>
  <c r="AE46" i="71"/>
  <c r="AC46" i="71"/>
  <c r="AA46" i="71"/>
  <c r="Y46" i="71"/>
  <c r="W46" i="71"/>
  <c r="U46" i="71"/>
  <c r="S46" i="71"/>
  <c r="AE45" i="71"/>
  <c r="AC45" i="71"/>
  <c r="AA45" i="71"/>
  <c r="Y45" i="71"/>
  <c r="W45" i="71"/>
  <c r="U45" i="71"/>
  <c r="S45" i="71"/>
  <c r="AE44" i="71"/>
  <c r="AC44" i="71"/>
  <c r="AA44" i="71"/>
  <c r="Y44" i="71"/>
  <c r="W44" i="71"/>
  <c r="U44" i="71"/>
  <c r="S44" i="71"/>
  <c r="AE43" i="71"/>
  <c r="AC43" i="71"/>
  <c r="AA43" i="71"/>
  <c r="Y43" i="71"/>
  <c r="W43" i="71"/>
  <c r="U43" i="71"/>
  <c r="S43" i="71"/>
  <c r="AE42" i="71"/>
  <c r="AC42" i="71"/>
  <c r="AA42" i="71"/>
  <c r="Y42" i="71"/>
  <c r="W42" i="71"/>
  <c r="U42" i="71"/>
  <c r="S42" i="71"/>
  <c r="AE41" i="71"/>
  <c r="AC41" i="71"/>
  <c r="AA41" i="71"/>
  <c r="Y41" i="71"/>
  <c r="W41" i="71"/>
  <c r="U41" i="71"/>
  <c r="S41" i="71"/>
  <c r="AE40" i="71"/>
  <c r="AC40" i="71"/>
  <c r="AA40" i="71"/>
  <c r="Y40" i="71"/>
  <c r="W40" i="71"/>
  <c r="U40" i="71"/>
  <c r="S40" i="71"/>
  <c r="AE39" i="71"/>
  <c r="AC39" i="71"/>
  <c r="AA39" i="71"/>
  <c r="Y39" i="71"/>
  <c r="W39" i="71"/>
  <c r="U39" i="71"/>
  <c r="S39" i="71"/>
  <c r="AE38" i="71"/>
  <c r="AC38" i="71"/>
  <c r="AA38" i="71"/>
  <c r="Y38" i="71"/>
  <c r="W38" i="71"/>
  <c r="U38" i="71"/>
  <c r="S38" i="71"/>
  <c r="AE37" i="71"/>
  <c r="AC37" i="71"/>
  <c r="AA37" i="71"/>
  <c r="Y37" i="71"/>
  <c r="W37" i="71"/>
  <c r="U37" i="71"/>
  <c r="S37" i="71"/>
  <c r="AE36" i="71"/>
  <c r="AC36" i="71"/>
  <c r="AA36" i="71"/>
  <c r="Y36" i="71"/>
  <c r="W36" i="71"/>
  <c r="U36" i="71"/>
  <c r="S36" i="71"/>
  <c r="AE35" i="71"/>
  <c r="AC35" i="71"/>
  <c r="AA35" i="71"/>
  <c r="Y35" i="71"/>
  <c r="W35" i="71"/>
  <c r="U35" i="71"/>
  <c r="S35" i="71"/>
  <c r="D34" i="71"/>
  <c r="E34" i="71" s="1"/>
  <c r="D33" i="71"/>
  <c r="E33" i="71" s="1"/>
  <c r="D32" i="71"/>
  <c r="E32" i="71" s="1"/>
  <c r="D31" i="71"/>
  <c r="E31" i="71" s="1"/>
  <c r="D30" i="71"/>
  <c r="E30" i="71" s="1"/>
  <c r="D29" i="71"/>
  <c r="E29" i="71" s="1"/>
  <c r="AD25" i="71"/>
  <c r="Z25" i="71"/>
  <c r="Z24" i="71"/>
  <c r="AD17" i="71"/>
  <c r="AB17" i="71"/>
  <c r="AB25" i="71" s="1"/>
  <c r="Z17" i="71"/>
  <c r="X17" i="71"/>
  <c r="X25" i="71" s="1"/>
  <c r="V17" i="71"/>
  <c r="V25" i="71" s="1"/>
  <c r="T17" i="71"/>
  <c r="T25" i="71" s="1"/>
  <c r="R17" i="71"/>
  <c r="R25" i="71" s="1"/>
  <c r="AD16" i="71"/>
  <c r="AD24" i="71" s="1"/>
  <c r="AB16" i="71"/>
  <c r="Z16" i="71"/>
  <c r="X16" i="71"/>
  <c r="X18" i="71" s="1"/>
  <c r="X26" i="71" s="1"/>
  <c r="V16" i="71"/>
  <c r="V24" i="71" s="1"/>
  <c r="T16" i="71"/>
  <c r="T24" i="71" s="1"/>
  <c r="R16" i="71"/>
  <c r="R24" i="71" s="1"/>
  <c r="P16" i="71"/>
  <c r="O16" i="71"/>
  <c r="N16" i="71"/>
  <c r="L16" i="71"/>
  <c r="K16" i="71"/>
  <c r="J16" i="71"/>
  <c r="H16" i="71"/>
  <c r="G16" i="71"/>
  <c r="F16" i="71"/>
  <c r="O15" i="71"/>
  <c r="Q14" i="71"/>
  <c r="M14" i="71"/>
  <c r="I14" i="71"/>
  <c r="O13" i="71"/>
  <c r="AC12" i="71"/>
  <c r="S12" i="71"/>
  <c r="Q12" i="71"/>
  <c r="U12" i="71" s="1"/>
  <c r="M12" i="71"/>
  <c r="I12" i="71"/>
  <c r="O11" i="71"/>
  <c r="AE10" i="71"/>
  <c r="AC10" i="71"/>
  <c r="Y10" i="71"/>
  <c r="U10" i="71"/>
  <c r="Q10" i="71"/>
  <c r="S10" i="71" s="1"/>
  <c r="M10" i="71"/>
  <c r="I10" i="71"/>
  <c r="O9" i="71"/>
  <c r="U8" i="71"/>
  <c r="S8" i="71"/>
  <c r="Q8" i="71"/>
  <c r="M8" i="71"/>
  <c r="I8" i="71"/>
  <c r="O7" i="71"/>
  <c r="Q6" i="71"/>
  <c r="M6" i="71"/>
  <c r="I6" i="71"/>
  <c r="C3" i="71"/>
  <c r="AE64" i="70"/>
  <c r="AC64" i="70"/>
  <c r="AA64" i="70"/>
  <c r="Y64" i="70"/>
  <c r="W64" i="70"/>
  <c r="U64" i="70"/>
  <c r="S64" i="70"/>
  <c r="AE63" i="70"/>
  <c r="AC63" i="70"/>
  <c r="AA63" i="70"/>
  <c r="Y63" i="70"/>
  <c r="W63" i="70"/>
  <c r="U63" i="70"/>
  <c r="S63" i="70"/>
  <c r="AE62" i="70"/>
  <c r="AC62" i="70"/>
  <c r="AA62" i="70"/>
  <c r="Y62" i="70"/>
  <c r="W62" i="70"/>
  <c r="U62" i="70"/>
  <c r="S62" i="70"/>
  <c r="AE61" i="70"/>
  <c r="AC61" i="70"/>
  <c r="AA61" i="70"/>
  <c r="Y61" i="70"/>
  <c r="W61" i="70"/>
  <c r="U61" i="70"/>
  <c r="S61" i="70"/>
  <c r="AE60" i="70"/>
  <c r="AC60" i="70"/>
  <c r="AA60" i="70"/>
  <c r="Y60" i="70"/>
  <c r="W60" i="70"/>
  <c r="U60" i="70"/>
  <c r="S60" i="70"/>
  <c r="AE59" i="70"/>
  <c r="AC59" i="70"/>
  <c r="AA59" i="70"/>
  <c r="Y59" i="70"/>
  <c r="W59" i="70"/>
  <c r="U59" i="70"/>
  <c r="S59" i="70"/>
  <c r="AE58" i="70"/>
  <c r="AC58" i="70"/>
  <c r="AA58" i="70"/>
  <c r="Y58" i="70"/>
  <c r="W58" i="70"/>
  <c r="U58" i="70"/>
  <c r="S58" i="70"/>
  <c r="AE57" i="70"/>
  <c r="AC57" i="70"/>
  <c r="AA57" i="70"/>
  <c r="Y57" i="70"/>
  <c r="W57" i="70"/>
  <c r="U57" i="70"/>
  <c r="S57" i="70"/>
  <c r="AE56" i="70"/>
  <c r="AC56" i="70"/>
  <c r="AA56" i="70"/>
  <c r="Y56" i="70"/>
  <c r="W56" i="70"/>
  <c r="U56" i="70"/>
  <c r="S56" i="70"/>
  <c r="AE55" i="70"/>
  <c r="AC55" i="70"/>
  <c r="AA55" i="70"/>
  <c r="Y55" i="70"/>
  <c r="W55" i="70"/>
  <c r="U55" i="70"/>
  <c r="S55" i="70"/>
  <c r="AE54" i="70"/>
  <c r="AC54" i="70"/>
  <c r="AA54" i="70"/>
  <c r="Y54" i="70"/>
  <c r="W54" i="70"/>
  <c r="U54" i="70"/>
  <c r="S54" i="70"/>
  <c r="AE53" i="70"/>
  <c r="AC53" i="70"/>
  <c r="AA53" i="70"/>
  <c r="Y53" i="70"/>
  <c r="W53" i="70"/>
  <c r="U53" i="70"/>
  <c r="S53" i="70"/>
  <c r="AE52" i="70"/>
  <c r="AC52" i="70"/>
  <c r="AA52" i="70"/>
  <c r="Y52" i="70"/>
  <c r="W52" i="70"/>
  <c r="U52" i="70"/>
  <c r="S52" i="70"/>
  <c r="AE51" i="70"/>
  <c r="AC51" i="70"/>
  <c r="AA51" i="70"/>
  <c r="Y51" i="70"/>
  <c r="W51" i="70"/>
  <c r="U51" i="70"/>
  <c r="S51" i="70"/>
  <c r="AE50" i="70"/>
  <c r="AC50" i="70"/>
  <c r="AA50" i="70"/>
  <c r="Y50" i="70"/>
  <c r="W50" i="70"/>
  <c r="U50" i="70"/>
  <c r="S50" i="70"/>
  <c r="AE49" i="70"/>
  <c r="AC49" i="70"/>
  <c r="AA49" i="70"/>
  <c r="Y49" i="70"/>
  <c r="W49" i="70"/>
  <c r="U49" i="70"/>
  <c r="S49" i="70"/>
  <c r="AE48" i="70"/>
  <c r="AC48" i="70"/>
  <c r="AA48" i="70"/>
  <c r="Y48" i="70"/>
  <c r="W48" i="70"/>
  <c r="U48" i="70"/>
  <c r="S48" i="70"/>
  <c r="AE47" i="70"/>
  <c r="AC47" i="70"/>
  <c r="AA47" i="70"/>
  <c r="Y47" i="70"/>
  <c r="W47" i="70"/>
  <c r="U47" i="70"/>
  <c r="S47" i="70"/>
  <c r="AE46" i="70"/>
  <c r="AC46" i="70"/>
  <c r="AA46" i="70"/>
  <c r="Y46" i="70"/>
  <c r="W46" i="70"/>
  <c r="U46" i="70"/>
  <c r="S46" i="70"/>
  <c r="AE45" i="70"/>
  <c r="AC45" i="70"/>
  <c r="AA45" i="70"/>
  <c r="Y45" i="70"/>
  <c r="W45" i="70"/>
  <c r="U45" i="70"/>
  <c r="S45" i="70"/>
  <c r="AE44" i="70"/>
  <c r="AC44" i="70"/>
  <c r="AA44" i="70"/>
  <c r="Y44" i="70"/>
  <c r="W44" i="70"/>
  <c r="U44" i="70"/>
  <c r="S44" i="70"/>
  <c r="AE43" i="70"/>
  <c r="AC43" i="70"/>
  <c r="AA43" i="70"/>
  <c r="Y43" i="70"/>
  <c r="W43" i="70"/>
  <c r="U43" i="70"/>
  <c r="S43" i="70"/>
  <c r="AE42" i="70"/>
  <c r="AC42" i="70"/>
  <c r="AA42" i="70"/>
  <c r="Y42" i="70"/>
  <c r="W42" i="70"/>
  <c r="U42" i="70"/>
  <c r="S42" i="70"/>
  <c r="AE41" i="70"/>
  <c r="AC41" i="70"/>
  <c r="AA41" i="70"/>
  <c r="Y41" i="70"/>
  <c r="W41" i="70"/>
  <c r="U41" i="70"/>
  <c r="S41" i="70"/>
  <c r="AE40" i="70"/>
  <c r="AC40" i="70"/>
  <c r="AA40" i="70"/>
  <c r="Y40" i="70"/>
  <c r="W40" i="70"/>
  <c r="U40" i="70"/>
  <c r="S40" i="70"/>
  <c r="AE39" i="70"/>
  <c r="AC39" i="70"/>
  <c r="AA39" i="70"/>
  <c r="Y39" i="70"/>
  <c r="W39" i="70"/>
  <c r="U39" i="70"/>
  <c r="S39" i="70"/>
  <c r="AE38" i="70"/>
  <c r="AC38" i="70"/>
  <c r="AA38" i="70"/>
  <c r="Y38" i="70"/>
  <c r="W38" i="70"/>
  <c r="U38" i="70"/>
  <c r="S38" i="70"/>
  <c r="AE37" i="70"/>
  <c r="AC37" i="70"/>
  <c r="AA37" i="70"/>
  <c r="Y37" i="70"/>
  <c r="W37" i="70"/>
  <c r="U37" i="70"/>
  <c r="S37" i="70"/>
  <c r="AE36" i="70"/>
  <c r="AC36" i="70"/>
  <c r="AA36" i="70"/>
  <c r="Y36" i="70"/>
  <c r="W36" i="70"/>
  <c r="U36" i="70"/>
  <c r="S36" i="70"/>
  <c r="AE35" i="70"/>
  <c r="AC35" i="70"/>
  <c r="AA35" i="70"/>
  <c r="Y35" i="70"/>
  <c r="W35" i="70"/>
  <c r="U35" i="70"/>
  <c r="S35" i="70"/>
  <c r="D34" i="70"/>
  <c r="E34" i="70" s="1"/>
  <c r="D33" i="70"/>
  <c r="E33" i="70" s="1"/>
  <c r="D32" i="70"/>
  <c r="E32" i="70" s="1"/>
  <c r="D31" i="70"/>
  <c r="E31" i="70" s="1"/>
  <c r="D30" i="70"/>
  <c r="E30" i="70" s="1"/>
  <c r="D29" i="70"/>
  <c r="E29" i="70" s="1"/>
  <c r="AD25" i="70"/>
  <c r="T25" i="70"/>
  <c r="R18" i="70"/>
  <c r="R26" i="70" s="1"/>
  <c r="AD17" i="70"/>
  <c r="AB17" i="70"/>
  <c r="AB25" i="70" s="1"/>
  <c r="Z17" i="70"/>
  <c r="Z25" i="70" s="1"/>
  <c r="X17" i="70"/>
  <c r="X25" i="70" s="1"/>
  <c r="V17" i="70"/>
  <c r="V25" i="70" s="1"/>
  <c r="T17" i="70"/>
  <c r="R17" i="70"/>
  <c r="R25" i="70" s="1"/>
  <c r="AD16" i="70"/>
  <c r="AD24" i="70" s="1"/>
  <c r="AB16" i="70"/>
  <c r="Z16" i="70"/>
  <c r="Z24" i="70" s="1"/>
  <c r="X16" i="70"/>
  <c r="V16" i="70"/>
  <c r="T16" i="70"/>
  <c r="T18" i="70" s="1"/>
  <c r="T26" i="70" s="1"/>
  <c r="R16" i="70"/>
  <c r="R24" i="70" s="1"/>
  <c r="P16" i="70"/>
  <c r="O16" i="70"/>
  <c r="N16" i="70"/>
  <c r="L16" i="70"/>
  <c r="K16" i="70"/>
  <c r="J16" i="70"/>
  <c r="H16" i="70"/>
  <c r="G16" i="70"/>
  <c r="F16" i="70"/>
  <c r="O15" i="70"/>
  <c r="Q14" i="70"/>
  <c r="M14" i="70"/>
  <c r="I14" i="70"/>
  <c r="O13" i="70"/>
  <c r="AE12" i="70"/>
  <c r="AA12" i="70"/>
  <c r="Y12" i="70"/>
  <c r="W12" i="70"/>
  <c r="Q12" i="70"/>
  <c r="S12" i="70" s="1"/>
  <c r="M12" i="70"/>
  <c r="I12" i="70"/>
  <c r="O11" i="70"/>
  <c r="AE10" i="70"/>
  <c r="AC10" i="70"/>
  <c r="AA10" i="70"/>
  <c r="S10" i="70"/>
  <c r="Q10" i="70"/>
  <c r="U10" i="70" s="1"/>
  <c r="M10" i="70"/>
  <c r="I10" i="70"/>
  <c r="O9" i="70"/>
  <c r="Y8" i="70"/>
  <c r="W8" i="70"/>
  <c r="U8" i="70"/>
  <c r="S8" i="70"/>
  <c r="Q8" i="70"/>
  <c r="M8" i="70"/>
  <c r="I8" i="70"/>
  <c r="O7" i="70"/>
  <c r="AE6" i="70"/>
  <c r="AC6" i="70"/>
  <c r="Q6" i="70"/>
  <c r="Q16" i="70" s="1"/>
  <c r="M6" i="70"/>
  <c r="I6" i="70"/>
  <c r="I16" i="70" s="1"/>
  <c r="C3" i="70"/>
  <c r="AE64" i="69"/>
  <c r="AC64" i="69"/>
  <c r="AA64" i="69"/>
  <c r="Y64" i="69"/>
  <c r="W64" i="69"/>
  <c r="U64" i="69"/>
  <c r="S64" i="69"/>
  <c r="AE63" i="69"/>
  <c r="AC63" i="69"/>
  <c r="AA63" i="69"/>
  <c r="Y63" i="69"/>
  <c r="W63" i="69"/>
  <c r="U63" i="69"/>
  <c r="S63" i="69"/>
  <c r="AE62" i="69"/>
  <c r="AC62" i="69"/>
  <c r="AA62" i="69"/>
  <c r="Y62" i="69"/>
  <c r="W62" i="69"/>
  <c r="U62" i="69"/>
  <c r="S62" i="69"/>
  <c r="AE61" i="69"/>
  <c r="AC61" i="69"/>
  <c r="AA61" i="69"/>
  <c r="Y61" i="69"/>
  <c r="W61" i="69"/>
  <c r="U61" i="69"/>
  <c r="S61" i="69"/>
  <c r="AE60" i="69"/>
  <c r="AC60" i="69"/>
  <c r="AA60" i="69"/>
  <c r="Y60" i="69"/>
  <c r="W60" i="69"/>
  <c r="U60" i="69"/>
  <c r="S60" i="69"/>
  <c r="AE59" i="69"/>
  <c r="AC59" i="69"/>
  <c r="AA59" i="69"/>
  <c r="Y59" i="69"/>
  <c r="W59" i="69"/>
  <c r="U59" i="69"/>
  <c r="S59" i="69"/>
  <c r="AE58" i="69"/>
  <c r="AC58" i="69"/>
  <c r="AA58" i="69"/>
  <c r="Y58" i="69"/>
  <c r="W58" i="69"/>
  <c r="U58" i="69"/>
  <c r="S58" i="69"/>
  <c r="AE57" i="69"/>
  <c r="AC57" i="69"/>
  <c r="AA57" i="69"/>
  <c r="Y57" i="69"/>
  <c r="W57" i="69"/>
  <c r="U57" i="69"/>
  <c r="S57" i="69"/>
  <c r="AE56" i="69"/>
  <c r="AC56" i="69"/>
  <c r="AA56" i="69"/>
  <c r="Y56" i="69"/>
  <c r="W56" i="69"/>
  <c r="U56" i="69"/>
  <c r="S56" i="69"/>
  <c r="AE55" i="69"/>
  <c r="AC55" i="69"/>
  <c r="AA55" i="69"/>
  <c r="Y55" i="69"/>
  <c r="W55" i="69"/>
  <c r="U55" i="69"/>
  <c r="S55" i="69"/>
  <c r="AE54" i="69"/>
  <c r="AC54" i="69"/>
  <c r="AA54" i="69"/>
  <c r="Y54" i="69"/>
  <c r="W54" i="69"/>
  <c r="U54" i="69"/>
  <c r="S54" i="69"/>
  <c r="AE53" i="69"/>
  <c r="AC53" i="69"/>
  <c r="AA53" i="69"/>
  <c r="Y53" i="69"/>
  <c r="W53" i="69"/>
  <c r="U53" i="69"/>
  <c r="S53" i="69"/>
  <c r="AE52" i="69"/>
  <c r="AC52" i="69"/>
  <c r="AA52" i="69"/>
  <c r="Y52" i="69"/>
  <c r="W52" i="69"/>
  <c r="U52" i="69"/>
  <c r="S52" i="69"/>
  <c r="AE51" i="69"/>
  <c r="AC51" i="69"/>
  <c r="AA51" i="69"/>
  <c r="Y51" i="69"/>
  <c r="W51" i="69"/>
  <c r="U51" i="69"/>
  <c r="S51" i="69"/>
  <c r="AE50" i="69"/>
  <c r="AC50" i="69"/>
  <c r="AA50" i="69"/>
  <c r="Y50" i="69"/>
  <c r="W50" i="69"/>
  <c r="U50" i="69"/>
  <c r="S50" i="69"/>
  <c r="AE49" i="69"/>
  <c r="AC49" i="69"/>
  <c r="AA49" i="69"/>
  <c r="Y49" i="69"/>
  <c r="W49" i="69"/>
  <c r="U49" i="69"/>
  <c r="S49" i="69"/>
  <c r="AE48" i="69"/>
  <c r="AC48" i="69"/>
  <c r="AA48" i="69"/>
  <c r="Y48" i="69"/>
  <c r="W48" i="69"/>
  <c r="U48" i="69"/>
  <c r="S48" i="69"/>
  <c r="AE47" i="69"/>
  <c r="AC47" i="69"/>
  <c r="AA47" i="69"/>
  <c r="Y47" i="69"/>
  <c r="W47" i="69"/>
  <c r="U47" i="69"/>
  <c r="S47" i="69"/>
  <c r="AE46" i="69"/>
  <c r="AC46" i="69"/>
  <c r="AA46" i="69"/>
  <c r="Y46" i="69"/>
  <c r="W46" i="69"/>
  <c r="U46" i="69"/>
  <c r="S46" i="69"/>
  <c r="AE45" i="69"/>
  <c r="AC45" i="69"/>
  <c r="AA45" i="69"/>
  <c r="Y45" i="69"/>
  <c r="W45" i="69"/>
  <c r="U45" i="69"/>
  <c r="S45" i="69"/>
  <c r="AE44" i="69"/>
  <c r="AC44" i="69"/>
  <c r="AA44" i="69"/>
  <c r="Y44" i="69"/>
  <c r="W44" i="69"/>
  <c r="U44" i="69"/>
  <c r="S44" i="69"/>
  <c r="AE43" i="69"/>
  <c r="AC43" i="69"/>
  <c r="AA43" i="69"/>
  <c r="Y43" i="69"/>
  <c r="W43" i="69"/>
  <c r="U43" i="69"/>
  <c r="S43" i="69"/>
  <c r="AE42" i="69"/>
  <c r="AC42" i="69"/>
  <c r="AA42" i="69"/>
  <c r="Y42" i="69"/>
  <c r="W42" i="69"/>
  <c r="U42" i="69"/>
  <c r="S42" i="69"/>
  <c r="AE41" i="69"/>
  <c r="AC41" i="69"/>
  <c r="AA41" i="69"/>
  <c r="Y41" i="69"/>
  <c r="W41" i="69"/>
  <c r="U41" i="69"/>
  <c r="S41" i="69"/>
  <c r="AE40" i="69"/>
  <c r="AC40" i="69"/>
  <c r="AA40" i="69"/>
  <c r="Y40" i="69"/>
  <c r="W40" i="69"/>
  <c r="U40" i="69"/>
  <c r="S40" i="69"/>
  <c r="AE39" i="69"/>
  <c r="AC39" i="69"/>
  <c r="AA39" i="69"/>
  <c r="Y39" i="69"/>
  <c r="W39" i="69"/>
  <c r="U39" i="69"/>
  <c r="S39" i="69"/>
  <c r="AE38" i="69"/>
  <c r="AC38" i="69"/>
  <c r="AA38" i="69"/>
  <c r="Y38" i="69"/>
  <c r="W38" i="69"/>
  <c r="U38" i="69"/>
  <c r="S38" i="69"/>
  <c r="AE37" i="69"/>
  <c r="AC37" i="69"/>
  <c r="AA37" i="69"/>
  <c r="Y37" i="69"/>
  <c r="W37" i="69"/>
  <c r="U37" i="69"/>
  <c r="S37" i="69"/>
  <c r="AE36" i="69"/>
  <c r="AC36" i="69"/>
  <c r="AA36" i="69"/>
  <c r="Y36" i="69"/>
  <c r="W36" i="69"/>
  <c r="U36" i="69"/>
  <c r="S36" i="69"/>
  <c r="AE35" i="69"/>
  <c r="AC35" i="69"/>
  <c r="AA35" i="69"/>
  <c r="Y35" i="69"/>
  <c r="W35" i="69"/>
  <c r="U35" i="69"/>
  <c r="S35" i="69"/>
  <c r="D34" i="69"/>
  <c r="E34" i="69" s="1"/>
  <c r="D33" i="69"/>
  <c r="E33" i="69" s="1"/>
  <c r="D32" i="69"/>
  <c r="E32" i="69" s="1"/>
  <c r="D31" i="69"/>
  <c r="E31" i="69" s="1"/>
  <c r="D30" i="69"/>
  <c r="E30" i="69" s="1"/>
  <c r="D29" i="69"/>
  <c r="E29" i="69" s="1"/>
  <c r="AB25" i="69"/>
  <c r="AD17" i="69"/>
  <c r="AD25" i="69" s="1"/>
  <c r="AB17" i="69"/>
  <c r="Z17" i="69"/>
  <c r="Z25" i="69" s="1"/>
  <c r="X17" i="69"/>
  <c r="X25" i="69" s="1"/>
  <c r="V17" i="69"/>
  <c r="V25" i="69" s="1"/>
  <c r="T17" i="69"/>
  <c r="T25" i="69" s="1"/>
  <c r="R17" i="69"/>
  <c r="R25" i="69" s="1"/>
  <c r="AD16" i="69"/>
  <c r="AD24" i="69" s="1"/>
  <c r="AB16" i="69"/>
  <c r="AB24" i="69" s="1"/>
  <c r="Z16" i="69"/>
  <c r="Z24" i="69" s="1"/>
  <c r="X16" i="69"/>
  <c r="X18" i="69" s="1"/>
  <c r="X26" i="69" s="1"/>
  <c r="V16" i="69"/>
  <c r="V24" i="69" s="1"/>
  <c r="T16" i="69"/>
  <c r="R16" i="69"/>
  <c r="P16" i="69"/>
  <c r="O16" i="69"/>
  <c r="N16" i="69"/>
  <c r="L16" i="69"/>
  <c r="K16" i="69"/>
  <c r="J16" i="69"/>
  <c r="H16" i="69"/>
  <c r="G16" i="69"/>
  <c r="F16" i="69"/>
  <c r="O15" i="69"/>
  <c r="AA14" i="69"/>
  <c r="Q14" i="69"/>
  <c r="AE14" i="69" s="1"/>
  <c r="M14" i="69"/>
  <c r="I14" i="69"/>
  <c r="O13" i="69"/>
  <c r="AE12" i="69"/>
  <c r="AC12" i="69"/>
  <c r="W12" i="69"/>
  <c r="U12" i="69"/>
  <c r="S12" i="69"/>
  <c r="Q12" i="69"/>
  <c r="M12" i="69"/>
  <c r="I12" i="69"/>
  <c r="O11" i="69"/>
  <c r="AC10" i="69"/>
  <c r="Y10" i="69"/>
  <c r="Q10" i="69"/>
  <c r="AA10" i="69" s="1"/>
  <c r="M10" i="69"/>
  <c r="I10" i="69"/>
  <c r="O9" i="69"/>
  <c r="AE8" i="69"/>
  <c r="U8" i="69"/>
  <c r="S8" i="69"/>
  <c r="Q8" i="69"/>
  <c r="W8" i="69" s="1"/>
  <c r="M8" i="69"/>
  <c r="I8" i="69"/>
  <c r="O7" i="69"/>
  <c r="Q6" i="69"/>
  <c r="M6" i="69"/>
  <c r="I6" i="69"/>
  <c r="C3" i="69"/>
  <c r="AE64" i="68"/>
  <c r="AC64" i="68"/>
  <c r="AA64" i="68"/>
  <c r="Y64" i="68"/>
  <c r="W64" i="68"/>
  <c r="U64" i="68"/>
  <c r="S64" i="68"/>
  <c r="AE63" i="68"/>
  <c r="AC63" i="68"/>
  <c r="AA63" i="68"/>
  <c r="Y63" i="68"/>
  <c r="W63" i="68"/>
  <c r="U63" i="68"/>
  <c r="S63" i="68"/>
  <c r="AE62" i="68"/>
  <c r="AC62" i="68"/>
  <c r="AA62" i="68"/>
  <c r="Y62" i="68"/>
  <c r="W62" i="68"/>
  <c r="U62" i="68"/>
  <c r="S62" i="68"/>
  <c r="AE61" i="68"/>
  <c r="AC61" i="68"/>
  <c r="AA61" i="68"/>
  <c r="Y61" i="68"/>
  <c r="W61" i="68"/>
  <c r="U61" i="68"/>
  <c r="S61" i="68"/>
  <c r="AE60" i="68"/>
  <c r="AC60" i="68"/>
  <c r="AA60" i="68"/>
  <c r="Y60" i="68"/>
  <c r="W60" i="68"/>
  <c r="U60" i="68"/>
  <c r="S60" i="68"/>
  <c r="AE59" i="68"/>
  <c r="AC59" i="68"/>
  <c r="AA59" i="68"/>
  <c r="Y59" i="68"/>
  <c r="W59" i="68"/>
  <c r="U59" i="68"/>
  <c r="S59" i="68"/>
  <c r="AE58" i="68"/>
  <c r="AC58" i="68"/>
  <c r="AA58" i="68"/>
  <c r="Y58" i="68"/>
  <c r="W58" i="68"/>
  <c r="U58" i="68"/>
  <c r="S58" i="68"/>
  <c r="AE57" i="68"/>
  <c r="AC57" i="68"/>
  <c r="AA57" i="68"/>
  <c r="Y57" i="68"/>
  <c r="W57" i="68"/>
  <c r="U57" i="68"/>
  <c r="S57" i="68"/>
  <c r="AE56" i="68"/>
  <c r="AC56" i="68"/>
  <c r="AA56" i="68"/>
  <c r="Y56" i="68"/>
  <c r="W56" i="68"/>
  <c r="U56" i="68"/>
  <c r="S56" i="68"/>
  <c r="AE55" i="68"/>
  <c r="AC55" i="68"/>
  <c r="AA55" i="68"/>
  <c r="Y55" i="68"/>
  <c r="W55" i="68"/>
  <c r="U55" i="68"/>
  <c r="S55" i="68"/>
  <c r="AE54" i="68"/>
  <c r="AC54" i="68"/>
  <c r="AA54" i="68"/>
  <c r="Y54" i="68"/>
  <c r="W54" i="68"/>
  <c r="U54" i="68"/>
  <c r="S54" i="68"/>
  <c r="AE53" i="68"/>
  <c r="AC53" i="68"/>
  <c r="AA53" i="68"/>
  <c r="Y53" i="68"/>
  <c r="W53" i="68"/>
  <c r="U53" i="68"/>
  <c r="S53" i="68"/>
  <c r="AE52" i="68"/>
  <c r="AC52" i="68"/>
  <c r="AA52" i="68"/>
  <c r="Y52" i="68"/>
  <c r="W52" i="68"/>
  <c r="U52" i="68"/>
  <c r="S52" i="68"/>
  <c r="AE51" i="68"/>
  <c r="AC51" i="68"/>
  <c r="AA51" i="68"/>
  <c r="Y51" i="68"/>
  <c r="W51" i="68"/>
  <c r="U51" i="68"/>
  <c r="S51" i="68"/>
  <c r="AE50" i="68"/>
  <c r="AC50" i="68"/>
  <c r="AA50" i="68"/>
  <c r="Y50" i="68"/>
  <c r="W50" i="68"/>
  <c r="U50" i="68"/>
  <c r="S50" i="68"/>
  <c r="AE49" i="68"/>
  <c r="AC49" i="68"/>
  <c r="AA49" i="68"/>
  <c r="Y49" i="68"/>
  <c r="W49" i="68"/>
  <c r="U49" i="68"/>
  <c r="S49" i="68"/>
  <c r="AE48" i="68"/>
  <c r="AC48" i="68"/>
  <c r="AA48" i="68"/>
  <c r="Y48" i="68"/>
  <c r="W48" i="68"/>
  <c r="U48" i="68"/>
  <c r="S48" i="68"/>
  <c r="AE47" i="68"/>
  <c r="AC47" i="68"/>
  <c r="AA47" i="68"/>
  <c r="Y47" i="68"/>
  <c r="W47" i="68"/>
  <c r="U47" i="68"/>
  <c r="S47" i="68"/>
  <c r="AE46" i="68"/>
  <c r="AC46" i="68"/>
  <c r="AA46" i="68"/>
  <c r="Y46" i="68"/>
  <c r="W46" i="68"/>
  <c r="U46" i="68"/>
  <c r="S46" i="68"/>
  <c r="AE45" i="68"/>
  <c r="AC45" i="68"/>
  <c r="AA45" i="68"/>
  <c r="Y45" i="68"/>
  <c r="W45" i="68"/>
  <c r="U45" i="68"/>
  <c r="S45" i="68"/>
  <c r="AE44" i="68"/>
  <c r="AC44" i="68"/>
  <c r="AA44" i="68"/>
  <c r="Y44" i="68"/>
  <c r="W44" i="68"/>
  <c r="U44" i="68"/>
  <c r="S44" i="68"/>
  <c r="AE43" i="68"/>
  <c r="AC43" i="68"/>
  <c r="AA43" i="68"/>
  <c r="Y43" i="68"/>
  <c r="W43" i="68"/>
  <c r="U43" i="68"/>
  <c r="S43" i="68"/>
  <c r="AE42" i="68"/>
  <c r="AC42" i="68"/>
  <c r="AA42" i="68"/>
  <c r="Y42" i="68"/>
  <c r="W42" i="68"/>
  <c r="U42" i="68"/>
  <c r="S42" i="68"/>
  <c r="AE41" i="68"/>
  <c r="AC41" i="68"/>
  <c r="AA41" i="68"/>
  <c r="Y41" i="68"/>
  <c r="W41" i="68"/>
  <c r="U41" i="68"/>
  <c r="S41" i="68"/>
  <c r="AE40" i="68"/>
  <c r="AC40" i="68"/>
  <c r="AA40" i="68"/>
  <c r="Y40" i="68"/>
  <c r="W40" i="68"/>
  <c r="U40" i="68"/>
  <c r="S40" i="68"/>
  <c r="AE39" i="68"/>
  <c r="AC39" i="68"/>
  <c r="AA39" i="68"/>
  <c r="Y39" i="68"/>
  <c r="W39" i="68"/>
  <c r="U39" i="68"/>
  <c r="S39" i="68"/>
  <c r="AE38" i="68"/>
  <c r="AC38" i="68"/>
  <c r="AA38" i="68"/>
  <c r="Y38" i="68"/>
  <c r="W38" i="68"/>
  <c r="U38" i="68"/>
  <c r="S38" i="68"/>
  <c r="AE37" i="68"/>
  <c r="AC37" i="68"/>
  <c r="AA37" i="68"/>
  <c r="Y37" i="68"/>
  <c r="W37" i="68"/>
  <c r="U37" i="68"/>
  <c r="S37" i="68"/>
  <c r="AE36" i="68"/>
  <c r="AC36" i="68"/>
  <c r="AA36" i="68"/>
  <c r="Y36" i="68"/>
  <c r="W36" i="68"/>
  <c r="U36" i="68"/>
  <c r="S36" i="68"/>
  <c r="AE35" i="68"/>
  <c r="AC35" i="68"/>
  <c r="AA35" i="68"/>
  <c r="Y35" i="68"/>
  <c r="W35" i="68"/>
  <c r="U35" i="68"/>
  <c r="S35" i="68"/>
  <c r="D34" i="68"/>
  <c r="E34" i="68" s="1"/>
  <c r="D33" i="68"/>
  <c r="E33" i="68" s="1"/>
  <c r="D32" i="68"/>
  <c r="E32" i="68" s="1"/>
  <c r="D31" i="68"/>
  <c r="E31" i="68" s="1"/>
  <c r="D30" i="68"/>
  <c r="E30" i="68" s="1"/>
  <c r="D29" i="68"/>
  <c r="E29" i="68" s="1"/>
  <c r="V25" i="68"/>
  <c r="R25" i="68"/>
  <c r="AD17" i="68"/>
  <c r="AD25" i="68" s="1"/>
  <c r="AB17" i="68"/>
  <c r="AB25" i="68" s="1"/>
  <c r="Z17" i="68"/>
  <c r="Z25" i="68" s="1"/>
  <c r="X17" i="68"/>
  <c r="X25" i="68" s="1"/>
  <c r="V17" i="68"/>
  <c r="T17" i="68"/>
  <c r="T25" i="68" s="1"/>
  <c r="R17" i="68"/>
  <c r="AD16" i="68"/>
  <c r="AB16" i="68"/>
  <c r="Z16" i="68"/>
  <c r="Z24" i="68" s="1"/>
  <c r="X16" i="68"/>
  <c r="V16" i="68"/>
  <c r="V18" i="68" s="1"/>
  <c r="V26" i="68" s="1"/>
  <c r="T16" i="68"/>
  <c r="T18" i="68" s="1"/>
  <c r="T26" i="68" s="1"/>
  <c r="R16" i="68"/>
  <c r="R24" i="68" s="1"/>
  <c r="P16" i="68"/>
  <c r="O16" i="68"/>
  <c r="N16" i="68"/>
  <c r="L16" i="68"/>
  <c r="K16" i="68"/>
  <c r="J16" i="68"/>
  <c r="H16" i="68"/>
  <c r="G16" i="68"/>
  <c r="F16" i="68"/>
  <c r="O15" i="68"/>
  <c r="Y14" i="68"/>
  <c r="U14" i="68"/>
  <c r="S14" i="68"/>
  <c r="Q14" i="68"/>
  <c r="AE14" i="68" s="1"/>
  <c r="M14" i="68"/>
  <c r="I14" i="68"/>
  <c r="O13" i="68"/>
  <c r="AE12" i="68"/>
  <c r="AA12" i="68"/>
  <c r="Y12" i="68"/>
  <c r="W12" i="68"/>
  <c r="Q12" i="68"/>
  <c r="S12" i="68" s="1"/>
  <c r="M12" i="68"/>
  <c r="I12" i="68"/>
  <c r="O11" i="68"/>
  <c r="Q10" i="68"/>
  <c r="M10" i="68"/>
  <c r="I10" i="68"/>
  <c r="O9" i="68"/>
  <c r="U8" i="68"/>
  <c r="S8" i="68"/>
  <c r="Q8" i="68"/>
  <c r="AA8" i="68" s="1"/>
  <c r="M8" i="68"/>
  <c r="I8" i="68"/>
  <c r="O7" i="68"/>
  <c r="Y6" i="68"/>
  <c r="Q6" i="68"/>
  <c r="M6" i="68"/>
  <c r="I6" i="68"/>
  <c r="C3" i="68"/>
  <c r="AE64" i="67"/>
  <c r="AC64" i="67"/>
  <c r="AA64" i="67"/>
  <c r="Y64" i="67"/>
  <c r="W64" i="67"/>
  <c r="U64" i="67"/>
  <c r="S64" i="67"/>
  <c r="AE63" i="67"/>
  <c r="AC63" i="67"/>
  <c r="AA63" i="67"/>
  <c r="Y63" i="67"/>
  <c r="W63" i="67"/>
  <c r="U63" i="67"/>
  <c r="S63" i="67"/>
  <c r="AE62" i="67"/>
  <c r="AC62" i="67"/>
  <c r="AA62" i="67"/>
  <c r="Y62" i="67"/>
  <c r="W62" i="67"/>
  <c r="U62" i="67"/>
  <c r="S62" i="67"/>
  <c r="AE61" i="67"/>
  <c r="AC61" i="67"/>
  <c r="AA61" i="67"/>
  <c r="Y61" i="67"/>
  <c r="W61" i="67"/>
  <c r="U61" i="67"/>
  <c r="S61" i="67"/>
  <c r="AE60" i="67"/>
  <c r="AC60" i="67"/>
  <c r="AA60" i="67"/>
  <c r="Y60" i="67"/>
  <c r="W60" i="67"/>
  <c r="U60" i="67"/>
  <c r="S60" i="67"/>
  <c r="AE59" i="67"/>
  <c r="AC59" i="67"/>
  <c r="AA59" i="67"/>
  <c r="Y59" i="67"/>
  <c r="W59" i="67"/>
  <c r="U59" i="67"/>
  <c r="S59" i="67"/>
  <c r="AE58" i="67"/>
  <c r="AC58" i="67"/>
  <c r="AA58" i="67"/>
  <c r="Y58" i="67"/>
  <c r="W58" i="67"/>
  <c r="U58" i="67"/>
  <c r="S58" i="67"/>
  <c r="AE57" i="67"/>
  <c r="AC57" i="67"/>
  <c r="AA57" i="67"/>
  <c r="Y57" i="67"/>
  <c r="W57" i="67"/>
  <c r="U57" i="67"/>
  <c r="S57" i="67"/>
  <c r="AE56" i="67"/>
  <c r="AC56" i="67"/>
  <c r="AA56" i="67"/>
  <c r="Y56" i="67"/>
  <c r="W56" i="67"/>
  <c r="U56" i="67"/>
  <c r="S56" i="67"/>
  <c r="AE55" i="67"/>
  <c r="AC55" i="67"/>
  <c r="AA55" i="67"/>
  <c r="Y55" i="67"/>
  <c r="W55" i="67"/>
  <c r="U55" i="67"/>
  <c r="S55" i="67"/>
  <c r="AE54" i="67"/>
  <c r="AC54" i="67"/>
  <c r="AA54" i="67"/>
  <c r="Y54" i="67"/>
  <c r="W54" i="67"/>
  <c r="U54" i="67"/>
  <c r="S54" i="67"/>
  <c r="AE53" i="67"/>
  <c r="AC53" i="67"/>
  <c r="AA53" i="67"/>
  <c r="Y53" i="67"/>
  <c r="W53" i="67"/>
  <c r="U53" i="67"/>
  <c r="S53" i="67"/>
  <c r="AE52" i="67"/>
  <c r="AC52" i="67"/>
  <c r="AA52" i="67"/>
  <c r="Y52" i="67"/>
  <c r="W52" i="67"/>
  <c r="U52" i="67"/>
  <c r="S52" i="67"/>
  <c r="AE51" i="67"/>
  <c r="AC51" i="67"/>
  <c r="AA51" i="67"/>
  <c r="Y51" i="67"/>
  <c r="W51" i="67"/>
  <c r="U51" i="67"/>
  <c r="S51" i="67"/>
  <c r="AE50" i="67"/>
  <c r="AC50" i="67"/>
  <c r="AA50" i="67"/>
  <c r="Y50" i="67"/>
  <c r="W50" i="67"/>
  <c r="U50" i="67"/>
  <c r="S50" i="67"/>
  <c r="AE49" i="67"/>
  <c r="AC49" i="67"/>
  <c r="AA49" i="67"/>
  <c r="Y49" i="67"/>
  <c r="W49" i="67"/>
  <c r="U49" i="67"/>
  <c r="S49" i="67"/>
  <c r="AE48" i="67"/>
  <c r="AC48" i="67"/>
  <c r="AA48" i="67"/>
  <c r="Y48" i="67"/>
  <c r="W48" i="67"/>
  <c r="U48" i="67"/>
  <c r="S48" i="67"/>
  <c r="AE47" i="67"/>
  <c r="AC47" i="67"/>
  <c r="AA47" i="67"/>
  <c r="Y47" i="67"/>
  <c r="W47" i="67"/>
  <c r="U47" i="67"/>
  <c r="S47" i="67"/>
  <c r="AE46" i="67"/>
  <c r="AC46" i="67"/>
  <c r="AA46" i="67"/>
  <c r="Y46" i="67"/>
  <c r="W46" i="67"/>
  <c r="U46" i="67"/>
  <c r="S46" i="67"/>
  <c r="AE45" i="67"/>
  <c r="AC45" i="67"/>
  <c r="AA45" i="67"/>
  <c r="Y45" i="67"/>
  <c r="W45" i="67"/>
  <c r="U45" i="67"/>
  <c r="S45" i="67"/>
  <c r="AE44" i="67"/>
  <c r="AC44" i="67"/>
  <c r="AA44" i="67"/>
  <c r="Y44" i="67"/>
  <c r="W44" i="67"/>
  <c r="U44" i="67"/>
  <c r="S44" i="67"/>
  <c r="AE43" i="67"/>
  <c r="AC43" i="67"/>
  <c r="AA43" i="67"/>
  <c r="Y43" i="67"/>
  <c r="W43" i="67"/>
  <c r="U43" i="67"/>
  <c r="S43" i="67"/>
  <c r="AE42" i="67"/>
  <c r="AC42" i="67"/>
  <c r="AA42" i="67"/>
  <c r="Y42" i="67"/>
  <c r="W42" i="67"/>
  <c r="U42" i="67"/>
  <c r="S42" i="67"/>
  <c r="AE41" i="67"/>
  <c r="AC41" i="67"/>
  <c r="AA41" i="67"/>
  <c r="Y41" i="67"/>
  <c r="W41" i="67"/>
  <c r="U41" i="67"/>
  <c r="S41" i="67"/>
  <c r="AE40" i="67"/>
  <c r="AC40" i="67"/>
  <c r="AA40" i="67"/>
  <c r="Y40" i="67"/>
  <c r="W40" i="67"/>
  <c r="U40" i="67"/>
  <c r="S40" i="67"/>
  <c r="AE39" i="67"/>
  <c r="AC39" i="67"/>
  <c r="AA39" i="67"/>
  <c r="Y39" i="67"/>
  <c r="W39" i="67"/>
  <c r="U39" i="67"/>
  <c r="S39" i="67"/>
  <c r="AE38" i="67"/>
  <c r="AC38" i="67"/>
  <c r="AA38" i="67"/>
  <c r="Y38" i="67"/>
  <c r="W38" i="67"/>
  <c r="U38" i="67"/>
  <c r="S38" i="67"/>
  <c r="AE37" i="67"/>
  <c r="AC37" i="67"/>
  <c r="AA37" i="67"/>
  <c r="Y37" i="67"/>
  <c r="W37" i="67"/>
  <c r="U37" i="67"/>
  <c r="S37" i="67"/>
  <c r="AE36" i="67"/>
  <c r="AC36" i="67"/>
  <c r="AA36" i="67"/>
  <c r="Y36" i="67"/>
  <c r="W36" i="67"/>
  <c r="U36" i="67"/>
  <c r="S36" i="67"/>
  <c r="AE35" i="67"/>
  <c r="AC35" i="67"/>
  <c r="AA35" i="67"/>
  <c r="Y35" i="67"/>
  <c r="W35" i="67"/>
  <c r="U35" i="67"/>
  <c r="S35" i="67"/>
  <c r="E34" i="67"/>
  <c r="D34" i="67"/>
  <c r="D33" i="67"/>
  <c r="E33" i="67" s="1"/>
  <c r="D32" i="67"/>
  <c r="E32" i="67" s="1"/>
  <c r="D31" i="67"/>
  <c r="E31" i="67" s="1"/>
  <c r="E30" i="67"/>
  <c r="D30" i="67"/>
  <c r="D29" i="67"/>
  <c r="E29" i="67" s="1"/>
  <c r="R26" i="67"/>
  <c r="T25" i="67"/>
  <c r="R24" i="67"/>
  <c r="AB18" i="67"/>
  <c r="AB26" i="67" s="1"/>
  <c r="R18" i="67"/>
  <c r="AD17" i="67"/>
  <c r="AD25" i="67" s="1"/>
  <c r="AB17" i="67"/>
  <c r="AB25" i="67" s="1"/>
  <c r="Z17" i="67"/>
  <c r="Z25" i="67" s="1"/>
  <c r="X17" i="67"/>
  <c r="X25" i="67" s="1"/>
  <c r="V17" i="67"/>
  <c r="V25" i="67" s="1"/>
  <c r="T17" i="67"/>
  <c r="R17" i="67"/>
  <c r="R25" i="67" s="1"/>
  <c r="AD16" i="67"/>
  <c r="AD18" i="67" s="1"/>
  <c r="AD26" i="67" s="1"/>
  <c r="AB16" i="67"/>
  <c r="AB24" i="67" s="1"/>
  <c r="Z16" i="67"/>
  <c r="Z24" i="67" s="1"/>
  <c r="X16" i="67"/>
  <c r="V16" i="67"/>
  <c r="T16" i="67"/>
  <c r="T24" i="67" s="1"/>
  <c r="R16" i="67"/>
  <c r="P16" i="67"/>
  <c r="O16" i="67"/>
  <c r="N16" i="67"/>
  <c r="L16" i="67"/>
  <c r="K16" i="67"/>
  <c r="J16" i="67"/>
  <c r="H16" i="67"/>
  <c r="G16" i="67"/>
  <c r="F16" i="67"/>
  <c r="O15" i="67"/>
  <c r="Y14" i="67"/>
  <c r="U14" i="67"/>
  <c r="Q14" i="67"/>
  <c r="S14" i="67" s="1"/>
  <c r="M14" i="67"/>
  <c r="I14" i="67"/>
  <c r="O13" i="67"/>
  <c r="AE12" i="67"/>
  <c r="AC12" i="67"/>
  <c r="AA12" i="67"/>
  <c r="Y12" i="67"/>
  <c r="W12" i="67"/>
  <c r="U12" i="67"/>
  <c r="S12" i="67"/>
  <c r="Q12" i="67"/>
  <c r="M12" i="67"/>
  <c r="M16" i="67" s="1"/>
  <c r="I12" i="67"/>
  <c r="O11" i="67"/>
  <c r="Q10" i="67"/>
  <c r="M10" i="67"/>
  <c r="I10" i="67"/>
  <c r="O9" i="67"/>
  <c r="W8" i="67"/>
  <c r="U8" i="67"/>
  <c r="S8" i="67"/>
  <c r="Q8" i="67"/>
  <c r="AE8" i="67" s="1"/>
  <c r="M8" i="67"/>
  <c r="I8" i="67"/>
  <c r="O7" i="67"/>
  <c r="Q6" i="67"/>
  <c r="AA6" i="67" s="1"/>
  <c r="M6" i="67"/>
  <c r="I6" i="67"/>
  <c r="C3" i="67"/>
  <c r="AE64" i="66"/>
  <c r="AC64" i="66"/>
  <c r="AA64" i="66"/>
  <c r="Y64" i="66"/>
  <c r="W64" i="66"/>
  <c r="U64" i="66"/>
  <c r="S64" i="66"/>
  <c r="AE63" i="66"/>
  <c r="AC63" i="66"/>
  <c r="AA63" i="66"/>
  <c r="Y63" i="66"/>
  <c r="W63" i="66"/>
  <c r="U63" i="66"/>
  <c r="S63" i="66"/>
  <c r="AE62" i="66"/>
  <c r="AC62" i="66"/>
  <c r="AA62" i="66"/>
  <c r="Y62" i="66"/>
  <c r="W62" i="66"/>
  <c r="U62" i="66"/>
  <c r="S62" i="66"/>
  <c r="AE61" i="66"/>
  <c r="AC61" i="66"/>
  <c r="AA61" i="66"/>
  <c r="Y61" i="66"/>
  <c r="W61" i="66"/>
  <c r="U61" i="66"/>
  <c r="S61" i="66"/>
  <c r="AE60" i="66"/>
  <c r="AC60" i="66"/>
  <c r="AA60" i="66"/>
  <c r="Y60" i="66"/>
  <c r="W60" i="66"/>
  <c r="U60" i="66"/>
  <c r="S60" i="66"/>
  <c r="AE59" i="66"/>
  <c r="AC59" i="66"/>
  <c r="AA59" i="66"/>
  <c r="Y59" i="66"/>
  <c r="W59" i="66"/>
  <c r="U59" i="66"/>
  <c r="S59" i="66"/>
  <c r="AE58" i="66"/>
  <c r="AC58" i="66"/>
  <c r="AA58" i="66"/>
  <c r="Y58" i="66"/>
  <c r="W58" i="66"/>
  <c r="U58" i="66"/>
  <c r="S58" i="66"/>
  <c r="AE57" i="66"/>
  <c r="AC57" i="66"/>
  <c r="AA57" i="66"/>
  <c r="Y57" i="66"/>
  <c r="W57" i="66"/>
  <c r="U57" i="66"/>
  <c r="S57" i="66"/>
  <c r="AE56" i="66"/>
  <c r="AC56" i="66"/>
  <c r="AA56" i="66"/>
  <c r="Y56" i="66"/>
  <c r="W56" i="66"/>
  <c r="U56" i="66"/>
  <c r="S56" i="66"/>
  <c r="AE55" i="66"/>
  <c r="AC55" i="66"/>
  <c r="AA55" i="66"/>
  <c r="Y55" i="66"/>
  <c r="W55" i="66"/>
  <c r="U55" i="66"/>
  <c r="S55" i="66"/>
  <c r="AE54" i="66"/>
  <c r="AC54" i="66"/>
  <c r="AA54" i="66"/>
  <c r="Y54" i="66"/>
  <c r="W54" i="66"/>
  <c r="U54" i="66"/>
  <c r="S54" i="66"/>
  <c r="AE53" i="66"/>
  <c r="AC53" i="66"/>
  <c r="AA53" i="66"/>
  <c r="Y53" i="66"/>
  <c r="W53" i="66"/>
  <c r="U53" i="66"/>
  <c r="S53" i="66"/>
  <c r="AE52" i="66"/>
  <c r="AC52" i="66"/>
  <c r="AA52" i="66"/>
  <c r="Y52" i="66"/>
  <c r="W52" i="66"/>
  <c r="U52" i="66"/>
  <c r="S52" i="66"/>
  <c r="AE51" i="66"/>
  <c r="AC51" i="66"/>
  <c r="AA51" i="66"/>
  <c r="Y51" i="66"/>
  <c r="W51" i="66"/>
  <c r="U51" i="66"/>
  <c r="S51" i="66"/>
  <c r="AE50" i="66"/>
  <c r="AC50" i="66"/>
  <c r="AA50" i="66"/>
  <c r="Y50" i="66"/>
  <c r="W50" i="66"/>
  <c r="U50" i="66"/>
  <c r="S50" i="66"/>
  <c r="AE49" i="66"/>
  <c r="AC49" i="66"/>
  <c r="AA49" i="66"/>
  <c r="Y49" i="66"/>
  <c r="W49" i="66"/>
  <c r="U49" i="66"/>
  <c r="S49" i="66"/>
  <c r="AE48" i="66"/>
  <c r="AC48" i="66"/>
  <c r="AA48" i="66"/>
  <c r="Y48" i="66"/>
  <c r="W48" i="66"/>
  <c r="U48" i="66"/>
  <c r="S48" i="66"/>
  <c r="AE47" i="66"/>
  <c r="AC47" i="66"/>
  <c r="AA47" i="66"/>
  <c r="Y47" i="66"/>
  <c r="W47" i="66"/>
  <c r="U47" i="66"/>
  <c r="S47" i="66"/>
  <c r="AE46" i="66"/>
  <c r="AC46" i="66"/>
  <c r="AA46" i="66"/>
  <c r="Y46" i="66"/>
  <c r="W46" i="66"/>
  <c r="U46" i="66"/>
  <c r="S46" i="66"/>
  <c r="AE45" i="66"/>
  <c r="AC45" i="66"/>
  <c r="AA45" i="66"/>
  <c r="Y45" i="66"/>
  <c r="W45" i="66"/>
  <c r="U45" i="66"/>
  <c r="S45" i="66"/>
  <c r="AE44" i="66"/>
  <c r="AC44" i="66"/>
  <c r="AA44" i="66"/>
  <c r="Y44" i="66"/>
  <c r="W44" i="66"/>
  <c r="U44" i="66"/>
  <c r="S44" i="66"/>
  <c r="AE43" i="66"/>
  <c r="AC43" i="66"/>
  <c r="AA43" i="66"/>
  <c r="Y43" i="66"/>
  <c r="W43" i="66"/>
  <c r="U43" i="66"/>
  <c r="S43" i="66"/>
  <c r="AE42" i="66"/>
  <c r="AC42" i="66"/>
  <c r="AA42" i="66"/>
  <c r="Y42" i="66"/>
  <c r="W42" i="66"/>
  <c r="U42" i="66"/>
  <c r="S42" i="66"/>
  <c r="AE41" i="66"/>
  <c r="AC41" i="66"/>
  <c r="AA41" i="66"/>
  <c r="Y41" i="66"/>
  <c r="W41" i="66"/>
  <c r="U41" i="66"/>
  <c r="S41" i="66"/>
  <c r="AE40" i="66"/>
  <c r="AC40" i="66"/>
  <c r="AA40" i="66"/>
  <c r="Y40" i="66"/>
  <c r="W40" i="66"/>
  <c r="U40" i="66"/>
  <c r="S40" i="66"/>
  <c r="AE39" i="66"/>
  <c r="AC39" i="66"/>
  <c r="AA39" i="66"/>
  <c r="Y39" i="66"/>
  <c r="W39" i="66"/>
  <c r="U39" i="66"/>
  <c r="S39" i="66"/>
  <c r="AE38" i="66"/>
  <c r="AC38" i="66"/>
  <c r="AA38" i="66"/>
  <c r="Y38" i="66"/>
  <c r="W38" i="66"/>
  <c r="U38" i="66"/>
  <c r="S38" i="66"/>
  <c r="AE37" i="66"/>
  <c r="AC37" i="66"/>
  <c r="AA37" i="66"/>
  <c r="Y37" i="66"/>
  <c r="W37" i="66"/>
  <c r="U37" i="66"/>
  <c r="S37" i="66"/>
  <c r="AE36" i="66"/>
  <c r="AC36" i="66"/>
  <c r="AA36" i="66"/>
  <c r="Y36" i="66"/>
  <c r="W36" i="66"/>
  <c r="U36" i="66"/>
  <c r="S36" i="66"/>
  <c r="AE35" i="66"/>
  <c r="AC35" i="66"/>
  <c r="AA35" i="66"/>
  <c r="Y35" i="66"/>
  <c r="W35" i="66"/>
  <c r="U35" i="66"/>
  <c r="S35" i="66"/>
  <c r="D34" i="66"/>
  <c r="E34" i="66" s="1"/>
  <c r="D33" i="66"/>
  <c r="E33" i="66" s="1"/>
  <c r="E32" i="66"/>
  <c r="D32" i="66"/>
  <c r="E31" i="66"/>
  <c r="D31" i="66"/>
  <c r="D30" i="66"/>
  <c r="E30" i="66" s="1"/>
  <c r="E29" i="66"/>
  <c r="D29" i="66"/>
  <c r="AD25" i="66"/>
  <c r="AB25" i="66"/>
  <c r="X25" i="66"/>
  <c r="V24" i="66"/>
  <c r="AB18" i="66"/>
  <c r="AB26" i="66" s="1"/>
  <c r="AD17" i="66"/>
  <c r="AB17" i="66"/>
  <c r="Z17" i="66"/>
  <c r="Z25" i="66" s="1"/>
  <c r="X17" i="66"/>
  <c r="V17" i="66"/>
  <c r="V25" i="66" s="1"/>
  <c r="T17" i="66"/>
  <c r="T25" i="66" s="1"/>
  <c r="R17" i="66"/>
  <c r="R25" i="66" s="1"/>
  <c r="AD16" i="66"/>
  <c r="AD24" i="66" s="1"/>
  <c r="AB16" i="66"/>
  <c r="AB24" i="66" s="1"/>
  <c r="Z16" i="66"/>
  <c r="Z24" i="66" s="1"/>
  <c r="X16" i="66"/>
  <c r="X24" i="66" s="1"/>
  <c r="V16" i="66"/>
  <c r="T16" i="66"/>
  <c r="V18" i="66" s="1"/>
  <c r="V26" i="66" s="1"/>
  <c r="R16" i="66"/>
  <c r="R24" i="66" s="1"/>
  <c r="P16" i="66"/>
  <c r="O16" i="66"/>
  <c r="N16" i="66"/>
  <c r="L16" i="66"/>
  <c r="K16" i="66"/>
  <c r="J16" i="66"/>
  <c r="H16" i="66"/>
  <c r="G16" i="66"/>
  <c r="F16" i="66"/>
  <c r="O15" i="66"/>
  <c r="Q14" i="66"/>
  <c r="AA14" i="66" s="1"/>
  <c r="M14" i="66"/>
  <c r="I14" i="66"/>
  <c r="O13" i="66"/>
  <c r="Q12" i="66"/>
  <c r="AA12" i="66" s="1"/>
  <c r="M12" i="66"/>
  <c r="I12" i="66"/>
  <c r="O11" i="66"/>
  <c r="W10" i="66"/>
  <c r="S10" i="66"/>
  <c r="Q10" i="66"/>
  <c r="AE10" i="66" s="1"/>
  <c r="M10" i="66"/>
  <c r="I10" i="66"/>
  <c r="O9" i="66"/>
  <c r="AA8" i="66"/>
  <c r="U8" i="66"/>
  <c r="S8" i="66"/>
  <c r="Q8" i="66"/>
  <c r="AC8" i="66" s="1"/>
  <c r="M8" i="66"/>
  <c r="I8" i="66"/>
  <c r="O7" i="66"/>
  <c r="Y6" i="66"/>
  <c r="Q6" i="66"/>
  <c r="S6" i="66" s="1"/>
  <c r="M6" i="66"/>
  <c r="I6" i="66"/>
  <c r="C3" i="66"/>
  <c r="AE64" i="65"/>
  <c r="AC64" i="65"/>
  <c r="AA64" i="65"/>
  <c r="Y64" i="65"/>
  <c r="W64" i="65"/>
  <c r="U64" i="65"/>
  <c r="S64" i="65"/>
  <c r="AE63" i="65"/>
  <c r="AC63" i="65"/>
  <c r="AA63" i="65"/>
  <c r="Y63" i="65"/>
  <c r="W63" i="65"/>
  <c r="U63" i="65"/>
  <c r="S63" i="65"/>
  <c r="AE62" i="65"/>
  <c r="AC62" i="65"/>
  <c r="AA62" i="65"/>
  <c r="Y62" i="65"/>
  <c r="W62" i="65"/>
  <c r="U62" i="65"/>
  <c r="S62" i="65"/>
  <c r="AE61" i="65"/>
  <c r="AC61" i="65"/>
  <c r="AA61" i="65"/>
  <c r="Y61" i="65"/>
  <c r="W61" i="65"/>
  <c r="U61" i="65"/>
  <c r="S61" i="65"/>
  <c r="AE60" i="65"/>
  <c r="AC60" i="65"/>
  <c r="AA60" i="65"/>
  <c r="Y60" i="65"/>
  <c r="W60" i="65"/>
  <c r="U60" i="65"/>
  <c r="S60" i="65"/>
  <c r="AE59" i="65"/>
  <c r="AC59" i="65"/>
  <c r="AA59" i="65"/>
  <c r="Y59" i="65"/>
  <c r="W59" i="65"/>
  <c r="U59" i="65"/>
  <c r="S59" i="65"/>
  <c r="AE58" i="65"/>
  <c r="AC58" i="65"/>
  <c r="AA58" i="65"/>
  <c r="Y58" i="65"/>
  <c r="W58" i="65"/>
  <c r="U58" i="65"/>
  <c r="S58" i="65"/>
  <c r="AE57" i="65"/>
  <c r="AC57" i="65"/>
  <c r="AA57" i="65"/>
  <c r="Y57" i="65"/>
  <c r="W57" i="65"/>
  <c r="U57" i="65"/>
  <c r="S57" i="65"/>
  <c r="AE56" i="65"/>
  <c r="AC56" i="65"/>
  <c r="AA56" i="65"/>
  <c r="Y56" i="65"/>
  <c r="W56" i="65"/>
  <c r="U56" i="65"/>
  <c r="S56" i="65"/>
  <c r="AE55" i="65"/>
  <c r="AC55" i="65"/>
  <c r="AA55" i="65"/>
  <c r="Y55" i="65"/>
  <c r="W55" i="65"/>
  <c r="U55" i="65"/>
  <c r="S55" i="65"/>
  <c r="AE54" i="65"/>
  <c r="AC54" i="65"/>
  <c r="AA54" i="65"/>
  <c r="Y54" i="65"/>
  <c r="W54" i="65"/>
  <c r="U54" i="65"/>
  <c r="S54" i="65"/>
  <c r="AE53" i="65"/>
  <c r="AC53" i="65"/>
  <c r="AA53" i="65"/>
  <c r="Y53" i="65"/>
  <c r="W53" i="65"/>
  <c r="U53" i="65"/>
  <c r="S53" i="65"/>
  <c r="AE52" i="65"/>
  <c r="AC52" i="65"/>
  <c r="AA52" i="65"/>
  <c r="Y52" i="65"/>
  <c r="W52" i="65"/>
  <c r="U52" i="65"/>
  <c r="S52" i="65"/>
  <c r="AE51" i="65"/>
  <c r="AC51" i="65"/>
  <c r="AA51" i="65"/>
  <c r="Y51" i="65"/>
  <c r="W51" i="65"/>
  <c r="U51" i="65"/>
  <c r="S51" i="65"/>
  <c r="AE50" i="65"/>
  <c r="AC50" i="65"/>
  <c r="AA50" i="65"/>
  <c r="Y50" i="65"/>
  <c r="W50" i="65"/>
  <c r="U50" i="65"/>
  <c r="S50" i="65"/>
  <c r="AE49" i="65"/>
  <c r="AC49" i="65"/>
  <c r="AA49" i="65"/>
  <c r="Y49" i="65"/>
  <c r="W49" i="65"/>
  <c r="U49" i="65"/>
  <c r="S49" i="65"/>
  <c r="AE48" i="65"/>
  <c r="AC48" i="65"/>
  <c r="AA48" i="65"/>
  <c r="Y48" i="65"/>
  <c r="W48" i="65"/>
  <c r="U48" i="65"/>
  <c r="S48" i="65"/>
  <c r="AE47" i="65"/>
  <c r="AC47" i="65"/>
  <c r="AA47" i="65"/>
  <c r="Y47" i="65"/>
  <c r="W47" i="65"/>
  <c r="U47" i="65"/>
  <c r="S47" i="65"/>
  <c r="AE46" i="65"/>
  <c r="AC46" i="65"/>
  <c r="AA46" i="65"/>
  <c r="Y46" i="65"/>
  <c r="W46" i="65"/>
  <c r="U46" i="65"/>
  <c r="S46" i="65"/>
  <c r="AE45" i="65"/>
  <c r="AC45" i="65"/>
  <c r="AA45" i="65"/>
  <c r="Y45" i="65"/>
  <c r="W45" i="65"/>
  <c r="U45" i="65"/>
  <c r="S45" i="65"/>
  <c r="AE44" i="65"/>
  <c r="AC44" i="65"/>
  <c r="AA44" i="65"/>
  <c r="Y44" i="65"/>
  <c r="W44" i="65"/>
  <c r="U44" i="65"/>
  <c r="S44" i="65"/>
  <c r="AE43" i="65"/>
  <c r="AC43" i="65"/>
  <c r="AA43" i="65"/>
  <c r="Y43" i="65"/>
  <c r="W43" i="65"/>
  <c r="U43" i="65"/>
  <c r="S43" i="65"/>
  <c r="AE42" i="65"/>
  <c r="AC42" i="65"/>
  <c r="AA42" i="65"/>
  <c r="Y42" i="65"/>
  <c r="W42" i="65"/>
  <c r="U42" i="65"/>
  <c r="S42" i="65"/>
  <c r="AE41" i="65"/>
  <c r="AC41" i="65"/>
  <c r="AA41" i="65"/>
  <c r="Y41" i="65"/>
  <c r="W41" i="65"/>
  <c r="U41" i="65"/>
  <c r="S41" i="65"/>
  <c r="AE40" i="65"/>
  <c r="AC40" i="65"/>
  <c r="AA40" i="65"/>
  <c r="Y40" i="65"/>
  <c r="W40" i="65"/>
  <c r="U40" i="65"/>
  <c r="S40" i="65"/>
  <c r="AE39" i="65"/>
  <c r="AC39" i="65"/>
  <c r="AA39" i="65"/>
  <c r="Y39" i="65"/>
  <c r="W39" i="65"/>
  <c r="U39" i="65"/>
  <c r="S39" i="65"/>
  <c r="AE38" i="65"/>
  <c r="AC38" i="65"/>
  <c r="AA38" i="65"/>
  <c r="Y38" i="65"/>
  <c r="W38" i="65"/>
  <c r="U38" i="65"/>
  <c r="S38" i="65"/>
  <c r="AE37" i="65"/>
  <c r="AC37" i="65"/>
  <c r="AA37" i="65"/>
  <c r="Y37" i="65"/>
  <c r="W37" i="65"/>
  <c r="U37" i="65"/>
  <c r="S37" i="65"/>
  <c r="AE36" i="65"/>
  <c r="AC36" i="65"/>
  <c r="AA36" i="65"/>
  <c r="Y36" i="65"/>
  <c r="W36" i="65"/>
  <c r="U36" i="65"/>
  <c r="S36" i="65"/>
  <c r="AE35" i="65"/>
  <c r="AC35" i="65"/>
  <c r="AA35" i="65"/>
  <c r="Y35" i="65"/>
  <c r="W35" i="65"/>
  <c r="U35" i="65"/>
  <c r="S35" i="65"/>
  <c r="E34" i="65"/>
  <c r="D34" i="65"/>
  <c r="E33" i="65"/>
  <c r="D33" i="65"/>
  <c r="D32" i="65"/>
  <c r="E32" i="65" s="1"/>
  <c r="E31" i="65"/>
  <c r="D31" i="65"/>
  <c r="D30" i="65"/>
  <c r="E30" i="65" s="1"/>
  <c r="D29" i="65"/>
  <c r="E29" i="65" s="1"/>
  <c r="AD24" i="65"/>
  <c r="R24" i="65"/>
  <c r="AD17" i="65"/>
  <c r="AD25" i="65" s="1"/>
  <c r="AB17" i="65"/>
  <c r="AB25" i="65" s="1"/>
  <c r="Z17" i="65"/>
  <c r="Z25" i="65" s="1"/>
  <c r="X17" i="65"/>
  <c r="X25" i="65" s="1"/>
  <c r="V17" i="65"/>
  <c r="V25" i="65" s="1"/>
  <c r="T17" i="65"/>
  <c r="T25" i="65" s="1"/>
  <c r="R17" i="65"/>
  <c r="R25" i="65" s="1"/>
  <c r="AD16" i="65"/>
  <c r="AB16" i="65"/>
  <c r="AB24" i="65" s="1"/>
  <c r="Z16" i="65"/>
  <c r="Z24" i="65" s="1"/>
  <c r="X16" i="65"/>
  <c r="V16" i="65"/>
  <c r="V18" i="65" s="1"/>
  <c r="V26" i="65" s="1"/>
  <c r="T16" i="65"/>
  <c r="T24" i="65" s="1"/>
  <c r="R16" i="65"/>
  <c r="R18" i="65" s="1"/>
  <c r="R26" i="65" s="1"/>
  <c r="P16" i="65"/>
  <c r="O16" i="65"/>
  <c r="N16" i="65"/>
  <c r="L16" i="65"/>
  <c r="K16" i="65"/>
  <c r="J16" i="65"/>
  <c r="H16" i="65"/>
  <c r="G16" i="65"/>
  <c r="F16" i="65"/>
  <c r="O15" i="65"/>
  <c r="Y14" i="65"/>
  <c r="U14" i="65"/>
  <c r="Q14" i="65"/>
  <c r="S14" i="65" s="1"/>
  <c r="M14" i="65"/>
  <c r="I14" i="65"/>
  <c r="O13" i="65"/>
  <c r="Y12" i="65"/>
  <c r="U12" i="65"/>
  <c r="Q12" i="65"/>
  <c r="S12" i="65" s="1"/>
  <c r="M12" i="65"/>
  <c r="I12" i="65"/>
  <c r="O11" i="65"/>
  <c r="Q10" i="65"/>
  <c r="M10" i="65"/>
  <c r="I10" i="65"/>
  <c r="O9" i="65"/>
  <c r="AA8" i="65"/>
  <c r="W8" i="65"/>
  <c r="U8" i="65"/>
  <c r="S8" i="65"/>
  <c r="Q8" i="65"/>
  <c r="AE8" i="65" s="1"/>
  <c r="M8" i="65"/>
  <c r="I8" i="65"/>
  <c r="O7" i="65"/>
  <c r="AC6" i="65"/>
  <c r="Q6" i="65"/>
  <c r="AA6" i="65" s="1"/>
  <c r="M6" i="65"/>
  <c r="I6" i="65"/>
  <c r="C3" i="65"/>
  <c r="AE64" i="64"/>
  <c r="AC64" i="64"/>
  <c r="AA64" i="64"/>
  <c r="Y64" i="64"/>
  <c r="W64" i="64"/>
  <c r="U64" i="64"/>
  <c r="S64" i="64"/>
  <c r="AE63" i="64"/>
  <c r="AC63" i="64"/>
  <c r="AA63" i="64"/>
  <c r="Y63" i="64"/>
  <c r="W63" i="64"/>
  <c r="U63" i="64"/>
  <c r="S63" i="64"/>
  <c r="AE62" i="64"/>
  <c r="AC62" i="64"/>
  <c r="AA62" i="64"/>
  <c r="Y62" i="64"/>
  <c r="W62" i="64"/>
  <c r="U62" i="64"/>
  <c r="S62" i="64"/>
  <c r="AE61" i="64"/>
  <c r="AC61" i="64"/>
  <c r="AA61" i="64"/>
  <c r="Y61" i="64"/>
  <c r="W61" i="64"/>
  <c r="U61" i="64"/>
  <c r="S61" i="64"/>
  <c r="AE60" i="64"/>
  <c r="AC60" i="64"/>
  <c r="AA60" i="64"/>
  <c r="Y60" i="64"/>
  <c r="W60" i="64"/>
  <c r="U60" i="64"/>
  <c r="S60" i="64"/>
  <c r="AE59" i="64"/>
  <c r="AC59" i="64"/>
  <c r="AA59" i="64"/>
  <c r="Y59" i="64"/>
  <c r="W59" i="64"/>
  <c r="U59" i="64"/>
  <c r="S59" i="64"/>
  <c r="AE58" i="64"/>
  <c r="AC58" i="64"/>
  <c r="AA58" i="64"/>
  <c r="Y58" i="64"/>
  <c r="W58" i="64"/>
  <c r="U58" i="64"/>
  <c r="S58" i="64"/>
  <c r="AE57" i="64"/>
  <c r="AC57" i="64"/>
  <c r="AA57" i="64"/>
  <c r="Y57" i="64"/>
  <c r="W57" i="64"/>
  <c r="U57" i="64"/>
  <c r="S57" i="64"/>
  <c r="AE56" i="64"/>
  <c r="AC56" i="64"/>
  <c r="AA56" i="64"/>
  <c r="Y56" i="64"/>
  <c r="W56" i="64"/>
  <c r="U56" i="64"/>
  <c r="S56" i="64"/>
  <c r="AE55" i="64"/>
  <c r="AC55" i="64"/>
  <c r="AA55" i="64"/>
  <c r="Y55" i="64"/>
  <c r="W55" i="64"/>
  <c r="U55" i="64"/>
  <c r="S55" i="64"/>
  <c r="AE54" i="64"/>
  <c r="AC54" i="64"/>
  <c r="AA54" i="64"/>
  <c r="Y54" i="64"/>
  <c r="W54" i="64"/>
  <c r="U54" i="64"/>
  <c r="S54" i="64"/>
  <c r="AE53" i="64"/>
  <c r="AC53" i="64"/>
  <c r="AA53" i="64"/>
  <c r="Y53" i="64"/>
  <c r="W53" i="64"/>
  <c r="U53" i="64"/>
  <c r="S53" i="64"/>
  <c r="AE52" i="64"/>
  <c r="AC52" i="64"/>
  <c r="AA52" i="64"/>
  <c r="Y52" i="64"/>
  <c r="W52" i="64"/>
  <c r="U52" i="64"/>
  <c r="S52" i="64"/>
  <c r="AE51" i="64"/>
  <c r="AC51" i="64"/>
  <c r="AA51" i="64"/>
  <c r="Y51" i="64"/>
  <c r="W51" i="64"/>
  <c r="U51" i="64"/>
  <c r="S51" i="64"/>
  <c r="AE50" i="64"/>
  <c r="AC50" i="64"/>
  <c r="AA50" i="64"/>
  <c r="Y50" i="64"/>
  <c r="W50" i="64"/>
  <c r="U50" i="64"/>
  <c r="S50" i="64"/>
  <c r="AE49" i="64"/>
  <c r="AC49" i="64"/>
  <c r="AA49" i="64"/>
  <c r="Y49" i="64"/>
  <c r="W49" i="64"/>
  <c r="U49" i="64"/>
  <c r="S49" i="64"/>
  <c r="AE48" i="64"/>
  <c r="AC48" i="64"/>
  <c r="AA48" i="64"/>
  <c r="Y48" i="64"/>
  <c r="W48" i="64"/>
  <c r="U48" i="64"/>
  <c r="S48" i="64"/>
  <c r="AE47" i="64"/>
  <c r="AC47" i="64"/>
  <c r="AA47" i="64"/>
  <c r="Y47" i="64"/>
  <c r="W47" i="64"/>
  <c r="U47" i="64"/>
  <c r="S47" i="64"/>
  <c r="AE46" i="64"/>
  <c r="AC46" i="64"/>
  <c r="AA46" i="64"/>
  <c r="Y46" i="64"/>
  <c r="W46" i="64"/>
  <c r="U46" i="64"/>
  <c r="S46" i="64"/>
  <c r="AE45" i="64"/>
  <c r="AC45" i="64"/>
  <c r="AA45" i="64"/>
  <c r="Y45" i="64"/>
  <c r="W45" i="64"/>
  <c r="U45" i="64"/>
  <c r="S45" i="64"/>
  <c r="AE44" i="64"/>
  <c r="AC44" i="64"/>
  <c r="AA44" i="64"/>
  <c r="Y44" i="64"/>
  <c r="W44" i="64"/>
  <c r="U44" i="64"/>
  <c r="S44" i="64"/>
  <c r="AE43" i="64"/>
  <c r="AC43" i="64"/>
  <c r="AA43" i="64"/>
  <c r="Y43" i="64"/>
  <c r="W43" i="64"/>
  <c r="U43" i="64"/>
  <c r="S43" i="64"/>
  <c r="AE42" i="64"/>
  <c r="AC42" i="64"/>
  <c r="AA42" i="64"/>
  <c r="Y42" i="64"/>
  <c r="W42" i="64"/>
  <c r="U42" i="64"/>
  <c r="S42" i="64"/>
  <c r="AE41" i="64"/>
  <c r="AC41" i="64"/>
  <c r="AA41" i="64"/>
  <c r="Y41" i="64"/>
  <c r="W41" i="64"/>
  <c r="U41" i="64"/>
  <c r="S41" i="64"/>
  <c r="AE40" i="64"/>
  <c r="AC40" i="64"/>
  <c r="AA40" i="64"/>
  <c r="Y40" i="64"/>
  <c r="W40" i="64"/>
  <c r="U40" i="64"/>
  <c r="S40" i="64"/>
  <c r="AE39" i="64"/>
  <c r="AC39" i="64"/>
  <c r="AA39" i="64"/>
  <c r="Y39" i="64"/>
  <c r="W39" i="64"/>
  <c r="U39" i="64"/>
  <c r="S39" i="64"/>
  <c r="AE38" i="64"/>
  <c r="AC38" i="64"/>
  <c r="AA38" i="64"/>
  <c r="Y38" i="64"/>
  <c r="W38" i="64"/>
  <c r="U38" i="64"/>
  <c r="S38" i="64"/>
  <c r="AE37" i="64"/>
  <c r="AC37" i="64"/>
  <c r="AA37" i="64"/>
  <c r="Y37" i="64"/>
  <c r="W37" i="64"/>
  <c r="U37" i="64"/>
  <c r="S37" i="64"/>
  <c r="AE36" i="64"/>
  <c r="AC36" i="64"/>
  <c r="AA36" i="64"/>
  <c r="Y36" i="64"/>
  <c r="W36" i="64"/>
  <c r="U36" i="64"/>
  <c r="S36" i="64"/>
  <c r="AE35" i="64"/>
  <c r="AC35" i="64"/>
  <c r="AA35" i="64"/>
  <c r="Y35" i="64"/>
  <c r="W35" i="64"/>
  <c r="U35" i="64"/>
  <c r="S35" i="64"/>
  <c r="D34" i="64"/>
  <c r="E34" i="64" s="1"/>
  <c r="E33" i="64"/>
  <c r="D33" i="64"/>
  <c r="E32" i="64"/>
  <c r="D32" i="64"/>
  <c r="D31" i="64"/>
  <c r="E31" i="64" s="1"/>
  <c r="D30" i="64"/>
  <c r="E30" i="64" s="1"/>
  <c r="E29" i="64"/>
  <c r="D29" i="64"/>
  <c r="AD24" i="64"/>
  <c r="V24" i="64"/>
  <c r="T24" i="64"/>
  <c r="AD17" i="64"/>
  <c r="AD25" i="64" s="1"/>
  <c r="AB17" i="64"/>
  <c r="AB25" i="64" s="1"/>
  <c r="Z17" i="64"/>
  <c r="Z25" i="64" s="1"/>
  <c r="X17" i="64"/>
  <c r="X25" i="64" s="1"/>
  <c r="V17" i="64"/>
  <c r="V25" i="64" s="1"/>
  <c r="T17" i="64"/>
  <c r="T25" i="64" s="1"/>
  <c r="R17" i="64"/>
  <c r="R25" i="64" s="1"/>
  <c r="AD16" i="64"/>
  <c r="AB16" i="64"/>
  <c r="AB24" i="64" s="1"/>
  <c r="Z16" i="64"/>
  <c r="Z24" i="64" s="1"/>
  <c r="X16" i="64"/>
  <c r="X24" i="64" s="1"/>
  <c r="V16" i="64"/>
  <c r="T16" i="64"/>
  <c r="T18" i="64" s="1"/>
  <c r="T26" i="64" s="1"/>
  <c r="R16" i="64"/>
  <c r="R24" i="64" s="1"/>
  <c r="P16" i="64"/>
  <c r="O16" i="64"/>
  <c r="N16" i="64"/>
  <c r="L16" i="64"/>
  <c r="K16" i="64"/>
  <c r="J16" i="64"/>
  <c r="H16" i="64"/>
  <c r="G16" i="64"/>
  <c r="F16" i="64"/>
  <c r="O15" i="64"/>
  <c r="AC14" i="64"/>
  <c r="Q14" i="64"/>
  <c r="AA14" i="64" s="1"/>
  <c r="M14" i="64"/>
  <c r="I14" i="64"/>
  <c r="O13" i="64"/>
  <c r="U12" i="64"/>
  <c r="Q12" i="64"/>
  <c r="AA12" i="64" s="1"/>
  <c r="M12" i="64"/>
  <c r="I12" i="64"/>
  <c r="O11" i="64"/>
  <c r="Y10" i="64"/>
  <c r="U10" i="64"/>
  <c r="S10" i="64"/>
  <c r="Q10" i="64"/>
  <c r="AE10" i="64" s="1"/>
  <c r="M10" i="64"/>
  <c r="I10" i="64"/>
  <c r="O9" i="64"/>
  <c r="AE8" i="64"/>
  <c r="Y8" i="64"/>
  <c r="U8" i="64"/>
  <c r="S8" i="64"/>
  <c r="Q8" i="64"/>
  <c r="AC8" i="64" s="1"/>
  <c r="M8" i="64"/>
  <c r="I8" i="64"/>
  <c r="O7" i="64"/>
  <c r="U6" i="64"/>
  <c r="Q6" i="64"/>
  <c r="S6" i="64" s="1"/>
  <c r="M6" i="64"/>
  <c r="I6" i="64"/>
  <c r="C3" i="64"/>
  <c r="AE64" i="63"/>
  <c r="AC64" i="63"/>
  <c r="AA64" i="63"/>
  <c r="Y64" i="63"/>
  <c r="W64" i="63"/>
  <c r="U64" i="63"/>
  <c r="S64" i="63"/>
  <c r="AE63" i="63"/>
  <c r="AC63" i="63"/>
  <c r="AA63" i="63"/>
  <c r="Y63" i="63"/>
  <c r="W63" i="63"/>
  <c r="U63" i="63"/>
  <c r="S63" i="63"/>
  <c r="AE62" i="63"/>
  <c r="AC62" i="63"/>
  <c r="AA62" i="63"/>
  <c r="Y62" i="63"/>
  <c r="W62" i="63"/>
  <c r="U62" i="63"/>
  <c r="S62" i="63"/>
  <c r="AE61" i="63"/>
  <c r="AC61" i="63"/>
  <c r="AA61" i="63"/>
  <c r="Y61" i="63"/>
  <c r="W61" i="63"/>
  <c r="U61" i="63"/>
  <c r="S61" i="63"/>
  <c r="AE60" i="63"/>
  <c r="AC60" i="63"/>
  <c r="AA60" i="63"/>
  <c r="Y60" i="63"/>
  <c r="W60" i="63"/>
  <c r="U60" i="63"/>
  <c r="S60" i="63"/>
  <c r="AE59" i="63"/>
  <c r="AC59" i="63"/>
  <c r="AA59" i="63"/>
  <c r="Y59" i="63"/>
  <c r="W59" i="63"/>
  <c r="U59" i="63"/>
  <c r="S59" i="63"/>
  <c r="AE58" i="63"/>
  <c r="AC58" i="63"/>
  <c r="AA58" i="63"/>
  <c r="Y58" i="63"/>
  <c r="W58" i="63"/>
  <c r="U58" i="63"/>
  <c r="S58" i="63"/>
  <c r="AE57" i="63"/>
  <c r="AC57" i="63"/>
  <c r="AA57" i="63"/>
  <c r="Y57" i="63"/>
  <c r="W57" i="63"/>
  <c r="U57" i="63"/>
  <c r="S57" i="63"/>
  <c r="AE56" i="63"/>
  <c r="AC56" i="63"/>
  <c r="AA56" i="63"/>
  <c r="Y56" i="63"/>
  <c r="W56" i="63"/>
  <c r="U56" i="63"/>
  <c r="S56" i="63"/>
  <c r="AE55" i="63"/>
  <c r="AC55" i="63"/>
  <c r="AA55" i="63"/>
  <c r="Y55" i="63"/>
  <c r="W55" i="63"/>
  <c r="U55" i="63"/>
  <c r="S55" i="63"/>
  <c r="AE54" i="63"/>
  <c r="AC54" i="63"/>
  <c r="AA54" i="63"/>
  <c r="Y54" i="63"/>
  <c r="W54" i="63"/>
  <c r="U54" i="63"/>
  <c r="S54" i="63"/>
  <c r="AE53" i="63"/>
  <c r="AC53" i="63"/>
  <c r="AA53" i="63"/>
  <c r="Y53" i="63"/>
  <c r="W53" i="63"/>
  <c r="U53" i="63"/>
  <c r="S53" i="63"/>
  <c r="AE52" i="63"/>
  <c r="AC52" i="63"/>
  <c r="AA52" i="63"/>
  <c r="Y52" i="63"/>
  <c r="W52" i="63"/>
  <c r="U52" i="63"/>
  <c r="S52" i="63"/>
  <c r="AE51" i="63"/>
  <c r="AC51" i="63"/>
  <c r="AA51" i="63"/>
  <c r="Y51" i="63"/>
  <c r="W51" i="63"/>
  <c r="U51" i="63"/>
  <c r="S51" i="63"/>
  <c r="AE50" i="63"/>
  <c r="AC50" i="63"/>
  <c r="AA50" i="63"/>
  <c r="Y50" i="63"/>
  <c r="W50" i="63"/>
  <c r="U50" i="63"/>
  <c r="S50" i="63"/>
  <c r="AE49" i="63"/>
  <c r="AC49" i="63"/>
  <c r="AA49" i="63"/>
  <c r="Y49" i="63"/>
  <c r="W49" i="63"/>
  <c r="U49" i="63"/>
  <c r="S49" i="63"/>
  <c r="AE48" i="63"/>
  <c r="AC48" i="63"/>
  <c r="AA48" i="63"/>
  <c r="Y48" i="63"/>
  <c r="W48" i="63"/>
  <c r="U48" i="63"/>
  <c r="S48" i="63"/>
  <c r="AE47" i="63"/>
  <c r="AC47" i="63"/>
  <c r="AA47" i="63"/>
  <c r="Y47" i="63"/>
  <c r="W47" i="63"/>
  <c r="U47" i="63"/>
  <c r="S47" i="63"/>
  <c r="AE46" i="63"/>
  <c r="AC46" i="63"/>
  <c r="AA46" i="63"/>
  <c r="Y46" i="63"/>
  <c r="W46" i="63"/>
  <c r="U46" i="63"/>
  <c r="S46" i="63"/>
  <c r="AE45" i="63"/>
  <c r="AC45" i="63"/>
  <c r="AA45" i="63"/>
  <c r="Y45" i="63"/>
  <c r="W45" i="63"/>
  <c r="U45" i="63"/>
  <c r="S45" i="63"/>
  <c r="AE44" i="63"/>
  <c r="AC44" i="63"/>
  <c r="AA44" i="63"/>
  <c r="Y44" i="63"/>
  <c r="W44" i="63"/>
  <c r="U44" i="63"/>
  <c r="S44" i="63"/>
  <c r="AE43" i="63"/>
  <c r="AC43" i="63"/>
  <c r="AA43" i="63"/>
  <c r="Y43" i="63"/>
  <c r="W43" i="63"/>
  <c r="U43" i="63"/>
  <c r="S43" i="63"/>
  <c r="AE42" i="63"/>
  <c r="AC42" i="63"/>
  <c r="AA42" i="63"/>
  <c r="Y42" i="63"/>
  <c r="W42" i="63"/>
  <c r="U42" i="63"/>
  <c r="S42" i="63"/>
  <c r="AE41" i="63"/>
  <c r="AC41" i="63"/>
  <c r="AA41" i="63"/>
  <c r="Y41" i="63"/>
  <c r="W41" i="63"/>
  <c r="U41" i="63"/>
  <c r="S41" i="63"/>
  <c r="AE40" i="63"/>
  <c r="AC40" i="63"/>
  <c r="AA40" i="63"/>
  <c r="Y40" i="63"/>
  <c r="W40" i="63"/>
  <c r="U40" i="63"/>
  <c r="S40" i="63"/>
  <c r="AE39" i="63"/>
  <c r="AC39" i="63"/>
  <c r="AA39" i="63"/>
  <c r="Y39" i="63"/>
  <c r="W39" i="63"/>
  <c r="U39" i="63"/>
  <c r="S39" i="63"/>
  <c r="AE38" i="63"/>
  <c r="AC38" i="63"/>
  <c r="AA38" i="63"/>
  <c r="Y38" i="63"/>
  <c r="W38" i="63"/>
  <c r="U38" i="63"/>
  <c r="S38" i="63"/>
  <c r="AE37" i="63"/>
  <c r="AC37" i="63"/>
  <c r="AA37" i="63"/>
  <c r="Y37" i="63"/>
  <c r="W37" i="63"/>
  <c r="U37" i="63"/>
  <c r="S37" i="63"/>
  <c r="AE36" i="63"/>
  <c r="AC36" i="63"/>
  <c r="AA36" i="63"/>
  <c r="Y36" i="63"/>
  <c r="W36" i="63"/>
  <c r="U36" i="63"/>
  <c r="S36" i="63"/>
  <c r="AE35" i="63"/>
  <c r="AC35" i="63"/>
  <c r="AA35" i="63"/>
  <c r="Y35" i="63"/>
  <c r="W35" i="63"/>
  <c r="U35" i="63"/>
  <c r="S35" i="63"/>
  <c r="D34" i="63"/>
  <c r="E34" i="63" s="1"/>
  <c r="E33" i="63"/>
  <c r="D33" i="63"/>
  <c r="D32" i="63"/>
  <c r="E32" i="63" s="1"/>
  <c r="D31" i="63"/>
  <c r="E31" i="63" s="1"/>
  <c r="E30" i="63"/>
  <c r="D30" i="63"/>
  <c r="E29" i="63"/>
  <c r="D29" i="63"/>
  <c r="T25" i="63"/>
  <c r="V24" i="63"/>
  <c r="R24" i="63"/>
  <c r="AD17" i="63"/>
  <c r="AD25" i="63" s="1"/>
  <c r="AB17" i="63"/>
  <c r="AB25" i="63" s="1"/>
  <c r="Z17" i="63"/>
  <c r="Z25" i="63" s="1"/>
  <c r="X17" i="63"/>
  <c r="X25" i="63" s="1"/>
  <c r="V17" i="63"/>
  <c r="V25" i="63" s="1"/>
  <c r="T17" i="63"/>
  <c r="R17" i="63"/>
  <c r="R25" i="63" s="1"/>
  <c r="AD16" i="63"/>
  <c r="AD24" i="63" s="1"/>
  <c r="AB16" i="63"/>
  <c r="AB24" i="63" s="1"/>
  <c r="Z16" i="63"/>
  <c r="Z24" i="63" s="1"/>
  <c r="X16" i="63"/>
  <c r="X18" i="63" s="1"/>
  <c r="X26" i="63" s="1"/>
  <c r="V16" i="63"/>
  <c r="V18" i="63" s="1"/>
  <c r="V26" i="63" s="1"/>
  <c r="T16" i="63"/>
  <c r="T24" i="63" s="1"/>
  <c r="R16" i="63"/>
  <c r="R18" i="63" s="1"/>
  <c r="R26" i="63" s="1"/>
  <c r="P16" i="63"/>
  <c r="O16" i="63"/>
  <c r="N16" i="63"/>
  <c r="L16" i="63"/>
  <c r="K16" i="63"/>
  <c r="J16" i="63"/>
  <c r="H16" i="63"/>
  <c r="G16" i="63"/>
  <c r="F16" i="63"/>
  <c r="O15" i="63"/>
  <c r="Y14" i="63"/>
  <c r="Q14" i="63"/>
  <c r="S14" i="63" s="1"/>
  <c r="M14" i="63"/>
  <c r="I14" i="63"/>
  <c r="O13" i="63"/>
  <c r="AA12" i="63"/>
  <c r="W12" i="63"/>
  <c r="U12" i="63"/>
  <c r="Q12" i="63"/>
  <c r="S12" i="63" s="1"/>
  <c r="M12" i="63"/>
  <c r="I12" i="63"/>
  <c r="O11" i="63"/>
  <c r="Q10" i="63"/>
  <c r="M10" i="63"/>
  <c r="I10" i="63"/>
  <c r="O9" i="63"/>
  <c r="U8" i="63"/>
  <c r="S8" i="63"/>
  <c r="Q8" i="63"/>
  <c r="M8" i="63"/>
  <c r="I8" i="63"/>
  <c r="O7" i="63"/>
  <c r="AC6" i="63"/>
  <c r="S6" i="63"/>
  <c r="Q6" i="63"/>
  <c r="AA6" i="63" s="1"/>
  <c r="M6" i="63"/>
  <c r="I6" i="63"/>
  <c r="I16" i="63" s="1"/>
  <c r="C3" i="63"/>
  <c r="AE64" i="62"/>
  <c r="AC64" i="62"/>
  <c r="AA64" i="62"/>
  <c r="Y64" i="62"/>
  <c r="W64" i="62"/>
  <c r="U64" i="62"/>
  <c r="S64" i="62"/>
  <c r="AE63" i="62"/>
  <c r="AC63" i="62"/>
  <c r="AA63" i="62"/>
  <c r="Y63" i="62"/>
  <c r="W63" i="62"/>
  <c r="U63" i="62"/>
  <c r="S63" i="62"/>
  <c r="AE62" i="62"/>
  <c r="AC62" i="62"/>
  <c r="AA62" i="62"/>
  <c r="Y62" i="62"/>
  <c r="W62" i="62"/>
  <c r="U62" i="62"/>
  <c r="S62" i="62"/>
  <c r="AE61" i="62"/>
  <c r="AC61" i="62"/>
  <c r="AA61" i="62"/>
  <c r="Y61" i="62"/>
  <c r="W61" i="62"/>
  <c r="U61" i="62"/>
  <c r="S61" i="62"/>
  <c r="AE60" i="62"/>
  <c r="AC60" i="62"/>
  <c r="AA60" i="62"/>
  <c r="Y60" i="62"/>
  <c r="W60" i="62"/>
  <c r="U60" i="62"/>
  <c r="S60" i="62"/>
  <c r="AE59" i="62"/>
  <c r="AC59" i="62"/>
  <c r="AA59" i="62"/>
  <c r="Y59" i="62"/>
  <c r="W59" i="62"/>
  <c r="U59" i="62"/>
  <c r="S59" i="62"/>
  <c r="AE58" i="62"/>
  <c r="AC58" i="62"/>
  <c r="AA58" i="62"/>
  <c r="Y58" i="62"/>
  <c r="W58" i="62"/>
  <c r="U58" i="62"/>
  <c r="S58" i="62"/>
  <c r="AE57" i="62"/>
  <c r="AC57" i="62"/>
  <c r="AA57" i="62"/>
  <c r="Y57" i="62"/>
  <c r="W57" i="62"/>
  <c r="U57" i="62"/>
  <c r="S57" i="62"/>
  <c r="AE56" i="62"/>
  <c r="AC56" i="62"/>
  <c r="AA56" i="62"/>
  <c r="Y56" i="62"/>
  <c r="W56" i="62"/>
  <c r="U56" i="62"/>
  <c r="S56" i="62"/>
  <c r="AE55" i="62"/>
  <c r="AC55" i="62"/>
  <c r="AA55" i="62"/>
  <c r="Y55" i="62"/>
  <c r="W55" i="62"/>
  <c r="U55" i="62"/>
  <c r="S55" i="62"/>
  <c r="AE54" i="62"/>
  <c r="AC54" i="62"/>
  <c r="AA54" i="62"/>
  <c r="Y54" i="62"/>
  <c r="W54" i="62"/>
  <c r="U54" i="62"/>
  <c r="S54" i="62"/>
  <c r="AE53" i="62"/>
  <c r="AC53" i="62"/>
  <c r="AA53" i="62"/>
  <c r="Y53" i="62"/>
  <c r="W53" i="62"/>
  <c r="U53" i="62"/>
  <c r="S53" i="62"/>
  <c r="AE52" i="62"/>
  <c r="AC52" i="62"/>
  <c r="AA52" i="62"/>
  <c r="Y52" i="62"/>
  <c r="W52" i="62"/>
  <c r="U52" i="62"/>
  <c r="S52" i="62"/>
  <c r="AE51" i="62"/>
  <c r="AC51" i="62"/>
  <c r="AA51" i="62"/>
  <c r="Y51" i="62"/>
  <c r="W51" i="62"/>
  <c r="U51" i="62"/>
  <c r="S51" i="62"/>
  <c r="AE50" i="62"/>
  <c r="AC50" i="62"/>
  <c r="AA50" i="62"/>
  <c r="Y50" i="62"/>
  <c r="W50" i="62"/>
  <c r="U50" i="62"/>
  <c r="S50" i="62"/>
  <c r="AE49" i="62"/>
  <c r="AC49" i="62"/>
  <c r="AA49" i="62"/>
  <c r="Y49" i="62"/>
  <c r="W49" i="62"/>
  <c r="U49" i="62"/>
  <c r="S49" i="62"/>
  <c r="AE48" i="62"/>
  <c r="AC48" i="62"/>
  <c r="AA48" i="62"/>
  <c r="Y48" i="62"/>
  <c r="W48" i="62"/>
  <c r="U48" i="62"/>
  <c r="S48" i="62"/>
  <c r="AE47" i="62"/>
  <c r="AC47" i="62"/>
  <c r="AA47" i="62"/>
  <c r="Y47" i="62"/>
  <c r="W47" i="62"/>
  <c r="U47" i="62"/>
  <c r="S47" i="62"/>
  <c r="AE46" i="62"/>
  <c r="AC46" i="62"/>
  <c r="AA46" i="62"/>
  <c r="Y46" i="62"/>
  <c r="W46" i="62"/>
  <c r="U46" i="62"/>
  <c r="S46" i="62"/>
  <c r="AE45" i="62"/>
  <c r="AC45" i="62"/>
  <c r="AA45" i="62"/>
  <c r="Y45" i="62"/>
  <c r="W45" i="62"/>
  <c r="U45" i="62"/>
  <c r="S45" i="62"/>
  <c r="AE44" i="62"/>
  <c r="AC44" i="62"/>
  <c r="AA44" i="62"/>
  <c r="Y44" i="62"/>
  <c r="W44" i="62"/>
  <c r="U44" i="62"/>
  <c r="S44" i="62"/>
  <c r="AE43" i="62"/>
  <c r="AC43" i="62"/>
  <c r="AA43" i="62"/>
  <c r="Y43" i="62"/>
  <c r="W43" i="62"/>
  <c r="U43" i="62"/>
  <c r="S43" i="62"/>
  <c r="AE42" i="62"/>
  <c r="AC42" i="62"/>
  <c r="AA42" i="62"/>
  <c r="Y42" i="62"/>
  <c r="W42" i="62"/>
  <c r="U42" i="62"/>
  <c r="S42" i="62"/>
  <c r="AE41" i="62"/>
  <c r="AC41" i="62"/>
  <c r="AA41" i="62"/>
  <c r="Y41" i="62"/>
  <c r="W41" i="62"/>
  <c r="U41" i="62"/>
  <c r="S41" i="62"/>
  <c r="AE40" i="62"/>
  <c r="AC40" i="62"/>
  <c r="AA40" i="62"/>
  <c r="Y40" i="62"/>
  <c r="W40" i="62"/>
  <c r="U40" i="62"/>
  <c r="S40" i="62"/>
  <c r="AE39" i="62"/>
  <c r="AC39" i="62"/>
  <c r="AA39" i="62"/>
  <c r="Y39" i="62"/>
  <c r="W39" i="62"/>
  <c r="U39" i="62"/>
  <c r="S39" i="62"/>
  <c r="AE38" i="62"/>
  <c r="AC38" i="62"/>
  <c r="AA38" i="62"/>
  <c r="Y38" i="62"/>
  <c r="W38" i="62"/>
  <c r="U38" i="62"/>
  <c r="S38" i="62"/>
  <c r="AE37" i="62"/>
  <c r="AC37" i="62"/>
  <c r="AA37" i="62"/>
  <c r="Y37" i="62"/>
  <c r="W37" i="62"/>
  <c r="U37" i="62"/>
  <c r="S37" i="62"/>
  <c r="AE36" i="62"/>
  <c r="AC36" i="62"/>
  <c r="AA36" i="62"/>
  <c r="Y36" i="62"/>
  <c r="W36" i="62"/>
  <c r="U36" i="62"/>
  <c r="S36" i="62"/>
  <c r="AE35" i="62"/>
  <c r="AC35" i="62"/>
  <c r="AA35" i="62"/>
  <c r="Y35" i="62"/>
  <c r="W35" i="62"/>
  <c r="U35" i="62"/>
  <c r="S35" i="62"/>
  <c r="D34" i="62"/>
  <c r="E34" i="62" s="1"/>
  <c r="E33" i="62"/>
  <c r="D33" i="62"/>
  <c r="D32" i="62"/>
  <c r="E32" i="62" s="1"/>
  <c r="D31" i="62"/>
  <c r="E31" i="62" s="1"/>
  <c r="D30" i="62"/>
  <c r="E30" i="62" s="1"/>
  <c r="E29" i="62"/>
  <c r="D29" i="62"/>
  <c r="AB25" i="62"/>
  <c r="AD24" i="62"/>
  <c r="V24" i="62"/>
  <c r="T18" i="62"/>
  <c r="T26" i="62" s="1"/>
  <c r="AD17" i="62"/>
  <c r="AD25" i="62" s="1"/>
  <c r="AB17" i="62"/>
  <c r="Z17" i="62"/>
  <c r="Z25" i="62" s="1"/>
  <c r="X17" i="62"/>
  <c r="X25" i="62" s="1"/>
  <c r="V17" i="62"/>
  <c r="V25" i="62" s="1"/>
  <c r="T17" i="62"/>
  <c r="T25" i="62" s="1"/>
  <c r="R17" i="62"/>
  <c r="R25" i="62" s="1"/>
  <c r="AD16" i="62"/>
  <c r="AB16" i="62"/>
  <c r="AB24" i="62" s="1"/>
  <c r="Z16" i="62"/>
  <c r="Z18" i="62" s="1"/>
  <c r="Z26" i="62" s="1"/>
  <c r="X16" i="62"/>
  <c r="X24" i="62" s="1"/>
  <c r="V16" i="62"/>
  <c r="T16" i="62"/>
  <c r="R16" i="62"/>
  <c r="R24" i="62" s="1"/>
  <c r="P16" i="62"/>
  <c r="O16" i="62"/>
  <c r="N16" i="62"/>
  <c r="L16" i="62"/>
  <c r="K16" i="62"/>
  <c r="J16" i="62"/>
  <c r="H16" i="62"/>
  <c r="G16" i="62"/>
  <c r="F16" i="62"/>
  <c r="O15" i="62"/>
  <c r="AC14" i="62"/>
  <c r="Q14" i="62"/>
  <c r="AA14" i="62" s="1"/>
  <c r="M14" i="62"/>
  <c r="I14" i="62"/>
  <c r="O13" i="62"/>
  <c r="AC12" i="62"/>
  <c r="U12" i="62"/>
  <c r="S12" i="62"/>
  <c r="Q12" i="62"/>
  <c r="AA12" i="62" s="1"/>
  <c r="M12" i="62"/>
  <c r="I12" i="62"/>
  <c r="O11" i="62"/>
  <c r="AE10" i="62"/>
  <c r="AA10" i="62"/>
  <c r="Y10" i="62"/>
  <c r="W10" i="62"/>
  <c r="Q10" i="62"/>
  <c r="U10" i="62" s="1"/>
  <c r="M10" i="62"/>
  <c r="I10" i="62"/>
  <c r="O9" i="62"/>
  <c r="U8" i="62"/>
  <c r="S8" i="62"/>
  <c r="Q8" i="62"/>
  <c r="M8" i="62"/>
  <c r="I8" i="62"/>
  <c r="O7" i="62"/>
  <c r="Y6" i="62"/>
  <c r="Q6" i="62"/>
  <c r="S6" i="62" s="1"/>
  <c r="M6" i="62"/>
  <c r="I6" i="62"/>
  <c r="C3" i="62"/>
  <c r="AE64" i="61"/>
  <c r="AC64" i="61"/>
  <c r="AA64" i="61"/>
  <c r="Y64" i="61"/>
  <c r="W64" i="61"/>
  <c r="U64" i="61"/>
  <c r="S64" i="61"/>
  <c r="AE63" i="61"/>
  <c r="AC63" i="61"/>
  <c r="AA63" i="61"/>
  <c r="Y63" i="61"/>
  <c r="W63" i="61"/>
  <c r="U63" i="61"/>
  <c r="S63" i="61"/>
  <c r="AE62" i="61"/>
  <c r="AC62" i="61"/>
  <c r="AA62" i="61"/>
  <c r="Y62" i="61"/>
  <c r="W62" i="61"/>
  <c r="U62" i="61"/>
  <c r="S62" i="61"/>
  <c r="AE61" i="61"/>
  <c r="AC61" i="61"/>
  <c r="AA61" i="61"/>
  <c r="Y61" i="61"/>
  <c r="W61" i="61"/>
  <c r="U61" i="61"/>
  <c r="S61" i="61"/>
  <c r="AE60" i="61"/>
  <c r="AC60" i="61"/>
  <c r="AA60" i="61"/>
  <c r="Y60" i="61"/>
  <c r="W60" i="61"/>
  <c r="U60" i="61"/>
  <c r="S60" i="61"/>
  <c r="AE59" i="61"/>
  <c r="AC59" i="61"/>
  <c r="AA59" i="61"/>
  <c r="Y59" i="61"/>
  <c r="W59" i="61"/>
  <c r="U59" i="61"/>
  <c r="S59" i="61"/>
  <c r="AE58" i="61"/>
  <c r="AC58" i="61"/>
  <c r="AA58" i="61"/>
  <c r="Y58" i="61"/>
  <c r="W58" i="61"/>
  <c r="U58" i="61"/>
  <c r="S58" i="61"/>
  <c r="AE57" i="61"/>
  <c r="AC57" i="61"/>
  <c r="AA57" i="61"/>
  <c r="Y57" i="61"/>
  <c r="W57" i="61"/>
  <c r="U57" i="61"/>
  <c r="S57" i="61"/>
  <c r="AE56" i="61"/>
  <c r="AC56" i="61"/>
  <c r="AA56" i="61"/>
  <c r="Y56" i="61"/>
  <c r="W56" i="61"/>
  <c r="U56" i="61"/>
  <c r="S56" i="61"/>
  <c r="AE55" i="61"/>
  <c r="AC55" i="61"/>
  <c r="AA55" i="61"/>
  <c r="Y55" i="61"/>
  <c r="W55" i="61"/>
  <c r="U55" i="61"/>
  <c r="S55" i="61"/>
  <c r="AE54" i="61"/>
  <c r="AC54" i="61"/>
  <c r="AA54" i="61"/>
  <c r="Y54" i="61"/>
  <c r="W54" i="61"/>
  <c r="U54" i="61"/>
  <c r="S54" i="61"/>
  <c r="AE53" i="61"/>
  <c r="AC53" i="61"/>
  <c r="AA53" i="61"/>
  <c r="Y53" i="61"/>
  <c r="W53" i="61"/>
  <c r="U53" i="61"/>
  <c r="S53" i="61"/>
  <c r="AE52" i="61"/>
  <c r="AC52" i="61"/>
  <c r="AA52" i="61"/>
  <c r="Y52" i="61"/>
  <c r="W52" i="61"/>
  <c r="U52" i="61"/>
  <c r="S52" i="61"/>
  <c r="AE51" i="61"/>
  <c r="AC51" i="61"/>
  <c r="AA51" i="61"/>
  <c r="Y51" i="61"/>
  <c r="W51" i="61"/>
  <c r="U51" i="61"/>
  <c r="S51" i="61"/>
  <c r="AE50" i="61"/>
  <c r="AC50" i="61"/>
  <c r="AA50" i="61"/>
  <c r="Y50" i="61"/>
  <c r="W50" i="61"/>
  <c r="U50" i="61"/>
  <c r="S50" i="61"/>
  <c r="AE49" i="61"/>
  <c r="AC49" i="61"/>
  <c r="AA49" i="61"/>
  <c r="Y49" i="61"/>
  <c r="W49" i="61"/>
  <c r="U49" i="61"/>
  <c r="S49" i="61"/>
  <c r="AE48" i="61"/>
  <c r="AC48" i="61"/>
  <c r="AA48" i="61"/>
  <c r="Y48" i="61"/>
  <c r="W48" i="61"/>
  <c r="U48" i="61"/>
  <c r="S48" i="61"/>
  <c r="AE47" i="61"/>
  <c r="AC47" i="61"/>
  <c r="AA47" i="61"/>
  <c r="Y47" i="61"/>
  <c r="W47" i="61"/>
  <c r="U47" i="61"/>
  <c r="S47" i="61"/>
  <c r="AE46" i="61"/>
  <c r="AC46" i="61"/>
  <c r="AA46" i="61"/>
  <c r="Y46" i="61"/>
  <c r="W46" i="61"/>
  <c r="U46" i="61"/>
  <c r="S46" i="61"/>
  <c r="AE45" i="61"/>
  <c r="AC45" i="61"/>
  <c r="AA45" i="61"/>
  <c r="Y45" i="61"/>
  <c r="W45" i="61"/>
  <c r="U45" i="61"/>
  <c r="S45" i="61"/>
  <c r="AE44" i="61"/>
  <c r="AC44" i="61"/>
  <c r="AA44" i="61"/>
  <c r="Y44" i="61"/>
  <c r="W44" i="61"/>
  <c r="U44" i="61"/>
  <c r="S44" i="61"/>
  <c r="AE43" i="61"/>
  <c r="AC43" i="61"/>
  <c r="AA43" i="61"/>
  <c r="Y43" i="61"/>
  <c r="W43" i="61"/>
  <c r="U43" i="61"/>
  <c r="S43" i="61"/>
  <c r="AE42" i="61"/>
  <c r="AC42" i="61"/>
  <c r="AA42" i="61"/>
  <c r="Y42" i="61"/>
  <c r="W42" i="61"/>
  <c r="U42" i="61"/>
  <c r="S42" i="61"/>
  <c r="AE41" i="61"/>
  <c r="AC41" i="61"/>
  <c r="AA41" i="61"/>
  <c r="Y41" i="61"/>
  <c r="W41" i="61"/>
  <c r="U41" i="61"/>
  <c r="S41" i="61"/>
  <c r="AE40" i="61"/>
  <c r="AC40" i="61"/>
  <c r="AA40" i="61"/>
  <c r="Y40" i="61"/>
  <c r="W40" i="61"/>
  <c r="U40" i="61"/>
  <c r="S40" i="61"/>
  <c r="AE39" i="61"/>
  <c r="AC39" i="61"/>
  <c r="AA39" i="61"/>
  <c r="Y39" i="61"/>
  <c r="W39" i="61"/>
  <c r="U39" i="61"/>
  <c r="S39" i="61"/>
  <c r="AE38" i="61"/>
  <c r="AC38" i="61"/>
  <c r="AA38" i="61"/>
  <c r="Y38" i="61"/>
  <c r="W38" i="61"/>
  <c r="U38" i="61"/>
  <c r="S38" i="61"/>
  <c r="AE37" i="61"/>
  <c r="AC37" i="61"/>
  <c r="AA37" i="61"/>
  <c r="Y37" i="61"/>
  <c r="W37" i="61"/>
  <c r="U37" i="61"/>
  <c r="S37" i="61"/>
  <c r="AE36" i="61"/>
  <c r="AC36" i="61"/>
  <c r="AA36" i="61"/>
  <c r="Y36" i="61"/>
  <c r="W36" i="61"/>
  <c r="U36" i="61"/>
  <c r="S36" i="61"/>
  <c r="AE35" i="61"/>
  <c r="AC35" i="61"/>
  <c r="AA35" i="61"/>
  <c r="Y35" i="61"/>
  <c r="W35" i="61"/>
  <c r="U35" i="61"/>
  <c r="S35" i="61"/>
  <c r="E34" i="61"/>
  <c r="D34" i="61"/>
  <c r="D33" i="61"/>
  <c r="E33" i="61" s="1"/>
  <c r="D32" i="61"/>
  <c r="E32" i="61" s="1"/>
  <c r="D31" i="61"/>
  <c r="E31" i="61" s="1"/>
  <c r="E30" i="61"/>
  <c r="D30" i="61"/>
  <c r="E29" i="61"/>
  <c r="D29" i="61"/>
  <c r="V25" i="61"/>
  <c r="Z18" i="61"/>
  <c r="Z26" i="61" s="1"/>
  <c r="AD17" i="61"/>
  <c r="AD25" i="61" s="1"/>
  <c r="AB17" i="61"/>
  <c r="AB25" i="61" s="1"/>
  <c r="Z17" i="61"/>
  <c r="Z25" i="61" s="1"/>
  <c r="X17" i="61"/>
  <c r="X25" i="61" s="1"/>
  <c r="V17" i="61"/>
  <c r="T17" i="61"/>
  <c r="T25" i="61" s="1"/>
  <c r="R17" i="61"/>
  <c r="R25" i="61" s="1"/>
  <c r="AD16" i="61"/>
  <c r="AD18" i="61" s="1"/>
  <c r="AD26" i="61" s="1"/>
  <c r="AB16" i="61"/>
  <c r="AB24" i="61" s="1"/>
  <c r="Z16" i="61"/>
  <c r="Z24" i="61" s="1"/>
  <c r="X16" i="61"/>
  <c r="X18" i="61" s="1"/>
  <c r="X26" i="61" s="1"/>
  <c r="V16" i="61"/>
  <c r="T16" i="61"/>
  <c r="T24" i="61" s="1"/>
  <c r="R16" i="61"/>
  <c r="P16" i="61"/>
  <c r="O16" i="61"/>
  <c r="N16" i="61"/>
  <c r="L16" i="61"/>
  <c r="K16" i="61"/>
  <c r="J16" i="61"/>
  <c r="H16" i="61"/>
  <c r="G16" i="61"/>
  <c r="F16" i="61"/>
  <c r="O15" i="61"/>
  <c r="Y14" i="61"/>
  <c r="U14" i="61"/>
  <c r="Q14" i="61"/>
  <c r="S14" i="61" s="1"/>
  <c r="M14" i="61"/>
  <c r="I14" i="61"/>
  <c r="O13" i="61"/>
  <c r="AC12" i="61"/>
  <c r="AA12" i="61"/>
  <c r="Y12" i="61"/>
  <c r="W12" i="61"/>
  <c r="Q12" i="61"/>
  <c r="S12" i="61" s="1"/>
  <c r="M12" i="61"/>
  <c r="M16" i="61" s="1"/>
  <c r="I12" i="61"/>
  <c r="O11" i="61"/>
  <c r="Q10" i="61"/>
  <c r="M10" i="61"/>
  <c r="I10" i="61"/>
  <c r="O9" i="61"/>
  <c r="W8" i="61"/>
  <c r="Q8" i="61"/>
  <c r="U8" i="61" s="1"/>
  <c r="M8" i="61"/>
  <c r="I8" i="61"/>
  <c r="O7" i="61"/>
  <c r="Q6" i="61"/>
  <c r="AA6" i="61" s="1"/>
  <c r="M6" i="61"/>
  <c r="I6" i="61"/>
  <c r="C3" i="61"/>
  <c r="AE64" i="60"/>
  <c r="AC64" i="60"/>
  <c r="AA64" i="60"/>
  <c r="Y64" i="60"/>
  <c r="W64" i="60"/>
  <c r="U64" i="60"/>
  <c r="S64" i="60"/>
  <c r="AE63" i="60"/>
  <c r="AC63" i="60"/>
  <c r="AA63" i="60"/>
  <c r="Y63" i="60"/>
  <c r="W63" i="60"/>
  <c r="U63" i="60"/>
  <c r="S63" i="60"/>
  <c r="AE62" i="60"/>
  <c r="AC62" i="60"/>
  <c r="AA62" i="60"/>
  <c r="Y62" i="60"/>
  <c r="W62" i="60"/>
  <c r="U62" i="60"/>
  <c r="S62" i="60"/>
  <c r="AE61" i="60"/>
  <c r="AC61" i="60"/>
  <c r="AA61" i="60"/>
  <c r="Y61" i="60"/>
  <c r="W61" i="60"/>
  <c r="U61" i="60"/>
  <c r="S61" i="60"/>
  <c r="AE60" i="60"/>
  <c r="AC60" i="60"/>
  <c r="AA60" i="60"/>
  <c r="Y60" i="60"/>
  <c r="W60" i="60"/>
  <c r="U60" i="60"/>
  <c r="S60" i="60"/>
  <c r="AE59" i="60"/>
  <c r="AC59" i="60"/>
  <c r="AA59" i="60"/>
  <c r="Y59" i="60"/>
  <c r="W59" i="60"/>
  <c r="U59" i="60"/>
  <c r="S59" i="60"/>
  <c r="AE58" i="60"/>
  <c r="AC58" i="60"/>
  <c r="AA58" i="60"/>
  <c r="Y58" i="60"/>
  <c r="W58" i="60"/>
  <c r="U58" i="60"/>
  <c r="S58" i="60"/>
  <c r="AE57" i="60"/>
  <c r="AC57" i="60"/>
  <c r="AA57" i="60"/>
  <c r="Y57" i="60"/>
  <c r="W57" i="60"/>
  <c r="U57" i="60"/>
  <c r="S57" i="60"/>
  <c r="AE56" i="60"/>
  <c r="AC56" i="60"/>
  <c r="AA56" i="60"/>
  <c r="Y56" i="60"/>
  <c r="W56" i="60"/>
  <c r="U56" i="60"/>
  <c r="S56" i="60"/>
  <c r="AE55" i="60"/>
  <c r="AC55" i="60"/>
  <c r="AA55" i="60"/>
  <c r="Y55" i="60"/>
  <c r="W55" i="60"/>
  <c r="U55" i="60"/>
  <c r="S55" i="60"/>
  <c r="AE54" i="60"/>
  <c r="AC54" i="60"/>
  <c r="AA54" i="60"/>
  <c r="Y54" i="60"/>
  <c r="W54" i="60"/>
  <c r="U54" i="60"/>
  <c r="S54" i="60"/>
  <c r="AE53" i="60"/>
  <c r="AC53" i="60"/>
  <c r="AA53" i="60"/>
  <c r="Y53" i="60"/>
  <c r="W53" i="60"/>
  <c r="U53" i="60"/>
  <c r="S53" i="60"/>
  <c r="AE52" i="60"/>
  <c r="AC52" i="60"/>
  <c r="AA52" i="60"/>
  <c r="Y52" i="60"/>
  <c r="W52" i="60"/>
  <c r="U52" i="60"/>
  <c r="S52" i="60"/>
  <c r="AE51" i="60"/>
  <c r="AC51" i="60"/>
  <c r="AA51" i="60"/>
  <c r="Y51" i="60"/>
  <c r="W51" i="60"/>
  <c r="U51" i="60"/>
  <c r="S51" i="60"/>
  <c r="AE50" i="60"/>
  <c r="AC50" i="60"/>
  <c r="AA50" i="60"/>
  <c r="Y50" i="60"/>
  <c r="W50" i="60"/>
  <c r="U50" i="60"/>
  <c r="S50" i="60"/>
  <c r="AE49" i="60"/>
  <c r="AC49" i="60"/>
  <c r="AA49" i="60"/>
  <c r="Y49" i="60"/>
  <c r="W49" i="60"/>
  <c r="U49" i="60"/>
  <c r="S49" i="60"/>
  <c r="AE48" i="60"/>
  <c r="AC48" i="60"/>
  <c r="AA48" i="60"/>
  <c r="Y48" i="60"/>
  <c r="W48" i="60"/>
  <c r="U48" i="60"/>
  <c r="S48" i="60"/>
  <c r="AE47" i="60"/>
  <c r="AC47" i="60"/>
  <c r="AA47" i="60"/>
  <c r="Y47" i="60"/>
  <c r="W47" i="60"/>
  <c r="U47" i="60"/>
  <c r="S47" i="60"/>
  <c r="AE46" i="60"/>
  <c r="AC46" i="60"/>
  <c r="AA46" i="60"/>
  <c r="Y46" i="60"/>
  <c r="W46" i="60"/>
  <c r="U46" i="60"/>
  <c r="S46" i="60"/>
  <c r="AE45" i="60"/>
  <c r="AC45" i="60"/>
  <c r="AA45" i="60"/>
  <c r="Y45" i="60"/>
  <c r="W45" i="60"/>
  <c r="U45" i="60"/>
  <c r="S45" i="60"/>
  <c r="AE44" i="60"/>
  <c r="AC44" i="60"/>
  <c r="AA44" i="60"/>
  <c r="Y44" i="60"/>
  <c r="W44" i="60"/>
  <c r="U44" i="60"/>
  <c r="S44" i="60"/>
  <c r="AE43" i="60"/>
  <c r="AC43" i="60"/>
  <c r="AA43" i="60"/>
  <c r="Y43" i="60"/>
  <c r="W43" i="60"/>
  <c r="U43" i="60"/>
  <c r="S43" i="60"/>
  <c r="AE42" i="60"/>
  <c r="AC42" i="60"/>
  <c r="AA42" i="60"/>
  <c r="Y42" i="60"/>
  <c r="W42" i="60"/>
  <c r="U42" i="60"/>
  <c r="S42" i="60"/>
  <c r="AE41" i="60"/>
  <c r="AC41" i="60"/>
  <c r="AA41" i="60"/>
  <c r="Y41" i="60"/>
  <c r="W41" i="60"/>
  <c r="U41" i="60"/>
  <c r="S41" i="60"/>
  <c r="AE40" i="60"/>
  <c r="AC40" i="60"/>
  <c r="AA40" i="60"/>
  <c r="Y40" i="60"/>
  <c r="W40" i="60"/>
  <c r="U40" i="60"/>
  <c r="S40" i="60"/>
  <c r="AE39" i="60"/>
  <c r="AC39" i="60"/>
  <c r="AA39" i="60"/>
  <c r="Y39" i="60"/>
  <c r="W39" i="60"/>
  <c r="U39" i="60"/>
  <c r="S39" i="60"/>
  <c r="AE38" i="60"/>
  <c r="AC38" i="60"/>
  <c r="AA38" i="60"/>
  <c r="Y38" i="60"/>
  <c r="W38" i="60"/>
  <c r="U38" i="60"/>
  <c r="S38" i="60"/>
  <c r="AE37" i="60"/>
  <c r="AC37" i="60"/>
  <c r="AA37" i="60"/>
  <c r="Y37" i="60"/>
  <c r="W37" i="60"/>
  <c r="U37" i="60"/>
  <c r="S37" i="60"/>
  <c r="AE36" i="60"/>
  <c r="AC36" i="60"/>
  <c r="AA36" i="60"/>
  <c r="Y36" i="60"/>
  <c r="W36" i="60"/>
  <c r="U36" i="60"/>
  <c r="S36" i="60"/>
  <c r="AE35" i="60"/>
  <c r="AC35" i="60"/>
  <c r="AA35" i="60"/>
  <c r="Y35" i="60"/>
  <c r="W35" i="60"/>
  <c r="U35" i="60"/>
  <c r="S35" i="60"/>
  <c r="D34" i="60"/>
  <c r="E34" i="60" s="1"/>
  <c r="D33" i="60"/>
  <c r="E33" i="60" s="1"/>
  <c r="E32" i="60"/>
  <c r="D32" i="60"/>
  <c r="E31" i="60"/>
  <c r="D31" i="60"/>
  <c r="D30" i="60"/>
  <c r="E30" i="60" s="1"/>
  <c r="E29" i="60"/>
  <c r="D29" i="60"/>
  <c r="AD25" i="60"/>
  <c r="X25" i="60"/>
  <c r="X18" i="60"/>
  <c r="X26" i="60" s="1"/>
  <c r="AD17" i="60"/>
  <c r="AB17" i="60"/>
  <c r="AB25" i="60" s="1"/>
  <c r="Z17" i="60"/>
  <c r="Z25" i="60" s="1"/>
  <c r="X17" i="60"/>
  <c r="V17" i="60"/>
  <c r="V25" i="60" s="1"/>
  <c r="T17" i="60"/>
  <c r="T25" i="60" s="1"/>
  <c r="R17" i="60"/>
  <c r="R25" i="60" s="1"/>
  <c r="AD16" i="60"/>
  <c r="AD24" i="60" s="1"/>
  <c r="AB16" i="60"/>
  <c r="AB24" i="60" s="1"/>
  <c r="Z16" i="60"/>
  <c r="Z18" i="60" s="1"/>
  <c r="Z26" i="60" s="1"/>
  <c r="X16" i="60"/>
  <c r="X24" i="60" s="1"/>
  <c r="V16" i="60"/>
  <c r="V24" i="60" s="1"/>
  <c r="T16" i="60"/>
  <c r="V18" i="60" s="1"/>
  <c r="V26" i="60" s="1"/>
  <c r="R16" i="60"/>
  <c r="P16" i="60"/>
  <c r="O16" i="60"/>
  <c r="N16" i="60"/>
  <c r="L16" i="60"/>
  <c r="K16" i="60"/>
  <c r="J16" i="60"/>
  <c r="H16" i="60"/>
  <c r="G16" i="60"/>
  <c r="F16" i="60"/>
  <c r="O15" i="60"/>
  <c r="AC14" i="60"/>
  <c r="Q14" i="60"/>
  <c r="AA14" i="60" s="1"/>
  <c r="M14" i="60"/>
  <c r="I14" i="60"/>
  <c r="O13" i="60"/>
  <c r="AE12" i="60"/>
  <c r="W12" i="60"/>
  <c r="S12" i="60"/>
  <c r="Q12" i="60"/>
  <c r="AA12" i="60" s="1"/>
  <c r="M12" i="60"/>
  <c r="I12" i="60"/>
  <c r="O11" i="60"/>
  <c r="AE10" i="60"/>
  <c r="AA10" i="60"/>
  <c r="Y10" i="60"/>
  <c r="W10" i="60"/>
  <c r="Q10" i="60"/>
  <c r="U10" i="60" s="1"/>
  <c r="M10" i="60"/>
  <c r="I10" i="60"/>
  <c r="O9" i="60"/>
  <c r="Q8" i="60"/>
  <c r="M8" i="60"/>
  <c r="I8" i="60"/>
  <c r="O7" i="60"/>
  <c r="Y6" i="60"/>
  <c r="U6" i="60"/>
  <c r="Q6" i="60"/>
  <c r="S6" i="60" s="1"/>
  <c r="M6" i="60"/>
  <c r="I6" i="60"/>
  <c r="C3" i="60"/>
  <c r="AE64" i="59"/>
  <c r="AC64" i="59"/>
  <c r="AA64" i="59"/>
  <c r="Y64" i="59"/>
  <c r="W64" i="59"/>
  <c r="U64" i="59"/>
  <c r="S64" i="59"/>
  <c r="AE63" i="59"/>
  <c r="AC63" i="59"/>
  <c r="AA63" i="59"/>
  <c r="Y63" i="59"/>
  <c r="W63" i="59"/>
  <c r="U63" i="59"/>
  <c r="S63" i="59"/>
  <c r="AE62" i="59"/>
  <c r="AC62" i="59"/>
  <c r="AA62" i="59"/>
  <c r="Y62" i="59"/>
  <c r="W62" i="59"/>
  <c r="U62" i="59"/>
  <c r="S62" i="59"/>
  <c r="AE61" i="59"/>
  <c r="AC61" i="59"/>
  <c r="AA61" i="59"/>
  <c r="Y61" i="59"/>
  <c r="W61" i="59"/>
  <c r="U61" i="59"/>
  <c r="S61" i="59"/>
  <c r="AE60" i="59"/>
  <c r="AC60" i="59"/>
  <c r="AA60" i="59"/>
  <c r="Y60" i="59"/>
  <c r="W60" i="59"/>
  <c r="U60" i="59"/>
  <c r="S60" i="59"/>
  <c r="AE59" i="59"/>
  <c r="AC59" i="59"/>
  <c r="AA59" i="59"/>
  <c r="Y59" i="59"/>
  <c r="W59" i="59"/>
  <c r="U59" i="59"/>
  <c r="S59" i="59"/>
  <c r="AE58" i="59"/>
  <c r="AC58" i="59"/>
  <c r="AA58" i="59"/>
  <c r="Y58" i="59"/>
  <c r="W58" i="59"/>
  <c r="U58" i="59"/>
  <c r="S58" i="59"/>
  <c r="AE57" i="59"/>
  <c r="AC57" i="59"/>
  <c r="AA57" i="59"/>
  <c r="Y57" i="59"/>
  <c r="W57" i="59"/>
  <c r="U57" i="59"/>
  <c r="S57" i="59"/>
  <c r="AE56" i="59"/>
  <c r="AC56" i="59"/>
  <c r="AA56" i="59"/>
  <c r="Y56" i="59"/>
  <c r="W56" i="59"/>
  <c r="U56" i="59"/>
  <c r="S56" i="59"/>
  <c r="AE55" i="59"/>
  <c r="AC55" i="59"/>
  <c r="AA55" i="59"/>
  <c r="Y55" i="59"/>
  <c r="W55" i="59"/>
  <c r="U55" i="59"/>
  <c r="S55" i="59"/>
  <c r="AE54" i="59"/>
  <c r="AC54" i="59"/>
  <c r="AA54" i="59"/>
  <c r="Y54" i="59"/>
  <c r="W54" i="59"/>
  <c r="U54" i="59"/>
  <c r="S54" i="59"/>
  <c r="AE53" i="59"/>
  <c r="AC53" i="59"/>
  <c r="AA53" i="59"/>
  <c r="Y53" i="59"/>
  <c r="W53" i="59"/>
  <c r="U53" i="59"/>
  <c r="S53" i="59"/>
  <c r="AE52" i="59"/>
  <c r="AC52" i="59"/>
  <c r="AA52" i="59"/>
  <c r="Y52" i="59"/>
  <c r="W52" i="59"/>
  <c r="U52" i="59"/>
  <c r="S52" i="59"/>
  <c r="AE51" i="59"/>
  <c r="AC51" i="59"/>
  <c r="AA51" i="59"/>
  <c r="Y51" i="59"/>
  <c r="W51" i="59"/>
  <c r="U51" i="59"/>
  <c r="S51" i="59"/>
  <c r="AE50" i="59"/>
  <c r="AC50" i="59"/>
  <c r="AA50" i="59"/>
  <c r="Y50" i="59"/>
  <c r="W50" i="59"/>
  <c r="U50" i="59"/>
  <c r="S50" i="59"/>
  <c r="AE49" i="59"/>
  <c r="AC49" i="59"/>
  <c r="AA49" i="59"/>
  <c r="Y49" i="59"/>
  <c r="W49" i="59"/>
  <c r="U49" i="59"/>
  <c r="S49" i="59"/>
  <c r="AE48" i="59"/>
  <c r="AC48" i="59"/>
  <c r="AA48" i="59"/>
  <c r="Y48" i="59"/>
  <c r="W48" i="59"/>
  <c r="U48" i="59"/>
  <c r="S48" i="59"/>
  <c r="AE47" i="59"/>
  <c r="AC47" i="59"/>
  <c r="AA47" i="59"/>
  <c r="Y47" i="59"/>
  <c r="W47" i="59"/>
  <c r="U47" i="59"/>
  <c r="S47" i="59"/>
  <c r="AE46" i="59"/>
  <c r="AC46" i="59"/>
  <c r="AA46" i="59"/>
  <c r="Y46" i="59"/>
  <c r="W46" i="59"/>
  <c r="U46" i="59"/>
  <c r="S46" i="59"/>
  <c r="AE45" i="59"/>
  <c r="AC45" i="59"/>
  <c r="AA45" i="59"/>
  <c r="Y45" i="59"/>
  <c r="W45" i="59"/>
  <c r="U45" i="59"/>
  <c r="S45" i="59"/>
  <c r="AE44" i="59"/>
  <c r="AC44" i="59"/>
  <c r="AA44" i="59"/>
  <c r="Y44" i="59"/>
  <c r="W44" i="59"/>
  <c r="U44" i="59"/>
  <c r="S44" i="59"/>
  <c r="AE43" i="59"/>
  <c r="AC43" i="59"/>
  <c r="AA43" i="59"/>
  <c r="Y43" i="59"/>
  <c r="W43" i="59"/>
  <c r="U43" i="59"/>
  <c r="S43" i="59"/>
  <c r="AE42" i="59"/>
  <c r="AC42" i="59"/>
  <c r="AA42" i="59"/>
  <c r="Y42" i="59"/>
  <c r="W42" i="59"/>
  <c r="U42" i="59"/>
  <c r="S42" i="59"/>
  <c r="AE41" i="59"/>
  <c r="AC41" i="59"/>
  <c r="AA41" i="59"/>
  <c r="Y41" i="59"/>
  <c r="W41" i="59"/>
  <c r="U41" i="59"/>
  <c r="S41" i="59"/>
  <c r="AE40" i="59"/>
  <c r="AC40" i="59"/>
  <c r="AA40" i="59"/>
  <c r="Y40" i="59"/>
  <c r="W40" i="59"/>
  <c r="U40" i="59"/>
  <c r="S40" i="59"/>
  <c r="AE39" i="59"/>
  <c r="AC39" i="59"/>
  <c r="AA39" i="59"/>
  <c r="Y39" i="59"/>
  <c r="W39" i="59"/>
  <c r="U39" i="59"/>
  <c r="S39" i="59"/>
  <c r="AE38" i="59"/>
  <c r="AC38" i="59"/>
  <c r="AA38" i="59"/>
  <c r="Y38" i="59"/>
  <c r="W38" i="59"/>
  <c r="U38" i="59"/>
  <c r="S38" i="59"/>
  <c r="AE37" i="59"/>
  <c r="AC37" i="59"/>
  <c r="AA37" i="59"/>
  <c r="Y37" i="59"/>
  <c r="W37" i="59"/>
  <c r="U37" i="59"/>
  <c r="S37" i="59"/>
  <c r="AE36" i="59"/>
  <c r="AC36" i="59"/>
  <c r="AA36" i="59"/>
  <c r="Y36" i="59"/>
  <c r="W36" i="59"/>
  <c r="U36" i="59"/>
  <c r="S36" i="59"/>
  <c r="AE35" i="59"/>
  <c r="AC35" i="59"/>
  <c r="AA35" i="59"/>
  <c r="Y35" i="59"/>
  <c r="W35" i="59"/>
  <c r="U35" i="59"/>
  <c r="S35" i="59"/>
  <c r="E34" i="59"/>
  <c r="D34" i="59"/>
  <c r="D33" i="59"/>
  <c r="E33" i="59" s="1"/>
  <c r="D32" i="59"/>
  <c r="E32" i="59" s="1"/>
  <c r="D31" i="59"/>
  <c r="E31" i="59" s="1"/>
  <c r="E30" i="59"/>
  <c r="D30" i="59"/>
  <c r="E29" i="59"/>
  <c r="D29" i="59"/>
  <c r="V25" i="59"/>
  <c r="Z18" i="59"/>
  <c r="Z26" i="59" s="1"/>
  <c r="AD17" i="59"/>
  <c r="AD25" i="59" s="1"/>
  <c r="AB17" i="59"/>
  <c r="AB25" i="59" s="1"/>
  <c r="Z17" i="59"/>
  <c r="Z25" i="59" s="1"/>
  <c r="X17" i="59"/>
  <c r="X25" i="59" s="1"/>
  <c r="V17" i="59"/>
  <c r="T17" i="59"/>
  <c r="T25" i="59" s="1"/>
  <c r="R17" i="59"/>
  <c r="R25" i="59" s="1"/>
  <c r="AD16" i="59"/>
  <c r="AD18" i="59" s="1"/>
  <c r="AD26" i="59" s="1"/>
  <c r="AB16" i="59"/>
  <c r="AB24" i="59" s="1"/>
  <c r="Z16" i="59"/>
  <c r="Z24" i="59" s="1"/>
  <c r="X16" i="59"/>
  <c r="X18" i="59" s="1"/>
  <c r="X26" i="59" s="1"/>
  <c r="V16" i="59"/>
  <c r="T16" i="59"/>
  <c r="T24" i="59" s="1"/>
  <c r="R16" i="59"/>
  <c r="P16" i="59"/>
  <c r="O16" i="59"/>
  <c r="N16" i="59"/>
  <c r="L16" i="59"/>
  <c r="K16" i="59"/>
  <c r="J16" i="59"/>
  <c r="H16" i="59"/>
  <c r="G16" i="59"/>
  <c r="F16" i="59"/>
  <c r="O15" i="59"/>
  <c r="Y14" i="59"/>
  <c r="U14" i="59"/>
  <c r="Q14" i="59"/>
  <c r="S14" i="59" s="1"/>
  <c r="M14" i="59"/>
  <c r="I14" i="59"/>
  <c r="O13" i="59"/>
  <c r="AC12" i="59"/>
  <c r="AA12" i="59"/>
  <c r="Y12" i="59"/>
  <c r="W12" i="59"/>
  <c r="Q12" i="59"/>
  <c r="S12" i="59" s="1"/>
  <c r="M12" i="59"/>
  <c r="I12" i="59"/>
  <c r="O11" i="59"/>
  <c r="Q10" i="59"/>
  <c r="M10" i="59"/>
  <c r="I10" i="59"/>
  <c r="O9" i="59"/>
  <c r="W8" i="59"/>
  <c r="Q8" i="59"/>
  <c r="U8" i="59" s="1"/>
  <c r="M8" i="59"/>
  <c r="I8" i="59"/>
  <c r="O7" i="59"/>
  <c r="Q6" i="59"/>
  <c r="AA6" i="59" s="1"/>
  <c r="M6" i="59"/>
  <c r="I6" i="59"/>
  <c r="C3" i="59"/>
  <c r="AE64" i="58"/>
  <c r="AC64" i="58"/>
  <c r="AA64" i="58"/>
  <c r="Y64" i="58"/>
  <c r="W64" i="58"/>
  <c r="U64" i="58"/>
  <c r="S64" i="58"/>
  <c r="AE63" i="58"/>
  <c r="AC63" i="58"/>
  <c r="AA63" i="58"/>
  <c r="Y63" i="58"/>
  <c r="W63" i="58"/>
  <c r="U63" i="58"/>
  <c r="S63" i="58"/>
  <c r="AE62" i="58"/>
  <c r="AC62" i="58"/>
  <c r="AA62" i="58"/>
  <c r="Y62" i="58"/>
  <c r="W62" i="58"/>
  <c r="U62" i="58"/>
  <c r="S62" i="58"/>
  <c r="AE61" i="58"/>
  <c r="AC61" i="58"/>
  <c r="AA61" i="58"/>
  <c r="Y61" i="58"/>
  <c r="W61" i="58"/>
  <c r="U61" i="58"/>
  <c r="S61" i="58"/>
  <c r="AE60" i="58"/>
  <c r="AC60" i="58"/>
  <c r="AA60" i="58"/>
  <c r="Y60" i="58"/>
  <c r="W60" i="58"/>
  <c r="U60" i="58"/>
  <c r="S60" i="58"/>
  <c r="AE59" i="58"/>
  <c r="AC59" i="58"/>
  <c r="AA59" i="58"/>
  <c r="Y59" i="58"/>
  <c r="W59" i="58"/>
  <c r="U59" i="58"/>
  <c r="S59" i="58"/>
  <c r="AE58" i="58"/>
  <c r="AC58" i="58"/>
  <c r="AA58" i="58"/>
  <c r="Y58" i="58"/>
  <c r="W58" i="58"/>
  <c r="U58" i="58"/>
  <c r="S58" i="58"/>
  <c r="AE57" i="58"/>
  <c r="AC57" i="58"/>
  <c r="AA57" i="58"/>
  <c r="Y57" i="58"/>
  <c r="W57" i="58"/>
  <c r="U57" i="58"/>
  <c r="S57" i="58"/>
  <c r="AE56" i="58"/>
  <c r="AC56" i="58"/>
  <c r="AA56" i="58"/>
  <c r="Y56" i="58"/>
  <c r="W56" i="58"/>
  <c r="U56" i="58"/>
  <c r="S56" i="58"/>
  <c r="AE55" i="58"/>
  <c r="AC55" i="58"/>
  <c r="AA55" i="58"/>
  <c r="Y55" i="58"/>
  <c r="W55" i="58"/>
  <c r="U55" i="58"/>
  <c r="S55" i="58"/>
  <c r="AE54" i="58"/>
  <c r="AC54" i="58"/>
  <c r="AA54" i="58"/>
  <c r="Y54" i="58"/>
  <c r="W54" i="58"/>
  <c r="U54" i="58"/>
  <c r="S54" i="58"/>
  <c r="AE53" i="58"/>
  <c r="AC53" i="58"/>
  <c r="AA53" i="58"/>
  <c r="Y53" i="58"/>
  <c r="W53" i="58"/>
  <c r="U53" i="58"/>
  <c r="S53" i="58"/>
  <c r="AE52" i="58"/>
  <c r="AC52" i="58"/>
  <c r="AA52" i="58"/>
  <c r="Y52" i="58"/>
  <c r="W52" i="58"/>
  <c r="U52" i="58"/>
  <c r="S52" i="58"/>
  <c r="AE51" i="58"/>
  <c r="AC51" i="58"/>
  <c r="AA51" i="58"/>
  <c r="Y51" i="58"/>
  <c r="W51" i="58"/>
  <c r="U51" i="58"/>
  <c r="S51" i="58"/>
  <c r="AE50" i="58"/>
  <c r="AC50" i="58"/>
  <c r="AA50" i="58"/>
  <c r="Y50" i="58"/>
  <c r="W50" i="58"/>
  <c r="U50" i="58"/>
  <c r="S50" i="58"/>
  <c r="AE49" i="58"/>
  <c r="AC49" i="58"/>
  <c r="AA49" i="58"/>
  <c r="Y49" i="58"/>
  <c r="W49" i="58"/>
  <c r="U49" i="58"/>
  <c r="S49" i="58"/>
  <c r="AE48" i="58"/>
  <c r="AC48" i="58"/>
  <c r="AA48" i="58"/>
  <c r="Y48" i="58"/>
  <c r="W48" i="58"/>
  <c r="U48" i="58"/>
  <c r="S48" i="58"/>
  <c r="AE47" i="58"/>
  <c r="AC47" i="58"/>
  <c r="AA47" i="58"/>
  <c r="Y47" i="58"/>
  <c r="W47" i="58"/>
  <c r="U47" i="58"/>
  <c r="S47" i="58"/>
  <c r="AE46" i="58"/>
  <c r="AC46" i="58"/>
  <c r="AA46" i="58"/>
  <c r="Y46" i="58"/>
  <c r="W46" i="58"/>
  <c r="U46" i="58"/>
  <c r="S46" i="58"/>
  <c r="AE45" i="58"/>
  <c r="AC45" i="58"/>
  <c r="AA45" i="58"/>
  <c r="Y45" i="58"/>
  <c r="W45" i="58"/>
  <c r="U45" i="58"/>
  <c r="S45" i="58"/>
  <c r="AE44" i="58"/>
  <c r="AC44" i="58"/>
  <c r="AA44" i="58"/>
  <c r="Y44" i="58"/>
  <c r="W44" i="58"/>
  <c r="U44" i="58"/>
  <c r="S44" i="58"/>
  <c r="AE43" i="58"/>
  <c r="AC43" i="58"/>
  <c r="AA43" i="58"/>
  <c r="Y43" i="58"/>
  <c r="W43" i="58"/>
  <c r="U43" i="58"/>
  <c r="S43" i="58"/>
  <c r="AE42" i="58"/>
  <c r="AC42" i="58"/>
  <c r="AA42" i="58"/>
  <c r="Y42" i="58"/>
  <c r="W42" i="58"/>
  <c r="U42" i="58"/>
  <c r="S42" i="58"/>
  <c r="AE41" i="58"/>
  <c r="AC41" i="58"/>
  <c r="AA41" i="58"/>
  <c r="Y41" i="58"/>
  <c r="W41" i="58"/>
  <c r="U41" i="58"/>
  <c r="S41" i="58"/>
  <c r="AE40" i="58"/>
  <c r="AC40" i="58"/>
  <c r="AA40" i="58"/>
  <c r="Y40" i="58"/>
  <c r="W40" i="58"/>
  <c r="U40" i="58"/>
  <c r="S40" i="58"/>
  <c r="AE39" i="58"/>
  <c r="AC39" i="58"/>
  <c r="AA39" i="58"/>
  <c r="Y39" i="58"/>
  <c r="W39" i="58"/>
  <c r="U39" i="58"/>
  <c r="S39" i="58"/>
  <c r="AE38" i="58"/>
  <c r="AC38" i="58"/>
  <c r="AA38" i="58"/>
  <c r="Y38" i="58"/>
  <c r="W38" i="58"/>
  <c r="U38" i="58"/>
  <c r="S38" i="58"/>
  <c r="AE37" i="58"/>
  <c r="AC37" i="58"/>
  <c r="AA37" i="58"/>
  <c r="Y37" i="58"/>
  <c r="W37" i="58"/>
  <c r="U37" i="58"/>
  <c r="S37" i="58"/>
  <c r="AE36" i="58"/>
  <c r="AC36" i="58"/>
  <c r="AA36" i="58"/>
  <c r="Y36" i="58"/>
  <c r="W36" i="58"/>
  <c r="U36" i="58"/>
  <c r="S36" i="58"/>
  <c r="AE35" i="58"/>
  <c r="AC35" i="58"/>
  <c r="AA35" i="58"/>
  <c r="Y35" i="58"/>
  <c r="W35" i="58"/>
  <c r="U35" i="58"/>
  <c r="S35" i="58"/>
  <c r="D34" i="58"/>
  <c r="E34" i="58" s="1"/>
  <c r="D33" i="58"/>
  <c r="E33" i="58" s="1"/>
  <c r="E32" i="58"/>
  <c r="D32" i="58"/>
  <c r="E31" i="58"/>
  <c r="D31" i="58"/>
  <c r="D30" i="58"/>
  <c r="E30" i="58" s="1"/>
  <c r="E29" i="58"/>
  <c r="D29" i="58"/>
  <c r="AD25" i="58"/>
  <c r="X25" i="58"/>
  <c r="Z24" i="58"/>
  <c r="X18" i="58"/>
  <c r="X26" i="58" s="1"/>
  <c r="R18" i="58"/>
  <c r="R26" i="58" s="1"/>
  <c r="AD17" i="58"/>
  <c r="AB17" i="58"/>
  <c r="AB25" i="58" s="1"/>
  <c r="Z17" i="58"/>
  <c r="Z25" i="58" s="1"/>
  <c r="X17" i="58"/>
  <c r="V17" i="58"/>
  <c r="V25" i="58" s="1"/>
  <c r="T17" i="58"/>
  <c r="T25" i="58" s="1"/>
  <c r="R17" i="58"/>
  <c r="R25" i="58" s="1"/>
  <c r="AD16" i="58"/>
  <c r="AD24" i="58" s="1"/>
  <c r="AB16" i="58"/>
  <c r="AB24" i="58" s="1"/>
  <c r="Z16" i="58"/>
  <c r="Z18" i="58" s="1"/>
  <c r="Z26" i="58" s="1"/>
  <c r="X16" i="58"/>
  <c r="X24" i="58" s="1"/>
  <c r="V16" i="58"/>
  <c r="V24" i="58" s="1"/>
  <c r="T16" i="58"/>
  <c r="R16" i="58"/>
  <c r="R24" i="58" s="1"/>
  <c r="P16" i="58"/>
  <c r="O16" i="58"/>
  <c r="N16" i="58"/>
  <c r="L16" i="58"/>
  <c r="K16" i="58"/>
  <c r="J16" i="58"/>
  <c r="H16" i="58"/>
  <c r="G16" i="58"/>
  <c r="F16" i="58"/>
  <c r="O15" i="58"/>
  <c r="AC14" i="58"/>
  <c r="Q14" i="58"/>
  <c r="AA14" i="58" s="1"/>
  <c r="M14" i="58"/>
  <c r="I14" i="58"/>
  <c r="O13" i="58"/>
  <c r="AC12" i="58"/>
  <c r="W12" i="58"/>
  <c r="S12" i="58"/>
  <c r="Q12" i="58"/>
  <c r="AA12" i="58" s="1"/>
  <c r="M12" i="58"/>
  <c r="I12" i="58"/>
  <c r="O11" i="58"/>
  <c r="AA10" i="58"/>
  <c r="Y10" i="58"/>
  <c r="W10" i="58"/>
  <c r="U10" i="58"/>
  <c r="Q10" i="58"/>
  <c r="AE10" i="58" s="1"/>
  <c r="M10" i="58"/>
  <c r="I10" i="58"/>
  <c r="O9" i="58"/>
  <c r="AE8" i="58"/>
  <c r="AC8" i="58"/>
  <c r="AA8" i="58"/>
  <c r="U8" i="58"/>
  <c r="S8" i="58"/>
  <c r="Q8" i="58"/>
  <c r="W8" i="58" s="1"/>
  <c r="M8" i="58"/>
  <c r="I8" i="58"/>
  <c r="O7" i="58"/>
  <c r="Q6" i="58"/>
  <c r="S6" i="58" s="1"/>
  <c r="M6" i="58"/>
  <c r="I6" i="58"/>
  <c r="C3" i="58"/>
  <c r="AE64" i="57"/>
  <c r="AC64" i="57"/>
  <c r="AA64" i="57"/>
  <c r="Y64" i="57"/>
  <c r="W64" i="57"/>
  <c r="U64" i="57"/>
  <c r="S64" i="57"/>
  <c r="AE63" i="57"/>
  <c r="AC63" i="57"/>
  <c r="AA63" i="57"/>
  <c r="Y63" i="57"/>
  <c r="W63" i="57"/>
  <c r="U63" i="57"/>
  <c r="S63" i="57"/>
  <c r="AE62" i="57"/>
  <c r="AC62" i="57"/>
  <c r="AA62" i="57"/>
  <c r="Y62" i="57"/>
  <c r="W62" i="57"/>
  <c r="U62" i="57"/>
  <c r="S62" i="57"/>
  <c r="AE61" i="57"/>
  <c r="AC61" i="57"/>
  <c r="AA61" i="57"/>
  <c r="Y61" i="57"/>
  <c r="W61" i="57"/>
  <c r="U61" i="57"/>
  <c r="S61" i="57"/>
  <c r="AE60" i="57"/>
  <c r="AC60" i="57"/>
  <c r="AA60" i="57"/>
  <c r="Y60" i="57"/>
  <c r="W60" i="57"/>
  <c r="U60" i="57"/>
  <c r="S60" i="57"/>
  <c r="AE59" i="57"/>
  <c r="AC59" i="57"/>
  <c r="AA59" i="57"/>
  <c r="Y59" i="57"/>
  <c r="W59" i="57"/>
  <c r="U59" i="57"/>
  <c r="S59" i="57"/>
  <c r="AE58" i="57"/>
  <c r="AC58" i="57"/>
  <c r="AA58" i="57"/>
  <c r="Y58" i="57"/>
  <c r="W58" i="57"/>
  <c r="U58" i="57"/>
  <c r="S58" i="57"/>
  <c r="AE57" i="57"/>
  <c r="AC57" i="57"/>
  <c r="AA57" i="57"/>
  <c r="Y57" i="57"/>
  <c r="W57" i="57"/>
  <c r="U57" i="57"/>
  <c r="S57" i="57"/>
  <c r="AE56" i="57"/>
  <c r="AC56" i="57"/>
  <c r="AA56" i="57"/>
  <c r="Y56" i="57"/>
  <c r="W56" i="57"/>
  <c r="U56" i="57"/>
  <c r="S56" i="57"/>
  <c r="AE55" i="57"/>
  <c r="AC55" i="57"/>
  <c r="AA55" i="57"/>
  <c r="Y55" i="57"/>
  <c r="W55" i="57"/>
  <c r="U55" i="57"/>
  <c r="S55" i="57"/>
  <c r="AE54" i="57"/>
  <c r="AC54" i="57"/>
  <c r="AA54" i="57"/>
  <c r="Y54" i="57"/>
  <c r="W54" i="57"/>
  <c r="U54" i="57"/>
  <c r="S54" i="57"/>
  <c r="AE53" i="57"/>
  <c r="AC53" i="57"/>
  <c r="AA53" i="57"/>
  <c r="Y53" i="57"/>
  <c r="W53" i="57"/>
  <c r="U53" i="57"/>
  <c r="S53" i="57"/>
  <c r="AE52" i="57"/>
  <c r="AC52" i="57"/>
  <c r="AA52" i="57"/>
  <c r="Y52" i="57"/>
  <c r="W52" i="57"/>
  <c r="U52" i="57"/>
  <c r="S52" i="57"/>
  <c r="AE51" i="57"/>
  <c r="AC51" i="57"/>
  <c r="AA51" i="57"/>
  <c r="Y51" i="57"/>
  <c r="W51" i="57"/>
  <c r="U51" i="57"/>
  <c r="S51" i="57"/>
  <c r="AE50" i="57"/>
  <c r="AC50" i="57"/>
  <c r="AA50" i="57"/>
  <c r="Y50" i="57"/>
  <c r="W50" i="57"/>
  <c r="U50" i="57"/>
  <c r="S50" i="57"/>
  <c r="AE49" i="57"/>
  <c r="AC49" i="57"/>
  <c r="AA49" i="57"/>
  <c r="Y49" i="57"/>
  <c r="W49" i="57"/>
  <c r="U49" i="57"/>
  <c r="S49" i="57"/>
  <c r="AE48" i="57"/>
  <c r="AC48" i="57"/>
  <c r="AA48" i="57"/>
  <c r="Y48" i="57"/>
  <c r="W48" i="57"/>
  <c r="U48" i="57"/>
  <c r="S48" i="57"/>
  <c r="AE47" i="57"/>
  <c r="AC47" i="57"/>
  <c r="AA47" i="57"/>
  <c r="Y47" i="57"/>
  <c r="W47" i="57"/>
  <c r="U47" i="57"/>
  <c r="S47" i="57"/>
  <c r="AE46" i="57"/>
  <c r="AC46" i="57"/>
  <c r="AA46" i="57"/>
  <c r="Y46" i="57"/>
  <c r="W46" i="57"/>
  <c r="U46" i="57"/>
  <c r="S46" i="57"/>
  <c r="AE45" i="57"/>
  <c r="AC45" i="57"/>
  <c r="AA45" i="57"/>
  <c r="Y45" i="57"/>
  <c r="W45" i="57"/>
  <c r="U45" i="57"/>
  <c r="S45" i="57"/>
  <c r="AE44" i="57"/>
  <c r="AC44" i="57"/>
  <c r="AA44" i="57"/>
  <c r="Y44" i="57"/>
  <c r="W44" i="57"/>
  <c r="U44" i="57"/>
  <c r="S44" i="57"/>
  <c r="AE43" i="57"/>
  <c r="AC43" i="57"/>
  <c r="AA43" i="57"/>
  <c r="Y43" i="57"/>
  <c r="W43" i="57"/>
  <c r="U43" i="57"/>
  <c r="S43" i="57"/>
  <c r="AE42" i="57"/>
  <c r="AC42" i="57"/>
  <c r="AA42" i="57"/>
  <c r="Y42" i="57"/>
  <c r="W42" i="57"/>
  <c r="U42" i="57"/>
  <c r="S42" i="57"/>
  <c r="AE41" i="57"/>
  <c r="AC41" i="57"/>
  <c r="AA41" i="57"/>
  <c r="Y41" i="57"/>
  <c r="W41" i="57"/>
  <c r="U41" i="57"/>
  <c r="S41" i="57"/>
  <c r="AE40" i="57"/>
  <c r="AC40" i="57"/>
  <c r="AA40" i="57"/>
  <c r="Y40" i="57"/>
  <c r="W40" i="57"/>
  <c r="U40" i="57"/>
  <c r="S40" i="57"/>
  <c r="AE39" i="57"/>
  <c r="AC39" i="57"/>
  <c r="AA39" i="57"/>
  <c r="Y39" i="57"/>
  <c r="W39" i="57"/>
  <c r="U39" i="57"/>
  <c r="S39" i="57"/>
  <c r="AE38" i="57"/>
  <c r="AC38" i="57"/>
  <c r="AA38" i="57"/>
  <c r="Y38" i="57"/>
  <c r="W38" i="57"/>
  <c r="U38" i="57"/>
  <c r="S38" i="57"/>
  <c r="AE37" i="57"/>
  <c r="AC37" i="57"/>
  <c r="AA37" i="57"/>
  <c r="Y37" i="57"/>
  <c r="W37" i="57"/>
  <c r="U37" i="57"/>
  <c r="S37" i="57"/>
  <c r="AE36" i="57"/>
  <c r="AC36" i="57"/>
  <c r="AA36" i="57"/>
  <c r="Y36" i="57"/>
  <c r="W36" i="57"/>
  <c r="U36" i="57"/>
  <c r="S36" i="57"/>
  <c r="AE35" i="57"/>
  <c r="AC35" i="57"/>
  <c r="AA35" i="57"/>
  <c r="Y35" i="57"/>
  <c r="W35" i="57"/>
  <c r="U35" i="57"/>
  <c r="S35" i="57"/>
  <c r="E34" i="57"/>
  <c r="D34" i="57"/>
  <c r="D33" i="57"/>
  <c r="E33" i="57" s="1"/>
  <c r="D32" i="57"/>
  <c r="E32" i="57" s="1"/>
  <c r="E31" i="57"/>
  <c r="D31" i="57"/>
  <c r="E30" i="57"/>
  <c r="D30" i="57"/>
  <c r="D29" i="57"/>
  <c r="E29" i="57" s="1"/>
  <c r="Z26" i="57"/>
  <c r="V25" i="57"/>
  <c r="R24" i="57"/>
  <c r="Z18" i="57"/>
  <c r="AD17" i="57"/>
  <c r="AD25" i="57" s="1"/>
  <c r="AB17" i="57"/>
  <c r="AB25" i="57" s="1"/>
  <c r="Z17" i="57"/>
  <c r="Z25" i="57" s="1"/>
  <c r="X17" i="57"/>
  <c r="X25" i="57" s="1"/>
  <c r="V17" i="57"/>
  <c r="T17" i="57"/>
  <c r="T25" i="57" s="1"/>
  <c r="R17" i="57"/>
  <c r="R25" i="57" s="1"/>
  <c r="AD16" i="57"/>
  <c r="AD18" i="57" s="1"/>
  <c r="AD26" i="57" s="1"/>
  <c r="AB16" i="57"/>
  <c r="AB24" i="57" s="1"/>
  <c r="Z16" i="57"/>
  <c r="Z24" i="57" s="1"/>
  <c r="X16" i="57"/>
  <c r="V16" i="57"/>
  <c r="T16" i="57"/>
  <c r="T24" i="57" s="1"/>
  <c r="R16" i="57"/>
  <c r="T18" i="57" s="1"/>
  <c r="T26" i="57" s="1"/>
  <c r="P16" i="57"/>
  <c r="O16" i="57"/>
  <c r="N16" i="57"/>
  <c r="L16" i="57"/>
  <c r="K16" i="57"/>
  <c r="J16" i="57"/>
  <c r="H16" i="57"/>
  <c r="G16" i="57"/>
  <c r="F16" i="57"/>
  <c r="O15" i="57"/>
  <c r="Y14" i="57"/>
  <c r="Q14" i="57"/>
  <c r="S14" i="57" s="1"/>
  <c r="M14" i="57"/>
  <c r="I14" i="57"/>
  <c r="O13" i="57"/>
  <c r="AE12" i="57"/>
  <c r="AC12" i="57"/>
  <c r="AA12" i="57"/>
  <c r="W12" i="57"/>
  <c r="U12" i="57"/>
  <c r="Q12" i="57"/>
  <c r="S12" i="57" s="1"/>
  <c r="M12" i="57"/>
  <c r="I12" i="57"/>
  <c r="O11" i="57"/>
  <c r="Q10" i="57"/>
  <c r="M10" i="57"/>
  <c r="I10" i="57"/>
  <c r="O9" i="57"/>
  <c r="W8" i="57"/>
  <c r="S8" i="57"/>
  <c r="Q8" i="57"/>
  <c r="U8" i="57" s="1"/>
  <c r="M8" i="57"/>
  <c r="I8" i="57"/>
  <c r="O7" i="57"/>
  <c r="AC6" i="57"/>
  <c r="Q6" i="57"/>
  <c r="AA6" i="57" s="1"/>
  <c r="M6" i="57"/>
  <c r="I6" i="57"/>
  <c r="I16" i="57" s="1"/>
  <c r="C3" i="57"/>
  <c r="AE64" i="56"/>
  <c r="AC64" i="56"/>
  <c r="AA64" i="56"/>
  <c r="Y64" i="56"/>
  <c r="W64" i="56"/>
  <c r="U64" i="56"/>
  <c r="S64" i="56"/>
  <c r="AE63" i="56"/>
  <c r="AC63" i="56"/>
  <c r="AA63" i="56"/>
  <c r="Y63" i="56"/>
  <c r="W63" i="56"/>
  <c r="U63" i="56"/>
  <c r="S63" i="56"/>
  <c r="AE62" i="56"/>
  <c r="AC62" i="56"/>
  <c r="AA62" i="56"/>
  <c r="Y62" i="56"/>
  <c r="W62" i="56"/>
  <c r="U62" i="56"/>
  <c r="S62" i="56"/>
  <c r="AE61" i="56"/>
  <c r="AC61" i="56"/>
  <c r="AA61" i="56"/>
  <c r="Y61" i="56"/>
  <c r="W61" i="56"/>
  <c r="U61" i="56"/>
  <c r="S61" i="56"/>
  <c r="AE60" i="56"/>
  <c r="AC60" i="56"/>
  <c r="AA60" i="56"/>
  <c r="Y60" i="56"/>
  <c r="W60" i="56"/>
  <c r="U60" i="56"/>
  <c r="S60" i="56"/>
  <c r="AE59" i="56"/>
  <c r="AC59" i="56"/>
  <c r="AA59" i="56"/>
  <c r="Y59" i="56"/>
  <c r="W59" i="56"/>
  <c r="U59" i="56"/>
  <c r="S59" i="56"/>
  <c r="AE58" i="56"/>
  <c r="AC58" i="56"/>
  <c r="AA58" i="56"/>
  <c r="Y58" i="56"/>
  <c r="W58" i="56"/>
  <c r="U58" i="56"/>
  <c r="S58" i="56"/>
  <c r="AE57" i="56"/>
  <c r="AC57" i="56"/>
  <c r="AA57" i="56"/>
  <c r="Y57" i="56"/>
  <c r="W57" i="56"/>
  <c r="U57" i="56"/>
  <c r="S57" i="56"/>
  <c r="AE56" i="56"/>
  <c r="AC56" i="56"/>
  <c r="AA56" i="56"/>
  <c r="Y56" i="56"/>
  <c r="W56" i="56"/>
  <c r="U56" i="56"/>
  <c r="S56" i="56"/>
  <c r="AE55" i="56"/>
  <c r="AC55" i="56"/>
  <c r="AA55" i="56"/>
  <c r="Y55" i="56"/>
  <c r="W55" i="56"/>
  <c r="U55" i="56"/>
  <c r="S55" i="56"/>
  <c r="AE54" i="56"/>
  <c r="AC54" i="56"/>
  <c r="AA54" i="56"/>
  <c r="Y54" i="56"/>
  <c r="W54" i="56"/>
  <c r="U54" i="56"/>
  <c r="S54" i="56"/>
  <c r="AE53" i="56"/>
  <c r="AC53" i="56"/>
  <c r="AA53" i="56"/>
  <c r="Y53" i="56"/>
  <c r="W53" i="56"/>
  <c r="U53" i="56"/>
  <c r="S53" i="56"/>
  <c r="AE52" i="56"/>
  <c r="AC52" i="56"/>
  <c r="AA52" i="56"/>
  <c r="Y52" i="56"/>
  <c r="W52" i="56"/>
  <c r="U52" i="56"/>
  <c r="S52" i="56"/>
  <c r="AE51" i="56"/>
  <c r="AC51" i="56"/>
  <c r="AA51" i="56"/>
  <c r="Y51" i="56"/>
  <c r="W51" i="56"/>
  <c r="U51" i="56"/>
  <c r="S51" i="56"/>
  <c r="AE50" i="56"/>
  <c r="AC50" i="56"/>
  <c r="AA50" i="56"/>
  <c r="Y50" i="56"/>
  <c r="W50" i="56"/>
  <c r="U50" i="56"/>
  <c r="S50" i="56"/>
  <c r="AE49" i="56"/>
  <c r="AC49" i="56"/>
  <c r="AA49" i="56"/>
  <c r="Y49" i="56"/>
  <c r="W49" i="56"/>
  <c r="U49" i="56"/>
  <c r="S49" i="56"/>
  <c r="AE48" i="56"/>
  <c r="AC48" i="56"/>
  <c r="AA48" i="56"/>
  <c r="Y48" i="56"/>
  <c r="W48" i="56"/>
  <c r="U48" i="56"/>
  <c r="S48" i="56"/>
  <c r="AE47" i="56"/>
  <c r="AC47" i="56"/>
  <c r="AA47" i="56"/>
  <c r="Y47" i="56"/>
  <c r="W47" i="56"/>
  <c r="U47" i="56"/>
  <c r="S47" i="56"/>
  <c r="AE46" i="56"/>
  <c r="AC46" i="56"/>
  <c r="AA46" i="56"/>
  <c r="Y46" i="56"/>
  <c r="W46" i="56"/>
  <c r="U46" i="56"/>
  <c r="S46" i="56"/>
  <c r="AE45" i="56"/>
  <c r="AC45" i="56"/>
  <c r="AA45" i="56"/>
  <c r="Y45" i="56"/>
  <c r="W45" i="56"/>
  <c r="U45" i="56"/>
  <c r="S45" i="56"/>
  <c r="AE44" i="56"/>
  <c r="AC44" i="56"/>
  <c r="AA44" i="56"/>
  <c r="Y44" i="56"/>
  <c r="W44" i="56"/>
  <c r="U44" i="56"/>
  <c r="S44" i="56"/>
  <c r="AE43" i="56"/>
  <c r="AC43" i="56"/>
  <c r="AA43" i="56"/>
  <c r="Y43" i="56"/>
  <c r="W43" i="56"/>
  <c r="U43" i="56"/>
  <c r="S43" i="56"/>
  <c r="AE42" i="56"/>
  <c r="AC42" i="56"/>
  <c r="AA42" i="56"/>
  <c r="Y42" i="56"/>
  <c r="W42" i="56"/>
  <c r="U42" i="56"/>
  <c r="S42" i="56"/>
  <c r="AE41" i="56"/>
  <c r="AC41" i="56"/>
  <c r="AA41" i="56"/>
  <c r="Y41" i="56"/>
  <c r="W41" i="56"/>
  <c r="U41" i="56"/>
  <c r="S41" i="56"/>
  <c r="AE40" i="56"/>
  <c r="AC40" i="56"/>
  <c r="AA40" i="56"/>
  <c r="Y40" i="56"/>
  <c r="W40" i="56"/>
  <c r="U40" i="56"/>
  <c r="S40" i="56"/>
  <c r="AE39" i="56"/>
  <c r="AC39" i="56"/>
  <c r="AA39" i="56"/>
  <c r="Y39" i="56"/>
  <c r="W39" i="56"/>
  <c r="U39" i="56"/>
  <c r="S39" i="56"/>
  <c r="AE38" i="56"/>
  <c r="AC38" i="56"/>
  <c r="AA38" i="56"/>
  <c r="Y38" i="56"/>
  <c r="W38" i="56"/>
  <c r="U38" i="56"/>
  <c r="S38" i="56"/>
  <c r="AE37" i="56"/>
  <c r="AC37" i="56"/>
  <c r="AA37" i="56"/>
  <c r="Y37" i="56"/>
  <c r="W37" i="56"/>
  <c r="U37" i="56"/>
  <c r="S37" i="56"/>
  <c r="AE36" i="56"/>
  <c r="AC36" i="56"/>
  <c r="AA36" i="56"/>
  <c r="Y36" i="56"/>
  <c r="W36" i="56"/>
  <c r="U36" i="56"/>
  <c r="S36" i="56"/>
  <c r="AE35" i="56"/>
  <c r="AC35" i="56"/>
  <c r="AA35" i="56"/>
  <c r="Y35" i="56"/>
  <c r="W35" i="56"/>
  <c r="U35" i="56"/>
  <c r="S35" i="56"/>
  <c r="D34" i="56"/>
  <c r="E34" i="56" s="1"/>
  <c r="E33" i="56"/>
  <c r="D33" i="56"/>
  <c r="E32" i="56"/>
  <c r="D32" i="56"/>
  <c r="E31" i="56"/>
  <c r="D31" i="56"/>
  <c r="D30" i="56"/>
  <c r="E30" i="56" s="1"/>
  <c r="D29" i="56"/>
  <c r="E29" i="56" s="1"/>
  <c r="AB25" i="56"/>
  <c r="X25" i="56"/>
  <c r="AB18" i="56"/>
  <c r="AB26" i="56" s="1"/>
  <c r="AD17" i="56"/>
  <c r="AD25" i="56" s="1"/>
  <c r="AB17" i="56"/>
  <c r="Z17" i="56"/>
  <c r="Z25" i="56" s="1"/>
  <c r="X17" i="56"/>
  <c r="V17" i="56"/>
  <c r="V25" i="56" s="1"/>
  <c r="T17" i="56"/>
  <c r="T25" i="56" s="1"/>
  <c r="R17" i="56"/>
  <c r="R25" i="56" s="1"/>
  <c r="AD16" i="56"/>
  <c r="AD24" i="56" s="1"/>
  <c r="AB16" i="56"/>
  <c r="AB24" i="56" s="1"/>
  <c r="Z16" i="56"/>
  <c r="Z18" i="56" s="1"/>
  <c r="Z26" i="56" s="1"/>
  <c r="X16" i="56"/>
  <c r="X24" i="56" s="1"/>
  <c r="V16" i="56"/>
  <c r="V24" i="56" s="1"/>
  <c r="T16" i="56"/>
  <c r="R16" i="56"/>
  <c r="R18" i="56" s="1"/>
  <c r="R26" i="56" s="1"/>
  <c r="P16" i="56"/>
  <c r="O16" i="56"/>
  <c r="N16" i="56"/>
  <c r="L16" i="56"/>
  <c r="K16" i="56"/>
  <c r="J16" i="56"/>
  <c r="H16" i="56"/>
  <c r="G16" i="56"/>
  <c r="F16" i="56"/>
  <c r="O15" i="56"/>
  <c r="AC14" i="56"/>
  <c r="Q14" i="56"/>
  <c r="AA14" i="56" s="1"/>
  <c r="M14" i="56"/>
  <c r="I14" i="56"/>
  <c r="O13" i="56"/>
  <c r="W12" i="56"/>
  <c r="S12" i="56"/>
  <c r="Q12" i="56"/>
  <c r="AC12" i="56" s="1"/>
  <c r="M12" i="56"/>
  <c r="I12" i="56"/>
  <c r="O11" i="56"/>
  <c r="AC10" i="56"/>
  <c r="Y10" i="56"/>
  <c r="W10" i="56"/>
  <c r="U10" i="56"/>
  <c r="S10" i="56"/>
  <c r="Q10" i="56"/>
  <c r="AE10" i="56" s="1"/>
  <c r="M10" i="56"/>
  <c r="I10" i="56"/>
  <c r="I16" i="56" s="1"/>
  <c r="O9" i="56"/>
  <c r="AE8" i="56"/>
  <c r="AC8" i="56"/>
  <c r="AA8" i="56"/>
  <c r="S8" i="56"/>
  <c r="Q8" i="56"/>
  <c r="W8" i="56" s="1"/>
  <c r="M8" i="56"/>
  <c r="M16" i="56" s="1"/>
  <c r="I8" i="56"/>
  <c r="O7" i="56"/>
  <c r="Y6" i="56"/>
  <c r="U6" i="56"/>
  <c r="Q6" i="56"/>
  <c r="S6" i="56" s="1"/>
  <c r="M6" i="56"/>
  <c r="I6" i="56"/>
  <c r="C3" i="56"/>
  <c r="AE64" i="55"/>
  <c r="AC64" i="55"/>
  <c r="AA64" i="55"/>
  <c r="Y64" i="55"/>
  <c r="W64" i="55"/>
  <c r="U64" i="55"/>
  <c r="S64" i="55"/>
  <c r="AE63" i="55"/>
  <c r="AC63" i="55"/>
  <c r="AA63" i="55"/>
  <c r="Y63" i="55"/>
  <c r="W63" i="55"/>
  <c r="U63" i="55"/>
  <c r="S63" i="55"/>
  <c r="AE62" i="55"/>
  <c r="AC62" i="55"/>
  <c r="AA62" i="55"/>
  <c r="Y62" i="55"/>
  <c r="W62" i="55"/>
  <c r="U62" i="55"/>
  <c r="S62" i="55"/>
  <c r="AE61" i="55"/>
  <c r="AC61" i="55"/>
  <c r="AA61" i="55"/>
  <c r="Y61" i="55"/>
  <c r="W61" i="55"/>
  <c r="U61" i="55"/>
  <c r="S61" i="55"/>
  <c r="AE60" i="55"/>
  <c r="AC60" i="55"/>
  <c r="AA60" i="55"/>
  <c r="Y60" i="55"/>
  <c r="W60" i="55"/>
  <c r="U60" i="55"/>
  <c r="S60" i="55"/>
  <c r="AE59" i="55"/>
  <c r="AC59" i="55"/>
  <c r="AA59" i="55"/>
  <c r="Y59" i="55"/>
  <c r="W59" i="55"/>
  <c r="U59" i="55"/>
  <c r="S59" i="55"/>
  <c r="AE58" i="55"/>
  <c r="AC58" i="55"/>
  <c r="AA58" i="55"/>
  <c r="Y58" i="55"/>
  <c r="W58" i="55"/>
  <c r="U58" i="55"/>
  <c r="S58" i="55"/>
  <c r="AE57" i="55"/>
  <c r="AC57" i="55"/>
  <c r="AA57" i="55"/>
  <c r="Y57" i="55"/>
  <c r="W57" i="55"/>
  <c r="U57" i="55"/>
  <c r="S57" i="55"/>
  <c r="AE56" i="55"/>
  <c r="AC56" i="55"/>
  <c r="AA56" i="55"/>
  <c r="Y56" i="55"/>
  <c r="W56" i="55"/>
  <c r="U56" i="55"/>
  <c r="S56" i="55"/>
  <c r="AE55" i="55"/>
  <c r="AC55" i="55"/>
  <c r="AA55" i="55"/>
  <c r="Y55" i="55"/>
  <c r="W55" i="55"/>
  <c r="U55" i="55"/>
  <c r="S55" i="55"/>
  <c r="AE54" i="55"/>
  <c r="AC54" i="55"/>
  <c r="AA54" i="55"/>
  <c r="Y54" i="55"/>
  <c r="W54" i="55"/>
  <c r="U54" i="55"/>
  <c r="S54" i="55"/>
  <c r="AE53" i="55"/>
  <c r="AC53" i="55"/>
  <c r="AA53" i="55"/>
  <c r="Y53" i="55"/>
  <c r="W53" i="55"/>
  <c r="U53" i="55"/>
  <c r="S53" i="55"/>
  <c r="AE52" i="55"/>
  <c r="AC52" i="55"/>
  <c r="AA52" i="55"/>
  <c r="Y52" i="55"/>
  <c r="W52" i="55"/>
  <c r="U52" i="55"/>
  <c r="S52" i="55"/>
  <c r="AE51" i="55"/>
  <c r="AC51" i="55"/>
  <c r="AA51" i="55"/>
  <c r="Y51" i="55"/>
  <c r="W51" i="55"/>
  <c r="U51" i="55"/>
  <c r="S51" i="55"/>
  <c r="AE50" i="55"/>
  <c r="AC50" i="55"/>
  <c r="AA50" i="55"/>
  <c r="Y50" i="55"/>
  <c r="W50" i="55"/>
  <c r="U50" i="55"/>
  <c r="S50" i="55"/>
  <c r="AE49" i="55"/>
  <c r="AC49" i="55"/>
  <c r="AA49" i="55"/>
  <c r="Y49" i="55"/>
  <c r="W49" i="55"/>
  <c r="U49" i="55"/>
  <c r="S49" i="55"/>
  <c r="AE48" i="55"/>
  <c r="AC48" i="55"/>
  <c r="AA48" i="55"/>
  <c r="Y48" i="55"/>
  <c r="W48" i="55"/>
  <c r="U48" i="55"/>
  <c r="S48" i="55"/>
  <c r="AE47" i="55"/>
  <c r="AC47" i="55"/>
  <c r="AA47" i="55"/>
  <c r="Y47" i="55"/>
  <c r="W47" i="55"/>
  <c r="U47" i="55"/>
  <c r="S47" i="55"/>
  <c r="AE46" i="55"/>
  <c r="AC46" i="55"/>
  <c r="AA46" i="55"/>
  <c r="Y46" i="55"/>
  <c r="W46" i="55"/>
  <c r="U46" i="55"/>
  <c r="S46" i="55"/>
  <c r="AE45" i="55"/>
  <c r="AC45" i="55"/>
  <c r="AA45" i="55"/>
  <c r="Y45" i="55"/>
  <c r="W45" i="55"/>
  <c r="U45" i="55"/>
  <c r="S45" i="55"/>
  <c r="AE44" i="55"/>
  <c r="AC44" i="55"/>
  <c r="AA44" i="55"/>
  <c r="Y44" i="55"/>
  <c r="W44" i="55"/>
  <c r="U44" i="55"/>
  <c r="S44" i="55"/>
  <c r="AE43" i="55"/>
  <c r="AC43" i="55"/>
  <c r="AA43" i="55"/>
  <c r="Y43" i="55"/>
  <c r="W43" i="55"/>
  <c r="U43" i="55"/>
  <c r="S43" i="55"/>
  <c r="AE42" i="55"/>
  <c r="AC42" i="55"/>
  <c r="AA42" i="55"/>
  <c r="Y42" i="55"/>
  <c r="W42" i="55"/>
  <c r="U42" i="55"/>
  <c r="S42" i="55"/>
  <c r="AE41" i="55"/>
  <c r="AC41" i="55"/>
  <c r="AA41" i="55"/>
  <c r="Y41" i="55"/>
  <c r="W41" i="55"/>
  <c r="U41" i="55"/>
  <c r="S41" i="55"/>
  <c r="AE40" i="55"/>
  <c r="AC40" i="55"/>
  <c r="AA40" i="55"/>
  <c r="Y40" i="55"/>
  <c r="W40" i="55"/>
  <c r="U40" i="55"/>
  <c r="S40" i="55"/>
  <c r="AE39" i="55"/>
  <c r="AC39" i="55"/>
  <c r="AA39" i="55"/>
  <c r="Y39" i="55"/>
  <c r="W39" i="55"/>
  <c r="U39" i="55"/>
  <c r="S39" i="55"/>
  <c r="AE38" i="55"/>
  <c r="AC38" i="55"/>
  <c r="AA38" i="55"/>
  <c r="Y38" i="55"/>
  <c r="W38" i="55"/>
  <c r="U38" i="55"/>
  <c r="S38" i="55"/>
  <c r="AE37" i="55"/>
  <c r="AC37" i="55"/>
  <c r="AA37" i="55"/>
  <c r="Y37" i="55"/>
  <c r="W37" i="55"/>
  <c r="U37" i="55"/>
  <c r="S37" i="55"/>
  <c r="AE36" i="55"/>
  <c r="AC36" i="55"/>
  <c r="AA36" i="55"/>
  <c r="Y36" i="55"/>
  <c r="W36" i="55"/>
  <c r="U36" i="55"/>
  <c r="S36" i="55"/>
  <c r="AE35" i="55"/>
  <c r="AC35" i="55"/>
  <c r="AA35" i="55"/>
  <c r="Y35" i="55"/>
  <c r="W35" i="55"/>
  <c r="U35" i="55"/>
  <c r="S35" i="55"/>
  <c r="E34" i="55"/>
  <c r="D34" i="55"/>
  <c r="D33" i="55"/>
  <c r="E33" i="55" s="1"/>
  <c r="D32" i="55"/>
  <c r="E32" i="55" s="1"/>
  <c r="E31" i="55"/>
  <c r="D31" i="55"/>
  <c r="E30" i="55"/>
  <c r="D30" i="55"/>
  <c r="E29" i="55"/>
  <c r="D29" i="55"/>
  <c r="X25" i="55"/>
  <c r="T25" i="55"/>
  <c r="AD24" i="55"/>
  <c r="V24" i="55"/>
  <c r="T18" i="55"/>
  <c r="T26" i="55" s="1"/>
  <c r="AD17" i="55"/>
  <c r="AD25" i="55" s="1"/>
  <c r="AB17" i="55"/>
  <c r="AB25" i="55" s="1"/>
  <c r="Z17" i="55"/>
  <c r="Z25" i="55" s="1"/>
  <c r="X17" i="55"/>
  <c r="V17" i="55"/>
  <c r="V25" i="55" s="1"/>
  <c r="T17" i="55"/>
  <c r="R17" i="55"/>
  <c r="R25" i="55" s="1"/>
  <c r="AD16" i="55"/>
  <c r="AB16" i="55"/>
  <c r="Z16" i="55"/>
  <c r="Z24" i="55" s="1"/>
  <c r="X16" i="55"/>
  <c r="X18" i="55" s="1"/>
  <c r="X26" i="55" s="1"/>
  <c r="V16" i="55"/>
  <c r="T16" i="55"/>
  <c r="T24" i="55" s="1"/>
  <c r="R16" i="55"/>
  <c r="R24" i="55" s="1"/>
  <c r="P16" i="55"/>
  <c r="O16" i="55"/>
  <c r="N16" i="55"/>
  <c r="L16" i="55"/>
  <c r="K16" i="55"/>
  <c r="J16" i="55"/>
  <c r="H16" i="55"/>
  <c r="G16" i="55"/>
  <c r="F16" i="55"/>
  <c r="O15" i="55"/>
  <c r="Y14" i="55"/>
  <c r="U14" i="55"/>
  <c r="Q14" i="55"/>
  <c r="S14" i="55" s="1"/>
  <c r="M14" i="55"/>
  <c r="I14" i="55"/>
  <c r="O13" i="55"/>
  <c r="AE12" i="55"/>
  <c r="AA12" i="55"/>
  <c r="Y12" i="55"/>
  <c r="W12" i="55"/>
  <c r="Q12" i="55"/>
  <c r="S12" i="55" s="1"/>
  <c r="M12" i="55"/>
  <c r="I12" i="55"/>
  <c r="O11" i="55"/>
  <c r="Q10" i="55"/>
  <c r="M10" i="55"/>
  <c r="I10" i="55"/>
  <c r="O9" i="55"/>
  <c r="U8" i="55"/>
  <c r="Q8" i="55"/>
  <c r="M8" i="55"/>
  <c r="I8" i="55"/>
  <c r="O7" i="55"/>
  <c r="AC6" i="55"/>
  <c r="Q6" i="55"/>
  <c r="AA6" i="55" s="1"/>
  <c r="M6" i="55"/>
  <c r="I6" i="55"/>
  <c r="C3" i="55"/>
  <c r="AE64" i="54"/>
  <c r="AC64" i="54"/>
  <c r="AA64" i="54"/>
  <c r="Y64" i="54"/>
  <c r="W64" i="54"/>
  <c r="U64" i="54"/>
  <c r="S64" i="54"/>
  <c r="AE63" i="54"/>
  <c r="AC63" i="54"/>
  <c r="AA63" i="54"/>
  <c r="Y63" i="54"/>
  <c r="W63" i="54"/>
  <c r="U63" i="54"/>
  <c r="S63" i="54"/>
  <c r="AE62" i="54"/>
  <c r="AC62" i="54"/>
  <c r="AA62" i="54"/>
  <c r="Y62" i="54"/>
  <c r="W62" i="54"/>
  <c r="U62" i="54"/>
  <c r="S62" i="54"/>
  <c r="AE61" i="54"/>
  <c r="AC61" i="54"/>
  <c r="AA61" i="54"/>
  <c r="Y61" i="54"/>
  <c r="W61" i="54"/>
  <c r="U61" i="54"/>
  <c r="S61" i="54"/>
  <c r="AE60" i="54"/>
  <c r="AC60" i="54"/>
  <c r="AA60" i="54"/>
  <c r="Y60" i="54"/>
  <c r="W60" i="54"/>
  <c r="U60" i="54"/>
  <c r="S60" i="54"/>
  <c r="AE59" i="54"/>
  <c r="AC59" i="54"/>
  <c r="AA59" i="54"/>
  <c r="Y59" i="54"/>
  <c r="W59" i="54"/>
  <c r="U59" i="54"/>
  <c r="S59" i="54"/>
  <c r="AE58" i="54"/>
  <c r="AC58" i="54"/>
  <c r="AA58" i="54"/>
  <c r="Y58" i="54"/>
  <c r="W58" i="54"/>
  <c r="U58" i="54"/>
  <c r="S58" i="54"/>
  <c r="AE57" i="54"/>
  <c r="AC57" i="54"/>
  <c r="AA57" i="54"/>
  <c r="Y57" i="54"/>
  <c r="W57" i="54"/>
  <c r="U57" i="54"/>
  <c r="S57" i="54"/>
  <c r="AE56" i="54"/>
  <c r="AC56" i="54"/>
  <c r="AA56" i="54"/>
  <c r="Y56" i="54"/>
  <c r="W56" i="54"/>
  <c r="U56" i="54"/>
  <c r="S56" i="54"/>
  <c r="AE55" i="54"/>
  <c r="AC55" i="54"/>
  <c r="AA55" i="54"/>
  <c r="Y55" i="54"/>
  <c r="W55" i="54"/>
  <c r="U55" i="54"/>
  <c r="S55" i="54"/>
  <c r="AE54" i="54"/>
  <c r="AC54" i="54"/>
  <c r="AA54" i="54"/>
  <c r="Y54" i="54"/>
  <c r="W54" i="54"/>
  <c r="U54" i="54"/>
  <c r="S54" i="54"/>
  <c r="AE53" i="54"/>
  <c r="AC53" i="54"/>
  <c r="AA53" i="54"/>
  <c r="Y53" i="54"/>
  <c r="W53" i="54"/>
  <c r="U53" i="54"/>
  <c r="S53" i="54"/>
  <c r="AE52" i="54"/>
  <c r="AC52" i="54"/>
  <c r="AA52" i="54"/>
  <c r="Y52" i="54"/>
  <c r="W52" i="54"/>
  <c r="U52" i="54"/>
  <c r="S52" i="54"/>
  <c r="AE51" i="54"/>
  <c r="AC51" i="54"/>
  <c r="AA51" i="54"/>
  <c r="Y51" i="54"/>
  <c r="W51" i="54"/>
  <c r="U51" i="54"/>
  <c r="S51" i="54"/>
  <c r="AE50" i="54"/>
  <c r="AC50" i="54"/>
  <c r="AA50" i="54"/>
  <c r="Y50" i="54"/>
  <c r="W50" i="54"/>
  <c r="U50" i="54"/>
  <c r="S50" i="54"/>
  <c r="AE49" i="54"/>
  <c r="AC49" i="54"/>
  <c r="AA49" i="54"/>
  <c r="Y49" i="54"/>
  <c r="W49" i="54"/>
  <c r="U49" i="54"/>
  <c r="S49" i="54"/>
  <c r="AE48" i="54"/>
  <c r="AC48" i="54"/>
  <c r="AA48" i="54"/>
  <c r="Y48" i="54"/>
  <c r="W48" i="54"/>
  <c r="U48" i="54"/>
  <c r="S48" i="54"/>
  <c r="AE47" i="54"/>
  <c r="AC47" i="54"/>
  <c r="AA47" i="54"/>
  <c r="Y47" i="54"/>
  <c r="W47" i="54"/>
  <c r="U47" i="54"/>
  <c r="S47" i="54"/>
  <c r="AE46" i="54"/>
  <c r="AC46" i="54"/>
  <c r="AA46" i="54"/>
  <c r="Y46" i="54"/>
  <c r="W46" i="54"/>
  <c r="U46" i="54"/>
  <c r="S46" i="54"/>
  <c r="AE45" i="54"/>
  <c r="AC45" i="54"/>
  <c r="AA45" i="54"/>
  <c r="Y45" i="54"/>
  <c r="W45" i="54"/>
  <c r="U45" i="54"/>
  <c r="S45" i="54"/>
  <c r="AE44" i="54"/>
  <c r="AC44" i="54"/>
  <c r="AA44" i="54"/>
  <c r="Y44" i="54"/>
  <c r="W44" i="54"/>
  <c r="U44" i="54"/>
  <c r="S44" i="54"/>
  <c r="AE43" i="54"/>
  <c r="AC43" i="54"/>
  <c r="AA43" i="54"/>
  <c r="Y43" i="54"/>
  <c r="W43" i="54"/>
  <c r="U43" i="54"/>
  <c r="S43" i="54"/>
  <c r="AE42" i="54"/>
  <c r="AC42" i="54"/>
  <c r="AA42" i="54"/>
  <c r="Y42" i="54"/>
  <c r="W42" i="54"/>
  <c r="U42" i="54"/>
  <c r="S42" i="54"/>
  <c r="AE41" i="54"/>
  <c r="AC41" i="54"/>
  <c r="AA41" i="54"/>
  <c r="Y41" i="54"/>
  <c r="W41" i="54"/>
  <c r="U41" i="54"/>
  <c r="S41" i="54"/>
  <c r="AE40" i="54"/>
  <c r="AC40" i="54"/>
  <c r="AA40" i="54"/>
  <c r="Y40" i="54"/>
  <c r="W40" i="54"/>
  <c r="U40" i="54"/>
  <c r="S40" i="54"/>
  <c r="AE39" i="54"/>
  <c r="AC39" i="54"/>
  <c r="AA39" i="54"/>
  <c r="Y39" i="54"/>
  <c r="W39" i="54"/>
  <c r="U39" i="54"/>
  <c r="S39" i="54"/>
  <c r="AE38" i="54"/>
  <c r="AC38" i="54"/>
  <c r="AA38" i="54"/>
  <c r="Y38" i="54"/>
  <c r="W38" i="54"/>
  <c r="U38" i="54"/>
  <c r="S38" i="54"/>
  <c r="AE37" i="54"/>
  <c r="AC37" i="54"/>
  <c r="AA37" i="54"/>
  <c r="Y37" i="54"/>
  <c r="W37" i="54"/>
  <c r="U37" i="54"/>
  <c r="S37" i="54"/>
  <c r="AE36" i="54"/>
  <c r="AC36" i="54"/>
  <c r="AA36" i="54"/>
  <c r="Y36" i="54"/>
  <c r="W36" i="54"/>
  <c r="U36" i="54"/>
  <c r="S36" i="54"/>
  <c r="AE35" i="54"/>
  <c r="AC35" i="54"/>
  <c r="AA35" i="54"/>
  <c r="Y35" i="54"/>
  <c r="W35" i="54"/>
  <c r="U35" i="54"/>
  <c r="S35" i="54"/>
  <c r="D34" i="54"/>
  <c r="E34" i="54" s="1"/>
  <c r="D33" i="54"/>
  <c r="E33" i="54" s="1"/>
  <c r="E32" i="54"/>
  <c r="D32" i="54"/>
  <c r="E31" i="54"/>
  <c r="D31" i="54"/>
  <c r="D30" i="54"/>
  <c r="E30" i="54" s="1"/>
  <c r="E29" i="54"/>
  <c r="D29" i="54"/>
  <c r="AB25" i="54"/>
  <c r="AD24" i="54"/>
  <c r="V24" i="54"/>
  <c r="V18" i="54"/>
  <c r="V26" i="54" s="1"/>
  <c r="AD17" i="54"/>
  <c r="AD25" i="54" s="1"/>
  <c r="AB17" i="54"/>
  <c r="Z17" i="54"/>
  <c r="Z25" i="54" s="1"/>
  <c r="X17" i="54"/>
  <c r="X25" i="54" s="1"/>
  <c r="V17" i="54"/>
  <c r="V25" i="54" s="1"/>
  <c r="T17" i="54"/>
  <c r="T25" i="54" s="1"/>
  <c r="R17" i="54"/>
  <c r="R25" i="54" s="1"/>
  <c r="AD16" i="54"/>
  <c r="AB16" i="54"/>
  <c r="Z16" i="54"/>
  <c r="Z18" i="54" s="1"/>
  <c r="Z26" i="54" s="1"/>
  <c r="X16" i="54"/>
  <c r="X24" i="54" s="1"/>
  <c r="V16" i="54"/>
  <c r="T16" i="54"/>
  <c r="T24" i="54" s="1"/>
  <c r="R16" i="54"/>
  <c r="R18" i="54" s="1"/>
  <c r="R26" i="54" s="1"/>
  <c r="P16" i="54"/>
  <c r="O16" i="54"/>
  <c r="N16" i="54"/>
  <c r="L16" i="54"/>
  <c r="K16" i="54"/>
  <c r="J16" i="54"/>
  <c r="H16" i="54"/>
  <c r="G16" i="54"/>
  <c r="F16" i="54"/>
  <c r="O15" i="54"/>
  <c r="AC14" i="54"/>
  <c r="Q14" i="54"/>
  <c r="AA14" i="54" s="1"/>
  <c r="M14" i="54"/>
  <c r="I14" i="54"/>
  <c r="O13" i="54"/>
  <c r="W12" i="54"/>
  <c r="Q12" i="54"/>
  <c r="M12" i="54"/>
  <c r="I12" i="54"/>
  <c r="O11" i="54"/>
  <c r="AC10" i="54"/>
  <c r="AA10" i="54"/>
  <c r="Y10" i="54"/>
  <c r="W10" i="54"/>
  <c r="U10" i="54"/>
  <c r="S10" i="54"/>
  <c r="Q10" i="54"/>
  <c r="AE10" i="54" s="1"/>
  <c r="M10" i="54"/>
  <c r="I10" i="54"/>
  <c r="O9" i="54"/>
  <c r="AE8" i="54"/>
  <c r="AC8" i="54"/>
  <c r="AA8" i="54"/>
  <c r="Y8" i="54"/>
  <c r="S8" i="54"/>
  <c r="Q8" i="54"/>
  <c r="W8" i="54" s="1"/>
  <c r="M8" i="54"/>
  <c r="I8" i="54"/>
  <c r="O7" i="54"/>
  <c r="Y6" i="54"/>
  <c r="U6" i="54"/>
  <c r="Q6" i="54"/>
  <c r="S6" i="54" s="1"/>
  <c r="M6" i="54"/>
  <c r="I6" i="54"/>
  <c r="C3" i="54"/>
  <c r="AE64" i="53"/>
  <c r="AC64" i="53"/>
  <c r="AA64" i="53"/>
  <c r="Y64" i="53"/>
  <c r="W64" i="53"/>
  <c r="U64" i="53"/>
  <c r="S64" i="53"/>
  <c r="AE63" i="53"/>
  <c r="AC63" i="53"/>
  <c r="AA63" i="53"/>
  <c r="Y63" i="53"/>
  <c r="W63" i="53"/>
  <c r="U63" i="53"/>
  <c r="S63" i="53"/>
  <c r="AE62" i="53"/>
  <c r="AC62" i="53"/>
  <c r="AA62" i="53"/>
  <c r="Y62" i="53"/>
  <c r="W62" i="53"/>
  <c r="U62" i="53"/>
  <c r="S62" i="53"/>
  <c r="AE61" i="53"/>
  <c r="AC61" i="53"/>
  <c r="AA61" i="53"/>
  <c r="Y61" i="53"/>
  <c r="W61" i="53"/>
  <c r="U61" i="53"/>
  <c r="S61" i="53"/>
  <c r="AE60" i="53"/>
  <c r="AC60" i="53"/>
  <c r="AA60" i="53"/>
  <c r="Y60" i="53"/>
  <c r="W60" i="53"/>
  <c r="U60" i="53"/>
  <c r="S60" i="53"/>
  <c r="AE59" i="53"/>
  <c r="AC59" i="53"/>
  <c r="AA59" i="53"/>
  <c r="Y59" i="53"/>
  <c r="W59" i="53"/>
  <c r="U59" i="53"/>
  <c r="S59" i="53"/>
  <c r="AE58" i="53"/>
  <c r="AC58" i="53"/>
  <c r="AA58" i="53"/>
  <c r="Y58" i="53"/>
  <c r="W58" i="53"/>
  <c r="U58" i="53"/>
  <c r="S58" i="53"/>
  <c r="AE57" i="53"/>
  <c r="AC57" i="53"/>
  <c r="AA57" i="53"/>
  <c r="Y57" i="53"/>
  <c r="W57" i="53"/>
  <c r="U57" i="53"/>
  <c r="S57" i="53"/>
  <c r="AE56" i="53"/>
  <c r="AC56" i="53"/>
  <c r="AA56" i="53"/>
  <c r="Y56" i="53"/>
  <c r="W56" i="53"/>
  <c r="U56" i="53"/>
  <c r="S56" i="53"/>
  <c r="AE55" i="53"/>
  <c r="AC55" i="53"/>
  <c r="AA55" i="53"/>
  <c r="Y55" i="53"/>
  <c r="W55" i="53"/>
  <c r="U55" i="53"/>
  <c r="S55" i="53"/>
  <c r="AE54" i="53"/>
  <c r="AC54" i="53"/>
  <c r="AA54" i="53"/>
  <c r="Y54" i="53"/>
  <c r="W54" i="53"/>
  <c r="U54" i="53"/>
  <c r="S54" i="53"/>
  <c r="AE53" i="53"/>
  <c r="AC53" i="53"/>
  <c r="AA53" i="53"/>
  <c r="Y53" i="53"/>
  <c r="W53" i="53"/>
  <c r="U53" i="53"/>
  <c r="S53" i="53"/>
  <c r="AE52" i="53"/>
  <c r="AC52" i="53"/>
  <c r="AA52" i="53"/>
  <c r="Y52" i="53"/>
  <c r="W52" i="53"/>
  <c r="U52" i="53"/>
  <c r="S52" i="53"/>
  <c r="AE51" i="53"/>
  <c r="AC51" i="53"/>
  <c r="AA51" i="53"/>
  <c r="Y51" i="53"/>
  <c r="W51" i="53"/>
  <c r="U51" i="53"/>
  <c r="S51" i="53"/>
  <c r="AE50" i="53"/>
  <c r="AC50" i="53"/>
  <c r="AA50" i="53"/>
  <c r="Y50" i="53"/>
  <c r="W50" i="53"/>
  <c r="U50" i="53"/>
  <c r="S50" i="53"/>
  <c r="AE49" i="53"/>
  <c r="AC49" i="53"/>
  <c r="AA49" i="53"/>
  <c r="Y49" i="53"/>
  <c r="W49" i="53"/>
  <c r="U49" i="53"/>
  <c r="S49" i="53"/>
  <c r="AE48" i="53"/>
  <c r="AC48" i="53"/>
  <c r="AA48" i="53"/>
  <c r="Y48" i="53"/>
  <c r="W48" i="53"/>
  <c r="U48" i="53"/>
  <c r="S48" i="53"/>
  <c r="AE47" i="53"/>
  <c r="AC47" i="53"/>
  <c r="AA47" i="53"/>
  <c r="Y47" i="53"/>
  <c r="W47" i="53"/>
  <c r="U47" i="53"/>
  <c r="S47" i="53"/>
  <c r="AE46" i="53"/>
  <c r="AC46" i="53"/>
  <c r="AA46" i="53"/>
  <c r="Y46" i="53"/>
  <c r="W46" i="53"/>
  <c r="U46" i="53"/>
  <c r="S46" i="53"/>
  <c r="AE45" i="53"/>
  <c r="AC45" i="53"/>
  <c r="AA45" i="53"/>
  <c r="Y45" i="53"/>
  <c r="W45" i="53"/>
  <c r="U45" i="53"/>
  <c r="S45" i="53"/>
  <c r="AE44" i="53"/>
  <c r="AC44" i="53"/>
  <c r="AA44" i="53"/>
  <c r="Y44" i="53"/>
  <c r="W44" i="53"/>
  <c r="U44" i="53"/>
  <c r="S44" i="53"/>
  <c r="AE43" i="53"/>
  <c r="AC43" i="53"/>
  <c r="AA43" i="53"/>
  <c r="Y43" i="53"/>
  <c r="W43" i="53"/>
  <c r="U43" i="53"/>
  <c r="S43" i="53"/>
  <c r="AE42" i="53"/>
  <c r="AC42" i="53"/>
  <c r="AA42" i="53"/>
  <c r="Y42" i="53"/>
  <c r="W42" i="53"/>
  <c r="U42" i="53"/>
  <c r="S42" i="53"/>
  <c r="AE41" i="53"/>
  <c r="AC41" i="53"/>
  <c r="AA41" i="53"/>
  <c r="Y41" i="53"/>
  <c r="W41" i="53"/>
  <c r="U41" i="53"/>
  <c r="S41" i="53"/>
  <c r="AE40" i="53"/>
  <c r="AC40" i="53"/>
  <c r="AA40" i="53"/>
  <c r="Y40" i="53"/>
  <c r="W40" i="53"/>
  <c r="U40" i="53"/>
  <c r="S40" i="53"/>
  <c r="AE39" i="53"/>
  <c r="AC39" i="53"/>
  <c r="AA39" i="53"/>
  <c r="Y39" i="53"/>
  <c r="W39" i="53"/>
  <c r="U39" i="53"/>
  <c r="S39" i="53"/>
  <c r="AE38" i="53"/>
  <c r="AC38" i="53"/>
  <c r="AA38" i="53"/>
  <c r="Y38" i="53"/>
  <c r="W38" i="53"/>
  <c r="U38" i="53"/>
  <c r="S38" i="53"/>
  <c r="AE37" i="53"/>
  <c r="AC37" i="53"/>
  <c r="AA37" i="53"/>
  <c r="Y37" i="53"/>
  <c r="W37" i="53"/>
  <c r="U37" i="53"/>
  <c r="S37" i="53"/>
  <c r="AE36" i="53"/>
  <c r="AC36" i="53"/>
  <c r="AA36" i="53"/>
  <c r="Y36" i="53"/>
  <c r="W36" i="53"/>
  <c r="U36" i="53"/>
  <c r="S36" i="53"/>
  <c r="AE35" i="53"/>
  <c r="AC35" i="53"/>
  <c r="AA35" i="53"/>
  <c r="Y35" i="53"/>
  <c r="W35" i="53"/>
  <c r="U35" i="53"/>
  <c r="S35" i="53"/>
  <c r="E34" i="53"/>
  <c r="D34" i="53"/>
  <c r="E33" i="53"/>
  <c r="D33" i="53"/>
  <c r="D32" i="53"/>
  <c r="E32" i="53" s="1"/>
  <c r="D31" i="53"/>
  <c r="E31" i="53" s="1"/>
  <c r="D30" i="53"/>
  <c r="E30" i="53" s="1"/>
  <c r="E29" i="53"/>
  <c r="D29" i="53"/>
  <c r="T25" i="53"/>
  <c r="R24" i="53"/>
  <c r="AD17" i="53"/>
  <c r="AD25" i="53" s="1"/>
  <c r="AB17" i="53"/>
  <c r="AB25" i="53" s="1"/>
  <c r="Z17" i="53"/>
  <c r="Z25" i="53" s="1"/>
  <c r="X17" i="53"/>
  <c r="X25" i="53" s="1"/>
  <c r="V17" i="53"/>
  <c r="V25" i="53" s="1"/>
  <c r="T17" i="53"/>
  <c r="R17" i="53"/>
  <c r="R25" i="53" s="1"/>
  <c r="AD16" i="53"/>
  <c r="AD24" i="53" s="1"/>
  <c r="AB16" i="53"/>
  <c r="AB24" i="53" s="1"/>
  <c r="Z16" i="53"/>
  <c r="X16" i="53"/>
  <c r="V16" i="53"/>
  <c r="V18" i="53" s="1"/>
  <c r="V26" i="53" s="1"/>
  <c r="T16" i="53"/>
  <c r="R16" i="53"/>
  <c r="R18" i="53" s="1"/>
  <c r="R26" i="53" s="1"/>
  <c r="P16" i="53"/>
  <c r="O16" i="53"/>
  <c r="N16" i="53"/>
  <c r="L16" i="53"/>
  <c r="K16" i="53"/>
  <c r="J16" i="53"/>
  <c r="H16" i="53"/>
  <c r="G16" i="53"/>
  <c r="F16" i="53"/>
  <c r="O15" i="53"/>
  <c r="Y14" i="53"/>
  <c r="U14" i="53"/>
  <c r="Q14" i="53"/>
  <c r="S14" i="53" s="1"/>
  <c r="M14" i="53"/>
  <c r="I14" i="53"/>
  <c r="O13" i="53"/>
  <c r="Q12" i="53"/>
  <c r="M12" i="53"/>
  <c r="I12" i="53"/>
  <c r="O11" i="53"/>
  <c r="Q10" i="53"/>
  <c r="M10" i="53"/>
  <c r="I10" i="53"/>
  <c r="O9" i="53"/>
  <c r="AA8" i="53"/>
  <c r="W8" i="53"/>
  <c r="Q8" i="53"/>
  <c r="AE8" i="53" s="1"/>
  <c r="M8" i="53"/>
  <c r="I8" i="53"/>
  <c r="O7" i="53"/>
  <c r="AC6" i="53"/>
  <c r="S6" i="53"/>
  <c r="Q6" i="53"/>
  <c r="AA6" i="53" s="1"/>
  <c r="M6" i="53"/>
  <c r="I6" i="53"/>
  <c r="C3" i="53"/>
  <c r="AE64" i="52"/>
  <c r="AC64" i="52"/>
  <c r="AA64" i="52"/>
  <c r="Y64" i="52"/>
  <c r="W64" i="52"/>
  <c r="U64" i="52"/>
  <c r="S64" i="52"/>
  <c r="AE63" i="52"/>
  <c r="AC63" i="52"/>
  <c r="AA63" i="52"/>
  <c r="Y63" i="52"/>
  <c r="W63" i="52"/>
  <c r="U63" i="52"/>
  <c r="S63" i="52"/>
  <c r="AE62" i="52"/>
  <c r="AC62" i="52"/>
  <c r="AA62" i="52"/>
  <c r="Y62" i="52"/>
  <c r="W62" i="52"/>
  <c r="U62" i="52"/>
  <c r="S62" i="52"/>
  <c r="AE61" i="52"/>
  <c r="AC61" i="52"/>
  <c r="AA61" i="52"/>
  <c r="Y61" i="52"/>
  <c r="W61" i="52"/>
  <c r="U61" i="52"/>
  <c r="S61" i="52"/>
  <c r="AE60" i="52"/>
  <c r="AC60" i="52"/>
  <c r="AA60" i="52"/>
  <c r="Y60" i="52"/>
  <c r="W60" i="52"/>
  <c r="U60" i="52"/>
  <c r="S60" i="52"/>
  <c r="AE59" i="52"/>
  <c r="AC59" i="52"/>
  <c r="AA59" i="52"/>
  <c r="Y59" i="52"/>
  <c r="W59" i="52"/>
  <c r="U59" i="52"/>
  <c r="S59" i="52"/>
  <c r="AE58" i="52"/>
  <c r="AC58" i="52"/>
  <c r="AA58" i="52"/>
  <c r="Y58" i="52"/>
  <c r="W58" i="52"/>
  <c r="U58" i="52"/>
  <c r="S58" i="52"/>
  <c r="AE57" i="52"/>
  <c r="AC57" i="52"/>
  <c r="AA57" i="52"/>
  <c r="Y57" i="52"/>
  <c r="W57" i="52"/>
  <c r="U57" i="52"/>
  <c r="S57" i="52"/>
  <c r="AE56" i="52"/>
  <c r="AC56" i="52"/>
  <c r="AA56" i="52"/>
  <c r="Y56" i="52"/>
  <c r="W56" i="52"/>
  <c r="U56" i="52"/>
  <c r="S56" i="52"/>
  <c r="AE55" i="52"/>
  <c r="AC55" i="52"/>
  <c r="AA55" i="52"/>
  <c r="Y55" i="52"/>
  <c r="W55" i="52"/>
  <c r="U55" i="52"/>
  <c r="S55" i="52"/>
  <c r="AE54" i="52"/>
  <c r="AC54" i="52"/>
  <c r="AA54" i="52"/>
  <c r="Y54" i="52"/>
  <c r="W54" i="52"/>
  <c r="U54" i="52"/>
  <c r="S54" i="52"/>
  <c r="AE53" i="52"/>
  <c r="AC53" i="52"/>
  <c r="AA53" i="52"/>
  <c r="Y53" i="52"/>
  <c r="W53" i="52"/>
  <c r="U53" i="52"/>
  <c r="S53" i="52"/>
  <c r="AE52" i="52"/>
  <c r="AC52" i="52"/>
  <c r="AA52" i="52"/>
  <c r="Y52" i="52"/>
  <c r="W52" i="52"/>
  <c r="U52" i="52"/>
  <c r="S52" i="52"/>
  <c r="AE51" i="52"/>
  <c r="AC51" i="52"/>
  <c r="AA51" i="52"/>
  <c r="Y51" i="52"/>
  <c r="W51" i="52"/>
  <c r="U51" i="52"/>
  <c r="S51" i="52"/>
  <c r="AE50" i="52"/>
  <c r="AC50" i="52"/>
  <c r="AA50" i="52"/>
  <c r="Y50" i="52"/>
  <c r="W50" i="52"/>
  <c r="U50" i="52"/>
  <c r="S50" i="52"/>
  <c r="AE49" i="52"/>
  <c r="AC49" i="52"/>
  <c r="AA49" i="52"/>
  <c r="Y49" i="52"/>
  <c r="W49" i="52"/>
  <c r="U49" i="52"/>
  <c r="S49" i="52"/>
  <c r="AE48" i="52"/>
  <c r="AC48" i="52"/>
  <c r="AA48" i="52"/>
  <c r="Y48" i="52"/>
  <c r="W48" i="52"/>
  <c r="U48" i="52"/>
  <c r="S48" i="52"/>
  <c r="AE47" i="52"/>
  <c r="AC47" i="52"/>
  <c r="AA47" i="52"/>
  <c r="Y47" i="52"/>
  <c r="W47" i="52"/>
  <c r="U47" i="52"/>
  <c r="S47" i="52"/>
  <c r="AE46" i="52"/>
  <c r="AC46" i="52"/>
  <c r="AA46" i="52"/>
  <c r="Y46" i="52"/>
  <c r="W46" i="52"/>
  <c r="U46" i="52"/>
  <c r="S46" i="52"/>
  <c r="AE45" i="52"/>
  <c r="AC45" i="52"/>
  <c r="AA45" i="52"/>
  <c r="Y45" i="52"/>
  <c r="W45" i="52"/>
  <c r="U45" i="52"/>
  <c r="S45" i="52"/>
  <c r="AE44" i="52"/>
  <c r="AC44" i="52"/>
  <c r="AA44" i="52"/>
  <c r="Y44" i="52"/>
  <c r="W44" i="52"/>
  <c r="U44" i="52"/>
  <c r="S44" i="52"/>
  <c r="AE43" i="52"/>
  <c r="AC43" i="52"/>
  <c r="AA43" i="52"/>
  <c r="Y43" i="52"/>
  <c r="W43" i="52"/>
  <c r="U43" i="52"/>
  <c r="S43" i="52"/>
  <c r="AE42" i="52"/>
  <c r="AC42" i="52"/>
  <c r="AA42" i="52"/>
  <c r="Y42" i="52"/>
  <c r="W42" i="52"/>
  <c r="U42" i="52"/>
  <c r="S42" i="52"/>
  <c r="AE41" i="52"/>
  <c r="AC41" i="52"/>
  <c r="AA41" i="52"/>
  <c r="Y41" i="52"/>
  <c r="W41" i="52"/>
  <c r="U41" i="52"/>
  <c r="S41" i="52"/>
  <c r="AE40" i="52"/>
  <c r="AC40" i="52"/>
  <c r="AA40" i="52"/>
  <c r="Y40" i="52"/>
  <c r="W40" i="52"/>
  <c r="U40" i="52"/>
  <c r="S40" i="52"/>
  <c r="AE39" i="52"/>
  <c r="AC39" i="52"/>
  <c r="AA39" i="52"/>
  <c r="Y39" i="52"/>
  <c r="W39" i="52"/>
  <c r="U39" i="52"/>
  <c r="S39" i="52"/>
  <c r="AE38" i="52"/>
  <c r="AC38" i="52"/>
  <c r="AA38" i="52"/>
  <c r="Y38" i="52"/>
  <c r="W38" i="52"/>
  <c r="U38" i="52"/>
  <c r="S38" i="52"/>
  <c r="AE37" i="52"/>
  <c r="AC37" i="52"/>
  <c r="AA37" i="52"/>
  <c r="Y37" i="52"/>
  <c r="W37" i="52"/>
  <c r="U37" i="52"/>
  <c r="S37" i="52"/>
  <c r="AE36" i="52"/>
  <c r="AC36" i="52"/>
  <c r="AA36" i="52"/>
  <c r="Y36" i="52"/>
  <c r="W36" i="52"/>
  <c r="U36" i="52"/>
  <c r="S36" i="52"/>
  <c r="AE35" i="52"/>
  <c r="AC35" i="52"/>
  <c r="AA35" i="52"/>
  <c r="Y35" i="52"/>
  <c r="W35" i="52"/>
  <c r="U35" i="52"/>
  <c r="S35" i="52"/>
  <c r="D34" i="52"/>
  <c r="E34" i="52" s="1"/>
  <c r="E33" i="52"/>
  <c r="D33" i="52"/>
  <c r="E32" i="52"/>
  <c r="D32" i="52"/>
  <c r="E31" i="52"/>
  <c r="D31" i="52"/>
  <c r="D30" i="52"/>
  <c r="E30" i="52" s="1"/>
  <c r="E29" i="52"/>
  <c r="D29" i="52"/>
  <c r="AD24" i="52"/>
  <c r="V24" i="52"/>
  <c r="T24" i="52"/>
  <c r="AD17" i="52"/>
  <c r="AD25" i="52" s="1"/>
  <c r="AB17" i="52"/>
  <c r="AB25" i="52" s="1"/>
  <c r="Z17" i="52"/>
  <c r="Z25" i="52" s="1"/>
  <c r="X17" i="52"/>
  <c r="X25" i="52" s="1"/>
  <c r="V17" i="52"/>
  <c r="V25" i="52" s="1"/>
  <c r="T17" i="52"/>
  <c r="T25" i="52" s="1"/>
  <c r="R17" i="52"/>
  <c r="R25" i="52" s="1"/>
  <c r="AD16" i="52"/>
  <c r="AB16" i="52"/>
  <c r="Z16" i="52"/>
  <c r="X16" i="52"/>
  <c r="V16" i="52"/>
  <c r="V18" i="52" s="1"/>
  <c r="V26" i="52" s="1"/>
  <c r="T16" i="52"/>
  <c r="T18" i="52" s="1"/>
  <c r="T26" i="52" s="1"/>
  <c r="R16" i="52"/>
  <c r="R18" i="52" s="1"/>
  <c r="R26" i="52" s="1"/>
  <c r="P16" i="52"/>
  <c r="O16" i="52"/>
  <c r="N16" i="52"/>
  <c r="L16" i="52"/>
  <c r="K16" i="52"/>
  <c r="J16" i="52"/>
  <c r="H16" i="52"/>
  <c r="G16" i="52"/>
  <c r="F16" i="52"/>
  <c r="O15" i="52"/>
  <c r="AC14" i="52"/>
  <c r="Q14" i="52"/>
  <c r="AA14" i="52" s="1"/>
  <c r="M14" i="52"/>
  <c r="I14" i="52"/>
  <c r="O13" i="52"/>
  <c r="Q12" i="52"/>
  <c r="M12" i="52"/>
  <c r="I12" i="52"/>
  <c r="O11" i="52"/>
  <c r="Q10" i="52"/>
  <c r="M10" i="52"/>
  <c r="I10" i="52"/>
  <c r="O9" i="52"/>
  <c r="AA8" i="52"/>
  <c r="S8" i="52"/>
  <c r="Q8" i="52"/>
  <c r="M8" i="52"/>
  <c r="I8" i="52"/>
  <c r="O7" i="52"/>
  <c r="Y6" i="52"/>
  <c r="U6" i="52"/>
  <c r="Q6" i="52"/>
  <c r="S6" i="52" s="1"/>
  <c r="M6" i="52"/>
  <c r="I6" i="52"/>
  <c r="C3" i="52"/>
  <c r="AE64" i="51"/>
  <c r="AC64" i="51"/>
  <c r="AA64" i="51"/>
  <c r="Y64" i="51"/>
  <c r="W64" i="51"/>
  <c r="U64" i="51"/>
  <c r="S64" i="51"/>
  <c r="AE63" i="51"/>
  <c r="AC63" i="51"/>
  <c r="AA63" i="51"/>
  <c r="Y63" i="51"/>
  <c r="W63" i="51"/>
  <c r="U63" i="51"/>
  <c r="S63" i="51"/>
  <c r="AE62" i="51"/>
  <c r="AC62" i="51"/>
  <c r="AA62" i="51"/>
  <c r="Y62" i="51"/>
  <c r="W62" i="51"/>
  <c r="U62" i="51"/>
  <c r="S62" i="51"/>
  <c r="AE61" i="51"/>
  <c r="AC61" i="51"/>
  <c r="AA61" i="51"/>
  <c r="Y61" i="51"/>
  <c r="W61" i="51"/>
  <c r="U61" i="51"/>
  <c r="S61" i="51"/>
  <c r="AE60" i="51"/>
  <c r="AC60" i="51"/>
  <c r="AA60" i="51"/>
  <c r="Y60" i="51"/>
  <c r="W60" i="51"/>
  <c r="U60" i="51"/>
  <c r="S60" i="51"/>
  <c r="AE59" i="51"/>
  <c r="AC59" i="51"/>
  <c r="AA59" i="51"/>
  <c r="Y59" i="51"/>
  <c r="W59" i="51"/>
  <c r="U59" i="51"/>
  <c r="S59" i="51"/>
  <c r="AE58" i="51"/>
  <c r="AC58" i="51"/>
  <c r="AA58" i="51"/>
  <c r="Y58" i="51"/>
  <c r="W58" i="51"/>
  <c r="U58" i="51"/>
  <c r="S58" i="51"/>
  <c r="AE57" i="51"/>
  <c r="AC57" i="51"/>
  <c r="AA57" i="51"/>
  <c r="Y57" i="51"/>
  <c r="W57" i="51"/>
  <c r="U57" i="51"/>
  <c r="S57" i="51"/>
  <c r="AE56" i="51"/>
  <c r="AC56" i="51"/>
  <c r="AA56" i="51"/>
  <c r="Y56" i="51"/>
  <c r="W56" i="51"/>
  <c r="U56" i="51"/>
  <c r="S56" i="51"/>
  <c r="AE55" i="51"/>
  <c r="AC55" i="51"/>
  <c r="AA55" i="51"/>
  <c r="Y55" i="51"/>
  <c r="W55" i="51"/>
  <c r="U55" i="51"/>
  <c r="S55" i="51"/>
  <c r="AE54" i="51"/>
  <c r="AC54" i="51"/>
  <c r="AA54" i="51"/>
  <c r="Y54" i="51"/>
  <c r="W54" i="51"/>
  <c r="U54" i="51"/>
  <c r="S54" i="51"/>
  <c r="AE53" i="51"/>
  <c r="AC53" i="51"/>
  <c r="AA53" i="51"/>
  <c r="Y53" i="51"/>
  <c r="W53" i="51"/>
  <c r="U53" i="51"/>
  <c r="S53" i="51"/>
  <c r="AE52" i="51"/>
  <c r="AC52" i="51"/>
  <c r="AA52" i="51"/>
  <c r="Y52" i="51"/>
  <c r="W52" i="51"/>
  <c r="U52" i="51"/>
  <c r="S52" i="51"/>
  <c r="AE51" i="51"/>
  <c r="AC51" i="51"/>
  <c r="AA51" i="51"/>
  <c r="Y51" i="51"/>
  <c r="W51" i="51"/>
  <c r="U51" i="51"/>
  <c r="S51" i="51"/>
  <c r="AE50" i="51"/>
  <c r="AC50" i="51"/>
  <c r="AA50" i="51"/>
  <c r="Y50" i="51"/>
  <c r="W50" i="51"/>
  <c r="U50" i="51"/>
  <c r="S50" i="51"/>
  <c r="AE49" i="51"/>
  <c r="AC49" i="51"/>
  <c r="AA49" i="51"/>
  <c r="Y49" i="51"/>
  <c r="W49" i="51"/>
  <c r="U49" i="51"/>
  <c r="S49" i="51"/>
  <c r="AE48" i="51"/>
  <c r="AC48" i="51"/>
  <c r="AA48" i="51"/>
  <c r="Y48" i="51"/>
  <c r="W48" i="51"/>
  <c r="U48" i="51"/>
  <c r="S48" i="51"/>
  <c r="AE47" i="51"/>
  <c r="AC47" i="51"/>
  <c r="AA47" i="51"/>
  <c r="Y47" i="51"/>
  <c r="W47" i="51"/>
  <c r="U47" i="51"/>
  <c r="S47" i="51"/>
  <c r="AE46" i="51"/>
  <c r="AC46" i="51"/>
  <c r="AA46" i="51"/>
  <c r="Y46" i="51"/>
  <c r="W46" i="51"/>
  <c r="U46" i="51"/>
  <c r="S46" i="51"/>
  <c r="AE45" i="51"/>
  <c r="AC45" i="51"/>
  <c r="AA45" i="51"/>
  <c r="Y45" i="51"/>
  <c r="W45" i="51"/>
  <c r="U45" i="51"/>
  <c r="S45" i="51"/>
  <c r="AE44" i="51"/>
  <c r="AC44" i="51"/>
  <c r="AA44" i="51"/>
  <c r="Y44" i="51"/>
  <c r="W44" i="51"/>
  <c r="U44" i="51"/>
  <c r="S44" i="51"/>
  <c r="AE43" i="51"/>
  <c r="AC43" i="51"/>
  <c r="AA43" i="51"/>
  <c r="Y43" i="51"/>
  <c r="W43" i="51"/>
  <c r="U43" i="51"/>
  <c r="S43" i="51"/>
  <c r="AE42" i="51"/>
  <c r="AC42" i="51"/>
  <c r="AA42" i="51"/>
  <c r="Y42" i="51"/>
  <c r="W42" i="51"/>
  <c r="U42" i="51"/>
  <c r="S42" i="51"/>
  <c r="AE41" i="51"/>
  <c r="AC41" i="51"/>
  <c r="AA41" i="51"/>
  <c r="Y41" i="51"/>
  <c r="W41" i="51"/>
  <c r="U41" i="51"/>
  <c r="S41" i="51"/>
  <c r="AE40" i="51"/>
  <c r="AC40" i="51"/>
  <c r="AA40" i="51"/>
  <c r="Y40" i="51"/>
  <c r="W40" i="51"/>
  <c r="U40" i="51"/>
  <c r="S40" i="51"/>
  <c r="AE39" i="51"/>
  <c r="AC39" i="51"/>
  <c r="AA39" i="51"/>
  <c r="Y39" i="51"/>
  <c r="W39" i="51"/>
  <c r="U39" i="51"/>
  <c r="S39" i="51"/>
  <c r="AE38" i="51"/>
  <c r="AC38" i="51"/>
  <c r="AA38" i="51"/>
  <c r="Y38" i="51"/>
  <c r="W38" i="51"/>
  <c r="U38" i="51"/>
  <c r="S38" i="51"/>
  <c r="AE37" i="51"/>
  <c r="AC37" i="51"/>
  <c r="AA37" i="51"/>
  <c r="Y37" i="51"/>
  <c r="W37" i="51"/>
  <c r="U37" i="51"/>
  <c r="S37" i="51"/>
  <c r="AE36" i="51"/>
  <c r="AC36" i="51"/>
  <c r="AA36" i="51"/>
  <c r="Y36" i="51"/>
  <c r="W36" i="51"/>
  <c r="U36" i="51"/>
  <c r="S36" i="51"/>
  <c r="AE35" i="51"/>
  <c r="AC35" i="51"/>
  <c r="AA35" i="51"/>
  <c r="Y35" i="51"/>
  <c r="W35" i="51"/>
  <c r="U35" i="51"/>
  <c r="S35" i="51"/>
  <c r="D34" i="51"/>
  <c r="E34" i="51" s="1"/>
  <c r="D33" i="51"/>
  <c r="E33" i="51" s="1"/>
  <c r="D32" i="51"/>
  <c r="E32" i="51" s="1"/>
  <c r="E31" i="51"/>
  <c r="D31" i="51"/>
  <c r="D30" i="51"/>
  <c r="E30" i="51" s="1"/>
  <c r="E29" i="51"/>
  <c r="D29" i="51"/>
  <c r="X25" i="51"/>
  <c r="V24" i="51"/>
  <c r="AB18" i="51"/>
  <c r="AB26" i="51" s="1"/>
  <c r="Z18" i="51"/>
  <c r="Z26" i="51" s="1"/>
  <c r="AD17" i="51"/>
  <c r="AD25" i="51" s="1"/>
  <c r="AB17" i="51"/>
  <c r="AB25" i="51" s="1"/>
  <c r="Z17" i="51"/>
  <c r="Z25" i="51" s="1"/>
  <c r="X17" i="51"/>
  <c r="V17" i="51"/>
  <c r="V25" i="51" s="1"/>
  <c r="T17" i="51"/>
  <c r="T25" i="51" s="1"/>
  <c r="R17" i="51"/>
  <c r="R25" i="51" s="1"/>
  <c r="AD16" i="51"/>
  <c r="AD24" i="51" s="1"/>
  <c r="AB16" i="51"/>
  <c r="AB24" i="51" s="1"/>
  <c r="Z16" i="51"/>
  <c r="Z24" i="51" s="1"/>
  <c r="X16" i="51"/>
  <c r="X18" i="51" s="1"/>
  <c r="X26" i="51" s="1"/>
  <c r="V16" i="51"/>
  <c r="T16" i="51"/>
  <c r="R16" i="51"/>
  <c r="P16" i="51"/>
  <c r="O16" i="51"/>
  <c r="N16" i="51"/>
  <c r="L16" i="51"/>
  <c r="K16" i="51"/>
  <c r="J16" i="51"/>
  <c r="H16" i="51"/>
  <c r="G16" i="51"/>
  <c r="F16" i="51"/>
  <c r="O15" i="51"/>
  <c r="Y14" i="51"/>
  <c r="Q14" i="51"/>
  <c r="M14" i="51"/>
  <c r="I14" i="51"/>
  <c r="O13" i="51"/>
  <c r="AA12" i="51"/>
  <c r="Y12" i="51"/>
  <c r="Q12" i="51"/>
  <c r="M12" i="51"/>
  <c r="I12" i="51"/>
  <c r="O11" i="51"/>
  <c r="Q10" i="51"/>
  <c r="M10" i="51"/>
  <c r="I10" i="51"/>
  <c r="O9" i="51"/>
  <c r="S8" i="51"/>
  <c r="Q8" i="51"/>
  <c r="AE8" i="51" s="1"/>
  <c r="M8" i="51"/>
  <c r="I8" i="51"/>
  <c r="O7" i="51"/>
  <c r="AC6" i="51"/>
  <c r="Q6" i="51"/>
  <c r="AA6" i="51" s="1"/>
  <c r="M6" i="51"/>
  <c r="I6" i="51"/>
  <c r="I16" i="51" s="1"/>
  <c r="C3" i="51"/>
  <c r="AE64" i="50"/>
  <c r="AC64" i="50"/>
  <c r="AA64" i="50"/>
  <c r="Y64" i="50"/>
  <c r="W64" i="50"/>
  <c r="U64" i="50"/>
  <c r="S64" i="50"/>
  <c r="AE63" i="50"/>
  <c r="AC63" i="50"/>
  <c r="AA63" i="50"/>
  <c r="Y63" i="50"/>
  <c r="W63" i="50"/>
  <c r="U63" i="50"/>
  <c r="S63" i="50"/>
  <c r="AE62" i="50"/>
  <c r="AC62" i="50"/>
  <c r="AA62" i="50"/>
  <c r="Y62" i="50"/>
  <c r="W62" i="50"/>
  <c r="U62" i="50"/>
  <c r="S62" i="50"/>
  <c r="AE61" i="50"/>
  <c r="AC61" i="50"/>
  <c r="AA61" i="50"/>
  <c r="Y61" i="50"/>
  <c r="W61" i="50"/>
  <c r="U61" i="50"/>
  <c r="S61" i="50"/>
  <c r="AE60" i="50"/>
  <c r="AC60" i="50"/>
  <c r="AA60" i="50"/>
  <c r="Y60" i="50"/>
  <c r="W60" i="50"/>
  <c r="U60" i="50"/>
  <c r="S60" i="50"/>
  <c r="AE59" i="50"/>
  <c r="AC59" i="50"/>
  <c r="AA59" i="50"/>
  <c r="Y59" i="50"/>
  <c r="W59" i="50"/>
  <c r="U59" i="50"/>
  <c r="S59" i="50"/>
  <c r="AE58" i="50"/>
  <c r="AC58" i="50"/>
  <c r="AA58" i="50"/>
  <c r="Y58" i="50"/>
  <c r="W58" i="50"/>
  <c r="U58" i="50"/>
  <c r="S58" i="50"/>
  <c r="AE57" i="50"/>
  <c r="AC57" i="50"/>
  <c r="AA57" i="50"/>
  <c r="Y57" i="50"/>
  <c r="W57" i="50"/>
  <c r="U57" i="50"/>
  <c r="S57" i="50"/>
  <c r="AE56" i="50"/>
  <c r="AC56" i="50"/>
  <c r="AA56" i="50"/>
  <c r="Y56" i="50"/>
  <c r="W56" i="50"/>
  <c r="U56" i="50"/>
  <c r="S56" i="50"/>
  <c r="AE55" i="50"/>
  <c r="AC55" i="50"/>
  <c r="AA55" i="50"/>
  <c r="Y55" i="50"/>
  <c r="W55" i="50"/>
  <c r="U55" i="50"/>
  <c r="S55" i="50"/>
  <c r="AE54" i="50"/>
  <c r="AC54" i="50"/>
  <c r="AA54" i="50"/>
  <c r="Y54" i="50"/>
  <c r="W54" i="50"/>
  <c r="U54" i="50"/>
  <c r="S54" i="50"/>
  <c r="AE53" i="50"/>
  <c r="AC53" i="50"/>
  <c r="AA53" i="50"/>
  <c r="Y53" i="50"/>
  <c r="W53" i="50"/>
  <c r="U53" i="50"/>
  <c r="S53" i="50"/>
  <c r="AE52" i="50"/>
  <c r="AC52" i="50"/>
  <c r="AA52" i="50"/>
  <c r="Y52" i="50"/>
  <c r="W52" i="50"/>
  <c r="U52" i="50"/>
  <c r="S52" i="50"/>
  <c r="AE51" i="50"/>
  <c r="AC51" i="50"/>
  <c r="AA51" i="50"/>
  <c r="Y51" i="50"/>
  <c r="W51" i="50"/>
  <c r="U51" i="50"/>
  <c r="S51" i="50"/>
  <c r="AE50" i="50"/>
  <c r="AC50" i="50"/>
  <c r="AA50" i="50"/>
  <c r="Y50" i="50"/>
  <c r="W50" i="50"/>
  <c r="U50" i="50"/>
  <c r="S50" i="50"/>
  <c r="AE49" i="50"/>
  <c r="AC49" i="50"/>
  <c r="AA49" i="50"/>
  <c r="Y49" i="50"/>
  <c r="W49" i="50"/>
  <c r="U49" i="50"/>
  <c r="S49" i="50"/>
  <c r="AE48" i="50"/>
  <c r="AC48" i="50"/>
  <c r="AA48" i="50"/>
  <c r="Y48" i="50"/>
  <c r="W48" i="50"/>
  <c r="U48" i="50"/>
  <c r="S48" i="50"/>
  <c r="AE47" i="50"/>
  <c r="AC47" i="50"/>
  <c r="AA47" i="50"/>
  <c r="Y47" i="50"/>
  <c r="W47" i="50"/>
  <c r="U47" i="50"/>
  <c r="S47" i="50"/>
  <c r="AE46" i="50"/>
  <c r="AC46" i="50"/>
  <c r="AA46" i="50"/>
  <c r="Y46" i="50"/>
  <c r="W46" i="50"/>
  <c r="U46" i="50"/>
  <c r="S46" i="50"/>
  <c r="AE45" i="50"/>
  <c r="AC45" i="50"/>
  <c r="AA45" i="50"/>
  <c r="Y45" i="50"/>
  <c r="W45" i="50"/>
  <c r="U45" i="50"/>
  <c r="S45" i="50"/>
  <c r="AE44" i="50"/>
  <c r="AC44" i="50"/>
  <c r="AA44" i="50"/>
  <c r="Y44" i="50"/>
  <c r="W44" i="50"/>
  <c r="U44" i="50"/>
  <c r="S44" i="50"/>
  <c r="AE43" i="50"/>
  <c r="AC43" i="50"/>
  <c r="AA43" i="50"/>
  <c r="Y43" i="50"/>
  <c r="W43" i="50"/>
  <c r="U43" i="50"/>
  <c r="S43" i="50"/>
  <c r="AE42" i="50"/>
  <c r="AC42" i="50"/>
  <c r="AA42" i="50"/>
  <c r="Y42" i="50"/>
  <c r="W42" i="50"/>
  <c r="U42" i="50"/>
  <c r="S42" i="50"/>
  <c r="AE41" i="50"/>
  <c r="AC41" i="50"/>
  <c r="AA41" i="50"/>
  <c r="Y41" i="50"/>
  <c r="W41" i="50"/>
  <c r="U41" i="50"/>
  <c r="S41" i="50"/>
  <c r="AE40" i="50"/>
  <c r="AC40" i="50"/>
  <c r="AA40" i="50"/>
  <c r="Y40" i="50"/>
  <c r="W40" i="50"/>
  <c r="U40" i="50"/>
  <c r="S40" i="50"/>
  <c r="AE39" i="50"/>
  <c r="AC39" i="50"/>
  <c r="AA39" i="50"/>
  <c r="Y39" i="50"/>
  <c r="W39" i="50"/>
  <c r="U39" i="50"/>
  <c r="S39" i="50"/>
  <c r="AE38" i="50"/>
  <c r="AC38" i="50"/>
  <c r="AA38" i="50"/>
  <c r="Y38" i="50"/>
  <c r="W38" i="50"/>
  <c r="U38" i="50"/>
  <c r="S38" i="50"/>
  <c r="AE37" i="50"/>
  <c r="AC37" i="50"/>
  <c r="AA37" i="50"/>
  <c r="Y37" i="50"/>
  <c r="W37" i="50"/>
  <c r="U37" i="50"/>
  <c r="S37" i="50"/>
  <c r="AE36" i="50"/>
  <c r="AC36" i="50"/>
  <c r="AA36" i="50"/>
  <c r="Y36" i="50"/>
  <c r="W36" i="50"/>
  <c r="U36" i="50"/>
  <c r="S36" i="50"/>
  <c r="AE35" i="50"/>
  <c r="AC35" i="50"/>
  <c r="AA35" i="50"/>
  <c r="Y35" i="50"/>
  <c r="W35" i="50"/>
  <c r="U35" i="50"/>
  <c r="S35" i="50"/>
  <c r="D34" i="50"/>
  <c r="E34" i="50" s="1"/>
  <c r="D33" i="50"/>
  <c r="E33" i="50" s="1"/>
  <c r="D32" i="50"/>
  <c r="E32" i="50" s="1"/>
  <c r="D31" i="50"/>
  <c r="E31" i="50" s="1"/>
  <c r="D30" i="50"/>
  <c r="E30" i="50" s="1"/>
  <c r="D29" i="50"/>
  <c r="E29" i="50" s="1"/>
  <c r="AD25" i="50"/>
  <c r="AD24" i="50"/>
  <c r="Z24" i="50"/>
  <c r="AD17" i="50"/>
  <c r="AB17" i="50"/>
  <c r="AB25" i="50" s="1"/>
  <c r="Z17" i="50"/>
  <c r="Z25" i="50" s="1"/>
  <c r="X17" i="50"/>
  <c r="X25" i="50" s="1"/>
  <c r="V17" i="50"/>
  <c r="V25" i="50" s="1"/>
  <c r="T17" i="50"/>
  <c r="T25" i="50" s="1"/>
  <c r="R17" i="50"/>
  <c r="R25" i="50" s="1"/>
  <c r="AD16" i="50"/>
  <c r="AB16" i="50"/>
  <c r="AB24" i="50" s="1"/>
  <c r="Z16" i="50"/>
  <c r="Z18" i="50" s="1"/>
  <c r="Z26" i="50" s="1"/>
  <c r="X16" i="50"/>
  <c r="X24" i="50" s="1"/>
  <c r="V16" i="50"/>
  <c r="V24" i="50" s="1"/>
  <c r="T16" i="50"/>
  <c r="T18" i="50" s="1"/>
  <c r="T26" i="50" s="1"/>
  <c r="R16" i="50"/>
  <c r="R18" i="50" s="1"/>
  <c r="R26" i="50" s="1"/>
  <c r="P16" i="50"/>
  <c r="O16" i="50"/>
  <c r="N16" i="50"/>
  <c r="L16" i="50"/>
  <c r="K16" i="50"/>
  <c r="J16" i="50"/>
  <c r="H16" i="50"/>
  <c r="G16" i="50"/>
  <c r="F16" i="50"/>
  <c r="O15" i="50"/>
  <c r="Q14" i="50"/>
  <c r="AA14" i="50" s="1"/>
  <c r="M14" i="50"/>
  <c r="I14" i="50"/>
  <c r="O13" i="50"/>
  <c r="AE12" i="50"/>
  <c r="W12" i="50"/>
  <c r="S12" i="50"/>
  <c r="Q12" i="50"/>
  <c r="AC12" i="50" s="1"/>
  <c r="M12" i="50"/>
  <c r="I12" i="50"/>
  <c r="O11" i="50"/>
  <c r="Q10" i="50"/>
  <c r="AE10" i="50" s="1"/>
  <c r="M10" i="50"/>
  <c r="I10" i="50"/>
  <c r="O9" i="50"/>
  <c r="Q8" i="50"/>
  <c r="Y8" i="50" s="1"/>
  <c r="M8" i="50"/>
  <c r="I8" i="50"/>
  <c r="O7" i="50"/>
  <c r="Q6" i="50"/>
  <c r="S6" i="50" s="1"/>
  <c r="M6" i="50"/>
  <c r="I6" i="50"/>
  <c r="C3" i="50"/>
  <c r="AE64" i="49"/>
  <c r="AC64" i="49"/>
  <c r="AA64" i="49"/>
  <c r="Y64" i="49"/>
  <c r="W64" i="49"/>
  <c r="U64" i="49"/>
  <c r="S64" i="49"/>
  <c r="AE63" i="49"/>
  <c r="AC63" i="49"/>
  <c r="AA63" i="49"/>
  <c r="Y63" i="49"/>
  <c r="W63" i="49"/>
  <c r="U63" i="49"/>
  <c r="S63" i="49"/>
  <c r="AE62" i="49"/>
  <c r="AC62" i="49"/>
  <c r="AA62" i="49"/>
  <c r="Y62" i="49"/>
  <c r="W62" i="49"/>
  <c r="U62" i="49"/>
  <c r="S62" i="49"/>
  <c r="AE61" i="49"/>
  <c r="AC61" i="49"/>
  <c r="AA61" i="49"/>
  <c r="Y61" i="49"/>
  <c r="W61" i="49"/>
  <c r="U61" i="49"/>
  <c r="S61" i="49"/>
  <c r="AE60" i="49"/>
  <c r="AC60" i="49"/>
  <c r="AA60" i="49"/>
  <c r="Y60" i="49"/>
  <c r="W60" i="49"/>
  <c r="U60" i="49"/>
  <c r="S60" i="49"/>
  <c r="AE59" i="49"/>
  <c r="AC59" i="49"/>
  <c r="AA59" i="49"/>
  <c r="Y59" i="49"/>
  <c r="W59" i="49"/>
  <c r="U59" i="49"/>
  <c r="S59" i="49"/>
  <c r="AE58" i="49"/>
  <c r="AC58" i="49"/>
  <c r="AA58" i="49"/>
  <c r="Y58" i="49"/>
  <c r="W58" i="49"/>
  <c r="U58" i="49"/>
  <c r="S58" i="49"/>
  <c r="AE57" i="49"/>
  <c r="AC57" i="49"/>
  <c r="AA57" i="49"/>
  <c r="Y57" i="49"/>
  <c r="W57" i="49"/>
  <c r="U57" i="49"/>
  <c r="S57" i="49"/>
  <c r="AE56" i="49"/>
  <c r="AC56" i="49"/>
  <c r="AA56" i="49"/>
  <c r="Y56" i="49"/>
  <c r="W56" i="49"/>
  <c r="U56" i="49"/>
  <c r="S56" i="49"/>
  <c r="AE55" i="49"/>
  <c r="AC55" i="49"/>
  <c r="AA55" i="49"/>
  <c r="Y55" i="49"/>
  <c r="W55" i="49"/>
  <c r="U55" i="49"/>
  <c r="S55" i="49"/>
  <c r="AE54" i="49"/>
  <c r="AC54" i="49"/>
  <c r="AA54" i="49"/>
  <c r="Y54" i="49"/>
  <c r="W54" i="49"/>
  <c r="U54" i="49"/>
  <c r="S54" i="49"/>
  <c r="AE53" i="49"/>
  <c r="AC53" i="49"/>
  <c r="AA53" i="49"/>
  <c r="Y53" i="49"/>
  <c r="W53" i="49"/>
  <c r="U53" i="49"/>
  <c r="S53" i="49"/>
  <c r="AE52" i="49"/>
  <c r="AC52" i="49"/>
  <c r="AA52" i="49"/>
  <c r="Y52" i="49"/>
  <c r="W52" i="49"/>
  <c r="U52" i="49"/>
  <c r="S52" i="49"/>
  <c r="AE51" i="49"/>
  <c r="AC51" i="49"/>
  <c r="AA51" i="49"/>
  <c r="Y51" i="49"/>
  <c r="W51" i="49"/>
  <c r="U51" i="49"/>
  <c r="S51" i="49"/>
  <c r="AE50" i="49"/>
  <c r="AC50" i="49"/>
  <c r="AA50" i="49"/>
  <c r="Y50" i="49"/>
  <c r="W50" i="49"/>
  <c r="U50" i="49"/>
  <c r="S50" i="49"/>
  <c r="AE49" i="49"/>
  <c r="AC49" i="49"/>
  <c r="AA49" i="49"/>
  <c r="Y49" i="49"/>
  <c r="W49" i="49"/>
  <c r="U49" i="49"/>
  <c r="S49" i="49"/>
  <c r="AE48" i="49"/>
  <c r="AC48" i="49"/>
  <c r="AA48" i="49"/>
  <c r="Y48" i="49"/>
  <c r="W48" i="49"/>
  <c r="U48" i="49"/>
  <c r="S48" i="49"/>
  <c r="AE47" i="49"/>
  <c r="AC47" i="49"/>
  <c r="AA47" i="49"/>
  <c r="Y47" i="49"/>
  <c r="W47" i="49"/>
  <c r="U47" i="49"/>
  <c r="S47" i="49"/>
  <c r="AE46" i="49"/>
  <c r="AC46" i="49"/>
  <c r="AA46" i="49"/>
  <c r="Y46" i="49"/>
  <c r="W46" i="49"/>
  <c r="U46" i="49"/>
  <c r="S46" i="49"/>
  <c r="AE45" i="49"/>
  <c r="AC45" i="49"/>
  <c r="AA45" i="49"/>
  <c r="Y45" i="49"/>
  <c r="W45" i="49"/>
  <c r="U45" i="49"/>
  <c r="S45" i="49"/>
  <c r="AE44" i="49"/>
  <c r="AC44" i="49"/>
  <c r="AA44" i="49"/>
  <c r="Y44" i="49"/>
  <c r="W44" i="49"/>
  <c r="U44" i="49"/>
  <c r="S44" i="49"/>
  <c r="AE43" i="49"/>
  <c r="AC43" i="49"/>
  <c r="AA43" i="49"/>
  <c r="Y43" i="49"/>
  <c r="W43" i="49"/>
  <c r="U43" i="49"/>
  <c r="S43" i="49"/>
  <c r="AE42" i="49"/>
  <c r="AC42" i="49"/>
  <c r="AA42" i="49"/>
  <c r="Y42" i="49"/>
  <c r="W42" i="49"/>
  <c r="U42" i="49"/>
  <c r="S42" i="49"/>
  <c r="AE41" i="49"/>
  <c r="AC41" i="49"/>
  <c r="AA41" i="49"/>
  <c r="Y41" i="49"/>
  <c r="W41" i="49"/>
  <c r="U41" i="49"/>
  <c r="S41" i="49"/>
  <c r="AE40" i="49"/>
  <c r="AC40" i="49"/>
  <c r="AA40" i="49"/>
  <c r="Y40" i="49"/>
  <c r="W40" i="49"/>
  <c r="U40" i="49"/>
  <c r="S40" i="49"/>
  <c r="AE39" i="49"/>
  <c r="AC39" i="49"/>
  <c r="AA39" i="49"/>
  <c r="Y39" i="49"/>
  <c r="W39" i="49"/>
  <c r="U39" i="49"/>
  <c r="S39" i="49"/>
  <c r="AE38" i="49"/>
  <c r="AC38" i="49"/>
  <c r="AA38" i="49"/>
  <c r="Y38" i="49"/>
  <c r="W38" i="49"/>
  <c r="U38" i="49"/>
  <c r="S38" i="49"/>
  <c r="AE37" i="49"/>
  <c r="AC37" i="49"/>
  <c r="AA37" i="49"/>
  <c r="Y37" i="49"/>
  <c r="W37" i="49"/>
  <c r="U37" i="49"/>
  <c r="S37" i="49"/>
  <c r="AE36" i="49"/>
  <c r="AC36" i="49"/>
  <c r="AA36" i="49"/>
  <c r="Y36" i="49"/>
  <c r="W36" i="49"/>
  <c r="U36" i="49"/>
  <c r="S36" i="49"/>
  <c r="AE35" i="49"/>
  <c r="AC35" i="49"/>
  <c r="AA35" i="49"/>
  <c r="Y35" i="49"/>
  <c r="W35" i="49"/>
  <c r="U35" i="49"/>
  <c r="S35" i="49"/>
  <c r="E34" i="49"/>
  <c r="D34" i="49"/>
  <c r="E33" i="49"/>
  <c r="D33" i="49"/>
  <c r="D32" i="49"/>
  <c r="E32" i="49" s="1"/>
  <c r="E31" i="49"/>
  <c r="D31" i="49"/>
  <c r="D30" i="49"/>
  <c r="E30" i="49" s="1"/>
  <c r="D29" i="49"/>
  <c r="E29" i="49" s="1"/>
  <c r="X25" i="49"/>
  <c r="V25" i="49"/>
  <c r="AB18" i="49"/>
  <c r="AB26" i="49" s="1"/>
  <c r="R18" i="49"/>
  <c r="R26" i="49" s="1"/>
  <c r="AD17" i="49"/>
  <c r="AD25" i="49" s="1"/>
  <c r="AB17" i="49"/>
  <c r="AB25" i="49" s="1"/>
  <c r="Z17" i="49"/>
  <c r="Z25" i="49" s="1"/>
  <c r="X17" i="49"/>
  <c r="V17" i="49"/>
  <c r="T17" i="49"/>
  <c r="T25" i="49" s="1"/>
  <c r="R17" i="49"/>
  <c r="R25" i="49" s="1"/>
  <c r="AD16" i="49"/>
  <c r="AD18" i="49" s="1"/>
  <c r="AD26" i="49" s="1"/>
  <c r="AB16" i="49"/>
  <c r="AB24" i="49" s="1"/>
  <c r="Z16" i="49"/>
  <c r="Z24" i="49" s="1"/>
  <c r="X16" i="49"/>
  <c r="Z18" i="49" s="1"/>
  <c r="Z26" i="49" s="1"/>
  <c r="V16" i="49"/>
  <c r="V18" i="49" s="1"/>
  <c r="V26" i="49" s="1"/>
  <c r="T16" i="49"/>
  <c r="T24" i="49" s="1"/>
  <c r="R16" i="49"/>
  <c r="R24" i="49" s="1"/>
  <c r="P16" i="49"/>
  <c r="O16" i="49"/>
  <c r="N16" i="49"/>
  <c r="L16" i="49"/>
  <c r="K16" i="49"/>
  <c r="J16" i="49"/>
  <c r="H16" i="49"/>
  <c r="G16" i="49"/>
  <c r="F16" i="49"/>
  <c r="O15" i="49"/>
  <c r="Y14" i="49"/>
  <c r="Q14" i="49"/>
  <c r="S14" i="49" s="1"/>
  <c r="M14" i="49"/>
  <c r="I14" i="49"/>
  <c r="O13" i="49"/>
  <c r="AE12" i="49"/>
  <c r="AC12" i="49"/>
  <c r="AA12" i="49"/>
  <c r="W12" i="49"/>
  <c r="U12" i="49"/>
  <c r="Q12" i="49"/>
  <c r="S12" i="49" s="1"/>
  <c r="M12" i="49"/>
  <c r="I12" i="49"/>
  <c r="O11" i="49"/>
  <c r="Q10" i="49"/>
  <c r="M10" i="49"/>
  <c r="I10" i="49"/>
  <c r="O9" i="49"/>
  <c r="AA8" i="49"/>
  <c r="Y8" i="49"/>
  <c r="W8" i="49"/>
  <c r="U8" i="49"/>
  <c r="S8" i="49"/>
  <c r="Q8" i="49"/>
  <c r="AE8" i="49" s="1"/>
  <c r="M8" i="49"/>
  <c r="I8" i="49"/>
  <c r="O7" i="49"/>
  <c r="AC6" i="49"/>
  <c r="Q6" i="49"/>
  <c r="AA6" i="49" s="1"/>
  <c r="M6" i="49"/>
  <c r="I6" i="49"/>
  <c r="I16" i="49" s="1"/>
  <c r="C3" i="49"/>
  <c r="AE64" i="48"/>
  <c r="AC64" i="48"/>
  <c r="AA64" i="48"/>
  <c r="Y64" i="48"/>
  <c r="W64" i="48"/>
  <c r="U64" i="48"/>
  <c r="S64" i="48"/>
  <c r="AE63" i="48"/>
  <c r="AC63" i="48"/>
  <c r="AA63" i="48"/>
  <c r="Y63" i="48"/>
  <c r="W63" i="48"/>
  <c r="U63" i="48"/>
  <c r="S63" i="48"/>
  <c r="AE62" i="48"/>
  <c r="AC62" i="48"/>
  <c r="AA62" i="48"/>
  <c r="Y62" i="48"/>
  <c r="W62" i="48"/>
  <c r="U62" i="48"/>
  <c r="S62" i="48"/>
  <c r="AE61" i="48"/>
  <c r="AC61" i="48"/>
  <c r="AA61" i="48"/>
  <c r="Y61" i="48"/>
  <c r="W61" i="48"/>
  <c r="U61" i="48"/>
  <c r="S61" i="48"/>
  <c r="AE60" i="48"/>
  <c r="AC60" i="48"/>
  <c r="AA60" i="48"/>
  <c r="Y60" i="48"/>
  <c r="W60" i="48"/>
  <c r="U60" i="48"/>
  <c r="S60" i="48"/>
  <c r="AE59" i="48"/>
  <c r="AC59" i="48"/>
  <c r="AA59" i="48"/>
  <c r="Y59" i="48"/>
  <c r="W59" i="48"/>
  <c r="U59" i="48"/>
  <c r="S59" i="48"/>
  <c r="AE58" i="48"/>
  <c r="AC58" i="48"/>
  <c r="AA58" i="48"/>
  <c r="Y58" i="48"/>
  <c r="W58" i="48"/>
  <c r="U58" i="48"/>
  <c r="S58" i="48"/>
  <c r="AE57" i="48"/>
  <c r="AC57" i="48"/>
  <c r="AA57" i="48"/>
  <c r="Y57" i="48"/>
  <c r="W57" i="48"/>
  <c r="U57" i="48"/>
  <c r="S57" i="48"/>
  <c r="AE56" i="48"/>
  <c r="AC56" i="48"/>
  <c r="AA56" i="48"/>
  <c r="Y56" i="48"/>
  <c r="W56" i="48"/>
  <c r="U56" i="48"/>
  <c r="S56" i="48"/>
  <c r="AE55" i="48"/>
  <c r="AC55" i="48"/>
  <c r="AA55" i="48"/>
  <c r="Y55" i="48"/>
  <c r="W55" i="48"/>
  <c r="U55" i="48"/>
  <c r="S55" i="48"/>
  <c r="AE54" i="48"/>
  <c r="AC54" i="48"/>
  <c r="AA54" i="48"/>
  <c r="Y54" i="48"/>
  <c r="W54" i="48"/>
  <c r="U54" i="48"/>
  <c r="S54" i="48"/>
  <c r="AE53" i="48"/>
  <c r="AC53" i="48"/>
  <c r="AA53" i="48"/>
  <c r="Y53" i="48"/>
  <c r="W53" i="48"/>
  <c r="U53" i="48"/>
  <c r="S53" i="48"/>
  <c r="AE52" i="48"/>
  <c r="AC52" i="48"/>
  <c r="AA52" i="48"/>
  <c r="Y52" i="48"/>
  <c r="W52" i="48"/>
  <c r="U52" i="48"/>
  <c r="S52" i="48"/>
  <c r="AE51" i="48"/>
  <c r="AC51" i="48"/>
  <c r="AA51" i="48"/>
  <c r="Y51" i="48"/>
  <c r="W51" i="48"/>
  <c r="U51" i="48"/>
  <c r="S51" i="48"/>
  <c r="AE50" i="48"/>
  <c r="AC50" i="48"/>
  <c r="AA50" i="48"/>
  <c r="Y50" i="48"/>
  <c r="W50" i="48"/>
  <c r="U50" i="48"/>
  <c r="S50" i="48"/>
  <c r="AE49" i="48"/>
  <c r="AC49" i="48"/>
  <c r="AA49" i="48"/>
  <c r="Y49" i="48"/>
  <c r="W49" i="48"/>
  <c r="U49" i="48"/>
  <c r="S49" i="48"/>
  <c r="AE48" i="48"/>
  <c r="AC48" i="48"/>
  <c r="AA48" i="48"/>
  <c r="Y48" i="48"/>
  <c r="W48" i="48"/>
  <c r="U48" i="48"/>
  <c r="S48" i="48"/>
  <c r="AE47" i="48"/>
  <c r="AC47" i="48"/>
  <c r="AA47" i="48"/>
  <c r="Y47" i="48"/>
  <c r="W47" i="48"/>
  <c r="U47" i="48"/>
  <c r="S47" i="48"/>
  <c r="AE46" i="48"/>
  <c r="AC46" i="48"/>
  <c r="AA46" i="48"/>
  <c r="Y46" i="48"/>
  <c r="W46" i="48"/>
  <c r="U46" i="48"/>
  <c r="S46" i="48"/>
  <c r="AE45" i="48"/>
  <c r="AC45" i="48"/>
  <c r="AA45" i="48"/>
  <c r="Y45" i="48"/>
  <c r="W45" i="48"/>
  <c r="U45" i="48"/>
  <c r="S45" i="48"/>
  <c r="AE44" i="48"/>
  <c r="AC44" i="48"/>
  <c r="AA44" i="48"/>
  <c r="Y44" i="48"/>
  <c r="W44" i="48"/>
  <c r="U44" i="48"/>
  <c r="S44" i="48"/>
  <c r="AE43" i="48"/>
  <c r="AC43" i="48"/>
  <c r="AA43" i="48"/>
  <c r="Y43" i="48"/>
  <c r="W43" i="48"/>
  <c r="U43" i="48"/>
  <c r="S43" i="48"/>
  <c r="AE42" i="48"/>
  <c r="AC42" i="48"/>
  <c r="AA42" i="48"/>
  <c r="Y42" i="48"/>
  <c r="W42" i="48"/>
  <c r="U42" i="48"/>
  <c r="S42" i="48"/>
  <c r="AE41" i="48"/>
  <c r="AC41" i="48"/>
  <c r="AA41" i="48"/>
  <c r="Y41" i="48"/>
  <c r="W41" i="48"/>
  <c r="U41" i="48"/>
  <c r="S41" i="48"/>
  <c r="AE40" i="48"/>
  <c r="AC40" i="48"/>
  <c r="AA40" i="48"/>
  <c r="Y40" i="48"/>
  <c r="W40" i="48"/>
  <c r="U40" i="48"/>
  <c r="S40" i="48"/>
  <c r="AE39" i="48"/>
  <c r="AC39" i="48"/>
  <c r="AA39" i="48"/>
  <c r="Y39" i="48"/>
  <c r="W39" i="48"/>
  <c r="U39" i="48"/>
  <c r="S39" i="48"/>
  <c r="AE38" i="48"/>
  <c r="AC38" i="48"/>
  <c r="AA38" i="48"/>
  <c r="Y38" i="48"/>
  <c r="W38" i="48"/>
  <c r="U38" i="48"/>
  <c r="S38" i="48"/>
  <c r="AE37" i="48"/>
  <c r="AC37" i="48"/>
  <c r="AA37" i="48"/>
  <c r="Y37" i="48"/>
  <c r="W37" i="48"/>
  <c r="U37" i="48"/>
  <c r="S37" i="48"/>
  <c r="AE36" i="48"/>
  <c r="AC36" i="48"/>
  <c r="AA36" i="48"/>
  <c r="Y36" i="48"/>
  <c r="W36" i="48"/>
  <c r="U36" i="48"/>
  <c r="S36" i="48"/>
  <c r="AE35" i="48"/>
  <c r="AC35" i="48"/>
  <c r="AA35" i="48"/>
  <c r="Y35" i="48"/>
  <c r="W35" i="48"/>
  <c r="U35" i="48"/>
  <c r="S35" i="48"/>
  <c r="D34" i="48"/>
  <c r="E34" i="48" s="1"/>
  <c r="E33" i="48"/>
  <c r="D33" i="48"/>
  <c r="E32" i="48"/>
  <c r="D32" i="48"/>
  <c r="D31" i="48"/>
  <c r="E31" i="48" s="1"/>
  <c r="D30" i="48"/>
  <c r="E30" i="48" s="1"/>
  <c r="D29" i="48"/>
  <c r="E29" i="48" s="1"/>
  <c r="AD25" i="48"/>
  <c r="AB25" i="48"/>
  <c r="AB18" i="48"/>
  <c r="AB26" i="48" s="1"/>
  <c r="Z18" i="48"/>
  <c r="Z26" i="48" s="1"/>
  <c r="X18" i="48"/>
  <c r="X26" i="48" s="1"/>
  <c r="AD17" i="48"/>
  <c r="AB17" i="48"/>
  <c r="Z17" i="48"/>
  <c r="Z25" i="48" s="1"/>
  <c r="X17" i="48"/>
  <c r="X25" i="48" s="1"/>
  <c r="V17" i="48"/>
  <c r="V25" i="48" s="1"/>
  <c r="T17" i="48"/>
  <c r="T25" i="48" s="1"/>
  <c r="R17" i="48"/>
  <c r="R25" i="48" s="1"/>
  <c r="AD16" i="48"/>
  <c r="AD24" i="48" s="1"/>
  <c r="AB16" i="48"/>
  <c r="AB24" i="48" s="1"/>
  <c r="Z16" i="48"/>
  <c r="Z24" i="48" s="1"/>
  <c r="X16" i="48"/>
  <c r="X24" i="48" s="1"/>
  <c r="V16" i="48"/>
  <c r="V24" i="48" s="1"/>
  <c r="T16" i="48"/>
  <c r="V18" i="48" s="1"/>
  <c r="V26" i="48" s="1"/>
  <c r="R16" i="48"/>
  <c r="R18" i="48" s="1"/>
  <c r="R26" i="48" s="1"/>
  <c r="P16" i="48"/>
  <c r="O16" i="48"/>
  <c r="N16" i="48"/>
  <c r="L16" i="48"/>
  <c r="K16" i="48"/>
  <c r="J16" i="48"/>
  <c r="H16" i="48"/>
  <c r="G16" i="48"/>
  <c r="F16" i="48"/>
  <c r="O15" i="48"/>
  <c r="Q14" i="48"/>
  <c r="AC14" i="48" s="1"/>
  <c r="M14" i="48"/>
  <c r="I14" i="48"/>
  <c r="O13" i="48"/>
  <c r="AE12" i="48"/>
  <c r="W12" i="48"/>
  <c r="Q12" i="48"/>
  <c r="AC12" i="48" s="1"/>
  <c r="M12" i="48"/>
  <c r="I12" i="48"/>
  <c r="O11" i="48"/>
  <c r="AE10" i="48"/>
  <c r="AC10" i="48"/>
  <c r="S10" i="48"/>
  <c r="Q10" i="48"/>
  <c r="AA10" i="48" s="1"/>
  <c r="M10" i="48"/>
  <c r="I10" i="48"/>
  <c r="O9" i="48"/>
  <c r="Q8" i="48"/>
  <c r="AC8" i="48" s="1"/>
  <c r="M8" i="48"/>
  <c r="M16" i="48" s="1"/>
  <c r="I8" i="48"/>
  <c r="O7" i="48"/>
  <c r="Q6" i="48"/>
  <c r="S6" i="48" s="1"/>
  <c r="M6" i="48"/>
  <c r="I6" i="48"/>
  <c r="C3" i="48"/>
  <c r="AE64" i="47"/>
  <c r="AC64" i="47"/>
  <c r="AA64" i="47"/>
  <c r="Y64" i="47"/>
  <c r="W64" i="47"/>
  <c r="U64" i="47"/>
  <c r="S64" i="47"/>
  <c r="AE63" i="47"/>
  <c r="AC63" i="47"/>
  <c r="AA63" i="47"/>
  <c r="Y63" i="47"/>
  <c r="W63" i="47"/>
  <c r="U63" i="47"/>
  <c r="S63" i="47"/>
  <c r="AE62" i="47"/>
  <c r="AC62" i="47"/>
  <c r="AA62" i="47"/>
  <c r="Y62" i="47"/>
  <c r="W62" i="47"/>
  <c r="U62" i="47"/>
  <c r="S62" i="47"/>
  <c r="AE61" i="47"/>
  <c r="AC61" i="47"/>
  <c r="AA61" i="47"/>
  <c r="Y61" i="47"/>
  <c r="W61" i="47"/>
  <c r="U61" i="47"/>
  <c r="S61" i="47"/>
  <c r="AE60" i="47"/>
  <c r="AC60" i="47"/>
  <c r="AA60" i="47"/>
  <c r="Y60" i="47"/>
  <c r="W60" i="47"/>
  <c r="U60" i="47"/>
  <c r="S60" i="47"/>
  <c r="AE59" i="47"/>
  <c r="AC59" i="47"/>
  <c r="AA59" i="47"/>
  <c r="Y59" i="47"/>
  <c r="W59" i="47"/>
  <c r="U59" i="47"/>
  <c r="S59" i="47"/>
  <c r="AE58" i="47"/>
  <c r="AC58" i="47"/>
  <c r="AA58" i="47"/>
  <c r="Y58" i="47"/>
  <c r="W58" i="47"/>
  <c r="U58" i="47"/>
  <c r="S58" i="47"/>
  <c r="AE57" i="47"/>
  <c r="AC57" i="47"/>
  <c r="AA57" i="47"/>
  <c r="Y57" i="47"/>
  <c r="W57" i="47"/>
  <c r="U57" i="47"/>
  <c r="S57" i="47"/>
  <c r="AE56" i="47"/>
  <c r="AC56" i="47"/>
  <c r="AA56" i="47"/>
  <c r="Y56" i="47"/>
  <c r="W56" i="47"/>
  <c r="U56" i="47"/>
  <c r="S56" i="47"/>
  <c r="AE55" i="47"/>
  <c r="AC55" i="47"/>
  <c r="AA55" i="47"/>
  <c r="Y55" i="47"/>
  <c r="W55" i="47"/>
  <c r="U55" i="47"/>
  <c r="S55" i="47"/>
  <c r="AE54" i="47"/>
  <c r="AC54" i="47"/>
  <c r="AA54" i="47"/>
  <c r="Y54" i="47"/>
  <c r="W54" i="47"/>
  <c r="U54" i="47"/>
  <c r="S54" i="47"/>
  <c r="AE53" i="47"/>
  <c r="AC53" i="47"/>
  <c r="AA53" i="47"/>
  <c r="Y53" i="47"/>
  <c r="W53" i="47"/>
  <c r="U53" i="47"/>
  <c r="S53" i="47"/>
  <c r="AE52" i="47"/>
  <c r="AC52" i="47"/>
  <c r="AA52" i="47"/>
  <c r="Y52" i="47"/>
  <c r="W52" i="47"/>
  <c r="U52" i="47"/>
  <c r="S52" i="47"/>
  <c r="AE51" i="47"/>
  <c r="AC51" i="47"/>
  <c r="AA51" i="47"/>
  <c r="Y51" i="47"/>
  <c r="W51" i="47"/>
  <c r="U51" i="47"/>
  <c r="S51" i="47"/>
  <c r="AE50" i="47"/>
  <c r="AC50" i="47"/>
  <c r="AA50" i="47"/>
  <c r="Y50" i="47"/>
  <c r="W50" i="47"/>
  <c r="U50" i="47"/>
  <c r="S50" i="47"/>
  <c r="AE49" i="47"/>
  <c r="AC49" i="47"/>
  <c r="AA49" i="47"/>
  <c r="Y49" i="47"/>
  <c r="W49" i="47"/>
  <c r="U49" i="47"/>
  <c r="S49" i="47"/>
  <c r="AE48" i="47"/>
  <c r="AC48" i="47"/>
  <c r="AA48" i="47"/>
  <c r="Y48" i="47"/>
  <c r="W48" i="47"/>
  <c r="U48" i="47"/>
  <c r="S48" i="47"/>
  <c r="AE47" i="47"/>
  <c r="AC47" i="47"/>
  <c r="AA47" i="47"/>
  <c r="Y47" i="47"/>
  <c r="W47" i="47"/>
  <c r="U47" i="47"/>
  <c r="S47" i="47"/>
  <c r="AE46" i="47"/>
  <c r="AC46" i="47"/>
  <c r="AA46" i="47"/>
  <c r="Y46" i="47"/>
  <c r="W46" i="47"/>
  <c r="U46" i="47"/>
  <c r="S46" i="47"/>
  <c r="AE45" i="47"/>
  <c r="AC45" i="47"/>
  <c r="AA45" i="47"/>
  <c r="Y45" i="47"/>
  <c r="W45" i="47"/>
  <c r="U45" i="47"/>
  <c r="S45" i="47"/>
  <c r="AE44" i="47"/>
  <c r="AC44" i="47"/>
  <c r="AA44" i="47"/>
  <c r="Y44" i="47"/>
  <c r="W44" i="47"/>
  <c r="U44" i="47"/>
  <c r="S44" i="47"/>
  <c r="AE43" i="47"/>
  <c r="AC43" i="47"/>
  <c r="AA43" i="47"/>
  <c r="Y43" i="47"/>
  <c r="W43" i="47"/>
  <c r="U43" i="47"/>
  <c r="S43" i="47"/>
  <c r="AE42" i="47"/>
  <c r="AC42" i="47"/>
  <c r="AA42" i="47"/>
  <c r="Y42" i="47"/>
  <c r="W42" i="47"/>
  <c r="U42" i="47"/>
  <c r="S42" i="47"/>
  <c r="AE41" i="47"/>
  <c r="AC41" i="47"/>
  <c r="AA41" i="47"/>
  <c r="Y41" i="47"/>
  <c r="W41" i="47"/>
  <c r="U41" i="47"/>
  <c r="S41" i="47"/>
  <c r="AE40" i="47"/>
  <c r="AC40" i="47"/>
  <c r="AA40" i="47"/>
  <c r="Y40" i="47"/>
  <c r="W40" i="47"/>
  <c r="U40" i="47"/>
  <c r="S40" i="47"/>
  <c r="AE39" i="47"/>
  <c r="AC39" i="47"/>
  <c r="AA39" i="47"/>
  <c r="Y39" i="47"/>
  <c r="W39" i="47"/>
  <c r="U39" i="47"/>
  <c r="S39" i="47"/>
  <c r="AE38" i="47"/>
  <c r="AC38" i="47"/>
  <c r="AA38" i="47"/>
  <c r="Y38" i="47"/>
  <c r="W38" i="47"/>
  <c r="U38" i="47"/>
  <c r="S38" i="47"/>
  <c r="AE37" i="47"/>
  <c r="AC37" i="47"/>
  <c r="AA37" i="47"/>
  <c r="Y37" i="47"/>
  <c r="W37" i="47"/>
  <c r="U37" i="47"/>
  <c r="S37" i="47"/>
  <c r="AE36" i="47"/>
  <c r="AC36" i="47"/>
  <c r="AA36" i="47"/>
  <c r="Y36" i="47"/>
  <c r="W36" i="47"/>
  <c r="U36" i="47"/>
  <c r="S36" i="47"/>
  <c r="AE35" i="47"/>
  <c r="AC35" i="47"/>
  <c r="AA35" i="47"/>
  <c r="Y35" i="47"/>
  <c r="W35" i="47"/>
  <c r="U35" i="47"/>
  <c r="S35" i="47"/>
  <c r="D34" i="47"/>
  <c r="E34" i="47" s="1"/>
  <c r="E33" i="47"/>
  <c r="D33" i="47"/>
  <c r="D32" i="47"/>
  <c r="E32" i="47" s="1"/>
  <c r="D31" i="47"/>
  <c r="E31" i="47" s="1"/>
  <c r="E30" i="47"/>
  <c r="D30" i="47"/>
  <c r="E29" i="47"/>
  <c r="D29" i="47"/>
  <c r="X25" i="47"/>
  <c r="V25" i="47"/>
  <c r="T25" i="47"/>
  <c r="AD24" i="47"/>
  <c r="R24" i="47"/>
  <c r="T18" i="47"/>
  <c r="T26" i="47" s="1"/>
  <c r="R18" i="47"/>
  <c r="R26" i="47" s="1"/>
  <c r="AD17" i="47"/>
  <c r="AD25" i="47" s="1"/>
  <c r="AB17" i="47"/>
  <c r="AB25" i="47" s="1"/>
  <c r="Z17" i="47"/>
  <c r="Z25" i="47" s="1"/>
  <c r="X17" i="47"/>
  <c r="V17" i="47"/>
  <c r="T17" i="47"/>
  <c r="R17" i="47"/>
  <c r="R25" i="47" s="1"/>
  <c r="AD16" i="47"/>
  <c r="AB16" i="47"/>
  <c r="AB24" i="47" s="1"/>
  <c r="Z16" i="47"/>
  <c r="Z24" i="47" s="1"/>
  <c r="X16" i="47"/>
  <c r="V16" i="47"/>
  <c r="V18" i="47" s="1"/>
  <c r="V26" i="47" s="1"/>
  <c r="T16" i="47"/>
  <c r="T24" i="47" s="1"/>
  <c r="R16" i="47"/>
  <c r="P16" i="47"/>
  <c r="O16" i="47"/>
  <c r="N16" i="47"/>
  <c r="L16" i="47"/>
  <c r="K16" i="47"/>
  <c r="J16" i="47"/>
  <c r="H16" i="47"/>
  <c r="G16" i="47"/>
  <c r="F16" i="47"/>
  <c r="O15" i="47"/>
  <c r="Y14" i="47"/>
  <c r="U14" i="47"/>
  <c r="Q14" i="47"/>
  <c r="M14" i="47"/>
  <c r="I14" i="47"/>
  <c r="O13" i="47"/>
  <c r="AE12" i="47"/>
  <c r="AC12" i="47"/>
  <c r="AA12" i="47"/>
  <c r="Y12" i="47"/>
  <c r="U12" i="47"/>
  <c r="Q12" i="47"/>
  <c r="S12" i="47" s="1"/>
  <c r="M12" i="47"/>
  <c r="I12" i="47"/>
  <c r="O11" i="47"/>
  <c r="AC10" i="47"/>
  <c r="U10" i="47"/>
  <c r="Q10" i="47"/>
  <c r="M10" i="47"/>
  <c r="I10" i="47"/>
  <c r="O9" i="47"/>
  <c r="AA8" i="47"/>
  <c r="Y8" i="47"/>
  <c r="W8" i="47"/>
  <c r="S8" i="47"/>
  <c r="Q8" i="47"/>
  <c r="U8" i="47" s="1"/>
  <c r="M8" i="47"/>
  <c r="I8" i="47"/>
  <c r="O7" i="47"/>
  <c r="Q6" i="47"/>
  <c r="M6" i="47"/>
  <c r="I6" i="47"/>
  <c r="I16" i="47" s="1"/>
  <c r="C3" i="47"/>
  <c r="AE64" i="46"/>
  <c r="AC64" i="46"/>
  <c r="AA64" i="46"/>
  <c r="Y64" i="46"/>
  <c r="W64" i="46"/>
  <c r="U64" i="46"/>
  <c r="S64" i="46"/>
  <c r="AE63" i="46"/>
  <c r="AC63" i="46"/>
  <c r="AA63" i="46"/>
  <c r="Y63" i="46"/>
  <c r="W63" i="46"/>
  <c r="U63" i="46"/>
  <c r="S63" i="46"/>
  <c r="AE62" i="46"/>
  <c r="AC62" i="46"/>
  <c r="AA62" i="46"/>
  <c r="Y62" i="46"/>
  <c r="W62" i="46"/>
  <c r="U62" i="46"/>
  <c r="S62" i="46"/>
  <c r="AE61" i="46"/>
  <c r="AC61" i="46"/>
  <c r="AA61" i="46"/>
  <c r="Y61" i="46"/>
  <c r="W61" i="46"/>
  <c r="U61" i="46"/>
  <c r="S61" i="46"/>
  <c r="AE60" i="46"/>
  <c r="AC60" i="46"/>
  <c r="AA60" i="46"/>
  <c r="Y60" i="46"/>
  <c r="W60" i="46"/>
  <c r="U60" i="46"/>
  <c r="S60" i="46"/>
  <c r="AE59" i="46"/>
  <c r="AC59" i="46"/>
  <c r="AA59" i="46"/>
  <c r="Y59" i="46"/>
  <c r="W59" i="46"/>
  <c r="U59" i="46"/>
  <c r="S59" i="46"/>
  <c r="AE58" i="46"/>
  <c r="AC58" i="46"/>
  <c r="AA58" i="46"/>
  <c r="Y58" i="46"/>
  <c r="W58" i="46"/>
  <c r="U58" i="46"/>
  <c r="S58" i="46"/>
  <c r="AE57" i="46"/>
  <c r="AC57" i="46"/>
  <c r="AA57" i="46"/>
  <c r="Y57" i="46"/>
  <c r="W57" i="46"/>
  <c r="U57" i="46"/>
  <c r="S57" i="46"/>
  <c r="AE56" i="46"/>
  <c r="AC56" i="46"/>
  <c r="AA56" i="46"/>
  <c r="Y56" i="46"/>
  <c r="W56" i="46"/>
  <c r="U56" i="46"/>
  <c r="S56" i="46"/>
  <c r="AE55" i="46"/>
  <c r="AC55" i="46"/>
  <c r="AA55" i="46"/>
  <c r="Y55" i="46"/>
  <c r="W55" i="46"/>
  <c r="U55" i="46"/>
  <c r="S55" i="46"/>
  <c r="AE54" i="46"/>
  <c r="AC54" i="46"/>
  <c r="AA54" i="46"/>
  <c r="Y54" i="46"/>
  <c r="W54" i="46"/>
  <c r="U54" i="46"/>
  <c r="S54" i="46"/>
  <c r="AE53" i="46"/>
  <c r="AC53" i="46"/>
  <c r="AA53" i="46"/>
  <c r="Y53" i="46"/>
  <c r="W53" i="46"/>
  <c r="U53" i="46"/>
  <c r="S53" i="46"/>
  <c r="AE52" i="46"/>
  <c r="AC52" i="46"/>
  <c r="AA52" i="46"/>
  <c r="Y52" i="46"/>
  <c r="W52" i="46"/>
  <c r="U52" i="46"/>
  <c r="S52" i="46"/>
  <c r="AE51" i="46"/>
  <c r="AC51" i="46"/>
  <c r="AA51" i="46"/>
  <c r="Y51" i="46"/>
  <c r="W51" i="46"/>
  <c r="U51" i="46"/>
  <c r="S51" i="46"/>
  <c r="AE50" i="46"/>
  <c r="AC50" i="46"/>
  <c r="AA50" i="46"/>
  <c r="Y50" i="46"/>
  <c r="W50" i="46"/>
  <c r="U50" i="46"/>
  <c r="S50" i="46"/>
  <c r="AE49" i="46"/>
  <c r="AC49" i="46"/>
  <c r="AA49" i="46"/>
  <c r="Y49" i="46"/>
  <c r="W49" i="46"/>
  <c r="U49" i="46"/>
  <c r="S49" i="46"/>
  <c r="AE48" i="46"/>
  <c r="AC48" i="46"/>
  <c r="AA48" i="46"/>
  <c r="Y48" i="46"/>
  <c r="W48" i="46"/>
  <c r="U48" i="46"/>
  <c r="S48" i="46"/>
  <c r="AE47" i="46"/>
  <c r="AC47" i="46"/>
  <c r="AA47" i="46"/>
  <c r="Y47" i="46"/>
  <c r="W47" i="46"/>
  <c r="U47" i="46"/>
  <c r="S47" i="46"/>
  <c r="AE46" i="46"/>
  <c r="AC46" i="46"/>
  <c r="AA46" i="46"/>
  <c r="Y46" i="46"/>
  <c r="W46" i="46"/>
  <c r="U46" i="46"/>
  <c r="S46" i="46"/>
  <c r="AE45" i="46"/>
  <c r="AC45" i="46"/>
  <c r="AA45" i="46"/>
  <c r="Y45" i="46"/>
  <c r="W45" i="46"/>
  <c r="U45" i="46"/>
  <c r="S45" i="46"/>
  <c r="AE44" i="46"/>
  <c r="AC44" i="46"/>
  <c r="AA44" i="46"/>
  <c r="Y44" i="46"/>
  <c r="W44" i="46"/>
  <c r="U44" i="46"/>
  <c r="S44" i="46"/>
  <c r="AE43" i="46"/>
  <c r="AC43" i="46"/>
  <c r="AA43" i="46"/>
  <c r="Y43" i="46"/>
  <c r="W43" i="46"/>
  <c r="U43" i="46"/>
  <c r="S43" i="46"/>
  <c r="AE42" i="46"/>
  <c r="AC42" i="46"/>
  <c r="AA42" i="46"/>
  <c r="Y42" i="46"/>
  <c r="W42" i="46"/>
  <c r="U42" i="46"/>
  <c r="S42" i="46"/>
  <c r="AE41" i="46"/>
  <c r="AC41" i="46"/>
  <c r="AA41" i="46"/>
  <c r="Y41" i="46"/>
  <c r="W41" i="46"/>
  <c r="U41" i="46"/>
  <c r="S41" i="46"/>
  <c r="AE40" i="46"/>
  <c r="AC40" i="46"/>
  <c r="AA40" i="46"/>
  <c r="Y40" i="46"/>
  <c r="W40" i="46"/>
  <c r="U40" i="46"/>
  <c r="S40" i="46"/>
  <c r="AE39" i="46"/>
  <c r="AC39" i="46"/>
  <c r="AA39" i="46"/>
  <c r="Y39" i="46"/>
  <c r="W39" i="46"/>
  <c r="U39" i="46"/>
  <c r="S39" i="46"/>
  <c r="AE38" i="46"/>
  <c r="AC38" i="46"/>
  <c r="AA38" i="46"/>
  <c r="Y38" i="46"/>
  <c r="W38" i="46"/>
  <c r="U38" i="46"/>
  <c r="S38" i="46"/>
  <c r="AE37" i="46"/>
  <c r="AC37" i="46"/>
  <c r="AA37" i="46"/>
  <c r="Y37" i="46"/>
  <c r="W37" i="46"/>
  <c r="U37" i="46"/>
  <c r="S37" i="46"/>
  <c r="AE36" i="46"/>
  <c r="AC36" i="46"/>
  <c r="AA36" i="46"/>
  <c r="Y36" i="46"/>
  <c r="W36" i="46"/>
  <c r="U36" i="46"/>
  <c r="S36" i="46"/>
  <c r="AE35" i="46"/>
  <c r="AC35" i="46"/>
  <c r="AA35" i="46"/>
  <c r="Y35" i="46"/>
  <c r="W35" i="46"/>
  <c r="U35" i="46"/>
  <c r="S35" i="46"/>
  <c r="D34" i="46"/>
  <c r="E34" i="46" s="1"/>
  <c r="D33" i="46"/>
  <c r="E33" i="46" s="1"/>
  <c r="D32" i="46"/>
  <c r="E32" i="46" s="1"/>
  <c r="E31" i="46"/>
  <c r="D31" i="46"/>
  <c r="D30" i="46"/>
  <c r="E30" i="46" s="1"/>
  <c r="E29" i="46"/>
  <c r="D29" i="46"/>
  <c r="AB25" i="46"/>
  <c r="X25" i="46"/>
  <c r="Z18" i="46"/>
  <c r="Z26" i="46" s="1"/>
  <c r="X18" i="46"/>
  <c r="X26" i="46" s="1"/>
  <c r="T18" i="46"/>
  <c r="T26" i="46" s="1"/>
  <c r="AD17" i="46"/>
  <c r="AD25" i="46" s="1"/>
  <c r="AB17" i="46"/>
  <c r="Z17" i="46"/>
  <c r="Z25" i="46" s="1"/>
  <c r="X17" i="46"/>
  <c r="V17" i="46"/>
  <c r="V25" i="46" s="1"/>
  <c r="T17" i="46"/>
  <c r="T25" i="46" s="1"/>
  <c r="R17" i="46"/>
  <c r="R25" i="46" s="1"/>
  <c r="AD16" i="46"/>
  <c r="AD24" i="46" s="1"/>
  <c r="AB16" i="46"/>
  <c r="AB24" i="46" s="1"/>
  <c r="Z16" i="46"/>
  <c r="Z24" i="46" s="1"/>
  <c r="X16" i="46"/>
  <c r="X24" i="46" s="1"/>
  <c r="V16" i="46"/>
  <c r="V24" i="46" s="1"/>
  <c r="T16" i="46"/>
  <c r="R16" i="46"/>
  <c r="R18" i="46" s="1"/>
  <c r="R26" i="46" s="1"/>
  <c r="P16" i="46"/>
  <c r="O16" i="46"/>
  <c r="N16" i="46"/>
  <c r="L16" i="46"/>
  <c r="K16" i="46"/>
  <c r="J16" i="46"/>
  <c r="H16" i="46"/>
  <c r="G16" i="46"/>
  <c r="F16" i="46"/>
  <c r="O15" i="46"/>
  <c r="AC14" i="46"/>
  <c r="Q14" i="46"/>
  <c r="Y14" i="46" s="1"/>
  <c r="M14" i="46"/>
  <c r="I14" i="46"/>
  <c r="O13" i="46"/>
  <c r="AE12" i="46"/>
  <c r="W12" i="46"/>
  <c r="U12" i="46"/>
  <c r="Q12" i="46"/>
  <c r="AC12" i="46" s="1"/>
  <c r="M12" i="46"/>
  <c r="I12" i="46"/>
  <c r="O11" i="46"/>
  <c r="AC10" i="46"/>
  <c r="Q10" i="46"/>
  <c r="AA10" i="46" s="1"/>
  <c r="M10" i="46"/>
  <c r="I10" i="46"/>
  <c r="O9" i="46"/>
  <c r="Q8" i="46"/>
  <c r="M8" i="46"/>
  <c r="I8" i="46"/>
  <c r="O7" i="46"/>
  <c r="Q6" i="46"/>
  <c r="M6" i="46"/>
  <c r="I6" i="46"/>
  <c r="C3" i="46"/>
  <c r="AE64" i="45"/>
  <c r="AC64" i="45"/>
  <c r="AA64" i="45"/>
  <c r="Y64" i="45"/>
  <c r="W64" i="45"/>
  <c r="U64" i="45"/>
  <c r="S64" i="45"/>
  <c r="AE63" i="45"/>
  <c r="AC63" i="45"/>
  <c r="AA63" i="45"/>
  <c r="Y63" i="45"/>
  <c r="W63" i="45"/>
  <c r="U63" i="45"/>
  <c r="S63" i="45"/>
  <c r="AE62" i="45"/>
  <c r="AC62" i="45"/>
  <c r="AA62" i="45"/>
  <c r="Y62" i="45"/>
  <c r="W62" i="45"/>
  <c r="U62" i="45"/>
  <c r="S62" i="45"/>
  <c r="AE61" i="45"/>
  <c r="AC61" i="45"/>
  <c r="AA61" i="45"/>
  <c r="Y61" i="45"/>
  <c r="W61" i="45"/>
  <c r="U61" i="45"/>
  <c r="S61" i="45"/>
  <c r="AE60" i="45"/>
  <c r="AC60" i="45"/>
  <c r="AA60" i="45"/>
  <c r="Y60" i="45"/>
  <c r="W60" i="45"/>
  <c r="U60" i="45"/>
  <c r="S60" i="45"/>
  <c r="AE59" i="45"/>
  <c r="AC59" i="45"/>
  <c r="AA59" i="45"/>
  <c r="Y59" i="45"/>
  <c r="W59" i="45"/>
  <c r="U59" i="45"/>
  <c r="S59" i="45"/>
  <c r="AE58" i="45"/>
  <c r="AC58" i="45"/>
  <c r="AA58" i="45"/>
  <c r="Y58" i="45"/>
  <c r="W58" i="45"/>
  <c r="U58" i="45"/>
  <c r="S58" i="45"/>
  <c r="AE57" i="45"/>
  <c r="AC57" i="45"/>
  <c r="AA57" i="45"/>
  <c r="Y57" i="45"/>
  <c r="W57" i="45"/>
  <c r="U57" i="45"/>
  <c r="S57" i="45"/>
  <c r="AE56" i="45"/>
  <c r="AC56" i="45"/>
  <c r="AA56" i="45"/>
  <c r="Y56" i="45"/>
  <c r="W56" i="45"/>
  <c r="U56" i="45"/>
  <c r="S56" i="45"/>
  <c r="AE55" i="45"/>
  <c r="AC55" i="45"/>
  <c r="AA55" i="45"/>
  <c r="Y55" i="45"/>
  <c r="W55" i="45"/>
  <c r="U55" i="45"/>
  <c r="S55" i="45"/>
  <c r="AE54" i="45"/>
  <c r="AC54" i="45"/>
  <c r="AA54" i="45"/>
  <c r="Y54" i="45"/>
  <c r="W54" i="45"/>
  <c r="U54" i="45"/>
  <c r="S54" i="45"/>
  <c r="AE53" i="45"/>
  <c r="AC53" i="45"/>
  <c r="AA53" i="45"/>
  <c r="Y53" i="45"/>
  <c r="W53" i="45"/>
  <c r="U53" i="45"/>
  <c r="S53" i="45"/>
  <c r="AE52" i="45"/>
  <c r="AC52" i="45"/>
  <c r="AA52" i="45"/>
  <c r="Y52" i="45"/>
  <c r="W52" i="45"/>
  <c r="U52" i="45"/>
  <c r="S52" i="45"/>
  <c r="AE51" i="45"/>
  <c r="AC51" i="45"/>
  <c r="AA51" i="45"/>
  <c r="Y51" i="45"/>
  <c r="W51" i="45"/>
  <c r="U51" i="45"/>
  <c r="S51" i="45"/>
  <c r="AE50" i="45"/>
  <c r="AC50" i="45"/>
  <c r="AA50" i="45"/>
  <c r="Y50" i="45"/>
  <c r="W50" i="45"/>
  <c r="U50" i="45"/>
  <c r="S50" i="45"/>
  <c r="AE49" i="45"/>
  <c r="AC49" i="45"/>
  <c r="AA49" i="45"/>
  <c r="Y49" i="45"/>
  <c r="W49" i="45"/>
  <c r="U49" i="45"/>
  <c r="S49" i="45"/>
  <c r="AE48" i="45"/>
  <c r="AC48" i="45"/>
  <c r="AA48" i="45"/>
  <c r="Y48" i="45"/>
  <c r="W48" i="45"/>
  <c r="U48" i="45"/>
  <c r="S48" i="45"/>
  <c r="AE47" i="45"/>
  <c r="AC47" i="45"/>
  <c r="AA47" i="45"/>
  <c r="Y47" i="45"/>
  <c r="W47" i="45"/>
  <c r="U47" i="45"/>
  <c r="S47" i="45"/>
  <c r="AE46" i="45"/>
  <c r="AC46" i="45"/>
  <c r="AA46" i="45"/>
  <c r="Y46" i="45"/>
  <c r="W46" i="45"/>
  <c r="U46" i="45"/>
  <c r="S46" i="45"/>
  <c r="AE45" i="45"/>
  <c r="AC45" i="45"/>
  <c r="AA45" i="45"/>
  <c r="Y45" i="45"/>
  <c r="W45" i="45"/>
  <c r="U45" i="45"/>
  <c r="S45" i="45"/>
  <c r="AE44" i="45"/>
  <c r="AC44" i="45"/>
  <c r="AA44" i="45"/>
  <c r="Y44" i="45"/>
  <c r="W44" i="45"/>
  <c r="U44" i="45"/>
  <c r="S44" i="45"/>
  <c r="AE43" i="45"/>
  <c r="AC43" i="45"/>
  <c r="AA43" i="45"/>
  <c r="Y43" i="45"/>
  <c r="W43" i="45"/>
  <c r="U43" i="45"/>
  <c r="S43" i="45"/>
  <c r="AE42" i="45"/>
  <c r="AC42" i="45"/>
  <c r="AA42" i="45"/>
  <c r="Y42" i="45"/>
  <c r="W42" i="45"/>
  <c r="U42" i="45"/>
  <c r="S42" i="45"/>
  <c r="AE41" i="45"/>
  <c r="AC41" i="45"/>
  <c r="AA41" i="45"/>
  <c r="Y41" i="45"/>
  <c r="W41" i="45"/>
  <c r="U41" i="45"/>
  <c r="S41" i="45"/>
  <c r="AE40" i="45"/>
  <c r="AC40" i="45"/>
  <c r="AA40" i="45"/>
  <c r="Y40" i="45"/>
  <c r="W40" i="45"/>
  <c r="U40" i="45"/>
  <c r="S40" i="45"/>
  <c r="AE39" i="45"/>
  <c r="AC39" i="45"/>
  <c r="AA39" i="45"/>
  <c r="Y39" i="45"/>
  <c r="W39" i="45"/>
  <c r="U39" i="45"/>
  <c r="S39" i="45"/>
  <c r="AE38" i="45"/>
  <c r="AC38" i="45"/>
  <c r="AA38" i="45"/>
  <c r="Y38" i="45"/>
  <c r="W38" i="45"/>
  <c r="U38" i="45"/>
  <c r="S38" i="45"/>
  <c r="AE37" i="45"/>
  <c r="AC37" i="45"/>
  <c r="AA37" i="45"/>
  <c r="Y37" i="45"/>
  <c r="W37" i="45"/>
  <c r="U37" i="45"/>
  <c r="S37" i="45"/>
  <c r="AE36" i="45"/>
  <c r="AC36" i="45"/>
  <c r="AA36" i="45"/>
  <c r="Y36" i="45"/>
  <c r="W36" i="45"/>
  <c r="U36" i="45"/>
  <c r="S36" i="45"/>
  <c r="AE35" i="45"/>
  <c r="AC35" i="45"/>
  <c r="AA35" i="45"/>
  <c r="Y35" i="45"/>
  <c r="W35" i="45"/>
  <c r="U35" i="45"/>
  <c r="S35" i="45"/>
  <c r="E34" i="45"/>
  <c r="D34" i="45"/>
  <c r="D33" i="45"/>
  <c r="E33" i="45" s="1"/>
  <c r="D32" i="45"/>
  <c r="E32" i="45" s="1"/>
  <c r="D31" i="45"/>
  <c r="E31" i="45" s="1"/>
  <c r="D30" i="45"/>
  <c r="E30" i="45" s="1"/>
  <c r="D29" i="45"/>
  <c r="E29" i="45" s="1"/>
  <c r="V25" i="45"/>
  <c r="T25" i="45"/>
  <c r="R25" i="45"/>
  <c r="T24" i="45"/>
  <c r="AD17" i="45"/>
  <c r="AD25" i="45" s="1"/>
  <c r="AB17" i="45"/>
  <c r="AB25" i="45" s="1"/>
  <c r="Z17" i="45"/>
  <c r="Z25" i="45" s="1"/>
  <c r="X17" i="45"/>
  <c r="X25" i="45" s="1"/>
  <c r="V17" i="45"/>
  <c r="T17" i="45"/>
  <c r="R17" i="45"/>
  <c r="AD16" i="45"/>
  <c r="AD24" i="45" s="1"/>
  <c r="AB16" i="45"/>
  <c r="AB24" i="45" s="1"/>
  <c r="Z16" i="45"/>
  <c r="Z24" i="45" s="1"/>
  <c r="X16" i="45"/>
  <c r="V16" i="45"/>
  <c r="V18" i="45" s="1"/>
  <c r="V26" i="45" s="1"/>
  <c r="T16" i="45"/>
  <c r="R16" i="45"/>
  <c r="R24" i="45" s="1"/>
  <c r="P16" i="45"/>
  <c r="O16" i="45"/>
  <c r="N16" i="45"/>
  <c r="L16" i="45"/>
  <c r="K16" i="45"/>
  <c r="J16" i="45"/>
  <c r="H16" i="45"/>
  <c r="G16" i="45"/>
  <c r="F16" i="45"/>
  <c r="O15" i="45"/>
  <c r="AE14" i="45"/>
  <c r="Y14" i="45"/>
  <c r="U14" i="45"/>
  <c r="S14" i="45"/>
  <c r="Q14" i="45"/>
  <c r="W14" i="45" s="1"/>
  <c r="M14" i="45"/>
  <c r="I14" i="45"/>
  <c r="O13" i="45"/>
  <c r="AE12" i="45"/>
  <c r="U12" i="45"/>
  <c r="Q12" i="45"/>
  <c r="S12" i="45" s="1"/>
  <c r="M12" i="45"/>
  <c r="I12" i="45"/>
  <c r="O11" i="45"/>
  <c r="Q10" i="45"/>
  <c r="AC10" i="45" s="1"/>
  <c r="M10" i="45"/>
  <c r="I10" i="45"/>
  <c r="O9" i="45"/>
  <c r="U8" i="45"/>
  <c r="S8" i="45"/>
  <c r="Q8" i="45"/>
  <c r="AA8" i="45" s="1"/>
  <c r="M8" i="45"/>
  <c r="I8" i="45"/>
  <c r="O7" i="45"/>
  <c r="Q6" i="45"/>
  <c r="Q16" i="45" s="1"/>
  <c r="M6" i="45"/>
  <c r="I6" i="45"/>
  <c r="I16" i="45" s="1"/>
  <c r="C3" i="45"/>
  <c r="AE64" i="44"/>
  <c r="AC64" i="44"/>
  <c r="AA64" i="44"/>
  <c r="Y64" i="44"/>
  <c r="W64" i="44"/>
  <c r="U64" i="44"/>
  <c r="S64" i="44"/>
  <c r="AE63" i="44"/>
  <c r="AC63" i="44"/>
  <c r="AA63" i="44"/>
  <c r="Y63" i="44"/>
  <c r="W63" i="44"/>
  <c r="U63" i="44"/>
  <c r="S63" i="44"/>
  <c r="AE62" i="44"/>
  <c r="AC62" i="44"/>
  <c r="AA62" i="44"/>
  <c r="Y62" i="44"/>
  <c r="W62" i="44"/>
  <c r="U62" i="44"/>
  <c r="S62" i="44"/>
  <c r="AE61" i="44"/>
  <c r="AC61" i="44"/>
  <c r="AA61" i="44"/>
  <c r="Y61" i="44"/>
  <c r="W61" i="44"/>
  <c r="U61" i="44"/>
  <c r="S61" i="44"/>
  <c r="AE60" i="44"/>
  <c r="AC60" i="44"/>
  <c r="AA60" i="44"/>
  <c r="Y60" i="44"/>
  <c r="W60" i="44"/>
  <c r="U60" i="44"/>
  <c r="S60" i="44"/>
  <c r="AE59" i="44"/>
  <c r="AC59" i="44"/>
  <c r="AA59" i="44"/>
  <c r="Y59" i="44"/>
  <c r="W59" i="44"/>
  <c r="U59" i="44"/>
  <c r="S59" i="44"/>
  <c r="AE58" i="44"/>
  <c r="AC58" i="44"/>
  <c r="AA58" i="44"/>
  <c r="Y58" i="44"/>
  <c r="W58" i="44"/>
  <c r="U58" i="44"/>
  <c r="S58" i="44"/>
  <c r="AE57" i="44"/>
  <c r="AC57" i="44"/>
  <c r="AA57" i="44"/>
  <c r="Y57" i="44"/>
  <c r="W57" i="44"/>
  <c r="U57" i="44"/>
  <c r="S57" i="44"/>
  <c r="AE56" i="44"/>
  <c r="AC56" i="44"/>
  <c r="AA56" i="44"/>
  <c r="Y56" i="44"/>
  <c r="W56" i="44"/>
  <c r="U56" i="44"/>
  <c r="S56" i="44"/>
  <c r="AE55" i="44"/>
  <c r="AC55" i="44"/>
  <c r="AA55" i="44"/>
  <c r="Y55" i="44"/>
  <c r="W55" i="44"/>
  <c r="U55" i="44"/>
  <c r="S55" i="44"/>
  <c r="AE54" i="44"/>
  <c r="AC54" i="44"/>
  <c r="AA54" i="44"/>
  <c r="Y54" i="44"/>
  <c r="W54" i="44"/>
  <c r="U54" i="44"/>
  <c r="S54" i="44"/>
  <c r="AE53" i="44"/>
  <c r="AC53" i="44"/>
  <c r="AA53" i="44"/>
  <c r="Y53" i="44"/>
  <c r="W53" i="44"/>
  <c r="U53" i="44"/>
  <c r="S53" i="44"/>
  <c r="AE52" i="44"/>
  <c r="AC52" i="44"/>
  <c r="AA52" i="44"/>
  <c r="Y52" i="44"/>
  <c r="W52" i="44"/>
  <c r="U52" i="44"/>
  <c r="S52" i="44"/>
  <c r="AE51" i="44"/>
  <c r="AC51" i="44"/>
  <c r="AA51" i="44"/>
  <c r="Y51" i="44"/>
  <c r="W51" i="44"/>
  <c r="U51" i="44"/>
  <c r="S51" i="44"/>
  <c r="AE50" i="44"/>
  <c r="AC50" i="44"/>
  <c r="AA50" i="44"/>
  <c r="Y50" i="44"/>
  <c r="W50" i="44"/>
  <c r="U50" i="44"/>
  <c r="S50" i="44"/>
  <c r="AE49" i="44"/>
  <c r="AC49" i="44"/>
  <c r="AA49" i="44"/>
  <c r="Y49" i="44"/>
  <c r="W49" i="44"/>
  <c r="U49" i="44"/>
  <c r="S49" i="44"/>
  <c r="AE48" i="44"/>
  <c r="AC48" i="44"/>
  <c r="AA48" i="44"/>
  <c r="Y48" i="44"/>
  <c r="W48" i="44"/>
  <c r="U48" i="44"/>
  <c r="S48" i="44"/>
  <c r="AE47" i="44"/>
  <c r="AC47" i="44"/>
  <c r="AA47" i="44"/>
  <c r="Y47" i="44"/>
  <c r="W47" i="44"/>
  <c r="U47" i="44"/>
  <c r="S47" i="44"/>
  <c r="AE46" i="44"/>
  <c r="AC46" i="44"/>
  <c r="AA46" i="44"/>
  <c r="Y46" i="44"/>
  <c r="W46" i="44"/>
  <c r="U46" i="44"/>
  <c r="S46" i="44"/>
  <c r="AE45" i="44"/>
  <c r="AC45" i="44"/>
  <c r="AA45" i="44"/>
  <c r="Y45" i="44"/>
  <c r="W45" i="44"/>
  <c r="U45" i="44"/>
  <c r="S45" i="44"/>
  <c r="AE44" i="44"/>
  <c r="AC44" i="44"/>
  <c r="AA44" i="44"/>
  <c r="Y44" i="44"/>
  <c r="W44" i="44"/>
  <c r="U44" i="44"/>
  <c r="S44" i="44"/>
  <c r="AE43" i="44"/>
  <c r="AC43" i="44"/>
  <c r="AA43" i="44"/>
  <c r="Y43" i="44"/>
  <c r="W43" i="44"/>
  <c r="U43" i="44"/>
  <c r="S43" i="44"/>
  <c r="AE42" i="44"/>
  <c r="AC42" i="44"/>
  <c r="AA42" i="44"/>
  <c r="Y42" i="44"/>
  <c r="W42" i="44"/>
  <c r="U42" i="44"/>
  <c r="S42" i="44"/>
  <c r="AE41" i="44"/>
  <c r="AC41" i="44"/>
  <c r="AA41" i="44"/>
  <c r="Y41" i="44"/>
  <c r="W41" i="44"/>
  <c r="U41" i="44"/>
  <c r="S41" i="44"/>
  <c r="AE40" i="44"/>
  <c r="AC40" i="44"/>
  <c r="AA40" i="44"/>
  <c r="Y40" i="44"/>
  <c r="W40" i="44"/>
  <c r="U40" i="44"/>
  <c r="S40" i="44"/>
  <c r="AE39" i="44"/>
  <c r="AC39" i="44"/>
  <c r="AA39" i="44"/>
  <c r="Y39" i="44"/>
  <c r="W39" i="44"/>
  <c r="U39" i="44"/>
  <c r="S39" i="44"/>
  <c r="AE38" i="44"/>
  <c r="AC38" i="44"/>
  <c r="AA38" i="44"/>
  <c r="Y38" i="44"/>
  <c r="W38" i="44"/>
  <c r="U38" i="44"/>
  <c r="S38" i="44"/>
  <c r="AE37" i="44"/>
  <c r="AC37" i="44"/>
  <c r="AA37" i="44"/>
  <c r="Y37" i="44"/>
  <c r="W37" i="44"/>
  <c r="U37" i="44"/>
  <c r="S37" i="44"/>
  <c r="AE36" i="44"/>
  <c r="AC36" i="44"/>
  <c r="AA36" i="44"/>
  <c r="Y36" i="44"/>
  <c r="W36" i="44"/>
  <c r="U36" i="44"/>
  <c r="S36" i="44"/>
  <c r="AE35" i="44"/>
  <c r="AC35" i="44"/>
  <c r="AA35" i="44"/>
  <c r="Y35" i="44"/>
  <c r="W35" i="44"/>
  <c r="U35" i="44"/>
  <c r="S35" i="44"/>
  <c r="D34" i="44"/>
  <c r="E34" i="44" s="1"/>
  <c r="D33" i="44"/>
  <c r="E33" i="44" s="1"/>
  <c r="E32" i="44"/>
  <c r="D32" i="44"/>
  <c r="D31" i="44"/>
  <c r="E31" i="44" s="1"/>
  <c r="D30" i="44"/>
  <c r="E30" i="44" s="1"/>
  <c r="D29" i="44"/>
  <c r="E29" i="44" s="1"/>
  <c r="V25" i="44"/>
  <c r="AD24" i="44"/>
  <c r="X24" i="44"/>
  <c r="AD17" i="44"/>
  <c r="AD25" i="44" s="1"/>
  <c r="AB17" i="44"/>
  <c r="AB25" i="44" s="1"/>
  <c r="Z17" i="44"/>
  <c r="Z25" i="44" s="1"/>
  <c r="X17" i="44"/>
  <c r="X25" i="44" s="1"/>
  <c r="V17" i="44"/>
  <c r="T17" i="44"/>
  <c r="T25" i="44" s="1"/>
  <c r="R17" i="44"/>
  <c r="R25" i="44" s="1"/>
  <c r="AD16" i="44"/>
  <c r="AB16" i="44"/>
  <c r="AB24" i="44" s="1"/>
  <c r="Z16" i="44"/>
  <c r="Z24" i="44" s="1"/>
  <c r="X16" i="44"/>
  <c r="V16" i="44"/>
  <c r="V24" i="44" s="1"/>
  <c r="T16" i="44"/>
  <c r="R16" i="44"/>
  <c r="P16" i="44"/>
  <c r="O16" i="44"/>
  <c r="N16" i="44"/>
  <c r="L16" i="44"/>
  <c r="K16" i="44"/>
  <c r="J16" i="44"/>
  <c r="H16" i="44"/>
  <c r="G16" i="44"/>
  <c r="F16" i="44"/>
  <c r="O15" i="44"/>
  <c r="Y14" i="44"/>
  <c r="Q14" i="44"/>
  <c r="AE14" i="44" s="1"/>
  <c r="M14" i="44"/>
  <c r="I14" i="44"/>
  <c r="O13" i="44"/>
  <c r="AE12" i="44"/>
  <c r="AC12" i="44"/>
  <c r="Q12" i="44"/>
  <c r="W12" i="44" s="1"/>
  <c r="M12" i="44"/>
  <c r="I12" i="44"/>
  <c r="O11" i="44"/>
  <c r="Q10" i="44"/>
  <c r="AE10" i="44" s="1"/>
  <c r="M10" i="44"/>
  <c r="I10" i="44"/>
  <c r="O9" i="44"/>
  <c r="Q8" i="44"/>
  <c r="M8" i="44"/>
  <c r="I8" i="44"/>
  <c r="O7" i="44"/>
  <c r="AE6" i="44"/>
  <c r="Y6" i="44"/>
  <c r="W6" i="44"/>
  <c r="U6" i="44"/>
  <c r="S6" i="44"/>
  <c r="Q6" i="44"/>
  <c r="M6" i="44"/>
  <c r="I6" i="44"/>
  <c r="C3" i="44"/>
  <c r="AE64" i="43"/>
  <c r="AC64" i="43"/>
  <c r="AA64" i="43"/>
  <c r="Y64" i="43"/>
  <c r="W64" i="43"/>
  <c r="U64" i="43"/>
  <c r="S64" i="43"/>
  <c r="AE63" i="43"/>
  <c r="AC63" i="43"/>
  <c r="AA63" i="43"/>
  <c r="Y63" i="43"/>
  <c r="W63" i="43"/>
  <c r="U63" i="43"/>
  <c r="S63" i="43"/>
  <c r="AE62" i="43"/>
  <c r="AC62" i="43"/>
  <c r="AA62" i="43"/>
  <c r="Y62" i="43"/>
  <c r="W62" i="43"/>
  <c r="U62" i="43"/>
  <c r="S62" i="43"/>
  <c r="AE61" i="43"/>
  <c r="AC61" i="43"/>
  <c r="AA61" i="43"/>
  <c r="Y61" i="43"/>
  <c r="W61" i="43"/>
  <c r="U61" i="43"/>
  <c r="S61" i="43"/>
  <c r="AE60" i="43"/>
  <c r="AC60" i="43"/>
  <c r="AA60" i="43"/>
  <c r="Y60" i="43"/>
  <c r="W60" i="43"/>
  <c r="U60" i="43"/>
  <c r="S60" i="43"/>
  <c r="AE59" i="43"/>
  <c r="AC59" i="43"/>
  <c r="AA59" i="43"/>
  <c r="Y59" i="43"/>
  <c r="W59" i="43"/>
  <c r="U59" i="43"/>
  <c r="S59" i="43"/>
  <c r="AE58" i="43"/>
  <c r="AC58" i="43"/>
  <c r="AA58" i="43"/>
  <c r="Y58" i="43"/>
  <c r="W58" i="43"/>
  <c r="U58" i="43"/>
  <c r="S58" i="43"/>
  <c r="AE57" i="43"/>
  <c r="AC57" i="43"/>
  <c r="AA57" i="43"/>
  <c r="Y57" i="43"/>
  <c r="W57" i="43"/>
  <c r="U57" i="43"/>
  <c r="S57" i="43"/>
  <c r="AE56" i="43"/>
  <c r="AC56" i="43"/>
  <c r="AA56" i="43"/>
  <c r="Y56" i="43"/>
  <c r="W56" i="43"/>
  <c r="U56" i="43"/>
  <c r="S56" i="43"/>
  <c r="AE55" i="43"/>
  <c r="AC55" i="43"/>
  <c r="AA55" i="43"/>
  <c r="Y55" i="43"/>
  <c r="W55" i="43"/>
  <c r="U55" i="43"/>
  <c r="S55" i="43"/>
  <c r="AE54" i="43"/>
  <c r="AC54" i="43"/>
  <c r="AA54" i="43"/>
  <c r="Y54" i="43"/>
  <c r="W54" i="43"/>
  <c r="U54" i="43"/>
  <c r="S54" i="43"/>
  <c r="AE53" i="43"/>
  <c r="AC53" i="43"/>
  <c r="AA53" i="43"/>
  <c r="Y53" i="43"/>
  <c r="W53" i="43"/>
  <c r="U53" i="43"/>
  <c r="S53" i="43"/>
  <c r="AE52" i="43"/>
  <c r="AC52" i="43"/>
  <c r="AA52" i="43"/>
  <c r="Y52" i="43"/>
  <c r="W52" i="43"/>
  <c r="U52" i="43"/>
  <c r="S52" i="43"/>
  <c r="AE51" i="43"/>
  <c r="AC51" i="43"/>
  <c r="AA51" i="43"/>
  <c r="Y51" i="43"/>
  <c r="W51" i="43"/>
  <c r="U51" i="43"/>
  <c r="S51" i="43"/>
  <c r="AE50" i="43"/>
  <c r="AC50" i="43"/>
  <c r="AA50" i="43"/>
  <c r="Y50" i="43"/>
  <c r="W50" i="43"/>
  <c r="U50" i="43"/>
  <c r="S50" i="43"/>
  <c r="AE49" i="43"/>
  <c r="AC49" i="43"/>
  <c r="AA49" i="43"/>
  <c r="Y49" i="43"/>
  <c r="W49" i="43"/>
  <c r="U49" i="43"/>
  <c r="S49" i="43"/>
  <c r="AE48" i="43"/>
  <c r="AC48" i="43"/>
  <c r="AA48" i="43"/>
  <c r="Y48" i="43"/>
  <c r="W48" i="43"/>
  <c r="U48" i="43"/>
  <c r="S48" i="43"/>
  <c r="AE47" i="43"/>
  <c r="AC47" i="43"/>
  <c r="AA47" i="43"/>
  <c r="Y47" i="43"/>
  <c r="W47" i="43"/>
  <c r="U47" i="43"/>
  <c r="S47" i="43"/>
  <c r="AE46" i="43"/>
  <c r="AC46" i="43"/>
  <c r="AA46" i="43"/>
  <c r="Y46" i="43"/>
  <c r="W46" i="43"/>
  <c r="U46" i="43"/>
  <c r="S46" i="43"/>
  <c r="AE45" i="43"/>
  <c r="AC45" i="43"/>
  <c r="AA45" i="43"/>
  <c r="Y45" i="43"/>
  <c r="W45" i="43"/>
  <c r="U45" i="43"/>
  <c r="S45" i="43"/>
  <c r="AE44" i="43"/>
  <c r="AC44" i="43"/>
  <c r="AA44" i="43"/>
  <c r="Y44" i="43"/>
  <c r="W44" i="43"/>
  <c r="U44" i="43"/>
  <c r="S44" i="43"/>
  <c r="AE43" i="43"/>
  <c r="AC43" i="43"/>
  <c r="AA43" i="43"/>
  <c r="Y43" i="43"/>
  <c r="W43" i="43"/>
  <c r="U43" i="43"/>
  <c r="S43" i="43"/>
  <c r="AE42" i="43"/>
  <c r="AC42" i="43"/>
  <c r="AA42" i="43"/>
  <c r="Y42" i="43"/>
  <c r="W42" i="43"/>
  <c r="U42" i="43"/>
  <c r="S42" i="43"/>
  <c r="AE41" i="43"/>
  <c r="AC41" i="43"/>
  <c r="AA41" i="43"/>
  <c r="Y41" i="43"/>
  <c r="W41" i="43"/>
  <c r="U41" i="43"/>
  <c r="S41" i="43"/>
  <c r="AE40" i="43"/>
  <c r="AC40" i="43"/>
  <c r="AA40" i="43"/>
  <c r="Y40" i="43"/>
  <c r="W40" i="43"/>
  <c r="U40" i="43"/>
  <c r="S40" i="43"/>
  <c r="AE39" i="43"/>
  <c r="AC39" i="43"/>
  <c r="AA39" i="43"/>
  <c r="Y39" i="43"/>
  <c r="W39" i="43"/>
  <c r="U39" i="43"/>
  <c r="S39" i="43"/>
  <c r="AE38" i="43"/>
  <c r="AC38" i="43"/>
  <c r="AA38" i="43"/>
  <c r="Y38" i="43"/>
  <c r="W38" i="43"/>
  <c r="U38" i="43"/>
  <c r="S38" i="43"/>
  <c r="AE37" i="43"/>
  <c r="AC37" i="43"/>
  <c r="AA37" i="43"/>
  <c r="Y37" i="43"/>
  <c r="W37" i="43"/>
  <c r="U37" i="43"/>
  <c r="S37" i="43"/>
  <c r="AE36" i="43"/>
  <c r="AC36" i="43"/>
  <c r="AA36" i="43"/>
  <c r="Y36" i="43"/>
  <c r="W36" i="43"/>
  <c r="U36" i="43"/>
  <c r="S36" i="43"/>
  <c r="AE35" i="43"/>
  <c r="AC35" i="43"/>
  <c r="AA35" i="43"/>
  <c r="Y35" i="43"/>
  <c r="W35" i="43"/>
  <c r="U35" i="43"/>
  <c r="S35" i="43"/>
  <c r="D34" i="43"/>
  <c r="E34" i="43" s="1"/>
  <c r="D33" i="43"/>
  <c r="E33" i="43" s="1"/>
  <c r="D32" i="43"/>
  <c r="E32" i="43" s="1"/>
  <c r="D31" i="43"/>
  <c r="E31" i="43" s="1"/>
  <c r="D30" i="43"/>
  <c r="E30" i="43" s="1"/>
  <c r="E29" i="43"/>
  <c r="D29" i="43"/>
  <c r="T25" i="43"/>
  <c r="AB24" i="43"/>
  <c r="AD17" i="43"/>
  <c r="AD25" i="43" s="1"/>
  <c r="AB17" i="43"/>
  <c r="AB25" i="43" s="1"/>
  <c r="Z17" i="43"/>
  <c r="Z25" i="43" s="1"/>
  <c r="X17" i="43"/>
  <c r="X25" i="43" s="1"/>
  <c r="V17" i="43"/>
  <c r="V25" i="43" s="1"/>
  <c r="T17" i="43"/>
  <c r="R17" i="43"/>
  <c r="R25" i="43" s="1"/>
  <c r="AD16" i="43"/>
  <c r="AD24" i="43" s="1"/>
  <c r="AB16" i="43"/>
  <c r="AB18" i="43" s="1"/>
  <c r="AB26" i="43" s="1"/>
  <c r="Z16" i="43"/>
  <c r="Z24" i="43" s="1"/>
  <c r="X16" i="43"/>
  <c r="V16" i="43"/>
  <c r="T16" i="43"/>
  <c r="R16" i="43"/>
  <c r="R24" i="43" s="1"/>
  <c r="P16" i="43"/>
  <c r="O16" i="43"/>
  <c r="N16" i="43"/>
  <c r="L16" i="43"/>
  <c r="K16" i="43"/>
  <c r="J16" i="43"/>
  <c r="H16" i="43"/>
  <c r="G16" i="43"/>
  <c r="F16" i="43"/>
  <c r="O15" i="43"/>
  <c r="AE14" i="43"/>
  <c r="Y14" i="43"/>
  <c r="Q14" i="43"/>
  <c r="W14" i="43" s="1"/>
  <c r="M14" i="43"/>
  <c r="I14" i="43"/>
  <c r="O13" i="43"/>
  <c r="O17" i="43" s="1"/>
  <c r="AE12" i="43"/>
  <c r="U12" i="43"/>
  <c r="Q12" i="43"/>
  <c r="S12" i="43" s="1"/>
  <c r="M12" i="43"/>
  <c r="I12" i="43"/>
  <c r="O11" i="43"/>
  <c r="Q10" i="43"/>
  <c r="M10" i="43"/>
  <c r="I10" i="43"/>
  <c r="O9" i="43"/>
  <c r="Q8" i="43"/>
  <c r="M8" i="43"/>
  <c r="I8" i="43"/>
  <c r="O7" i="43"/>
  <c r="W6" i="43"/>
  <c r="Q6" i="43"/>
  <c r="AE6" i="43" s="1"/>
  <c r="M6" i="43"/>
  <c r="I6" i="43"/>
  <c r="I16" i="43" s="1"/>
  <c r="C3" i="43"/>
  <c r="AE64" i="42"/>
  <c r="AC64" i="42"/>
  <c r="AA64" i="42"/>
  <c r="Y64" i="42"/>
  <c r="W64" i="42"/>
  <c r="U64" i="42"/>
  <c r="S64" i="42"/>
  <c r="AE63" i="42"/>
  <c r="AC63" i="42"/>
  <c r="AA63" i="42"/>
  <c r="Y63" i="42"/>
  <c r="W63" i="42"/>
  <c r="U63" i="42"/>
  <c r="S63" i="42"/>
  <c r="AE62" i="42"/>
  <c r="AC62" i="42"/>
  <c r="AA62" i="42"/>
  <c r="Y62" i="42"/>
  <c r="W62" i="42"/>
  <c r="U62" i="42"/>
  <c r="S62" i="42"/>
  <c r="AE61" i="42"/>
  <c r="AC61" i="42"/>
  <c r="AA61" i="42"/>
  <c r="Y61" i="42"/>
  <c r="W61" i="42"/>
  <c r="U61" i="42"/>
  <c r="S61" i="42"/>
  <c r="AE60" i="42"/>
  <c r="AC60" i="42"/>
  <c r="AA60" i="42"/>
  <c r="Y60" i="42"/>
  <c r="W60" i="42"/>
  <c r="U60" i="42"/>
  <c r="S60" i="42"/>
  <c r="AE59" i="42"/>
  <c r="AC59" i="42"/>
  <c r="AA59" i="42"/>
  <c r="Y59" i="42"/>
  <c r="W59" i="42"/>
  <c r="U59" i="42"/>
  <c r="S59" i="42"/>
  <c r="AE58" i="42"/>
  <c r="AC58" i="42"/>
  <c r="AA58" i="42"/>
  <c r="Y58" i="42"/>
  <c r="W58" i="42"/>
  <c r="U58" i="42"/>
  <c r="S58" i="42"/>
  <c r="AE57" i="42"/>
  <c r="AC57" i="42"/>
  <c r="AA57" i="42"/>
  <c r="Y57" i="42"/>
  <c r="W57" i="42"/>
  <c r="U57" i="42"/>
  <c r="S57" i="42"/>
  <c r="AE56" i="42"/>
  <c r="AC56" i="42"/>
  <c r="AA56" i="42"/>
  <c r="Y56" i="42"/>
  <c r="W56" i="42"/>
  <c r="U56" i="42"/>
  <c r="S56" i="42"/>
  <c r="AE55" i="42"/>
  <c r="AC55" i="42"/>
  <c r="AA55" i="42"/>
  <c r="Y55" i="42"/>
  <c r="W55" i="42"/>
  <c r="U55" i="42"/>
  <c r="S55" i="42"/>
  <c r="AE54" i="42"/>
  <c r="AC54" i="42"/>
  <c r="AA54" i="42"/>
  <c r="Y54" i="42"/>
  <c r="W54" i="42"/>
  <c r="U54" i="42"/>
  <c r="S54" i="42"/>
  <c r="AE53" i="42"/>
  <c r="AC53" i="42"/>
  <c r="AA53" i="42"/>
  <c r="Y53" i="42"/>
  <c r="W53" i="42"/>
  <c r="U53" i="42"/>
  <c r="S53" i="42"/>
  <c r="AE52" i="42"/>
  <c r="AC52" i="42"/>
  <c r="AA52" i="42"/>
  <c r="Y52" i="42"/>
  <c r="W52" i="42"/>
  <c r="U52" i="42"/>
  <c r="S52" i="42"/>
  <c r="AE51" i="42"/>
  <c r="AC51" i="42"/>
  <c r="AA51" i="42"/>
  <c r="Y51" i="42"/>
  <c r="W51" i="42"/>
  <c r="U51" i="42"/>
  <c r="S51" i="42"/>
  <c r="AE50" i="42"/>
  <c r="AC50" i="42"/>
  <c r="AA50" i="42"/>
  <c r="Y50" i="42"/>
  <c r="W50" i="42"/>
  <c r="U50" i="42"/>
  <c r="S50" i="42"/>
  <c r="AE49" i="42"/>
  <c r="AC49" i="42"/>
  <c r="AA49" i="42"/>
  <c r="Y49" i="42"/>
  <c r="W49" i="42"/>
  <c r="U49" i="42"/>
  <c r="S49" i="42"/>
  <c r="AE48" i="42"/>
  <c r="AC48" i="42"/>
  <c r="AA48" i="42"/>
  <c r="Y48" i="42"/>
  <c r="W48" i="42"/>
  <c r="U48" i="42"/>
  <c r="S48" i="42"/>
  <c r="AE47" i="42"/>
  <c r="AC47" i="42"/>
  <c r="AA47" i="42"/>
  <c r="Y47" i="42"/>
  <c r="W47" i="42"/>
  <c r="U47" i="42"/>
  <c r="S47" i="42"/>
  <c r="AE46" i="42"/>
  <c r="AC46" i="42"/>
  <c r="AA46" i="42"/>
  <c r="Y46" i="42"/>
  <c r="W46" i="42"/>
  <c r="U46" i="42"/>
  <c r="S46" i="42"/>
  <c r="AE45" i="42"/>
  <c r="AC45" i="42"/>
  <c r="AA45" i="42"/>
  <c r="Y45" i="42"/>
  <c r="W45" i="42"/>
  <c r="U45" i="42"/>
  <c r="S45" i="42"/>
  <c r="AE44" i="42"/>
  <c r="AC44" i="42"/>
  <c r="AA44" i="42"/>
  <c r="Y44" i="42"/>
  <c r="W44" i="42"/>
  <c r="U44" i="42"/>
  <c r="S44" i="42"/>
  <c r="AE43" i="42"/>
  <c r="AC43" i="42"/>
  <c r="AA43" i="42"/>
  <c r="Y43" i="42"/>
  <c r="W43" i="42"/>
  <c r="U43" i="42"/>
  <c r="S43" i="42"/>
  <c r="AE42" i="42"/>
  <c r="AC42" i="42"/>
  <c r="AA42" i="42"/>
  <c r="Y42" i="42"/>
  <c r="W42" i="42"/>
  <c r="U42" i="42"/>
  <c r="S42" i="42"/>
  <c r="AE41" i="42"/>
  <c r="AC41" i="42"/>
  <c r="AA41" i="42"/>
  <c r="Y41" i="42"/>
  <c r="W41" i="42"/>
  <c r="U41" i="42"/>
  <c r="S41" i="42"/>
  <c r="AE40" i="42"/>
  <c r="AC40" i="42"/>
  <c r="AA40" i="42"/>
  <c r="Y40" i="42"/>
  <c r="W40" i="42"/>
  <c r="U40" i="42"/>
  <c r="S40" i="42"/>
  <c r="AE39" i="42"/>
  <c r="AC39" i="42"/>
  <c r="AA39" i="42"/>
  <c r="Y39" i="42"/>
  <c r="W39" i="42"/>
  <c r="U39" i="42"/>
  <c r="S39" i="42"/>
  <c r="AE38" i="42"/>
  <c r="AC38" i="42"/>
  <c r="AA38" i="42"/>
  <c r="Y38" i="42"/>
  <c r="W38" i="42"/>
  <c r="U38" i="42"/>
  <c r="S38" i="42"/>
  <c r="AE37" i="42"/>
  <c r="AC37" i="42"/>
  <c r="AA37" i="42"/>
  <c r="Y37" i="42"/>
  <c r="W37" i="42"/>
  <c r="U37" i="42"/>
  <c r="S37" i="42"/>
  <c r="AE36" i="42"/>
  <c r="AC36" i="42"/>
  <c r="AA36" i="42"/>
  <c r="Y36" i="42"/>
  <c r="W36" i="42"/>
  <c r="U36" i="42"/>
  <c r="S36" i="42"/>
  <c r="AE35" i="42"/>
  <c r="AC35" i="42"/>
  <c r="AA35" i="42"/>
  <c r="Y35" i="42"/>
  <c r="W35" i="42"/>
  <c r="U35" i="42"/>
  <c r="S35" i="42"/>
  <c r="D34" i="42"/>
  <c r="E34" i="42" s="1"/>
  <c r="E33" i="42"/>
  <c r="D33" i="42"/>
  <c r="D32" i="42"/>
  <c r="E32" i="42" s="1"/>
  <c r="D31" i="42"/>
  <c r="E31" i="42" s="1"/>
  <c r="D30" i="42"/>
  <c r="E30" i="42" s="1"/>
  <c r="D29" i="42"/>
  <c r="E29" i="42" s="1"/>
  <c r="AB25" i="42"/>
  <c r="X25" i="42"/>
  <c r="AD24" i="42"/>
  <c r="AD17" i="42"/>
  <c r="AD25" i="42" s="1"/>
  <c r="AB17" i="42"/>
  <c r="Z17" i="42"/>
  <c r="Z25" i="42" s="1"/>
  <c r="X17" i="42"/>
  <c r="V17" i="42"/>
  <c r="V25" i="42" s="1"/>
  <c r="T17" i="42"/>
  <c r="T25" i="42" s="1"/>
  <c r="R17" i="42"/>
  <c r="R25" i="42" s="1"/>
  <c r="AD16" i="42"/>
  <c r="AB16" i="42"/>
  <c r="AB18" i="42" s="1"/>
  <c r="AB26" i="42" s="1"/>
  <c r="Z16" i="42"/>
  <c r="X16" i="42"/>
  <c r="X18" i="42" s="1"/>
  <c r="X26" i="42" s="1"/>
  <c r="V16" i="42"/>
  <c r="V24" i="42" s="1"/>
  <c r="T16" i="42"/>
  <c r="R16" i="42"/>
  <c r="R24" i="42" s="1"/>
  <c r="P16" i="42"/>
  <c r="O16" i="42"/>
  <c r="N16" i="42"/>
  <c r="L16" i="42"/>
  <c r="K16" i="42"/>
  <c r="J16" i="42"/>
  <c r="H16" i="42"/>
  <c r="G16" i="42"/>
  <c r="F16" i="42"/>
  <c r="O15" i="42"/>
  <c r="AE14" i="42"/>
  <c r="Q14" i="42"/>
  <c r="AC14" i="42" s="1"/>
  <c r="M14" i="42"/>
  <c r="I14" i="42"/>
  <c r="O13" i="42"/>
  <c r="U12" i="42"/>
  <c r="S12" i="42"/>
  <c r="Q12" i="42"/>
  <c r="AE12" i="42" s="1"/>
  <c r="M12" i="42"/>
  <c r="I12" i="42"/>
  <c r="O11" i="42"/>
  <c r="Q10" i="42"/>
  <c r="AE10" i="42" s="1"/>
  <c r="M10" i="42"/>
  <c r="I10" i="42"/>
  <c r="O9" i="42"/>
  <c r="AA8" i="42"/>
  <c r="S8" i="42"/>
  <c r="Q8" i="42"/>
  <c r="AE8" i="42" s="1"/>
  <c r="M8" i="42"/>
  <c r="I8" i="42"/>
  <c r="O7" i="42"/>
  <c r="Y6" i="42"/>
  <c r="U6" i="42"/>
  <c r="Q6" i="42"/>
  <c r="AE6" i="42" s="1"/>
  <c r="M6" i="42"/>
  <c r="I6" i="42"/>
  <c r="C3" i="42"/>
  <c r="AE64" i="41"/>
  <c r="AC64" i="41"/>
  <c r="AA64" i="41"/>
  <c r="Y64" i="41"/>
  <c r="W64" i="41"/>
  <c r="U64" i="41"/>
  <c r="S64" i="41"/>
  <c r="AE63" i="41"/>
  <c r="AC63" i="41"/>
  <c r="AA63" i="41"/>
  <c r="Y63" i="41"/>
  <c r="W63" i="41"/>
  <c r="U63" i="41"/>
  <c r="S63" i="41"/>
  <c r="AE62" i="41"/>
  <c r="AC62" i="41"/>
  <c r="AA62" i="41"/>
  <c r="Y62" i="41"/>
  <c r="W62" i="41"/>
  <c r="U62" i="41"/>
  <c r="S62" i="41"/>
  <c r="AE61" i="41"/>
  <c r="AC61" i="41"/>
  <c r="AA61" i="41"/>
  <c r="Y61" i="41"/>
  <c r="W61" i="41"/>
  <c r="U61" i="41"/>
  <c r="S61" i="41"/>
  <c r="AE60" i="41"/>
  <c r="AC60" i="41"/>
  <c r="AA60" i="41"/>
  <c r="Y60" i="41"/>
  <c r="W60" i="41"/>
  <c r="U60" i="41"/>
  <c r="S60" i="41"/>
  <c r="AE59" i="41"/>
  <c r="AC59" i="41"/>
  <c r="AA59" i="41"/>
  <c r="Y59" i="41"/>
  <c r="W59" i="41"/>
  <c r="U59" i="41"/>
  <c r="S59" i="41"/>
  <c r="AE58" i="41"/>
  <c r="AC58" i="41"/>
  <c r="AA58" i="41"/>
  <c r="Y58" i="41"/>
  <c r="W58" i="41"/>
  <c r="U58" i="41"/>
  <c r="S58" i="41"/>
  <c r="AE57" i="41"/>
  <c r="AC57" i="41"/>
  <c r="AA57" i="41"/>
  <c r="Y57" i="41"/>
  <c r="W57" i="41"/>
  <c r="U57" i="41"/>
  <c r="S57" i="41"/>
  <c r="AE56" i="41"/>
  <c r="AC56" i="41"/>
  <c r="AA56" i="41"/>
  <c r="Y56" i="41"/>
  <c r="W56" i="41"/>
  <c r="U56" i="41"/>
  <c r="S56" i="41"/>
  <c r="AE55" i="41"/>
  <c r="AC55" i="41"/>
  <c r="AA55" i="41"/>
  <c r="Y55" i="41"/>
  <c r="W55" i="41"/>
  <c r="U55" i="41"/>
  <c r="S55" i="41"/>
  <c r="AE54" i="41"/>
  <c r="AC54" i="41"/>
  <c r="AA54" i="41"/>
  <c r="Y54" i="41"/>
  <c r="W54" i="41"/>
  <c r="U54" i="41"/>
  <c r="S54" i="41"/>
  <c r="AE53" i="41"/>
  <c r="AC53" i="41"/>
  <c r="AA53" i="41"/>
  <c r="Y53" i="41"/>
  <c r="W53" i="41"/>
  <c r="U53" i="41"/>
  <c r="S53" i="41"/>
  <c r="AE52" i="41"/>
  <c r="AC52" i="41"/>
  <c r="AA52" i="41"/>
  <c r="Y52" i="41"/>
  <c r="W52" i="41"/>
  <c r="U52" i="41"/>
  <c r="S52" i="41"/>
  <c r="AE51" i="41"/>
  <c r="AC51" i="41"/>
  <c r="AA51" i="41"/>
  <c r="Y51" i="41"/>
  <c r="W51" i="41"/>
  <c r="U51" i="41"/>
  <c r="S51" i="41"/>
  <c r="AE50" i="41"/>
  <c r="AC50" i="41"/>
  <c r="AA50" i="41"/>
  <c r="Y50" i="41"/>
  <c r="W50" i="41"/>
  <c r="U50" i="41"/>
  <c r="S50" i="41"/>
  <c r="AE49" i="41"/>
  <c r="AC49" i="41"/>
  <c r="AA49" i="41"/>
  <c r="Y49" i="41"/>
  <c r="W49" i="41"/>
  <c r="U49" i="41"/>
  <c r="S49" i="41"/>
  <c r="AE48" i="41"/>
  <c r="AC48" i="41"/>
  <c r="AA48" i="41"/>
  <c r="Y48" i="41"/>
  <c r="W48" i="41"/>
  <c r="U48" i="41"/>
  <c r="S48" i="41"/>
  <c r="AE47" i="41"/>
  <c r="AC47" i="41"/>
  <c r="AA47" i="41"/>
  <c r="Y47" i="41"/>
  <c r="W47" i="41"/>
  <c r="U47" i="41"/>
  <c r="S47" i="41"/>
  <c r="AE46" i="41"/>
  <c r="AC46" i="41"/>
  <c r="AA46" i="41"/>
  <c r="Y46" i="41"/>
  <c r="W46" i="41"/>
  <c r="U46" i="41"/>
  <c r="S46" i="41"/>
  <c r="AE45" i="41"/>
  <c r="AC45" i="41"/>
  <c r="AA45" i="41"/>
  <c r="Y45" i="41"/>
  <c r="W45" i="41"/>
  <c r="U45" i="41"/>
  <c r="S45" i="41"/>
  <c r="AE44" i="41"/>
  <c r="AC44" i="41"/>
  <c r="AA44" i="41"/>
  <c r="Y44" i="41"/>
  <c r="W44" i="41"/>
  <c r="U44" i="41"/>
  <c r="S44" i="41"/>
  <c r="AE43" i="41"/>
  <c r="AC43" i="41"/>
  <c r="AA43" i="41"/>
  <c r="Y43" i="41"/>
  <c r="W43" i="41"/>
  <c r="U43" i="41"/>
  <c r="S43" i="41"/>
  <c r="AE42" i="41"/>
  <c r="AC42" i="41"/>
  <c r="AA42" i="41"/>
  <c r="Y42" i="41"/>
  <c r="W42" i="41"/>
  <c r="U42" i="41"/>
  <c r="S42" i="41"/>
  <c r="AE41" i="41"/>
  <c r="AC41" i="41"/>
  <c r="AA41" i="41"/>
  <c r="Y41" i="41"/>
  <c r="W41" i="41"/>
  <c r="U41" i="41"/>
  <c r="S41" i="41"/>
  <c r="AE40" i="41"/>
  <c r="AC40" i="41"/>
  <c r="AA40" i="41"/>
  <c r="Y40" i="41"/>
  <c r="W40" i="41"/>
  <c r="U40" i="41"/>
  <c r="S40" i="41"/>
  <c r="AE39" i="41"/>
  <c r="AC39" i="41"/>
  <c r="AA39" i="41"/>
  <c r="Y39" i="41"/>
  <c r="W39" i="41"/>
  <c r="U39" i="41"/>
  <c r="S39" i="41"/>
  <c r="AE38" i="41"/>
  <c r="AC38" i="41"/>
  <c r="AA38" i="41"/>
  <c r="Y38" i="41"/>
  <c r="W38" i="41"/>
  <c r="U38" i="41"/>
  <c r="S38" i="41"/>
  <c r="AE37" i="41"/>
  <c r="AC37" i="41"/>
  <c r="AA37" i="41"/>
  <c r="Y37" i="41"/>
  <c r="W37" i="41"/>
  <c r="U37" i="41"/>
  <c r="S37" i="41"/>
  <c r="AE36" i="41"/>
  <c r="AC36" i="41"/>
  <c r="AA36" i="41"/>
  <c r="Y36" i="41"/>
  <c r="W36" i="41"/>
  <c r="U36" i="41"/>
  <c r="S36" i="41"/>
  <c r="AE35" i="41"/>
  <c r="AC35" i="41"/>
  <c r="AA35" i="41"/>
  <c r="Y35" i="41"/>
  <c r="W35" i="41"/>
  <c r="U35" i="41"/>
  <c r="S35" i="41"/>
  <c r="D34" i="41"/>
  <c r="E34" i="41" s="1"/>
  <c r="D33" i="41"/>
  <c r="E33" i="41" s="1"/>
  <c r="D32" i="41"/>
  <c r="E32" i="41" s="1"/>
  <c r="D31" i="41"/>
  <c r="E31" i="41" s="1"/>
  <c r="D30" i="41"/>
  <c r="E30" i="41" s="1"/>
  <c r="D29" i="41"/>
  <c r="E29" i="41" s="1"/>
  <c r="AD25" i="41"/>
  <c r="AB25" i="41"/>
  <c r="Z24" i="41"/>
  <c r="AD17" i="41"/>
  <c r="AB17" i="41"/>
  <c r="Z17" i="41"/>
  <c r="Z25" i="41" s="1"/>
  <c r="X17" i="41"/>
  <c r="X25" i="41" s="1"/>
  <c r="V17" i="41"/>
  <c r="V25" i="41" s="1"/>
  <c r="T17" i="41"/>
  <c r="T25" i="41" s="1"/>
  <c r="R17" i="41"/>
  <c r="R25" i="41" s="1"/>
  <c r="AD16" i="41"/>
  <c r="AD18" i="41" s="1"/>
  <c r="AD26" i="41" s="1"/>
  <c r="AB16" i="41"/>
  <c r="AB18" i="41" s="1"/>
  <c r="AB26" i="41" s="1"/>
  <c r="Z16" i="41"/>
  <c r="X16" i="41"/>
  <c r="V16" i="41"/>
  <c r="V24" i="41" s="1"/>
  <c r="T16" i="41"/>
  <c r="T24" i="41" s="1"/>
  <c r="R16" i="41"/>
  <c r="R24" i="41" s="1"/>
  <c r="P16" i="41"/>
  <c r="O16" i="41"/>
  <c r="N16" i="41"/>
  <c r="L16" i="41"/>
  <c r="K16" i="41"/>
  <c r="J16" i="41"/>
  <c r="H16" i="41"/>
  <c r="G16" i="41"/>
  <c r="F16" i="41"/>
  <c r="O15" i="41"/>
  <c r="O17" i="41" s="1"/>
  <c r="AE14" i="41"/>
  <c r="AA14" i="41"/>
  <c r="Y14" i="41"/>
  <c r="W14" i="41"/>
  <c r="U14" i="41"/>
  <c r="Q14" i="41"/>
  <c r="S14" i="41" s="1"/>
  <c r="M14" i="41"/>
  <c r="I14" i="41"/>
  <c r="O13" i="41"/>
  <c r="AE12" i="41"/>
  <c r="AC12" i="41"/>
  <c r="U12" i="41"/>
  <c r="S12" i="41"/>
  <c r="Q12" i="41"/>
  <c r="Y12" i="41" s="1"/>
  <c r="M12" i="41"/>
  <c r="I12" i="41"/>
  <c r="O11" i="41"/>
  <c r="AA10" i="41"/>
  <c r="Y10" i="41"/>
  <c r="W10" i="41"/>
  <c r="U10" i="41"/>
  <c r="Q10" i="41"/>
  <c r="AE10" i="41" s="1"/>
  <c r="M10" i="41"/>
  <c r="I10" i="41"/>
  <c r="O9" i="41"/>
  <c r="AE8" i="41"/>
  <c r="AA8" i="41"/>
  <c r="Y8" i="41"/>
  <c r="Q8" i="41"/>
  <c r="U8" i="41" s="1"/>
  <c r="M8" i="41"/>
  <c r="I8" i="41"/>
  <c r="O7" i="41"/>
  <c r="AE6" i="41"/>
  <c r="Q6" i="41"/>
  <c r="AA6" i="41" s="1"/>
  <c r="M6" i="41"/>
  <c r="M16" i="41" s="1"/>
  <c r="I6" i="41"/>
  <c r="C3" i="41"/>
  <c r="AE64" i="40"/>
  <c r="AC64" i="40"/>
  <c r="AA64" i="40"/>
  <c r="Y64" i="40"/>
  <c r="W64" i="40"/>
  <c r="U64" i="40"/>
  <c r="S64" i="40"/>
  <c r="AE63" i="40"/>
  <c r="AC63" i="40"/>
  <c r="AA63" i="40"/>
  <c r="Y63" i="40"/>
  <c r="W63" i="40"/>
  <c r="U63" i="40"/>
  <c r="S63" i="40"/>
  <c r="AE62" i="40"/>
  <c r="AC62" i="40"/>
  <c r="AA62" i="40"/>
  <c r="Y62" i="40"/>
  <c r="W62" i="40"/>
  <c r="U62" i="40"/>
  <c r="S62" i="40"/>
  <c r="AE61" i="40"/>
  <c r="AC61" i="40"/>
  <c r="AA61" i="40"/>
  <c r="Y61" i="40"/>
  <c r="W61" i="40"/>
  <c r="U61" i="40"/>
  <c r="S61" i="40"/>
  <c r="AE60" i="40"/>
  <c r="AC60" i="40"/>
  <c r="AA60" i="40"/>
  <c r="Y60" i="40"/>
  <c r="W60" i="40"/>
  <c r="U60" i="40"/>
  <c r="S60" i="40"/>
  <c r="AE59" i="40"/>
  <c r="AC59" i="40"/>
  <c r="AA59" i="40"/>
  <c r="Y59" i="40"/>
  <c r="W59" i="40"/>
  <c r="U59" i="40"/>
  <c r="S59" i="40"/>
  <c r="AE58" i="40"/>
  <c r="AC58" i="40"/>
  <c r="AA58" i="40"/>
  <c r="Y58" i="40"/>
  <c r="W58" i="40"/>
  <c r="U58" i="40"/>
  <c r="S58" i="40"/>
  <c r="AE57" i="40"/>
  <c r="AC57" i="40"/>
  <c r="AA57" i="40"/>
  <c r="Y57" i="40"/>
  <c r="W57" i="40"/>
  <c r="U57" i="40"/>
  <c r="S57" i="40"/>
  <c r="AE56" i="40"/>
  <c r="AC56" i="40"/>
  <c r="AA56" i="40"/>
  <c r="Y56" i="40"/>
  <c r="W56" i="40"/>
  <c r="U56" i="40"/>
  <c r="S56" i="40"/>
  <c r="AE55" i="40"/>
  <c r="AC55" i="40"/>
  <c r="AA55" i="40"/>
  <c r="Y55" i="40"/>
  <c r="W55" i="40"/>
  <c r="U55" i="40"/>
  <c r="S55" i="40"/>
  <c r="AE54" i="40"/>
  <c r="AC54" i="40"/>
  <c r="AA54" i="40"/>
  <c r="Y54" i="40"/>
  <c r="W54" i="40"/>
  <c r="U54" i="40"/>
  <c r="S54" i="40"/>
  <c r="AE53" i="40"/>
  <c r="AC53" i="40"/>
  <c r="AA53" i="40"/>
  <c r="Y53" i="40"/>
  <c r="W53" i="40"/>
  <c r="U53" i="40"/>
  <c r="S53" i="40"/>
  <c r="AE52" i="40"/>
  <c r="AC52" i="40"/>
  <c r="AA52" i="40"/>
  <c r="Y52" i="40"/>
  <c r="W52" i="40"/>
  <c r="U52" i="40"/>
  <c r="S52" i="40"/>
  <c r="AE51" i="40"/>
  <c r="AC51" i="40"/>
  <c r="AA51" i="40"/>
  <c r="Y51" i="40"/>
  <c r="W51" i="40"/>
  <c r="U51" i="40"/>
  <c r="S51" i="40"/>
  <c r="AE50" i="40"/>
  <c r="AC50" i="40"/>
  <c r="AA50" i="40"/>
  <c r="Y50" i="40"/>
  <c r="W50" i="40"/>
  <c r="U50" i="40"/>
  <c r="S50" i="40"/>
  <c r="AE49" i="40"/>
  <c r="AC49" i="40"/>
  <c r="AA49" i="40"/>
  <c r="Y49" i="40"/>
  <c r="W49" i="40"/>
  <c r="U49" i="40"/>
  <c r="S49" i="40"/>
  <c r="AE48" i="40"/>
  <c r="AC48" i="40"/>
  <c r="AA48" i="40"/>
  <c r="Y48" i="40"/>
  <c r="W48" i="40"/>
  <c r="U48" i="40"/>
  <c r="S48" i="40"/>
  <c r="AE47" i="40"/>
  <c r="AC47" i="40"/>
  <c r="AA47" i="40"/>
  <c r="Y47" i="40"/>
  <c r="W47" i="40"/>
  <c r="U47" i="40"/>
  <c r="S47" i="40"/>
  <c r="AE46" i="40"/>
  <c r="AC46" i="40"/>
  <c r="AA46" i="40"/>
  <c r="Y46" i="40"/>
  <c r="W46" i="40"/>
  <c r="U46" i="40"/>
  <c r="S46" i="40"/>
  <c r="AE45" i="40"/>
  <c r="AC45" i="40"/>
  <c r="AA45" i="40"/>
  <c r="Y45" i="40"/>
  <c r="W45" i="40"/>
  <c r="U45" i="40"/>
  <c r="S45" i="40"/>
  <c r="AE44" i="40"/>
  <c r="AC44" i="40"/>
  <c r="AA44" i="40"/>
  <c r="Y44" i="40"/>
  <c r="W44" i="40"/>
  <c r="U44" i="40"/>
  <c r="S44" i="40"/>
  <c r="AE43" i="40"/>
  <c r="AC43" i="40"/>
  <c r="AA43" i="40"/>
  <c r="Y43" i="40"/>
  <c r="W43" i="40"/>
  <c r="U43" i="40"/>
  <c r="S43" i="40"/>
  <c r="AE42" i="40"/>
  <c r="AC42" i="40"/>
  <c r="AA42" i="40"/>
  <c r="Y42" i="40"/>
  <c r="W42" i="40"/>
  <c r="U42" i="40"/>
  <c r="S42" i="40"/>
  <c r="AE41" i="40"/>
  <c r="AC41" i="40"/>
  <c r="AA41" i="40"/>
  <c r="Y41" i="40"/>
  <c r="W41" i="40"/>
  <c r="U41" i="40"/>
  <c r="S41" i="40"/>
  <c r="AE40" i="40"/>
  <c r="AC40" i="40"/>
  <c r="AA40" i="40"/>
  <c r="Y40" i="40"/>
  <c r="W40" i="40"/>
  <c r="U40" i="40"/>
  <c r="S40" i="40"/>
  <c r="AE39" i="40"/>
  <c r="AC39" i="40"/>
  <c r="AA39" i="40"/>
  <c r="Y39" i="40"/>
  <c r="W39" i="40"/>
  <c r="U39" i="40"/>
  <c r="S39" i="40"/>
  <c r="AE38" i="40"/>
  <c r="AC38" i="40"/>
  <c r="AA38" i="40"/>
  <c r="Y38" i="40"/>
  <c r="W38" i="40"/>
  <c r="U38" i="40"/>
  <c r="S38" i="40"/>
  <c r="AE37" i="40"/>
  <c r="AC37" i="40"/>
  <c r="AA37" i="40"/>
  <c r="Y37" i="40"/>
  <c r="W37" i="40"/>
  <c r="U37" i="40"/>
  <c r="S37" i="40"/>
  <c r="AE36" i="40"/>
  <c r="AC36" i="40"/>
  <c r="AA36" i="40"/>
  <c r="Y36" i="40"/>
  <c r="W36" i="40"/>
  <c r="U36" i="40"/>
  <c r="S36" i="40"/>
  <c r="AE35" i="40"/>
  <c r="AC35" i="40"/>
  <c r="AA35" i="40"/>
  <c r="Y35" i="40"/>
  <c r="W35" i="40"/>
  <c r="U35" i="40"/>
  <c r="S35" i="40"/>
  <c r="D34" i="40"/>
  <c r="E34" i="40" s="1"/>
  <c r="D33" i="40"/>
  <c r="E33" i="40" s="1"/>
  <c r="E32" i="40"/>
  <c r="D32" i="40"/>
  <c r="D31" i="40"/>
  <c r="E31" i="40" s="1"/>
  <c r="D30" i="40"/>
  <c r="E30" i="40" s="1"/>
  <c r="D29" i="40"/>
  <c r="E29" i="40" s="1"/>
  <c r="R26" i="40"/>
  <c r="V25" i="40"/>
  <c r="T25" i="40"/>
  <c r="Z18" i="40"/>
  <c r="Z26" i="40" s="1"/>
  <c r="R18" i="40"/>
  <c r="AD17" i="40"/>
  <c r="AD25" i="40" s="1"/>
  <c r="AB17" i="40"/>
  <c r="AB25" i="40" s="1"/>
  <c r="Z17" i="40"/>
  <c r="Z25" i="40" s="1"/>
  <c r="X17" i="40"/>
  <c r="X25" i="40" s="1"/>
  <c r="V17" i="40"/>
  <c r="T17" i="40"/>
  <c r="R17" i="40"/>
  <c r="R25" i="40" s="1"/>
  <c r="AD16" i="40"/>
  <c r="AD24" i="40" s="1"/>
  <c r="AB16" i="40"/>
  <c r="Z16" i="40"/>
  <c r="Z24" i="40" s="1"/>
  <c r="X16" i="40"/>
  <c r="X24" i="40" s="1"/>
  <c r="V16" i="40"/>
  <c r="V18" i="40" s="1"/>
  <c r="V26" i="40" s="1"/>
  <c r="T16" i="40"/>
  <c r="R16" i="40"/>
  <c r="R24" i="40" s="1"/>
  <c r="P16" i="40"/>
  <c r="O16" i="40"/>
  <c r="N16" i="40"/>
  <c r="L16" i="40"/>
  <c r="K16" i="40"/>
  <c r="J16" i="40"/>
  <c r="H16" i="40"/>
  <c r="G16" i="40"/>
  <c r="F16" i="40"/>
  <c r="O15" i="40"/>
  <c r="AE14" i="40"/>
  <c r="Q14" i="40"/>
  <c r="AA14" i="40" s="1"/>
  <c r="M14" i="40"/>
  <c r="I14" i="40"/>
  <c r="O13" i="40"/>
  <c r="AC12" i="40"/>
  <c r="AA12" i="40"/>
  <c r="Y12" i="40"/>
  <c r="W12" i="40"/>
  <c r="U12" i="40"/>
  <c r="S12" i="40"/>
  <c r="Q12" i="40"/>
  <c r="AE12" i="40" s="1"/>
  <c r="M12" i="40"/>
  <c r="I12" i="40"/>
  <c r="O11" i="40"/>
  <c r="AC10" i="40"/>
  <c r="AA10" i="40"/>
  <c r="Q10" i="40"/>
  <c r="W10" i="40" s="1"/>
  <c r="M10" i="40"/>
  <c r="I10" i="40"/>
  <c r="O9" i="40"/>
  <c r="Q8" i="40"/>
  <c r="M8" i="40"/>
  <c r="I8" i="40"/>
  <c r="O7" i="40"/>
  <c r="Q6" i="40"/>
  <c r="S6" i="40" s="1"/>
  <c r="M6" i="40"/>
  <c r="I6" i="40"/>
  <c r="C3" i="40"/>
  <c r="AE64" i="39"/>
  <c r="AC64" i="39"/>
  <c r="AA64" i="39"/>
  <c r="Y64" i="39"/>
  <c r="W64" i="39"/>
  <c r="U64" i="39"/>
  <c r="S64" i="39"/>
  <c r="AE63" i="39"/>
  <c r="AC63" i="39"/>
  <c r="AA63" i="39"/>
  <c r="Y63" i="39"/>
  <c r="W63" i="39"/>
  <c r="U63" i="39"/>
  <c r="S63" i="39"/>
  <c r="AE62" i="39"/>
  <c r="AC62" i="39"/>
  <c r="AA62" i="39"/>
  <c r="Y62" i="39"/>
  <c r="W62" i="39"/>
  <c r="U62" i="39"/>
  <c r="S62" i="39"/>
  <c r="AE61" i="39"/>
  <c r="AC61" i="39"/>
  <c r="AA61" i="39"/>
  <c r="Y61" i="39"/>
  <c r="W61" i="39"/>
  <c r="U61" i="39"/>
  <c r="S61" i="39"/>
  <c r="AE60" i="39"/>
  <c r="AC60" i="39"/>
  <c r="AA60" i="39"/>
  <c r="Y60" i="39"/>
  <c r="W60" i="39"/>
  <c r="U60" i="39"/>
  <c r="S60" i="39"/>
  <c r="AE59" i="39"/>
  <c r="AC59" i="39"/>
  <c r="AA59" i="39"/>
  <c r="Y59" i="39"/>
  <c r="W59" i="39"/>
  <c r="U59" i="39"/>
  <c r="S59" i="39"/>
  <c r="AE58" i="39"/>
  <c r="AC58" i="39"/>
  <c r="AA58" i="39"/>
  <c r="Y58" i="39"/>
  <c r="W58" i="39"/>
  <c r="U58" i="39"/>
  <c r="S58" i="39"/>
  <c r="AE57" i="39"/>
  <c r="AC57" i="39"/>
  <c r="AA57" i="39"/>
  <c r="Y57" i="39"/>
  <c r="W57" i="39"/>
  <c r="U57" i="39"/>
  <c r="S57" i="39"/>
  <c r="AE56" i="39"/>
  <c r="AC56" i="39"/>
  <c r="AA56" i="39"/>
  <c r="Y56" i="39"/>
  <c r="W56" i="39"/>
  <c r="U56" i="39"/>
  <c r="S56" i="39"/>
  <c r="AE55" i="39"/>
  <c r="AC55" i="39"/>
  <c r="AA55" i="39"/>
  <c r="Y55" i="39"/>
  <c r="W55" i="39"/>
  <c r="U55" i="39"/>
  <c r="S55" i="39"/>
  <c r="AE54" i="39"/>
  <c r="AC54" i="39"/>
  <c r="AA54" i="39"/>
  <c r="Y54" i="39"/>
  <c r="W54" i="39"/>
  <c r="U54" i="39"/>
  <c r="S54" i="39"/>
  <c r="AE53" i="39"/>
  <c r="AC53" i="39"/>
  <c r="AA53" i="39"/>
  <c r="Y53" i="39"/>
  <c r="W53" i="39"/>
  <c r="U53" i="39"/>
  <c r="S53" i="39"/>
  <c r="AE52" i="39"/>
  <c r="AC52" i="39"/>
  <c r="AA52" i="39"/>
  <c r="Y52" i="39"/>
  <c r="W52" i="39"/>
  <c r="U52" i="39"/>
  <c r="S52" i="39"/>
  <c r="AE51" i="39"/>
  <c r="AC51" i="39"/>
  <c r="AA51" i="39"/>
  <c r="Y51" i="39"/>
  <c r="W51" i="39"/>
  <c r="U51" i="39"/>
  <c r="S51" i="39"/>
  <c r="AE50" i="39"/>
  <c r="AC50" i="39"/>
  <c r="AA50" i="39"/>
  <c r="Y50" i="39"/>
  <c r="W50" i="39"/>
  <c r="U50" i="39"/>
  <c r="S50" i="39"/>
  <c r="AE49" i="39"/>
  <c r="AC49" i="39"/>
  <c r="AA49" i="39"/>
  <c r="Y49" i="39"/>
  <c r="W49" i="39"/>
  <c r="U49" i="39"/>
  <c r="S49" i="39"/>
  <c r="AE48" i="39"/>
  <c r="AC48" i="39"/>
  <c r="AA48" i="39"/>
  <c r="Y48" i="39"/>
  <c r="W48" i="39"/>
  <c r="U48" i="39"/>
  <c r="S48" i="39"/>
  <c r="AE47" i="39"/>
  <c r="AC47" i="39"/>
  <c r="AA47" i="39"/>
  <c r="Y47" i="39"/>
  <c r="W47" i="39"/>
  <c r="U47" i="39"/>
  <c r="S47" i="39"/>
  <c r="AE46" i="39"/>
  <c r="AC46" i="39"/>
  <c r="AA46" i="39"/>
  <c r="Y46" i="39"/>
  <c r="W46" i="39"/>
  <c r="U46" i="39"/>
  <c r="S46" i="39"/>
  <c r="AE45" i="39"/>
  <c r="AC45" i="39"/>
  <c r="AA45" i="39"/>
  <c r="Y45" i="39"/>
  <c r="W45" i="39"/>
  <c r="U45" i="39"/>
  <c r="S45" i="39"/>
  <c r="AE44" i="39"/>
  <c r="AC44" i="39"/>
  <c r="AA44" i="39"/>
  <c r="Y44" i="39"/>
  <c r="W44" i="39"/>
  <c r="U44" i="39"/>
  <c r="S44" i="39"/>
  <c r="AE43" i="39"/>
  <c r="AC43" i="39"/>
  <c r="AA43" i="39"/>
  <c r="Y43" i="39"/>
  <c r="W43" i="39"/>
  <c r="U43" i="39"/>
  <c r="S43" i="39"/>
  <c r="AE42" i="39"/>
  <c r="AC42" i="39"/>
  <c r="AA42" i="39"/>
  <c r="Y42" i="39"/>
  <c r="W42" i="39"/>
  <c r="U42" i="39"/>
  <c r="S42" i="39"/>
  <c r="AE41" i="39"/>
  <c r="AC41" i="39"/>
  <c r="AA41" i="39"/>
  <c r="Y41" i="39"/>
  <c r="W41" i="39"/>
  <c r="U41" i="39"/>
  <c r="S41" i="39"/>
  <c r="AE40" i="39"/>
  <c r="AC40" i="39"/>
  <c r="AA40" i="39"/>
  <c r="Y40" i="39"/>
  <c r="W40" i="39"/>
  <c r="U40" i="39"/>
  <c r="S40" i="39"/>
  <c r="AE39" i="39"/>
  <c r="AC39" i="39"/>
  <c r="AA39" i="39"/>
  <c r="Y39" i="39"/>
  <c r="W39" i="39"/>
  <c r="U39" i="39"/>
  <c r="S39" i="39"/>
  <c r="AE38" i="39"/>
  <c r="AC38" i="39"/>
  <c r="AA38" i="39"/>
  <c r="Y38" i="39"/>
  <c r="W38" i="39"/>
  <c r="U38" i="39"/>
  <c r="S38" i="39"/>
  <c r="AE37" i="39"/>
  <c r="AC37" i="39"/>
  <c r="AA37" i="39"/>
  <c r="Y37" i="39"/>
  <c r="W37" i="39"/>
  <c r="U37" i="39"/>
  <c r="S37" i="39"/>
  <c r="AE36" i="39"/>
  <c r="AC36" i="39"/>
  <c r="AA36" i="39"/>
  <c r="Y36" i="39"/>
  <c r="W36" i="39"/>
  <c r="U36" i="39"/>
  <c r="S36" i="39"/>
  <c r="AE35" i="39"/>
  <c r="AC35" i="39"/>
  <c r="AA35" i="39"/>
  <c r="Y35" i="39"/>
  <c r="W35" i="39"/>
  <c r="U35" i="39"/>
  <c r="S35" i="39"/>
  <c r="E34" i="39"/>
  <c r="D34" i="39"/>
  <c r="D33" i="39"/>
  <c r="E33" i="39" s="1"/>
  <c r="E32" i="39"/>
  <c r="D32" i="39"/>
  <c r="D31" i="39"/>
  <c r="E31" i="39" s="1"/>
  <c r="E30" i="39"/>
  <c r="D30" i="39"/>
  <c r="D29" i="39"/>
  <c r="E29" i="39" s="1"/>
  <c r="AD25" i="39"/>
  <c r="AB25" i="39"/>
  <c r="Z25" i="39"/>
  <c r="AD17" i="39"/>
  <c r="AB17" i="39"/>
  <c r="Z17" i="39"/>
  <c r="X17" i="39"/>
  <c r="X25" i="39" s="1"/>
  <c r="V17" i="39"/>
  <c r="V25" i="39" s="1"/>
  <c r="T17" i="39"/>
  <c r="T25" i="39" s="1"/>
  <c r="R17" i="39"/>
  <c r="R25" i="39" s="1"/>
  <c r="O17" i="39"/>
  <c r="AD16" i="39"/>
  <c r="AD24" i="39" s="1"/>
  <c r="AB16" i="39"/>
  <c r="AB18" i="39" s="1"/>
  <c r="AB26" i="39" s="1"/>
  <c r="Z16" i="39"/>
  <c r="Z18" i="39" s="1"/>
  <c r="Z26" i="39" s="1"/>
  <c r="X16" i="39"/>
  <c r="V16" i="39"/>
  <c r="V24" i="39" s="1"/>
  <c r="T16" i="39"/>
  <c r="T24" i="39" s="1"/>
  <c r="R16" i="39"/>
  <c r="R24" i="39" s="1"/>
  <c r="P16" i="39"/>
  <c r="O16" i="39"/>
  <c r="N16" i="39"/>
  <c r="L16" i="39"/>
  <c r="K16" i="39"/>
  <c r="J16" i="39"/>
  <c r="H16" i="39"/>
  <c r="G16" i="39"/>
  <c r="F16" i="39"/>
  <c r="O15" i="39"/>
  <c r="Y14" i="39"/>
  <c r="U14" i="39"/>
  <c r="Q14" i="39"/>
  <c r="S14" i="39" s="1"/>
  <c r="M14" i="39"/>
  <c r="I14" i="39"/>
  <c r="O13" i="39"/>
  <c r="Q12" i="39"/>
  <c r="Y12" i="39" s="1"/>
  <c r="M12" i="39"/>
  <c r="I12" i="39"/>
  <c r="O11" i="39"/>
  <c r="W10" i="39"/>
  <c r="S10" i="39"/>
  <c r="Q10" i="39"/>
  <c r="AE10" i="39" s="1"/>
  <c r="M10" i="39"/>
  <c r="I10" i="39"/>
  <c r="O9" i="39"/>
  <c r="AC8" i="39"/>
  <c r="Y8" i="39"/>
  <c r="Q8" i="39"/>
  <c r="U8" i="39" s="1"/>
  <c r="M8" i="39"/>
  <c r="I8" i="39"/>
  <c r="O7" i="39"/>
  <c r="Q6" i="39"/>
  <c r="AA6" i="39" s="1"/>
  <c r="M6" i="39"/>
  <c r="I6" i="39"/>
  <c r="C3" i="39"/>
  <c r="AE64" i="38"/>
  <c r="AC64" i="38"/>
  <c r="AA64" i="38"/>
  <c r="Y64" i="38"/>
  <c r="W64" i="38"/>
  <c r="U64" i="38"/>
  <c r="S64" i="38"/>
  <c r="AE63" i="38"/>
  <c r="AC63" i="38"/>
  <c r="AA63" i="38"/>
  <c r="Y63" i="38"/>
  <c r="W63" i="38"/>
  <c r="U63" i="38"/>
  <c r="S63" i="38"/>
  <c r="AE62" i="38"/>
  <c r="AC62" i="38"/>
  <c r="AA62" i="38"/>
  <c r="Y62" i="38"/>
  <c r="W62" i="38"/>
  <c r="U62" i="38"/>
  <c r="S62" i="38"/>
  <c r="AE61" i="38"/>
  <c r="AC61" i="38"/>
  <c r="AA61" i="38"/>
  <c r="Y61" i="38"/>
  <c r="W61" i="38"/>
  <c r="U61" i="38"/>
  <c r="S61" i="38"/>
  <c r="AE60" i="38"/>
  <c r="AC60" i="38"/>
  <c r="AA60" i="38"/>
  <c r="Y60" i="38"/>
  <c r="W60" i="38"/>
  <c r="U60" i="38"/>
  <c r="S60" i="38"/>
  <c r="AE59" i="38"/>
  <c r="AC59" i="38"/>
  <c r="AA59" i="38"/>
  <c r="Y59" i="38"/>
  <c r="W59" i="38"/>
  <c r="U59" i="38"/>
  <c r="S59" i="38"/>
  <c r="AE58" i="38"/>
  <c r="AC58" i="38"/>
  <c r="AA58" i="38"/>
  <c r="Y58" i="38"/>
  <c r="W58" i="38"/>
  <c r="U58" i="38"/>
  <c r="S58" i="38"/>
  <c r="AE57" i="38"/>
  <c r="AC57" i="38"/>
  <c r="AA57" i="38"/>
  <c r="Y57" i="38"/>
  <c r="W57" i="38"/>
  <c r="U57" i="38"/>
  <c r="S57" i="38"/>
  <c r="AE56" i="38"/>
  <c r="AC56" i="38"/>
  <c r="AA56" i="38"/>
  <c r="Y56" i="38"/>
  <c r="W56" i="38"/>
  <c r="U56" i="38"/>
  <c r="S56" i="38"/>
  <c r="AE55" i="38"/>
  <c r="AC55" i="38"/>
  <c r="AA55" i="38"/>
  <c r="Y55" i="38"/>
  <c r="W55" i="38"/>
  <c r="U55" i="38"/>
  <c r="S55" i="38"/>
  <c r="AE54" i="38"/>
  <c r="AC54" i="38"/>
  <c r="AA54" i="38"/>
  <c r="Y54" i="38"/>
  <c r="W54" i="38"/>
  <c r="U54" i="38"/>
  <c r="S54" i="38"/>
  <c r="AE53" i="38"/>
  <c r="AC53" i="38"/>
  <c r="AA53" i="38"/>
  <c r="Y53" i="38"/>
  <c r="W53" i="38"/>
  <c r="U53" i="38"/>
  <c r="S53" i="38"/>
  <c r="AE52" i="38"/>
  <c r="AC52" i="38"/>
  <c r="AA52" i="38"/>
  <c r="Y52" i="38"/>
  <c r="W52" i="38"/>
  <c r="U52" i="38"/>
  <c r="S52" i="38"/>
  <c r="AE51" i="38"/>
  <c r="AC51" i="38"/>
  <c r="AA51" i="38"/>
  <c r="Y51" i="38"/>
  <c r="W51" i="38"/>
  <c r="U51" i="38"/>
  <c r="S51" i="38"/>
  <c r="AE50" i="38"/>
  <c r="AC50" i="38"/>
  <c r="AA50" i="38"/>
  <c r="Y50" i="38"/>
  <c r="W50" i="38"/>
  <c r="U50" i="38"/>
  <c r="S50" i="38"/>
  <c r="AE49" i="38"/>
  <c r="AC49" i="38"/>
  <c r="AA49" i="38"/>
  <c r="Y49" i="38"/>
  <c r="W49" i="38"/>
  <c r="U49" i="38"/>
  <c r="S49" i="38"/>
  <c r="AE48" i="38"/>
  <c r="AC48" i="38"/>
  <c r="AA48" i="38"/>
  <c r="Y48" i="38"/>
  <c r="W48" i="38"/>
  <c r="U48" i="38"/>
  <c r="S48" i="38"/>
  <c r="AE47" i="38"/>
  <c r="AC47" i="38"/>
  <c r="AA47" i="38"/>
  <c r="Y47" i="38"/>
  <c r="W47" i="38"/>
  <c r="U47" i="38"/>
  <c r="S47" i="38"/>
  <c r="AE46" i="38"/>
  <c r="AC46" i="38"/>
  <c r="AA46" i="38"/>
  <c r="Y46" i="38"/>
  <c r="W46" i="38"/>
  <c r="U46" i="38"/>
  <c r="S46" i="38"/>
  <c r="AE45" i="38"/>
  <c r="AC45" i="38"/>
  <c r="AA45" i="38"/>
  <c r="Y45" i="38"/>
  <c r="W45" i="38"/>
  <c r="U45" i="38"/>
  <c r="S45" i="38"/>
  <c r="AE44" i="38"/>
  <c r="AC44" i="38"/>
  <c r="AA44" i="38"/>
  <c r="Y44" i="38"/>
  <c r="W44" i="38"/>
  <c r="U44" i="38"/>
  <c r="S44" i="38"/>
  <c r="AE43" i="38"/>
  <c r="AC43" i="38"/>
  <c r="AA43" i="38"/>
  <c r="Y43" i="38"/>
  <c r="W43" i="38"/>
  <c r="U43" i="38"/>
  <c r="S43" i="38"/>
  <c r="AE42" i="38"/>
  <c r="AC42" i="38"/>
  <c r="AA42" i="38"/>
  <c r="Y42" i="38"/>
  <c r="W42" i="38"/>
  <c r="U42" i="38"/>
  <c r="S42" i="38"/>
  <c r="AE41" i="38"/>
  <c r="AC41" i="38"/>
  <c r="AA41" i="38"/>
  <c r="Y41" i="38"/>
  <c r="W41" i="38"/>
  <c r="U41" i="38"/>
  <c r="S41" i="38"/>
  <c r="AE40" i="38"/>
  <c r="AC40" i="38"/>
  <c r="AA40" i="38"/>
  <c r="Y40" i="38"/>
  <c r="W40" i="38"/>
  <c r="U40" i="38"/>
  <c r="S40" i="38"/>
  <c r="AE39" i="38"/>
  <c r="AC39" i="38"/>
  <c r="AA39" i="38"/>
  <c r="Y39" i="38"/>
  <c r="W39" i="38"/>
  <c r="U39" i="38"/>
  <c r="S39" i="38"/>
  <c r="AE38" i="38"/>
  <c r="AC38" i="38"/>
  <c r="AA38" i="38"/>
  <c r="Y38" i="38"/>
  <c r="W38" i="38"/>
  <c r="U38" i="38"/>
  <c r="S38" i="38"/>
  <c r="AE37" i="38"/>
  <c r="AC37" i="38"/>
  <c r="AA37" i="38"/>
  <c r="Y37" i="38"/>
  <c r="W37" i="38"/>
  <c r="U37" i="38"/>
  <c r="S37" i="38"/>
  <c r="AE36" i="38"/>
  <c r="AC36" i="38"/>
  <c r="AA36" i="38"/>
  <c r="Y36" i="38"/>
  <c r="W36" i="38"/>
  <c r="U36" i="38"/>
  <c r="S36" i="38"/>
  <c r="AE35" i="38"/>
  <c r="AC35" i="38"/>
  <c r="AA35" i="38"/>
  <c r="Y35" i="38"/>
  <c r="W35" i="38"/>
  <c r="U35" i="38"/>
  <c r="S35" i="38"/>
  <c r="E34" i="38"/>
  <c r="D34" i="38"/>
  <c r="D33" i="38"/>
  <c r="E33" i="38" s="1"/>
  <c r="D32" i="38"/>
  <c r="E32" i="38" s="1"/>
  <c r="D31" i="38"/>
  <c r="E31" i="38" s="1"/>
  <c r="D30" i="38"/>
  <c r="E30" i="38" s="1"/>
  <c r="D29" i="38"/>
  <c r="E29" i="38" s="1"/>
  <c r="V25" i="38"/>
  <c r="T25" i="38"/>
  <c r="Z18" i="38"/>
  <c r="Z26" i="38" s="1"/>
  <c r="R18" i="38"/>
  <c r="R26" i="38" s="1"/>
  <c r="AD17" i="38"/>
  <c r="AD25" i="38" s="1"/>
  <c r="AB17" i="38"/>
  <c r="AB25" i="38" s="1"/>
  <c r="Z17" i="38"/>
  <c r="Z25" i="38" s="1"/>
  <c r="X17" i="38"/>
  <c r="X25" i="38" s="1"/>
  <c r="V17" i="38"/>
  <c r="T17" i="38"/>
  <c r="R17" i="38"/>
  <c r="R25" i="38" s="1"/>
  <c r="AD16" i="38"/>
  <c r="AB16" i="38"/>
  <c r="AB24" i="38" s="1"/>
  <c r="Z16" i="38"/>
  <c r="Z24" i="38" s="1"/>
  <c r="X16" i="38"/>
  <c r="X24" i="38" s="1"/>
  <c r="V16" i="38"/>
  <c r="T16" i="38"/>
  <c r="R16" i="38"/>
  <c r="R24" i="38" s="1"/>
  <c r="P16" i="38"/>
  <c r="O16" i="38"/>
  <c r="N16" i="38"/>
  <c r="L16" i="38"/>
  <c r="K16" i="38"/>
  <c r="J16" i="38"/>
  <c r="H16" i="38"/>
  <c r="G16" i="38"/>
  <c r="F16" i="38"/>
  <c r="O15" i="38"/>
  <c r="AE14" i="38"/>
  <c r="Q14" i="38"/>
  <c r="AA14" i="38" s="1"/>
  <c r="M14" i="38"/>
  <c r="I14" i="38"/>
  <c r="O13" i="38"/>
  <c r="AC12" i="38"/>
  <c r="AA12" i="38"/>
  <c r="Y12" i="38"/>
  <c r="W12" i="38"/>
  <c r="Q12" i="38"/>
  <c r="U12" i="38" s="1"/>
  <c r="M12" i="38"/>
  <c r="I12" i="38"/>
  <c r="O11" i="38"/>
  <c r="AC10" i="38"/>
  <c r="AA10" i="38"/>
  <c r="Q10" i="38"/>
  <c r="W10" i="38" s="1"/>
  <c r="M10" i="38"/>
  <c r="I10" i="38"/>
  <c r="O9" i="38"/>
  <c r="Q8" i="38"/>
  <c r="M8" i="38"/>
  <c r="I8" i="38"/>
  <c r="O7" i="38"/>
  <c r="Q6" i="38"/>
  <c r="S6" i="38" s="1"/>
  <c r="M6" i="38"/>
  <c r="I6" i="38"/>
  <c r="C3" i="38"/>
  <c r="AE64" i="37"/>
  <c r="AC64" i="37"/>
  <c r="AA64" i="37"/>
  <c r="Y64" i="37"/>
  <c r="W64" i="37"/>
  <c r="U64" i="37"/>
  <c r="S64" i="37"/>
  <c r="AE63" i="37"/>
  <c r="AC63" i="37"/>
  <c r="AA63" i="37"/>
  <c r="Y63" i="37"/>
  <c r="W63" i="37"/>
  <c r="U63" i="37"/>
  <c r="S63" i="37"/>
  <c r="AE62" i="37"/>
  <c r="AC62" i="37"/>
  <c r="AA62" i="37"/>
  <c r="Y62" i="37"/>
  <c r="W62" i="37"/>
  <c r="U62" i="37"/>
  <c r="S62" i="37"/>
  <c r="AE61" i="37"/>
  <c r="AC61" i="37"/>
  <c r="AA61" i="37"/>
  <c r="Y61" i="37"/>
  <c r="W61" i="37"/>
  <c r="U61" i="37"/>
  <c r="S61" i="37"/>
  <c r="AE60" i="37"/>
  <c r="AC60" i="37"/>
  <c r="AA60" i="37"/>
  <c r="Y60" i="37"/>
  <c r="W60" i="37"/>
  <c r="U60" i="37"/>
  <c r="S60" i="37"/>
  <c r="AE59" i="37"/>
  <c r="AC59" i="37"/>
  <c r="AA59" i="37"/>
  <c r="Y59" i="37"/>
  <c r="W59" i="37"/>
  <c r="U59" i="37"/>
  <c r="S59" i="37"/>
  <c r="AE58" i="37"/>
  <c r="AC58" i="37"/>
  <c r="AA58" i="37"/>
  <c r="Y58" i="37"/>
  <c r="W58" i="37"/>
  <c r="U58" i="37"/>
  <c r="S58" i="37"/>
  <c r="AE57" i="37"/>
  <c r="AC57" i="37"/>
  <c r="AA57" i="37"/>
  <c r="Y57" i="37"/>
  <c r="W57" i="37"/>
  <c r="U57" i="37"/>
  <c r="S57" i="37"/>
  <c r="AE56" i="37"/>
  <c r="AC56" i="37"/>
  <c r="AA56" i="37"/>
  <c r="Y56" i="37"/>
  <c r="W56" i="37"/>
  <c r="U56" i="37"/>
  <c r="S56" i="37"/>
  <c r="AE55" i="37"/>
  <c r="AC55" i="37"/>
  <c r="AA55" i="37"/>
  <c r="Y55" i="37"/>
  <c r="W55" i="37"/>
  <c r="U55" i="37"/>
  <c r="S55" i="37"/>
  <c r="AE54" i="37"/>
  <c r="AC54" i="37"/>
  <c r="AA54" i="37"/>
  <c r="Y54" i="37"/>
  <c r="W54" i="37"/>
  <c r="U54" i="37"/>
  <c r="S54" i="37"/>
  <c r="AE53" i="37"/>
  <c r="AC53" i="37"/>
  <c r="AA53" i="37"/>
  <c r="Y53" i="37"/>
  <c r="W53" i="37"/>
  <c r="U53" i="37"/>
  <c r="S53" i="37"/>
  <c r="AE52" i="37"/>
  <c r="AC52" i="37"/>
  <c r="AA52" i="37"/>
  <c r="Y52" i="37"/>
  <c r="W52" i="37"/>
  <c r="U52" i="37"/>
  <c r="S52" i="37"/>
  <c r="AE51" i="37"/>
  <c r="AC51" i="37"/>
  <c r="AA51" i="37"/>
  <c r="Y51" i="37"/>
  <c r="W51" i="37"/>
  <c r="U51" i="37"/>
  <c r="S51" i="37"/>
  <c r="AE50" i="37"/>
  <c r="AC50" i="37"/>
  <c r="AA50" i="37"/>
  <c r="Y50" i="37"/>
  <c r="W50" i="37"/>
  <c r="U50" i="37"/>
  <c r="S50" i="37"/>
  <c r="AE49" i="37"/>
  <c r="AC49" i="37"/>
  <c r="AA49" i="37"/>
  <c r="Y49" i="37"/>
  <c r="W49" i="37"/>
  <c r="U49" i="37"/>
  <c r="S49" i="37"/>
  <c r="AE48" i="37"/>
  <c r="AC48" i="37"/>
  <c r="AA48" i="37"/>
  <c r="Y48" i="37"/>
  <c r="W48" i="37"/>
  <c r="U48" i="37"/>
  <c r="S48" i="37"/>
  <c r="AE47" i="37"/>
  <c r="AC47" i="37"/>
  <c r="AA47" i="37"/>
  <c r="Y47" i="37"/>
  <c r="W47" i="37"/>
  <c r="U47" i="37"/>
  <c r="S47" i="37"/>
  <c r="AE46" i="37"/>
  <c r="AC46" i="37"/>
  <c r="AA46" i="37"/>
  <c r="Y46" i="37"/>
  <c r="W46" i="37"/>
  <c r="U46" i="37"/>
  <c r="S46" i="37"/>
  <c r="AE45" i="37"/>
  <c r="AC45" i="37"/>
  <c r="AA45" i="37"/>
  <c r="Y45" i="37"/>
  <c r="W45" i="37"/>
  <c r="U45" i="37"/>
  <c r="S45" i="37"/>
  <c r="AE44" i="37"/>
  <c r="AC44" i="37"/>
  <c r="AA44" i="37"/>
  <c r="Y44" i="37"/>
  <c r="W44" i="37"/>
  <c r="U44" i="37"/>
  <c r="S44" i="37"/>
  <c r="AE43" i="37"/>
  <c r="AC43" i="37"/>
  <c r="AA43" i="37"/>
  <c r="Y43" i="37"/>
  <c r="W43" i="37"/>
  <c r="U43" i="37"/>
  <c r="S43" i="37"/>
  <c r="AE42" i="37"/>
  <c r="AC42" i="37"/>
  <c r="AA42" i="37"/>
  <c r="Y42" i="37"/>
  <c r="W42" i="37"/>
  <c r="U42" i="37"/>
  <c r="S42" i="37"/>
  <c r="AE41" i="37"/>
  <c r="AC41" i="37"/>
  <c r="AA41" i="37"/>
  <c r="Y41" i="37"/>
  <c r="W41" i="37"/>
  <c r="U41" i="37"/>
  <c r="S41" i="37"/>
  <c r="AE40" i="37"/>
  <c r="AC40" i="37"/>
  <c r="AA40" i="37"/>
  <c r="Y40" i="37"/>
  <c r="W40" i="37"/>
  <c r="U40" i="37"/>
  <c r="S40" i="37"/>
  <c r="AE39" i="37"/>
  <c r="AC39" i="37"/>
  <c r="AA39" i="37"/>
  <c r="Y39" i="37"/>
  <c r="W39" i="37"/>
  <c r="U39" i="37"/>
  <c r="S39" i="37"/>
  <c r="AE38" i="37"/>
  <c r="AC38" i="37"/>
  <c r="AA38" i="37"/>
  <c r="Y38" i="37"/>
  <c r="W38" i="37"/>
  <c r="U38" i="37"/>
  <c r="S38" i="37"/>
  <c r="AE37" i="37"/>
  <c r="AC37" i="37"/>
  <c r="AA37" i="37"/>
  <c r="Y37" i="37"/>
  <c r="W37" i="37"/>
  <c r="U37" i="37"/>
  <c r="S37" i="37"/>
  <c r="AE36" i="37"/>
  <c r="AC36" i="37"/>
  <c r="AA36" i="37"/>
  <c r="Y36" i="37"/>
  <c r="W36" i="37"/>
  <c r="U36" i="37"/>
  <c r="S36" i="37"/>
  <c r="AE35" i="37"/>
  <c r="AC35" i="37"/>
  <c r="AA35" i="37"/>
  <c r="Y35" i="37"/>
  <c r="W35" i="37"/>
  <c r="U35" i="37"/>
  <c r="S35" i="37"/>
  <c r="E34" i="37"/>
  <c r="D34" i="37"/>
  <c r="D33" i="37"/>
  <c r="E33" i="37" s="1"/>
  <c r="E32" i="37"/>
  <c r="D32" i="37"/>
  <c r="D31" i="37"/>
  <c r="E31" i="37" s="1"/>
  <c r="D29" i="37"/>
  <c r="E29" i="37" s="1"/>
  <c r="AB25" i="37"/>
  <c r="X25" i="37"/>
  <c r="V25" i="37"/>
  <c r="T24" i="37"/>
  <c r="AD17" i="37"/>
  <c r="AD25" i="37" s="1"/>
  <c r="AB17" i="37"/>
  <c r="Z17" i="37"/>
  <c r="Z25" i="37" s="1"/>
  <c r="X17" i="37"/>
  <c r="V17" i="37"/>
  <c r="T17" i="37"/>
  <c r="T25" i="37" s="1"/>
  <c r="R17" i="37"/>
  <c r="R25" i="37" s="1"/>
  <c r="AD16" i="37"/>
  <c r="AB16" i="37"/>
  <c r="AB18" i="37" s="1"/>
  <c r="AB26" i="37" s="1"/>
  <c r="Z16" i="37"/>
  <c r="X16" i="37"/>
  <c r="V16" i="37"/>
  <c r="V24" i="37" s="1"/>
  <c r="T16" i="37"/>
  <c r="R16" i="37"/>
  <c r="T18" i="37" s="1"/>
  <c r="T26" i="37" s="1"/>
  <c r="P16" i="37"/>
  <c r="O16" i="37"/>
  <c r="N16" i="37"/>
  <c r="L16" i="37"/>
  <c r="K16" i="37"/>
  <c r="J16" i="37"/>
  <c r="H16" i="37"/>
  <c r="G16" i="37"/>
  <c r="F16" i="37"/>
  <c r="C16" i="37"/>
  <c r="D30" i="37" s="1"/>
  <c r="E30" i="37" s="1"/>
  <c r="O15" i="37"/>
  <c r="AE14" i="37"/>
  <c r="AC14" i="37"/>
  <c r="AA14" i="37"/>
  <c r="Q14" i="37"/>
  <c r="U14" i="37" s="1"/>
  <c r="M14" i="37"/>
  <c r="I14" i="37"/>
  <c r="O13" i="37"/>
  <c r="O17" i="37" s="1"/>
  <c r="Q12" i="37"/>
  <c r="M12" i="37"/>
  <c r="I12" i="37"/>
  <c r="O11" i="37"/>
  <c r="W10" i="37"/>
  <c r="S10" i="37"/>
  <c r="Q10" i="37"/>
  <c r="AE10" i="37" s="1"/>
  <c r="M10" i="37"/>
  <c r="I10" i="37"/>
  <c r="O9" i="37"/>
  <c r="Q8" i="37"/>
  <c r="W8" i="37" s="1"/>
  <c r="M8" i="37"/>
  <c r="I8" i="37"/>
  <c r="O7" i="37"/>
  <c r="S6" i="37"/>
  <c r="Q6" i="37"/>
  <c r="M6" i="37"/>
  <c r="I6" i="37"/>
  <c r="C3" i="37"/>
  <c r="AE64" i="36"/>
  <c r="AC64" i="36"/>
  <c r="AA64" i="36"/>
  <c r="Y64" i="36"/>
  <c r="W64" i="36"/>
  <c r="U64" i="36"/>
  <c r="S64" i="36"/>
  <c r="AE63" i="36"/>
  <c r="AC63" i="36"/>
  <c r="AA63" i="36"/>
  <c r="Y63" i="36"/>
  <c r="W63" i="36"/>
  <c r="U63" i="36"/>
  <c r="S63" i="36"/>
  <c r="AE62" i="36"/>
  <c r="AC62" i="36"/>
  <c r="AA62" i="36"/>
  <c r="Y62" i="36"/>
  <c r="W62" i="36"/>
  <c r="U62" i="36"/>
  <c r="S62" i="36"/>
  <c r="AE61" i="36"/>
  <c r="AC61" i="36"/>
  <c r="AA61" i="36"/>
  <c r="Y61" i="36"/>
  <c r="W61" i="36"/>
  <c r="U61" i="36"/>
  <c r="S61" i="36"/>
  <c r="AE60" i="36"/>
  <c r="AC60" i="36"/>
  <c r="AA60" i="36"/>
  <c r="Y60" i="36"/>
  <c r="W60" i="36"/>
  <c r="U60" i="36"/>
  <c r="S60" i="36"/>
  <c r="AE59" i="36"/>
  <c r="AC59" i="36"/>
  <c r="AA59" i="36"/>
  <c r="Y59" i="36"/>
  <c r="W59" i="36"/>
  <c r="U59" i="36"/>
  <c r="S59" i="36"/>
  <c r="AE58" i="36"/>
  <c r="AC58" i="36"/>
  <c r="AA58" i="36"/>
  <c r="Y58" i="36"/>
  <c r="W58" i="36"/>
  <c r="U58" i="36"/>
  <c r="S58" i="36"/>
  <c r="AE57" i="36"/>
  <c r="AC57" i="36"/>
  <c r="AA57" i="36"/>
  <c r="Y57" i="36"/>
  <c r="W57" i="36"/>
  <c r="U57" i="36"/>
  <c r="S57" i="36"/>
  <c r="AE56" i="36"/>
  <c r="AC56" i="36"/>
  <c r="AA56" i="36"/>
  <c r="Y56" i="36"/>
  <c r="W56" i="36"/>
  <c r="U56" i="36"/>
  <c r="S56" i="36"/>
  <c r="AE55" i="36"/>
  <c r="AC55" i="36"/>
  <c r="AA55" i="36"/>
  <c r="Y55" i="36"/>
  <c r="W55" i="36"/>
  <c r="U55" i="36"/>
  <c r="S55" i="36"/>
  <c r="AE54" i="36"/>
  <c r="AC54" i="36"/>
  <c r="AA54" i="36"/>
  <c r="Y54" i="36"/>
  <c r="W54" i="36"/>
  <c r="U54" i="36"/>
  <c r="S54" i="36"/>
  <c r="AE53" i="36"/>
  <c r="AC53" i="36"/>
  <c r="AA53" i="36"/>
  <c r="Y53" i="36"/>
  <c r="W53" i="36"/>
  <c r="U53" i="36"/>
  <c r="S53" i="36"/>
  <c r="AE52" i="36"/>
  <c r="AC52" i="36"/>
  <c r="AA52" i="36"/>
  <c r="Y52" i="36"/>
  <c r="W52" i="36"/>
  <c r="U52" i="36"/>
  <c r="S52" i="36"/>
  <c r="AE51" i="36"/>
  <c r="AC51" i="36"/>
  <c r="AA51" i="36"/>
  <c r="Y51" i="36"/>
  <c r="W51" i="36"/>
  <c r="U51" i="36"/>
  <c r="S51" i="36"/>
  <c r="AE50" i="36"/>
  <c r="AC50" i="36"/>
  <c r="AA50" i="36"/>
  <c r="Y50" i="36"/>
  <c r="W50" i="36"/>
  <c r="U50" i="36"/>
  <c r="S50" i="36"/>
  <c r="AE49" i="36"/>
  <c r="AC49" i="36"/>
  <c r="AA49" i="36"/>
  <c r="Y49" i="36"/>
  <c r="W49" i="36"/>
  <c r="U49" i="36"/>
  <c r="S49" i="36"/>
  <c r="AE48" i="36"/>
  <c r="AC48" i="36"/>
  <c r="AA48" i="36"/>
  <c r="Y48" i="36"/>
  <c r="W48" i="36"/>
  <c r="U48" i="36"/>
  <c r="S48" i="36"/>
  <c r="AE47" i="36"/>
  <c r="AC47" i="36"/>
  <c r="AA47" i="36"/>
  <c r="Y47" i="36"/>
  <c r="W47" i="36"/>
  <c r="U47" i="36"/>
  <c r="S47" i="36"/>
  <c r="AE46" i="36"/>
  <c r="AC46" i="36"/>
  <c r="AA46" i="36"/>
  <c r="Y46" i="36"/>
  <c r="W46" i="36"/>
  <c r="U46" i="36"/>
  <c r="S46" i="36"/>
  <c r="AE45" i="36"/>
  <c r="AC45" i="36"/>
  <c r="AA45" i="36"/>
  <c r="Y45" i="36"/>
  <c r="W45" i="36"/>
  <c r="U45" i="36"/>
  <c r="S45" i="36"/>
  <c r="AE44" i="36"/>
  <c r="AC44" i="36"/>
  <c r="AA44" i="36"/>
  <c r="Y44" i="36"/>
  <c r="W44" i="36"/>
  <c r="U44" i="36"/>
  <c r="S44" i="36"/>
  <c r="AE43" i="36"/>
  <c r="AC43" i="36"/>
  <c r="AA43" i="36"/>
  <c r="Y43" i="36"/>
  <c r="W43" i="36"/>
  <c r="U43" i="36"/>
  <c r="S43" i="36"/>
  <c r="AE42" i="36"/>
  <c r="AC42" i="36"/>
  <c r="AA42" i="36"/>
  <c r="Y42" i="36"/>
  <c r="W42" i="36"/>
  <c r="U42" i="36"/>
  <c r="S42" i="36"/>
  <c r="AE41" i="36"/>
  <c r="AC41" i="36"/>
  <c r="AA41" i="36"/>
  <c r="Y41" i="36"/>
  <c r="W41" i="36"/>
  <c r="U41" i="36"/>
  <c r="S41" i="36"/>
  <c r="AE40" i="36"/>
  <c r="AC40" i="36"/>
  <c r="AA40" i="36"/>
  <c r="Y40" i="36"/>
  <c r="W40" i="36"/>
  <c r="U40" i="36"/>
  <c r="S40" i="36"/>
  <c r="AE39" i="36"/>
  <c r="AC39" i="36"/>
  <c r="AA39" i="36"/>
  <c r="Y39" i="36"/>
  <c r="W39" i="36"/>
  <c r="U39" i="36"/>
  <c r="S39" i="36"/>
  <c r="AE38" i="36"/>
  <c r="AC38" i="36"/>
  <c r="AA38" i="36"/>
  <c r="Y38" i="36"/>
  <c r="W38" i="36"/>
  <c r="U38" i="36"/>
  <c r="S38" i="36"/>
  <c r="AE37" i="36"/>
  <c r="AC37" i="36"/>
  <c r="AA37" i="36"/>
  <c r="Y37" i="36"/>
  <c r="W37" i="36"/>
  <c r="U37" i="36"/>
  <c r="S37" i="36"/>
  <c r="AE36" i="36"/>
  <c r="AC36" i="36"/>
  <c r="AA36" i="36"/>
  <c r="Y36" i="36"/>
  <c r="W36" i="36"/>
  <c r="U36" i="36"/>
  <c r="S36" i="36"/>
  <c r="AE35" i="36"/>
  <c r="AC35" i="36"/>
  <c r="AA35" i="36"/>
  <c r="Y35" i="36"/>
  <c r="W35" i="36"/>
  <c r="U35" i="36"/>
  <c r="S35" i="36"/>
  <c r="D34" i="36"/>
  <c r="E34" i="36" s="1"/>
  <c r="E33" i="36"/>
  <c r="D33" i="36"/>
  <c r="D32" i="36"/>
  <c r="E32" i="36" s="1"/>
  <c r="D31" i="36"/>
  <c r="E31" i="36" s="1"/>
  <c r="E30" i="36"/>
  <c r="D30" i="36"/>
  <c r="D29" i="36"/>
  <c r="E29" i="36" s="1"/>
  <c r="X25" i="36"/>
  <c r="T25" i="36"/>
  <c r="R25" i="36"/>
  <c r="AD24" i="36"/>
  <c r="T24" i="36"/>
  <c r="R18" i="36"/>
  <c r="R26" i="36" s="1"/>
  <c r="AD17" i="36"/>
  <c r="AD25" i="36" s="1"/>
  <c r="AB17" i="36"/>
  <c r="AB25" i="36" s="1"/>
  <c r="Z17" i="36"/>
  <c r="Z25" i="36" s="1"/>
  <c r="X17" i="36"/>
  <c r="V17" i="36"/>
  <c r="V25" i="36" s="1"/>
  <c r="T17" i="36"/>
  <c r="R17" i="36"/>
  <c r="AD16" i="36"/>
  <c r="AD18" i="36" s="1"/>
  <c r="AD26" i="36" s="1"/>
  <c r="AB16" i="36"/>
  <c r="AB24" i="36" s="1"/>
  <c r="Z16" i="36"/>
  <c r="Z24" i="36" s="1"/>
  <c r="X16" i="36"/>
  <c r="V16" i="36"/>
  <c r="T16" i="36"/>
  <c r="T18" i="36" s="1"/>
  <c r="T26" i="36" s="1"/>
  <c r="R16" i="36"/>
  <c r="R24" i="36" s="1"/>
  <c r="P16" i="36"/>
  <c r="O16" i="36"/>
  <c r="N16" i="36"/>
  <c r="L16" i="36"/>
  <c r="K16" i="36"/>
  <c r="J16" i="36"/>
  <c r="H16" i="36"/>
  <c r="G16" i="36"/>
  <c r="F16" i="36"/>
  <c r="O15" i="36"/>
  <c r="Q14" i="36"/>
  <c r="M14" i="36"/>
  <c r="I14" i="36"/>
  <c r="O13" i="36"/>
  <c r="AE12" i="36"/>
  <c r="AA12" i="36"/>
  <c r="Y12" i="36"/>
  <c r="W12" i="36"/>
  <c r="U12" i="36"/>
  <c r="Q12" i="36"/>
  <c r="S12" i="36" s="1"/>
  <c r="M12" i="36"/>
  <c r="I12" i="36"/>
  <c r="O11" i="36"/>
  <c r="Q10" i="36"/>
  <c r="M10" i="36"/>
  <c r="I10" i="36"/>
  <c r="O9" i="36"/>
  <c r="S8" i="36"/>
  <c r="Q8" i="36"/>
  <c r="AA8" i="36" s="1"/>
  <c r="M8" i="36"/>
  <c r="I8" i="36"/>
  <c r="O7" i="36"/>
  <c r="Y6" i="36"/>
  <c r="Q6" i="36"/>
  <c r="M6" i="36"/>
  <c r="M16" i="36" s="1"/>
  <c r="I6" i="36"/>
  <c r="C3" i="36"/>
  <c r="AE64" i="35"/>
  <c r="AC64" i="35"/>
  <c r="AA64" i="35"/>
  <c r="Y64" i="35"/>
  <c r="W64" i="35"/>
  <c r="U64" i="35"/>
  <c r="S64" i="35"/>
  <c r="AE63" i="35"/>
  <c r="AC63" i="35"/>
  <c r="AA63" i="35"/>
  <c r="Y63" i="35"/>
  <c r="W63" i="35"/>
  <c r="U63" i="35"/>
  <c r="S63" i="35"/>
  <c r="AE62" i="35"/>
  <c r="AC62" i="35"/>
  <c r="AA62" i="35"/>
  <c r="Y62" i="35"/>
  <c r="W62" i="35"/>
  <c r="U62" i="35"/>
  <c r="S62" i="35"/>
  <c r="AE61" i="35"/>
  <c r="AC61" i="35"/>
  <c r="AA61" i="35"/>
  <c r="Y61" i="35"/>
  <c r="W61" i="35"/>
  <c r="U61" i="35"/>
  <c r="S61" i="35"/>
  <c r="AE60" i="35"/>
  <c r="AC60" i="35"/>
  <c r="AA60" i="35"/>
  <c r="Y60" i="35"/>
  <c r="W60" i="35"/>
  <c r="U60" i="35"/>
  <c r="S60" i="35"/>
  <c r="AE59" i="35"/>
  <c r="AC59" i="35"/>
  <c r="AA59" i="35"/>
  <c r="Y59" i="35"/>
  <c r="W59" i="35"/>
  <c r="U59" i="35"/>
  <c r="S59" i="35"/>
  <c r="AE58" i="35"/>
  <c r="AC58" i="35"/>
  <c r="AA58" i="35"/>
  <c r="Y58" i="35"/>
  <c r="W58" i="35"/>
  <c r="U58" i="35"/>
  <c r="S58" i="35"/>
  <c r="AE57" i="35"/>
  <c r="AC57" i="35"/>
  <c r="AA57" i="35"/>
  <c r="Y57" i="35"/>
  <c r="W57" i="35"/>
  <c r="U57" i="35"/>
  <c r="S57" i="35"/>
  <c r="AE56" i="35"/>
  <c r="AC56" i="35"/>
  <c r="AA56" i="35"/>
  <c r="Y56" i="35"/>
  <c r="W56" i="35"/>
  <c r="U56" i="35"/>
  <c r="S56" i="35"/>
  <c r="AE55" i="35"/>
  <c r="AC55" i="35"/>
  <c r="AA55" i="35"/>
  <c r="Y55" i="35"/>
  <c r="W55" i="35"/>
  <c r="U55" i="35"/>
  <c r="S55" i="35"/>
  <c r="AE54" i="35"/>
  <c r="AC54" i="35"/>
  <c r="AA54" i="35"/>
  <c r="Y54" i="35"/>
  <c r="W54" i="35"/>
  <c r="U54" i="35"/>
  <c r="S54" i="35"/>
  <c r="AE53" i="35"/>
  <c r="AC53" i="35"/>
  <c r="AA53" i="35"/>
  <c r="Y53" i="35"/>
  <c r="W53" i="35"/>
  <c r="U53" i="35"/>
  <c r="S53" i="35"/>
  <c r="AE52" i="35"/>
  <c r="AC52" i="35"/>
  <c r="AA52" i="35"/>
  <c r="Y52" i="35"/>
  <c r="W52" i="35"/>
  <c r="U52" i="35"/>
  <c r="S52" i="35"/>
  <c r="AE51" i="35"/>
  <c r="AC51" i="35"/>
  <c r="AA51" i="35"/>
  <c r="Y51" i="35"/>
  <c r="W51" i="35"/>
  <c r="U51" i="35"/>
  <c r="S51" i="35"/>
  <c r="AE50" i="35"/>
  <c r="AC50" i="35"/>
  <c r="AA50" i="35"/>
  <c r="Y50" i="35"/>
  <c r="W50" i="35"/>
  <c r="U50" i="35"/>
  <c r="S50" i="35"/>
  <c r="AE49" i="35"/>
  <c r="AC49" i="35"/>
  <c r="AA49" i="35"/>
  <c r="Y49" i="35"/>
  <c r="W49" i="35"/>
  <c r="U49" i="35"/>
  <c r="S49" i="35"/>
  <c r="AE48" i="35"/>
  <c r="AC48" i="35"/>
  <c r="AA48" i="35"/>
  <c r="Y48" i="35"/>
  <c r="W48" i="35"/>
  <c r="U48" i="35"/>
  <c r="S48" i="35"/>
  <c r="AE47" i="35"/>
  <c r="AC47" i="35"/>
  <c r="AA47" i="35"/>
  <c r="Y47" i="35"/>
  <c r="W47" i="35"/>
  <c r="U47" i="35"/>
  <c r="S47" i="35"/>
  <c r="AE46" i="35"/>
  <c r="AC46" i="35"/>
  <c r="AA46" i="35"/>
  <c r="Y46" i="35"/>
  <c r="W46" i="35"/>
  <c r="U46" i="35"/>
  <c r="S46" i="35"/>
  <c r="AE45" i="35"/>
  <c r="AC45" i="35"/>
  <c r="AA45" i="35"/>
  <c r="Y45" i="35"/>
  <c r="W45" i="35"/>
  <c r="U45" i="35"/>
  <c r="S45" i="35"/>
  <c r="AE44" i="35"/>
  <c r="AC44" i="35"/>
  <c r="AA44" i="35"/>
  <c r="Y44" i="35"/>
  <c r="W44" i="35"/>
  <c r="U44" i="35"/>
  <c r="S44" i="35"/>
  <c r="AE43" i="35"/>
  <c r="AC43" i="35"/>
  <c r="AA43" i="35"/>
  <c r="Y43" i="35"/>
  <c r="W43" i="35"/>
  <c r="U43" i="35"/>
  <c r="S43" i="35"/>
  <c r="AE42" i="35"/>
  <c r="AC42" i="35"/>
  <c r="AA42" i="35"/>
  <c r="Y42" i="35"/>
  <c r="W42" i="35"/>
  <c r="U42" i="35"/>
  <c r="S42" i="35"/>
  <c r="AE41" i="35"/>
  <c r="AC41" i="35"/>
  <c r="AA41" i="35"/>
  <c r="Y41" i="35"/>
  <c r="W41" i="35"/>
  <c r="U41" i="35"/>
  <c r="S41" i="35"/>
  <c r="AE40" i="35"/>
  <c r="AC40" i="35"/>
  <c r="AA40" i="35"/>
  <c r="Y40" i="35"/>
  <c r="W40" i="35"/>
  <c r="U40" i="35"/>
  <c r="S40" i="35"/>
  <c r="AE39" i="35"/>
  <c r="AC39" i="35"/>
  <c r="AA39" i="35"/>
  <c r="Y39" i="35"/>
  <c r="W39" i="35"/>
  <c r="U39" i="35"/>
  <c r="S39" i="35"/>
  <c r="AE38" i="35"/>
  <c r="AC38" i="35"/>
  <c r="AA38" i="35"/>
  <c r="Y38" i="35"/>
  <c r="W38" i="35"/>
  <c r="U38" i="35"/>
  <c r="S38" i="35"/>
  <c r="AE37" i="35"/>
  <c r="AC37" i="35"/>
  <c r="AA37" i="35"/>
  <c r="Y37" i="35"/>
  <c r="W37" i="35"/>
  <c r="U37" i="35"/>
  <c r="S37" i="35"/>
  <c r="AE36" i="35"/>
  <c r="AC36" i="35"/>
  <c r="AA36" i="35"/>
  <c r="Y36" i="35"/>
  <c r="W36" i="35"/>
  <c r="U36" i="35"/>
  <c r="S36" i="35"/>
  <c r="AE35" i="35"/>
  <c r="AC35" i="35"/>
  <c r="AA35" i="35"/>
  <c r="Y35" i="35"/>
  <c r="W35" i="35"/>
  <c r="U35" i="35"/>
  <c r="S35" i="35"/>
  <c r="D34" i="35"/>
  <c r="E34" i="35" s="1"/>
  <c r="D33" i="35"/>
  <c r="E33" i="35" s="1"/>
  <c r="D32" i="35"/>
  <c r="E32" i="35" s="1"/>
  <c r="D31" i="35"/>
  <c r="E31" i="35" s="1"/>
  <c r="D29" i="35"/>
  <c r="E29" i="35" s="1"/>
  <c r="V25" i="35"/>
  <c r="T25" i="35"/>
  <c r="AD24" i="35"/>
  <c r="X24" i="35"/>
  <c r="AD17" i="35"/>
  <c r="AD25" i="35" s="1"/>
  <c r="AB17" i="35"/>
  <c r="AB25" i="35" s="1"/>
  <c r="Z17" i="35"/>
  <c r="Z25" i="35" s="1"/>
  <c r="X17" i="35"/>
  <c r="X25" i="35" s="1"/>
  <c r="V17" i="35"/>
  <c r="T17" i="35"/>
  <c r="R17" i="35"/>
  <c r="R25" i="35" s="1"/>
  <c r="AD16" i="35"/>
  <c r="AD18" i="35" s="1"/>
  <c r="AD26" i="35" s="1"/>
  <c r="AB16" i="35"/>
  <c r="Z16" i="35"/>
  <c r="X16" i="35"/>
  <c r="V16" i="35"/>
  <c r="V24" i="35" s="1"/>
  <c r="T16" i="35"/>
  <c r="T24" i="35" s="1"/>
  <c r="R16" i="35"/>
  <c r="P16" i="35"/>
  <c r="O16" i="35"/>
  <c r="N16" i="35"/>
  <c r="L16" i="35"/>
  <c r="K16" i="35"/>
  <c r="J16" i="35"/>
  <c r="H16" i="35"/>
  <c r="G16" i="35"/>
  <c r="F16" i="35"/>
  <c r="C16" i="35"/>
  <c r="D30" i="35" s="1"/>
  <c r="E30" i="35" s="1"/>
  <c r="O15" i="35"/>
  <c r="AC14" i="35"/>
  <c r="AA14" i="35"/>
  <c r="Y14" i="35"/>
  <c r="W14" i="35"/>
  <c r="Q14" i="35"/>
  <c r="U14" i="35" s="1"/>
  <c r="M14" i="35"/>
  <c r="I14" i="35"/>
  <c r="O13" i="35"/>
  <c r="AE12" i="35"/>
  <c r="S12" i="35"/>
  <c r="Q12" i="35"/>
  <c r="AA12" i="35" s="1"/>
  <c r="M12" i="35"/>
  <c r="I12" i="35"/>
  <c r="O11" i="35"/>
  <c r="AC10" i="35"/>
  <c r="AA10" i="35"/>
  <c r="Y10" i="35"/>
  <c r="W10" i="35"/>
  <c r="Q10" i="35"/>
  <c r="U10" i="35" s="1"/>
  <c r="M10" i="35"/>
  <c r="I10" i="35"/>
  <c r="O9" i="35"/>
  <c r="AE8" i="35"/>
  <c r="AC8" i="35"/>
  <c r="AA8" i="35"/>
  <c r="Y8" i="35"/>
  <c r="S8" i="35"/>
  <c r="Q8" i="35"/>
  <c r="W8" i="35" s="1"/>
  <c r="M8" i="35"/>
  <c r="I8" i="35"/>
  <c r="O7" i="35"/>
  <c r="O17" i="35" s="1"/>
  <c r="AE6" i="35"/>
  <c r="Q6" i="35"/>
  <c r="AC6" i="35" s="1"/>
  <c r="M6" i="35"/>
  <c r="I6" i="35"/>
  <c r="C3" i="35"/>
  <c r="AE64" i="34"/>
  <c r="AC64" i="34"/>
  <c r="AA64" i="34"/>
  <c r="Y64" i="34"/>
  <c r="W64" i="34"/>
  <c r="U64" i="34"/>
  <c r="S64" i="34"/>
  <c r="AE63" i="34"/>
  <c r="AC63" i="34"/>
  <c r="AA63" i="34"/>
  <c r="Y63" i="34"/>
  <c r="W63" i="34"/>
  <c r="U63" i="34"/>
  <c r="S63" i="34"/>
  <c r="AE62" i="34"/>
  <c r="AC62" i="34"/>
  <c r="AA62" i="34"/>
  <c r="Y62" i="34"/>
  <c r="W62" i="34"/>
  <c r="U62" i="34"/>
  <c r="S62" i="34"/>
  <c r="AE61" i="34"/>
  <c r="AC61" i="34"/>
  <c r="AA61" i="34"/>
  <c r="Y61" i="34"/>
  <c r="W61" i="34"/>
  <c r="U61" i="34"/>
  <c r="S61" i="34"/>
  <c r="AE60" i="34"/>
  <c r="AC60" i="34"/>
  <c r="AA60" i="34"/>
  <c r="Y60" i="34"/>
  <c r="W60" i="34"/>
  <c r="U60" i="34"/>
  <c r="S60" i="34"/>
  <c r="AE59" i="34"/>
  <c r="AC59" i="34"/>
  <c r="AA59" i="34"/>
  <c r="Y59" i="34"/>
  <c r="W59" i="34"/>
  <c r="U59" i="34"/>
  <c r="S59" i="34"/>
  <c r="AE58" i="34"/>
  <c r="AC58" i="34"/>
  <c r="AA58" i="34"/>
  <c r="Y58" i="34"/>
  <c r="W58" i="34"/>
  <c r="U58" i="34"/>
  <c r="S58" i="34"/>
  <c r="AE57" i="34"/>
  <c r="AC57" i="34"/>
  <c r="AA57" i="34"/>
  <c r="Y57" i="34"/>
  <c r="W57" i="34"/>
  <c r="U57" i="34"/>
  <c r="S57" i="34"/>
  <c r="AE56" i="34"/>
  <c r="AC56" i="34"/>
  <c r="AA56" i="34"/>
  <c r="Y56" i="34"/>
  <c r="W56" i="34"/>
  <c r="U56" i="34"/>
  <c r="S56" i="34"/>
  <c r="AE55" i="34"/>
  <c r="AC55" i="34"/>
  <c r="AA55" i="34"/>
  <c r="Y55" i="34"/>
  <c r="W55" i="34"/>
  <c r="U55" i="34"/>
  <c r="S55" i="34"/>
  <c r="AE54" i="34"/>
  <c r="AC54" i="34"/>
  <c r="AA54" i="34"/>
  <c r="Y54" i="34"/>
  <c r="W54" i="34"/>
  <c r="U54" i="34"/>
  <c r="S54" i="34"/>
  <c r="AE53" i="34"/>
  <c r="AC53" i="34"/>
  <c r="AA53" i="34"/>
  <c r="Y53" i="34"/>
  <c r="W53" i="34"/>
  <c r="U53" i="34"/>
  <c r="S53" i="34"/>
  <c r="AE52" i="34"/>
  <c r="AC52" i="34"/>
  <c r="AA52" i="34"/>
  <c r="Y52" i="34"/>
  <c r="W52" i="34"/>
  <c r="U52" i="34"/>
  <c r="S52" i="34"/>
  <c r="AE51" i="34"/>
  <c r="AC51" i="34"/>
  <c r="AA51" i="34"/>
  <c r="Y51" i="34"/>
  <c r="W51" i="34"/>
  <c r="U51" i="34"/>
  <c r="S51" i="34"/>
  <c r="AE50" i="34"/>
  <c r="AC50" i="34"/>
  <c r="AA50" i="34"/>
  <c r="Y50" i="34"/>
  <c r="W50" i="34"/>
  <c r="U50" i="34"/>
  <c r="S50" i="34"/>
  <c r="AE49" i="34"/>
  <c r="AC49" i="34"/>
  <c r="AA49" i="34"/>
  <c r="Y49" i="34"/>
  <c r="W49" i="34"/>
  <c r="U49" i="34"/>
  <c r="S49" i="34"/>
  <c r="AE48" i="34"/>
  <c r="AC48" i="34"/>
  <c r="AA48" i="34"/>
  <c r="Y48" i="34"/>
  <c r="W48" i="34"/>
  <c r="U48" i="34"/>
  <c r="S48" i="34"/>
  <c r="AE47" i="34"/>
  <c r="AC47" i="34"/>
  <c r="AA47" i="34"/>
  <c r="Y47" i="34"/>
  <c r="W47" i="34"/>
  <c r="U47" i="34"/>
  <c r="S47" i="34"/>
  <c r="AE46" i="34"/>
  <c r="AC46" i="34"/>
  <c r="AA46" i="34"/>
  <c r="Y46" i="34"/>
  <c r="W46" i="34"/>
  <c r="U46" i="34"/>
  <c r="S46" i="34"/>
  <c r="AE45" i="34"/>
  <c r="AC45" i="34"/>
  <c r="AA45" i="34"/>
  <c r="Y45" i="34"/>
  <c r="W45" i="34"/>
  <c r="U45" i="34"/>
  <c r="S45" i="34"/>
  <c r="AE44" i="34"/>
  <c r="AC44" i="34"/>
  <c r="AA44" i="34"/>
  <c r="Y44" i="34"/>
  <c r="W44" i="34"/>
  <c r="U44" i="34"/>
  <c r="S44" i="34"/>
  <c r="AE43" i="34"/>
  <c r="AC43" i="34"/>
  <c r="AA43" i="34"/>
  <c r="Y43" i="34"/>
  <c r="W43" i="34"/>
  <c r="U43" i="34"/>
  <c r="S43" i="34"/>
  <c r="AE42" i="34"/>
  <c r="AC42" i="34"/>
  <c r="AA42" i="34"/>
  <c r="Y42" i="34"/>
  <c r="W42" i="34"/>
  <c r="U42" i="34"/>
  <c r="S42" i="34"/>
  <c r="AE41" i="34"/>
  <c r="AC41" i="34"/>
  <c r="AA41" i="34"/>
  <c r="Y41" i="34"/>
  <c r="W41" i="34"/>
  <c r="U41" i="34"/>
  <c r="S41" i="34"/>
  <c r="AE40" i="34"/>
  <c r="AC40" i="34"/>
  <c r="AA40" i="34"/>
  <c r="Y40" i="34"/>
  <c r="W40" i="34"/>
  <c r="U40" i="34"/>
  <c r="S40" i="34"/>
  <c r="AE39" i="34"/>
  <c r="AC39" i="34"/>
  <c r="AA39" i="34"/>
  <c r="Y39" i="34"/>
  <c r="W39" i="34"/>
  <c r="U39" i="34"/>
  <c r="S39" i="34"/>
  <c r="AE38" i="34"/>
  <c r="AC38" i="34"/>
  <c r="AA38" i="34"/>
  <c r="Y38" i="34"/>
  <c r="W38" i="34"/>
  <c r="U38" i="34"/>
  <c r="S38" i="34"/>
  <c r="AE37" i="34"/>
  <c r="AC37" i="34"/>
  <c r="AA37" i="34"/>
  <c r="Y37" i="34"/>
  <c r="W37" i="34"/>
  <c r="U37" i="34"/>
  <c r="S37" i="34"/>
  <c r="AE36" i="34"/>
  <c r="AC36" i="34"/>
  <c r="AA36" i="34"/>
  <c r="Y36" i="34"/>
  <c r="W36" i="34"/>
  <c r="U36" i="34"/>
  <c r="S36" i="34"/>
  <c r="AE35" i="34"/>
  <c r="AC35" i="34"/>
  <c r="AA35" i="34"/>
  <c r="Y35" i="34"/>
  <c r="W35" i="34"/>
  <c r="U35" i="34"/>
  <c r="S35" i="34"/>
  <c r="E34" i="34"/>
  <c r="D34" i="34"/>
  <c r="D33" i="34"/>
  <c r="E33" i="34" s="1"/>
  <c r="D32" i="34"/>
  <c r="E32" i="34" s="1"/>
  <c r="D31" i="34"/>
  <c r="E31" i="34" s="1"/>
  <c r="D29" i="34"/>
  <c r="E29" i="34" s="1"/>
  <c r="V25" i="34"/>
  <c r="T25" i="34"/>
  <c r="AD17" i="34"/>
  <c r="AD25" i="34" s="1"/>
  <c r="AB17" i="34"/>
  <c r="AB25" i="34" s="1"/>
  <c r="Z17" i="34"/>
  <c r="Z25" i="34" s="1"/>
  <c r="X17" i="34"/>
  <c r="X25" i="34" s="1"/>
  <c r="V17" i="34"/>
  <c r="T17" i="34"/>
  <c r="R17" i="34"/>
  <c r="R25" i="34" s="1"/>
  <c r="AD16" i="34"/>
  <c r="AD24" i="34" s="1"/>
  <c r="AB16" i="34"/>
  <c r="Z16" i="34"/>
  <c r="Z24" i="34" s="1"/>
  <c r="X16" i="34"/>
  <c r="X18" i="34" s="1"/>
  <c r="X26" i="34" s="1"/>
  <c r="V16" i="34"/>
  <c r="T16" i="34"/>
  <c r="R16" i="34"/>
  <c r="R24" i="34" s="1"/>
  <c r="P16" i="34"/>
  <c r="O16" i="34"/>
  <c r="N16" i="34"/>
  <c r="L16" i="34"/>
  <c r="K16" i="34"/>
  <c r="J16" i="34"/>
  <c r="H16" i="34"/>
  <c r="G16" i="34"/>
  <c r="F16" i="34"/>
  <c r="C16" i="34"/>
  <c r="D30" i="34" s="1"/>
  <c r="E30" i="34" s="1"/>
  <c r="O15" i="34"/>
  <c r="Q14" i="34"/>
  <c r="M14" i="34"/>
  <c r="I14" i="34"/>
  <c r="O13" i="34"/>
  <c r="W12" i="34"/>
  <c r="Q12" i="34"/>
  <c r="U12" i="34" s="1"/>
  <c r="M12" i="34"/>
  <c r="I12" i="34"/>
  <c r="O11" i="34"/>
  <c r="Q10" i="34"/>
  <c r="AE10" i="34" s="1"/>
  <c r="M10" i="34"/>
  <c r="I10" i="34"/>
  <c r="O9" i="34"/>
  <c r="Q8" i="34"/>
  <c r="AE8" i="34" s="1"/>
  <c r="M8" i="34"/>
  <c r="I8" i="34"/>
  <c r="O7" i="34"/>
  <c r="AA6" i="34"/>
  <c r="S6" i="34"/>
  <c r="Q6" i="34"/>
  <c r="W6" i="34" s="1"/>
  <c r="M6" i="34"/>
  <c r="I6" i="34"/>
  <c r="C3" i="34"/>
  <c r="AE64" i="33"/>
  <c r="AC64" i="33"/>
  <c r="AA64" i="33"/>
  <c r="Y64" i="33"/>
  <c r="W64" i="33"/>
  <c r="U64" i="33"/>
  <c r="S64" i="33"/>
  <c r="AE63" i="33"/>
  <c r="AC63" i="33"/>
  <c r="AA63" i="33"/>
  <c r="Y63" i="33"/>
  <c r="W63" i="33"/>
  <c r="U63" i="33"/>
  <c r="S63" i="33"/>
  <c r="AE62" i="33"/>
  <c r="AC62" i="33"/>
  <c r="AA62" i="33"/>
  <c r="Y62" i="33"/>
  <c r="W62" i="33"/>
  <c r="U62" i="33"/>
  <c r="S62" i="33"/>
  <c r="AE61" i="33"/>
  <c r="AC61" i="33"/>
  <c r="AA61" i="33"/>
  <c r="Y61" i="33"/>
  <c r="W61" i="33"/>
  <c r="U61" i="33"/>
  <c r="S61" i="33"/>
  <c r="AE60" i="33"/>
  <c r="AC60" i="33"/>
  <c r="AA60" i="33"/>
  <c r="Y60" i="33"/>
  <c r="W60" i="33"/>
  <c r="U60" i="33"/>
  <c r="S60" i="33"/>
  <c r="AE59" i="33"/>
  <c r="AC59" i="33"/>
  <c r="AA59" i="33"/>
  <c r="Y59" i="33"/>
  <c r="W59" i="33"/>
  <c r="U59" i="33"/>
  <c r="S59" i="33"/>
  <c r="AE58" i="33"/>
  <c r="AC58" i="33"/>
  <c r="AA58" i="33"/>
  <c r="Y58" i="33"/>
  <c r="W58" i="33"/>
  <c r="U58" i="33"/>
  <c r="S58" i="33"/>
  <c r="AE57" i="33"/>
  <c r="AC57" i="33"/>
  <c r="AA57" i="33"/>
  <c r="Y57" i="33"/>
  <c r="W57" i="33"/>
  <c r="U57" i="33"/>
  <c r="S57" i="33"/>
  <c r="AE56" i="33"/>
  <c r="AC56" i="33"/>
  <c r="AA56" i="33"/>
  <c r="Y56" i="33"/>
  <c r="W56" i="33"/>
  <c r="U56" i="33"/>
  <c r="S56" i="33"/>
  <c r="AE55" i="33"/>
  <c r="AC55" i="33"/>
  <c r="AA55" i="33"/>
  <c r="Y55" i="33"/>
  <c r="W55" i="33"/>
  <c r="U55" i="33"/>
  <c r="S55" i="33"/>
  <c r="AE54" i="33"/>
  <c r="AC54" i="33"/>
  <c r="AA54" i="33"/>
  <c r="Y54" i="33"/>
  <c r="W54" i="33"/>
  <c r="U54" i="33"/>
  <c r="S54" i="33"/>
  <c r="AE53" i="33"/>
  <c r="AC53" i="33"/>
  <c r="AA53" i="33"/>
  <c r="Y53" i="33"/>
  <c r="W53" i="33"/>
  <c r="U53" i="33"/>
  <c r="S53" i="33"/>
  <c r="AE52" i="33"/>
  <c r="AC52" i="33"/>
  <c r="AA52" i="33"/>
  <c r="Y52" i="33"/>
  <c r="W52" i="33"/>
  <c r="U52" i="33"/>
  <c r="S52" i="33"/>
  <c r="AE51" i="33"/>
  <c r="AC51" i="33"/>
  <c r="AA51" i="33"/>
  <c r="Y51" i="33"/>
  <c r="W51" i="33"/>
  <c r="U51" i="33"/>
  <c r="S51" i="33"/>
  <c r="AE50" i="33"/>
  <c r="AC50" i="33"/>
  <c r="AA50" i="33"/>
  <c r="Y50" i="33"/>
  <c r="W50" i="33"/>
  <c r="U50" i="33"/>
  <c r="S50" i="33"/>
  <c r="AE49" i="33"/>
  <c r="AC49" i="33"/>
  <c r="AA49" i="33"/>
  <c r="Y49" i="33"/>
  <c r="W49" i="33"/>
  <c r="U49" i="33"/>
  <c r="S49" i="33"/>
  <c r="AE48" i="33"/>
  <c r="AC48" i="33"/>
  <c r="AA48" i="33"/>
  <c r="Y48" i="33"/>
  <c r="W48" i="33"/>
  <c r="U48" i="33"/>
  <c r="S48" i="33"/>
  <c r="AE47" i="33"/>
  <c r="AC47" i="33"/>
  <c r="AA47" i="33"/>
  <c r="Y47" i="33"/>
  <c r="W47" i="33"/>
  <c r="U47" i="33"/>
  <c r="S47" i="33"/>
  <c r="AE46" i="33"/>
  <c r="AC46" i="33"/>
  <c r="AA46" i="33"/>
  <c r="Y46" i="33"/>
  <c r="W46" i="33"/>
  <c r="U46" i="33"/>
  <c r="S46" i="33"/>
  <c r="AE45" i="33"/>
  <c r="AC45" i="33"/>
  <c r="AA45" i="33"/>
  <c r="Y45" i="33"/>
  <c r="W45" i="33"/>
  <c r="U45" i="33"/>
  <c r="S45" i="33"/>
  <c r="AE44" i="33"/>
  <c r="AC44" i="33"/>
  <c r="AA44" i="33"/>
  <c r="Y44" i="33"/>
  <c r="W44" i="33"/>
  <c r="U44" i="33"/>
  <c r="S44" i="33"/>
  <c r="AE43" i="33"/>
  <c r="AC43" i="33"/>
  <c r="AA43" i="33"/>
  <c r="Y43" i="33"/>
  <c r="W43" i="33"/>
  <c r="U43" i="33"/>
  <c r="S43" i="33"/>
  <c r="AE42" i="33"/>
  <c r="AC42" i="33"/>
  <c r="AA42" i="33"/>
  <c r="Y42" i="33"/>
  <c r="W42" i="33"/>
  <c r="U42" i="33"/>
  <c r="S42" i="33"/>
  <c r="AE41" i="33"/>
  <c r="AC41" i="33"/>
  <c r="AA41" i="33"/>
  <c r="Y41" i="33"/>
  <c r="W41" i="33"/>
  <c r="U41" i="33"/>
  <c r="S41" i="33"/>
  <c r="AE40" i="33"/>
  <c r="AC40" i="33"/>
  <c r="AA40" i="33"/>
  <c r="Y40" i="33"/>
  <c r="W40" i="33"/>
  <c r="U40" i="33"/>
  <c r="S40" i="33"/>
  <c r="AE39" i="33"/>
  <c r="AC39" i="33"/>
  <c r="AA39" i="33"/>
  <c r="Y39" i="33"/>
  <c r="W39" i="33"/>
  <c r="U39" i="33"/>
  <c r="S39" i="33"/>
  <c r="AE38" i="33"/>
  <c r="AC38" i="33"/>
  <c r="AA38" i="33"/>
  <c r="Y38" i="33"/>
  <c r="W38" i="33"/>
  <c r="U38" i="33"/>
  <c r="S38" i="33"/>
  <c r="AE37" i="33"/>
  <c r="AC37" i="33"/>
  <c r="AA37" i="33"/>
  <c r="Y37" i="33"/>
  <c r="W37" i="33"/>
  <c r="U37" i="33"/>
  <c r="S37" i="33"/>
  <c r="AE36" i="33"/>
  <c r="AC36" i="33"/>
  <c r="AA36" i="33"/>
  <c r="Y36" i="33"/>
  <c r="W36" i="33"/>
  <c r="U36" i="33"/>
  <c r="S36" i="33"/>
  <c r="AE35" i="33"/>
  <c r="AC35" i="33"/>
  <c r="AA35" i="33"/>
  <c r="Y35" i="33"/>
  <c r="W35" i="33"/>
  <c r="U35" i="33"/>
  <c r="S35" i="33"/>
  <c r="D34" i="33"/>
  <c r="E34" i="33" s="1"/>
  <c r="D33" i="33"/>
  <c r="E33" i="33" s="1"/>
  <c r="D32" i="33"/>
  <c r="E32" i="33" s="1"/>
  <c r="D31" i="33"/>
  <c r="E31" i="33" s="1"/>
  <c r="D30" i="33"/>
  <c r="E30" i="33" s="1"/>
  <c r="D29" i="33"/>
  <c r="E29" i="33" s="1"/>
  <c r="AD17" i="33"/>
  <c r="AD25" i="33" s="1"/>
  <c r="AB17" i="33"/>
  <c r="AB25" i="33" s="1"/>
  <c r="Z17" i="33"/>
  <c r="Z25" i="33" s="1"/>
  <c r="X17" i="33"/>
  <c r="X25" i="33" s="1"/>
  <c r="V17" i="33"/>
  <c r="V25" i="33" s="1"/>
  <c r="T17" i="33"/>
  <c r="T25" i="33" s="1"/>
  <c r="R17" i="33"/>
  <c r="R25" i="33" s="1"/>
  <c r="AD16" i="33"/>
  <c r="AB16" i="33"/>
  <c r="AB24" i="33" s="1"/>
  <c r="Z16" i="33"/>
  <c r="Z24" i="33" s="1"/>
  <c r="X16" i="33"/>
  <c r="X24" i="33" s="1"/>
  <c r="V16" i="33"/>
  <c r="V24" i="33" s="1"/>
  <c r="T16" i="33"/>
  <c r="T18" i="33" s="1"/>
  <c r="T26" i="33" s="1"/>
  <c r="R16" i="33"/>
  <c r="R18" i="33" s="1"/>
  <c r="R26" i="33" s="1"/>
  <c r="P16" i="33"/>
  <c r="O16" i="33"/>
  <c r="N16" i="33"/>
  <c r="L16" i="33"/>
  <c r="K16" i="33"/>
  <c r="J16" i="33"/>
  <c r="H16" i="33"/>
  <c r="G16" i="33"/>
  <c r="F16" i="33"/>
  <c r="O15" i="33"/>
  <c r="AE14" i="33"/>
  <c r="AC14" i="33"/>
  <c r="AA14" i="33"/>
  <c r="Y14" i="33"/>
  <c r="U14" i="33"/>
  <c r="Q14" i="33"/>
  <c r="W14" i="33" s="1"/>
  <c r="M14" i="33"/>
  <c r="I14" i="33"/>
  <c r="O13" i="33"/>
  <c r="AE12" i="33"/>
  <c r="Q12" i="33"/>
  <c r="AC12" i="33" s="1"/>
  <c r="M12" i="33"/>
  <c r="I12" i="33"/>
  <c r="O11" i="33"/>
  <c r="AE10" i="33"/>
  <c r="AA10" i="33"/>
  <c r="Y10" i="33"/>
  <c r="W10" i="33"/>
  <c r="U10" i="33"/>
  <c r="Q10" i="33"/>
  <c r="S10" i="33" s="1"/>
  <c r="M10" i="33"/>
  <c r="I10" i="33"/>
  <c r="O9" i="33"/>
  <c r="AA8" i="33"/>
  <c r="Q8" i="33"/>
  <c r="M8" i="33"/>
  <c r="I8" i="33"/>
  <c r="O7" i="33"/>
  <c r="Q6" i="33"/>
  <c r="W6" i="33" s="1"/>
  <c r="M6" i="33"/>
  <c r="I6" i="33"/>
  <c r="I16" i="33" s="1"/>
  <c r="C3" i="33"/>
  <c r="AE64" i="32"/>
  <c r="AC64" i="32"/>
  <c r="AA64" i="32"/>
  <c r="Y64" i="32"/>
  <c r="W64" i="32"/>
  <c r="U64" i="32"/>
  <c r="S64" i="32"/>
  <c r="AE63" i="32"/>
  <c r="AC63" i="32"/>
  <c r="AA63" i="32"/>
  <c r="Y63" i="32"/>
  <c r="W63" i="32"/>
  <c r="U63" i="32"/>
  <c r="S63" i="32"/>
  <c r="AE62" i="32"/>
  <c r="AC62" i="32"/>
  <c r="AA62" i="32"/>
  <c r="Y62" i="32"/>
  <c r="W62" i="32"/>
  <c r="U62" i="32"/>
  <c r="S62" i="32"/>
  <c r="AE61" i="32"/>
  <c r="AC61" i="32"/>
  <c r="AA61" i="32"/>
  <c r="Y61" i="32"/>
  <c r="W61" i="32"/>
  <c r="U61" i="32"/>
  <c r="S61" i="32"/>
  <c r="AE60" i="32"/>
  <c r="AC60" i="32"/>
  <c r="AA60" i="32"/>
  <c r="Y60" i="32"/>
  <c r="W60" i="32"/>
  <c r="U60" i="32"/>
  <c r="S60" i="32"/>
  <c r="AE59" i="32"/>
  <c r="AC59" i="32"/>
  <c r="AA59" i="32"/>
  <c r="Y59" i="32"/>
  <c r="W59" i="32"/>
  <c r="U59" i="32"/>
  <c r="S59" i="32"/>
  <c r="AE58" i="32"/>
  <c r="AC58" i="32"/>
  <c r="AA58" i="32"/>
  <c r="Y58" i="32"/>
  <c r="W58" i="32"/>
  <c r="U58" i="32"/>
  <c r="S58" i="32"/>
  <c r="AE57" i="32"/>
  <c r="AC57" i="32"/>
  <c r="AA57" i="32"/>
  <c r="Y57" i="32"/>
  <c r="W57" i="32"/>
  <c r="U57" i="32"/>
  <c r="S57" i="32"/>
  <c r="AE56" i="32"/>
  <c r="AC56" i="32"/>
  <c r="AA56" i="32"/>
  <c r="Y56" i="32"/>
  <c r="W56" i="32"/>
  <c r="U56" i="32"/>
  <c r="S56" i="32"/>
  <c r="AE55" i="32"/>
  <c r="AC55" i="32"/>
  <c r="AA55" i="32"/>
  <c r="Y55" i="32"/>
  <c r="W55" i="32"/>
  <c r="U55" i="32"/>
  <c r="S55" i="32"/>
  <c r="AE54" i="32"/>
  <c r="AC54" i="32"/>
  <c r="AA54" i="32"/>
  <c r="Y54" i="32"/>
  <c r="W54" i="32"/>
  <c r="U54" i="32"/>
  <c r="S54" i="32"/>
  <c r="AE53" i="32"/>
  <c r="AC53" i="32"/>
  <c r="AA53" i="32"/>
  <c r="Y53" i="32"/>
  <c r="W53" i="32"/>
  <c r="U53" i="32"/>
  <c r="S53" i="32"/>
  <c r="AE52" i="32"/>
  <c r="AC52" i="32"/>
  <c r="AA52" i="32"/>
  <c r="Y52" i="32"/>
  <c r="W52" i="32"/>
  <c r="U52" i="32"/>
  <c r="S52" i="32"/>
  <c r="AE51" i="32"/>
  <c r="AC51" i="32"/>
  <c r="AA51" i="32"/>
  <c r="Y51" i="32"/>
  <c r="W51" i="32"/>
  <c r="U51" i="32"/>
  <c r="S51" i="32"/>
  <c r="AE50" i="32"/>
  <c r="AC50" i="32"/>
  <c r="AA50" i="32"/>
  <c r="Y50" i="32"/>
  <c r="W50" i="32"/>
  <c r="U50" i="32"/>
  <c r="S50" i="32"/>
  <c r="AE49" i="32"/>
  <c r="AC49" i="32"/>
  <c r="AA49" i="32"/>
  <c r="Y49" i="32"/>
  <c r="W49" i="32"/>
  <c r="U49" i="32"/>
  <c r="S49" i="32"/>
  <c r="AE48" i="32"/>
  <c r="AC48" i="32"/>
  <c r="AA48" i="32"/>
  <c r="Y48" i="32"/>
  <c r="W48" i="32"/>
  <c r="U48" i="32"/>
  <c r="S48" i="32"/>
  <c r="AE47" i="32"/>
  <c r="AC47" i="32"/>
  <c r="AA47" i="32"/>
  <c r="Y47" i="32"/>
  <c r="W47" i="32"/>
  <c r="U47" i="32"/>
  <c r="S47" i="32"/>
  <c r="AE46" i="32"/>
  <c r="AC46" i="32"/>
  <c r="AA46" i="32"/>
  <c r="Y46" i="32"/>
  <c r="W46" i="32"/>
  <c r="U46" i="32"/>
  <c r="S46" i="32"/>
  <c r="AE45" i="32"/>
  <c r="AC45" i="32"/>
  <c r="AA45" i="32"/>
  <c r="Y45" i="32"/>
  <c r="W45" i="32"/>
  <c r="U45" i="32"/>
  <c r="S45" i="32"/>
  <c r="AE44" i="32"/>
  <c r="AC44" i="32"/>
  <c r="AA44" i="32"/>
  <c r="Y44" i="32"/>
  <c r="W44" i="32"/>
  <c r="U44" i="32"/>
  <c r="S44" i="32"/>
  <c r="AE43" i="32"/>
  <c r="AC43" i="32"/>
  <c r="AA43" i="32"/>
  <c r="Y43" i="32"/>
  <c r="W43" i="32"/>
  <c r="U43" i="32"/>
  <c r="S43" i="32"/>
  <c r="AE42" i="32"/>
  <c r="AC42" i="32"/>
  <c r="AA42" i="32"/>
  <c r="Y42" i="32"/>
  <c r="W42" i="32"/>
  <c r="U42" i="32"/>
  <c r="S42" i="32"/>
  <c r="AE41" i="32"/>
  <c r="AC41" i="32"/>
  <c r="AA41" i="32"/>
  <c r="Y41" i="32"/>
  <c r="W41" i="32"/>
  <c r="U41" i="32"/>
  <c r="S41" i="32"/>
  <c r="AE40" i="32"/>
  <c r="AC40" i="32"/>
  <c r="AA40" i="32"/>
  <c r="Y40" i="32"/>
  <c r="W40" i="32"/>
  <c r="U40" i="32"/>
  <c r="S40" i="32"/>
  <c r="AE39" i="32"/>
  <c r="AC39" i="32"/>
  <c r="AA39" i="32"/>
  <c r="Y39" i="32"/>
  <c r="W39" i="32"/>
  <c r="U39" i="32"/>
  <c r="S39" i="32"/>
  <c r="AE38" i="32"/>
  <c r="AC38" i="32"/>
  <c r="AA38" i="32"/>
  <c r="Y38" i="32"/>
  <c r="W38" i="32"/>
  <c r="U38" i="32"/>
  <c r="S38" i="32"/>
  <c r="AE37" i="32"/>
  <c r="AC37" i="32"/>
  <c r="AA37" i="32"/>
  <c r="Y37" i="32"/>
  <c r="W37" i="32"/>
  <c r="U37" i="32"/>
  <c r="S37" i="32"/>
  <c r="AE36" i="32"/>
  <c r="AC36" i="32"/>
  <c r="AA36" i="32"/>
  <c r="Y36" i="32"/>
  <c r="W36" i="32"/>
  <c r="U36" i="32"/>
  <c r="S36" i="32"/>
  <c r="AE35" i="32"/>
  <c r="AC35" i="32"/>
  <c r="AA35" i="32"/>
  <c r="Y35" i="32"/>
  <c r="W35" i="32"/>
  <c r="U35" i="32"/>
  <c r="S35" i="32"/>
  <c r="D34" i="32"/>
  <c r="E34" i="32" s="1"/>
  <c r="D33" i="32"/>
  <c r="E33" i="32" s="1"/>
  <c r="D32" i="32"/>
  <c r="E32" i="32" s="1"/>
  <c r="D31" i="32"/>
  <c r="E31" i="32" s="1"/>
  <c r="D30" i="32"/>
  <c r="E30" i="32" s="1"/>
  <c r="D29" i="32"/>
  <c r="E29" i="32" s="1"/>
  <c r="V25" i="32"/>
  <c r="T25" i="32"/>
  <c r="R25" i="32"/>
  <c r="AD24" i="32"/>
  <c r="AD17" i="32"/>
  <c r="AD25" i="32" s="1"/>
  <c r="AB17" i="32"/>
  <c r="AB25" i="32" s="1"/>
  <c r="Z17" i="32"/>
  <c r="Z25" i="32" s="1"/>
  <c r="X17" i="32"/>
  <c r="X25" i="32" s="1"/>
  <c r="V17" i="32"/>
  <c r="T17" i="32"/>
  <c r="R17" i="32"/>
  <c r="AD16" i="32"/>
  <c r="AB16" i="32"/>
  <c r="AB24" i="32" s="1"/>
  <c r="Z16" i="32"/>
  <c r="X16" i="32"/>
  <c r="V16" i="32"/>
  <c r="V18" i="32" s="1"/>
  <c r="V26" i="32" s="1"/>
  <c r="T16" i="32"/>
  <c r="T24" i="32" s="1"/>
  <c r="R16" i="32"/>
  <c r="R24" i="32" s="1"/>
  <c r="P16" i="32"/>
  <c r="O16" i="32"/>
  <c r="N16" i="32"/>
  <c r="L16" i="32"/>
  <c r="K16" i="32"/>
  <c r="J16" i="32"/>
  <c r="H16" i="32"/>
  <c r="G16" i="32"/>
  <c r="F16" i="32"/>
  <c r="O15" i="32"/>
  <c r="Q14" i="32"/>
  <c r="M14" i="32"/>
  <c r="I14" i="32"/>
  <c r="O13" i="32"/>
  <c r="Q12" i="32"/>
  <c r="U12" i="32" s="1"/>
  <c r="M12" i="32"/>
  <c r="I12" i="32"/>
  <c r="O11" i="32"/>
  <c r="Q10" i="32"/>
  <c r="AA10" i="32" s="1"/>
  <c r="M10" i="32"/>
  <c r="I10" i="32"/>
  <c r="O9" i="32"/>
  <c r="AE8" i="32"/>
  <c r="S8" i="32"/>
  <c r="Q8" i="32"/>
  <c r="AA8" i="32" s="1"/>
  <c r="M8" i="32"/>
  <c r="I8" i="32"/>
  <c r="O7" i="32"/>
  <c r="Y6" i="32"/>
  <c r="S6" i="32"/>
  <c r="Q6" i="32"/>
  <c r="W6" i="32" s="1"/>
  <c r="M6" i="32"/>
  <c r="I6" i="32"/>
  <c r="C3" i="32"/>
  <c r="AE65" i="31"/>
  <c r="AC65" i="31"/>
  <c r="AA65" i="31"/>
  <c r="Y65" i="31"/>
  <c r="W65" i="31"/>
  <c r="U65" i="31"/>
  <c r="S65" i="31"/>
  <c r="AE64" i="31"/>
  <c r="AC64" i="31"/>
  <c r="AA64" i="31"/>
  <c r="Y64" i="31"/>
  <c r="W64" i="31"/>
  <c r="U64" i="31"/>
  <c r="S64" i="31"/>
  <c r="AE63" i="31"/>
  <c r="AC63" i="31"/>
  <c r="AA63" i="31"/>
  <c r="Y63" i="31"/>
  <c r="W63" i="31"/>
  <c r="U63" i="31"/>
  <c r="S63" i="31"/>
  <c r="AE62" i="31"/>
  <c r="AC62" i="31"/>
  <c r="AA62" i="31"/>
  <c r="Y62" i="31"/>
  <c r="W62" i="31"/>
  <c r="U62" i="31"/>
  <c r="S62" i="31"/>
  <c r="AE61" i="31"/>
  <c r="AC61" i="31"/>
  <c r="AA61" i="31"/>
  <c r="Y61" i="31"/>
  <c r="W61" i="31"/>
  <c r="U61" i="31"/>
  <c r="S61" i="31"/>
  <c r="AE60" i="31"/>
  <c r="AC60" i="31"/>
  <c r="AA60" i="31"/>
  <c r="Y60" i="31"/>
  <c r="W60" i="31"/>
  <c r="U60" i="31"/>
  <c r="S60" i="31"/>
  <c r="AE59" i="31"/>
  <c r="AC59" i="31"/>
  <c r="AA59" i="31"/>
  <c r="Y59" i="31"/>
  <c r="W59" i="31"/>
  <c r="U59" i="31"/>
  <c r="S59" i="31"/>
  <c r="AE58" i="31"/>
  <c r="AC58" i="31"/>
  <c r="AA58" i="31"/>
  <c r="Y58" i="31"/>
  <c r="W58" i="31"/>
  <c r="U58" i="31"/>
  <c r="S58" i="31"/>
  <c r="AE57" i="31"/>
  <c r="AC57" i="31"/>
  <c r="AA57" i="31"/>
  <c r="Y57" i="31"/>
  <c r="W57" i="31"/>
  <c r="U57" i="31"/>
  <c r="S57" i="31"/>
  <c r="AE56" i="31"/>
  <c r="AC56" i="31"/>
  <c r="AA56" i="31"/>
  <c r="Y56" i="31"/>
  <c r="W56" i="31"/>
  <c r="U56" i="31"/>
  <c r="S56" i="31"/>
  <c r="AE55" i="31"/>
  <c r="AC55" i="31"/>
  <c r="AA55" i="31"/>
  <c r="Y55" i="31"/>
  <c r="W55" i="31"/>
  <c r="U55" i="31"/>
  <c r="S55" i="31"/>
  <c r="AE54" i="31"/>
  <c r="AC54" i="31"/>
  <c r="AA54" i="31"/>
  <c r="Y54" i="31"/>
  <c r="W54" i="31"/>
  <c r="U54" i="31"/>
  <c r="S54" i="31"/>
  <c r="AE53" i="31"/>
  <c r="AC53" i="31"/>
  <c r="AA53" i="31"/>
  <c r="Y53" i="31"/>
  <c r="W53" i="31"/>
  <c r="U53" i="31"/>
  <c r="S53" i="31"/>
  <c r="AE52" i="31"/>
  <c r="AC52" i="31"/>
  <c r="AA52" i="31"/>
  <c r="Y52" i="31"/>
  <c r="W52" i="31"/>
  <c r="U52" i="31"/>
  <c r="S52" i="31"/>
  <c r="AE51" i="31"/>
  <c r="AC51" i="31"/>
  <c r="AA51" i="31"/>
  <c r="Y51" i="31"/>
  <c r="W51" i="31"/>
  <c r="U51" i="31"/>
  <c r="S51" i="31"/>
  <c r="AE50" i="31"/>
  <c r="AC50" i="31"/>
  <c r="AA50" i="31"/>
  <c r="Y50" i="31"/>
  <c r="W50" i="31"/>
  <c r="U50" i="31"/>
  <c r="S50" i="31"/>
  <c r="AE49" i="31"/>
  <c r="AC49" i="31"/>
  <c r="AA49" i="31"/>
  <c r="Y49" i="31"/>
  <c r="W49" i="31"/>
  <c r="U49" i="31"/>
  <c r="S49" i="31"/>
  <c r="AE48" i="31"/>
  <c r="AC48" i="31"/>
  <c r="AA48" i="31"/>
  <c r="Y48" i="31"/>
  <c r="W48" i="31"/>
  <c r="U48" i="31"/>
  <c r="S48" i="31"/>
  <c r="AE47" i="31"/>
  <c r="AC47" i="31"/>
  <c r="AA47" i="31"/>
  <c r="Y47" i="31"/>
  <c r="W47" i="31"/>
  <c r="U47" i="31"/>
  <c r="S47" i="31"/>
  <c r="AE46" i="31"/>
  <c r="AC46" i="31"/>
  <c r="AA46" i="31"/>
  <c r="Y46" i="31"/>
  <c r="W46" i="31"/>
  <c r="U46" i="31"/>
  <c r="S46" i="31"/>
  <c r="AE45" i="31"/>
  <c r="AC45" i="31"/>
  <c r="AA45" i="31"/>
  <c r="Y45" i="31"/>
  <c r="W45" i="31"/>
  <c r="U45" i="31"/>
  <c r="S45" i="31"/>
  <c r="AE44" i="31"/>
  <c r="AC44" i="31"/>
  <c r="AA44" i="31"/>
  <c r="Y44" i="31"/>
  <c r="W44" i="31"/>
  <c r="U44" i="31"/>
  <c r="S44" i="31"/>
  <c r="AE43" i="31"/>
  <c r="AC43" i="31"/>
  <c r="AA43" i="31"/>
  <c r="Y43" i="31"/>
  <c r="W43" i="31"/>
  <c r="U43" i="31"/>
  <c r="S43" i="31"/>
  <c r="AE42" i="31"/>
  <c r="AC42" i="31"/>
  <c r="AA42" i="31"/>
  <c r="Y42" i="31"/>
  <c r="W42" i="31"/>
  <c r="U42" i="31"/>
  <c r="S42" i="31"/>
  <c r="AE41" i="31"/>
  <c r="AC41" i="31"/>
  <c r="AA41" i="31"/>
  <c r="Y41" i="31"/>
  <c r="W41" i="31"/>
  <c r="U41" i="31"/>
  <c r="S41" i="31"/>
  <c r="AE40" i="31"/>
  <c r="AC40" i="31"/>
  <c r="AA40" i="31"/>
  <c r="Y40" i="31"/>
  <c r="W40" i="31"/>
  <c r="U40" i="31"/>
  <c r="S40" i="31"/>
  <c r="AE39" i="31"/>
  <c r="AC39" i="31"/>
  <c r="AA39" i="31"/>
  <c r="Y39" i="31"/>
  <c r="W39" i="31"/>
  <c r="U39" i="31"/>
  <c r="S39" i="31"/>
  <c r="AE38" i="31"/>
  <c r="AC38" i="31"/>
  <c r="AA38" i="31"/>
  <c r="Y38" i="31"/>
  <c r="W38" i="31"/>
  <c r="U38" i="31"/>
  <c r="S38" i="31"/>
  <c r="AE37" i="31"/>
  <c r="AC37" i="31"/>
  <c r="AA37" i="31"/>
  <c r="Y37" i="31"/>
  <c r="W37" i="31"/>
  <c r="U37" i="31"/>
  <c r="S37" i="31"/>
  <c r="AE36" i="31"/>
  <c r="AC36" i="31"/>
  <c r="AA36" i="31"/>
  <c r="Y36" i="31"/>
  <c r="W36" i="31"/>
  <c r="U36" i="31"/>
  <c r="S36" i="31"/>
  <c r="D35" i="31"/>
  <c r="E35" i="31" s="1"/>
  <c r="D34" i="31"/>
  <c r="E34" i="31" s="1"/>
  <c r="D33" i="31"/>
  <c r="E33" i="31" s="1"/>
  <c r="E32" i="31"/>
  <c r="D32" i="31"/>
  <c r="D31" i="31"/>
  <c r="E31" i="31" s="1"/>
  <c r="D30" i="31"/>
  <c r="E30" i="31" s="1"/>
  <c r="D29" i="31"/>
  <c r="E29" i="31" s="1"/>
  <c r="AD25" i="31"/>
  <c r="R25" i="31"/>
  <c r="AD17" i="31"/>
  <c r="AB17" i="31"/>
  <c r="AB25" i="31" s="1"/>
  <c r="Z17" i="31"/>
  <c r="Z25" i="31" s="1"/>
  <c r="X17" i="31"/>
  <c r="X25" i="31" s="1"/>
  <c r="V17" i="31"/>
  <c r="V25" i="31" s="1"/>
  <c r="T17" i="31"/>
  <c r="T25" i="31" s="1"/>
  <c r="R17" i="31"/>
  <c r="AD16" i="31"/>
  <c r="AB16" i="31"/>
  <c r="AB24" i="31" s="1"/>
  <c r="Z16" i="31"/>
  <c r="Z24" i="31" s="1"/>
  <c r="X16" i="31"/>
  <c r="X24" i="31" s="1"/>
  <c r="V16" i="31"/>
  <c r="T16" i="31"/>
  <c r="T18" i="31" s="1"/>
  <c r="T26" i="31" s="1"/>
  <c r="R16" i="31"/>
  <c r="R24" i="31" s="1"/>
  <c r="P16" i="31"/>
  <c r="O16" i="31"/>
  <c r="N16" i="31"/>
  <c r="L16" i="31"/>
  <c r="K16" i="31"/>
  <c r="J16" i="31"/>
  <c r="H16" i="31"/>
  <c r="G16" i="31"/>
  <c r="F16" i="31"/>
  <c r="O15" i="31"/>
  <c r="AE14" i="31"/>
  <c r="S14" i="31"/>
  <c r="Q14" i="31"/>
  <c r="AA14" i="31" s="1"/>
  <c r="M14" i="31"/>
  <c r="I14" i="31"/>
  <c r="O13" i="31"/>
  <c r="AE12" i="31"/>
  <c r="AC12" i="31"/>
  <c r="Y12" i="31"/>
  <c r="W12" i="31"/>
  <c r="U12" i="31"/>
  <c r="S12" i="31"/>
  <c r="Q12" i="31"/>
  <c r="AA12" i="31" s="1"/>
  <c r="M12" i="31"/>
  <c r="I12" i="31"/>
  <c r="O11" i="31"/>
  <c r="AC10" i="31"/>
  <c r="Q10" i="31"/>
  <c r="AA10" i="31" s="1"/>
  <c r="M10" i="31"/>
  <c r="I10" i="31"/>
  <c r="O9" i="31"/>
  <c r="AE8" i="31"/>
  <c r="U8" i="31"/>
  <c r="Q8" i="31"/>
  <c r="AC8" i="31" s="1"/>
  <c r="M8" i="31"/>
  <c r="I8" i="31"/>
  <c r="O7" i="31"/>
  <c r="AE6" i="31"/>
  <c r="AA6" i="31"/>
  <c r="Q6" i="31"/>
  <c r="S6" i="31" s="1"/>
  <c r="M6" i="31"/>
  <c r="I6" i="31"/>
  <c r="C3" i="31"/>
  <c r="AE65" i="30"/>
  <c r="AC65" i="30"/>
  <c r="AA65" i="30"/>
  <c r="Y65" i="30"/>
  <c r="W65" i="30"/>
  <c r="U65" i="30"/>
  <c r="S65" i="30"/>
  <c r="AE64" i="30"/>
  <c r="AC64" i="30"/>
  <c r="AA64" i="30"/>
  <c r="Y64" i="30"/>
  <c r="W64" i="30"/>
  <c r="U64" i="30"/>
  <c r="S64" i="30"/>
  <c r="AE63" i="30"/>
  <c r="AC63" i="30"/>
  <c r="AA63" i="30"/>
  <c r="Y63" i="30"/>
  <c r="W63" i="30"/>
  <c r="U63" i="30"/>
  <c r="S63" i="30"/>
  <c r="AE62" i="30"/>
  <c r="AC62" i="30"/>
  <c r="AA62" i="30"/>
  <c r="Y62" i="30"/>
  <c r="W62" i="30"/>
  <c r="U62" i="30"/>
  <c r="S62" i="30"/>
  <c r="AE61" i="30"/>
  <c r="AC61" i="30"/>
  <c r="AA61" i="30"/>
  <c r="Y61" i="30"/>
  <c r="W61" i="30"/>
  <c r="U61" i="30"/>
  <c r="S61" i="30"/>
  <c r="AE60" i="30"/>
  <c r="AC60" i="30"/>
  <c r="AA60" i="30"/>
  <c r="Y60" i="30"/>
  <c r="W60" i="30"/>
  <c r="U60" i="30"/>
  <c r="S60" i="30"/>
  <c r="AE59" i="30"/>
  <c r="AC59" i="30"/>
  <c r="AA59" i="30"/>
  <c r="Y59" i="30"/>
  <c r="W59" i="30"/>
  <c r="U59" i="30"/>
  <c r="S59" i="30"/>
  <c r="AE58" i="30"/>
  <c r="AC58" i="30"/>
  <c r="AA58" i="30"/>
  <c r="Y58" i="30"/>
  <c r="W58" i="30"/>
  <c r="U58" i="30"/>
  <c r="S58" i="30"/>
  <c r="AE57" i="30"/>
  <c r="AC57" i="30"/>
  <c r="AA57" i="30"/>
  <c r="Y57" i="30"/>
  <c r="W57" i="30"/>
  <c r="U57" i="30"/>
  <c r="S57" i="30"/>
  <c r="AE56" i="30"/>
  <c r="AC56" i="30"/>
  <c r="AA56" i="30"/>
  <c r="Y56" i="30"/>
  <c r="W56" i="30"/>
  <c r="U56" i="30"/>
  <c r="S56" i="30"/>
  <c r="AE55" i="30"/>
  <c r="AC55" i="30"/>
  <c r="AA55" i="30"/>
  <c r="Y55" i="30"/>
  <c r="W55" i="30"/>
  <c r="U55" i="30"/>
  <c r="S55" i="30"/>
  <c r="AE54" i="30"/>
  <c r="AC54" i="30"/>
  <c r="AA54" i="30"/>
  <c r="Y54" i="30"/>
  <c r="W54" i="30"/>
  <c r="U54" i="30"/>
  <c r="S54" i="30"/>
  <c r="AE53" i="30"/>
  <c r="AC53" i="30"/>
  <c r="AA53" i="30"/>
  <c r="Y53" i="30"/>
  <c r="W53" i="30"/>
  <c r="U53" i="30"/>
  <c r="S53" i="30"/>
  <c r="AE52" i="30"/>
  <c r="AC52" i="30"/>
  <c r="AA52" i="30"/>
  <c r="Y52" i="30"/>
  <c r="W52" i="30"/>
  <c r="U52" i="30"/>
  <c r="S52" i="30"/>
  <c r="AE51" i="30"/>
  <c r="AC51" i="30"/>
  <c r="AA51" i="30"/>
  <c r="Y51" i="30"/>
  <c r="W51" i="30"/>
  <c r="U51" i="30"/>
  <c r="S51" i="30"/>
  <c r="AE50" i="30"/>
  <c r="AC50" i="30"/>
  <c r="AA50" i="30"/>
  <c r="Y50" i="30"/>
  <c r="W50" i="30"/>
  <c r="U50" i="30"/>
  <c r="S50" i="30"/>
  <c r="AE49" i="30"/>
  <c r="AC49" i="30"/>
  <c r="AA49" i="30"/>
  <c r="Y49" i="30"/>
  <c r="W49" i="30"/>
  <c r="U49" i="30"/>
  <c r="S49" i="30"/>
  <c r="AE48" i="30"/>
  <c r="AC48" i="30"/>
  <c r="AA48" i="30"/>
  <c r="Y48" i="30"/>
  <c r="W48" i="30"/>
  <c r="U48" i="30"/>
  <c r="S48" i="30"/>
  <c r="AE47" i="30"/>
  <c r="AC47" i="30"/>
  <c r="AA47" i="30"/>
  <c r="Y47" i="30"/>
  <c r="W47" i="30"/>
  <c r="U47" i="30"/>
  <c r="S47" i="30"/>
  <c r="AE46" i="30"/>
  <c r="AC46" i="30"/>
  <c r="AA46" i="30"/>
  <c r="Y46" i="30"/>
  <c r="W46" i="30"/>
  <c r="U46" i="30"/>
  <c r="S46" i="30"/>
  <c r="AE45" i="30"/>
  <c r="AC45" i="30"/>
  <c r="AA45" i="30"/>
  <c r="Y45" i="30"/>
  <c r="W45" i="30"/>
  <c r="U45" i="30"/>
  <c r="S45" i="30"/>
  <c r="AE44" i="30"/>
  <c r="AC44" i="30"/>
  <c r="AA44" i="30"/>
  <c r="Y44" i="30"/>
  <c r="W44" i="30"/>
  <c r="U44" i="30"/>
  <c r="S44" i="30"/>
  <c r="AE43" i="30"/>
  <c r="AC43" i="30"/>
  <c r="AA43" i="30"/>
  <c r="Y43" i="30"/>
  <c r="W43" i="30"/>
  <c r="U43" i="30"/>
  <c r="S43" i="30"/>
  <c r="AE42" i="30"/>
  <c r="AC42" i="30"/>
  <c r="AA42" i="30"/>
  <c r="Y42" i="30"/>
  <c r="W42" i="30"/>
  <c r="U42" i="30"/>
  <c r="S42" i="30"/>
  <c r="AE41" i="30"/>
  <c r="AC41" i="30"/>
  <c r="AA41" i="30"/>
  <c r="Y41" i="30"/>
  <c r="W41" i="30"/>
  <c r="U41" i="30"/>
  <c r="S41" i="30"/>
  <c r="AE40" i="30"/>
  <c r="AC40" i="30"/>
  <c r="AA40" i="30"/>
  <c r="Y40" i="30"/>
  <c r="W40" i="30"/>
  <c r="U40" i="30"/>
  <c r="S40" i="30"/>
  <c r="AE39" i="30"/>
  <c r="AC39" i="30"/>
  <c r="AA39" i="30"/>
  <c r="Y39" i="30"/>
  <c r="W39" i="30"/>
  <c r="U39" i="30"/>
  <c r="S39" i="30"/>
  <c r="AE38" i="30"/>
  <c r="AC38" i="30"/>
  <c r="AA38" i="30"/>
  <c r="Y38" i="30"/>
  <c r="W38" i="30"/>
  <c r="U38" i="30"/>
  <c r="S38" i="30"/>
  <c r="AE37" i="30"/>
  <c r="AC37" i="30"/>
  <c r="AA37" i="30"/>
  <c r="Y37" i="30"/>
  <c r="W37" i="30"/>
  <c r="U37" i="30"/>
  <c r="S37" i="30"/>
  <c r="AE36" i="30"/>
  <c r="AC36" i="30"/>
  <c r="AA36" i="30"/>
  <c r="Y36" i="30"/>
  <c r="W36" i="30"/>
  <c r="U36" i="30"/>
  <c r="S36" i="30"/>
  <c r="E35" i="30"/>
  <c r="D35" i="30"/>
  <c r="D34" i="30"/>
  <c r="E34" i="30" s="1"/>
  <c r="D33" i="30"/>
  <c r="E33" i="30" s="1"/>
  <c r="D32" i="30"/>
  <c r="E32" i="30" s="1"/>
  <c r="E31" i="30"/>
  <c r="D31" i="30"/>
  <c r="D30" i="30"/>
  <c r="E30" i="30" s="1"/>
  <c r="D29" i="30"/>
  <c r="E29" i="30" s="1"/>
  <c r="Z25" i="30"/>
  <c r="X24" i="30"/>
  <c r="AD17" i="30"/>
  <c r="AD25" i="30" s="1"/>
  <c r="AB17" i="30"/>
  <c r="AB25" i="30" s="1"/>
  <c r="Z17" i="30"/>
  <c r="X17" i="30"/>
  <c r="X25" i="30" s="1"/>
  <c r="V17" i="30"/>
  <c r="V25" i="30" s="1"/>
  <c r="T17" i="30"/>
  <c r="T25" i="30" s="1"/>
  <c r="R17" i="30"/>
  <c r="R25" i="30" s="1"/>
  <c r="AD16" i="30"/>
  <c r="AB16" i="30"/>
  <c r="AB24" i="30" s="1"/>
  <c r="Z16" i="30"/>
  <c r="Z24" i="30" s="1"/>
  <c r="X16" i="30"/>
  <c r="X18" i="30" s="1"/>
  <c r="X26" i="30" s="1"/>
  <c r="V16" i="30"/>
  <c r="V24" i="30" s="1"/>
  <c r="T16" i="30"/>
  <c r="T18" i="30" s="1"/>
  <c r="T26" i="30" s="1"/>
  <c r="R16" i="30"/>
  <c r="R18" i="30" s="1"/>
  <c r="R26" i="30" s="1"/>
  <c r="P16" i="30"/>
  <c r="O16" i="30"/>
  <c r="N16" i="30"/>
  <c r="L16" i="30"/>
  <c r="K16" i="30"/>
  <c r="J16" i="30"/>
  <c r="H16" i="30"/>
  <c r="G16" i="30"/>
  <c r="F16" i="30"/>
  <c r="O15" i="30"/>
  <c r="AC14" i="30"/>
  <c r="Q14" i="30"/>
  <c r="AA14" i="30" s="1"/>
  <c r="M14" i="30"/>
  <c r="I14" i="30"/>
  <c r="O13" i="30"/>
  <c r="AE12" i="30"/>
  <c r="Q12" i="30"/>
  <c r="AC12" i="30" s="1"/>
  <c r="M12" i="30"/>
  <c r="I12" i="30"/>
  <c r="O11" i="30"/>
  <c r="AE10" i="30"/>
  <c r="AA10" i="30"/>
  <c r="Y10" i="30"/>
  <c r="W10" i="30"/>
  <c r="U10" i="30"/>
  <c r="Q10" i="30"/>
  <c r="S10" i="30" s="1"/>
  <c r="M10" i="30"/>
  <c r="I10" i="30"/>
  <c r="O9" i="30"/>
  <c r="AA8" i="30"/>
  <c r="Q8" i="30"/>
  <c r="M8" i="30"/>
  <c r="I8" i="30"/>
  <c r="O7" i="30"/>
  <c r="W6" i="30"/>
  <c r="Q6" i="30"/>
  <c r="Q16" i="30" s="1"/>
  <c r="Y16" i="30" s="1"/>
  <c r="M6" i="30"/>
  <c r="M16" i="30" s="1"/>
  <c r="I6" i="30"/>
  <c r="I16" i="30" s="1"/>
  <c r="C3" i="30"/>
  <c r="AE65" i="29"/>
  <c r="AC65" i="29"/>
  <c r="AA65" i="29"/>
  <c r="Y65" i="29"/>
  <c r="W65" i="29"/>
  <c r="U65" i="29"/>
  <c r="S65" i="29"/>
  <c r="AE64" i="29"/>
  <c r="AC64" i="29"/>
  <c r="AA64" i="29"/>
  <c r="Y64" i="29"/>
  <c r="W64" i="29"/>
  <c r="U64" i="29"/>
  <c r="S64" i="29"/>
  <c r="AE63" i="29"/>
  <c r="AC63" i="29"/>
  <c r="AA63" i="29"/>
  <c r="Y63" i="29"/>
  <c r="W63" i="29"/>
  <c r="U63" i="29"/>
  <c r="S63" i="29"/>
  <c r="AE62" i="29"/>
  <c r="AC62" i="29"/>
  <c r="AA62" i="29"/>
  <c r="Y62" i="29"/>
  <c r="W62" i="29"/>
  <c r="U62" i="29"/>
  <c r="S62" i="29"/>
  <c r="AE61" i="29"/>
  <c r="AC61" i="29"/>
  <c r="AA61" i="29"/>
  <c r="Y61" i="29"/>
  <c r="W61" i="29"/>
  <c r="U61" i="29"/>
  <c r="S61" i="29"/>
  <c r="AE60" i="29"/>
  <c r="AC60" i="29"/>
  <c r="AA60" i="29"/>
  <c r="Y60" i="29"/>
  <c r="W60" i="29"/>
  <c r="U60" i="29"/>
  <c r="S60" i="29"/>
  <c r="AE59" i="29"/>
  <c r="AC59" i="29"/>
  <c r="AA59" i="29"/>
  <c r="Y59" i="29"/>
  <c r="W59" i="29"/>
  <c r="U59" i="29"/>
  <c r="S59" i="29"/>
  <c r="AE58" i="29"/>
  <c r="AC58" i="29"/>
  <c r="AA58" i="29"/>
  <c r="Y58" i="29"/>
  <c r="W58" i="29"/>
  <c r="U58" i="29"/>
  <c r="S58" i="29"/>
  <c r="AE57" i="29"/>
  <c r="AC57" i="29"/>
  <c r="AA57" i="29"/>
  <c r="Y57" i="29"/>
  <c r="W57" i="29"/>
  <c r="U57" i="29"/>
  <c r="S57" i="29"/>
  <c r="AE56" i="29"/>
  <c r="AC56" i="29"/>
  <c r="AA56" i="29"/>
  <c r="Y56" i="29"/>
  <c r="W56" i="29"/>
  <c r="U56" i="29"/>
  <c r="S56" i="29"/>
  <c r="AE55" i="29"/>
  <c r="AC55" i="29"/>
  <c r="AA55" i="29"/>
  <c r="Y55" i="29"/>
  <c r="W55" i="29"/>
  <c r="U55" i="29"/>
  <c r="S55" i="29"/>
  <c r="AE54" i="29"/>
  <c r="AC54" i="29"/>
  <c r="AA54" i="29"/>
  <c r="Y54" i="29"/>
  <c r="W54" i="29"/>
  <c r="U54" i="29"/>
  <c r="S54" i="29"/>
  <c r="AE53" i="29"/>
  <c r="AC53" i="29"/>
  <c r="AA53" i="29"/>
  <c r="Y53" i="29"/>
  <c r="W53" i="29"/>
  <c r="U53" i="29"/>
  <c r="S53" i="29"/>
  <c r="AE52" i="29"/>
  <c r="AC52" i="29"/>
  <c r="AA52" i="29"/>
  <c r="Y52" i="29"/>
  <c r="W52" i="29"/>
  <c r="U52" i="29"/>
  <c r="S52" i="29"/>
  <c r="AE51" i="29"/>
  <c r="AC51" i="29"/>
  <c r="AA51" i="29"/>
  <c r="Y51" i="29"/>
  <c r="W51" i="29"/>
  <c r="U51" i="29"/>
  <c r="S51" i="29"/>
  <c r="AE50" i="29"/>
  <c r="AC50" i="29"/>
  <c r="AA50" i="29"/>
  <c r="Y50" i="29"/>
  <c r="W50" i="29"/>
  <c r="U50" i="29"/>
  <c r="S50" i="29"/>
  <c r="AE49" i="29"/>
  <c r="AC49" i="29"/>
  <c r="AA49" i="29"/>
  <c r="Y49" i="29"/>
  <c r="W49" i="29"/>
  <c r="U49" i="29"/>
  <c r="S49" i="29"/>
  <c r="AE48" i="29"/>
  <c r="AC48" i="29"/>
  <c r="AA48" i="29"/>
  <c r="Y48" i="29"/>
  <c r="W48" i="29"/>
  <c r="U48" i="29"/>
  <c r="S48" i="29"/>
  <c r="AE47" i="29"/>
  <c r="AC47" i="29"/>
  <c r="AA47" i="29"/>
  <c r="Y47" i="29"/>
  <c r="W47" i="29"/>
  <c r="U47" i="29"/>
  <c r="S47" i="29"/>
  <c r="AE46" i="29"/>
  <c r="AC46" i="29"/>
  <c r="AA46" i="29"/>
  <c r="Y46" i="29"/>
  <c r="W46" i="29"/>
  <c r="U46" i="29"/>
  <c r="S46" i="29"/>
  <c r="AE45" i="29"/>
  <c r="AC45" i="29"/>
  <c r="AA45" i="29"/>
  <c r="Y45" i="29"/>
  <c r="W45" i="29"/>
  <c r="U45" i="29"/>
  <c r="S45" i="29"/>
  <c r="AE44" i="29"/>
  <c r="AC44" i="29"/>
  <c r="AA44" i="29"/>
  <c r="Y44" i="29"/>
  <c r="W44" i="29"/>
  <c r="U44" i="29"/>
  <c r="S44" i="29"/>
  <c r="AE43" i="29"/>
  <c r="AC43" i="29"/>
  <c r="AA43" i="29"/>
  <c r="Y43" i="29"/>
  <c r="W43" i="29"/>
  <c r="U43" i="29"/>
  <c r="S43" i="29"/>
  <c r="AE42" i="29"/>
  <c r="AC42" i="29"/>
  <c r="AA42" i="29"/>
  <c r="Y42" i="29"/>
  <c r="W42" i="29"/>
  <c r="U42" i="29"/>
  <c r="S42" i="29"/>
  <c r="AE41" i="29"/>
  <c r="AC41" i="29"/>
  <c r="AA41" i="29"/>
  <c r="Y41" i="29"/>
  <c r="W41" i="29"/>
  <c r="U41" i="29"/>
  <c r="S41" i="29"/>
  <c r="AE40" i="29"/>
  <c r="AC40" i="29"/>
  <c r="AA40" i="29"/>
  <c r="Y40" i="29"/>
  <c r="W40" i="29"/>
  <c r="U40" i="29"/>
  <c r="S40" i="29"/>
  <c r="AE39" i="29"/>
  <c r="AC39" i="29"/>
  <c r="AA39" i="29"/>
  <c r="Y39" i="29"/>
  <c r="W39" i="29"/>
  <c r="U39" i="29"/>
  <c r="S39" i="29"/>
  <c r="AE38" i="29"/>
  <c r="AC38" i="29"/>
  <c r="AA38" i="29"/>
  <c r="Y38" i="29"/>
  <c r="W38" i="29"/>
  <c r="U38" i="29"/>
  <c r="S38" i="29"/>
  <c r="AE37" i="29"/>
  <c r="AC37" i="29"/>
  <c r="AA37" i="29"/>
  <c r="Y37" i="29"/>
  <c r="W37" i="29"/>
  <c r="U37" i="29"/>
  <c r="S37" i="29"/>
  <c r="AE36" i="29"/>
  <c r="AC36" i="29"/>
  <c r="AA36" i="29"/>
  <c r="Y36" i="29"/>
  <c r="W36" i="29"/>
  <c r="U36" i="29"/>
  <c r="S36" i="29"/>
  <c r="D35" i="29"/>
  <c r="E35" i="29" s="1"/>
  <c r="E34" i="29"/>
  <c r="D34" i="29"/>
  <c r="D33" i="29"/>
  <c r="E33" i="29" s="1"/>
  <c r="D32" i="29"/>
  <c r="E32" i="29" s="1"/>
  <c r="D31" i="29"/>
  <c r="E31" i="29" s="1"/>
  <c r="D30" i="29"/>
  <c r="E30" i="29" s="1"/>
  <c r="D29" i="29"/>
  <c r="E29" i="29" s="1"/>
  <c r="Z25" i="29"/>
  <c r="X25" i="29"/>
  <c r="V25" i="29"/>
  <c r="T24" i="29"/>
  <c r="V18" i="29"/>
  <c r="V26" i="29" s="1"/>
  <c r="AD17" i="29"/>
  <c r="AD25" i="29" s="1"/>
  <c r="AB17" i="29"/>
  <c r="AB25" i="29" s="1"/>
  <c r="Z17" i="29"/>
  <c r="X17" i="29"/>
  <c r="V17" i="29"/>
  <c r="T17" i="29"/>
  <c r="T25" i="29" s="1"/>
  <c r="R17" i="29"/>
  <c r="R25" i="29" s="1"/>
  <c r="AD16" i="29"/>
  <c r="AD18" i="29" s="1"/>
  <c r="AD26" i="29" s="1"/>
  <c r="AB16" i="29"/>
  <c r="AB18" i="29" s="1"/>
  <c r="AB26" i="29" s="1"/>
  <c r="Z16" i="29"/>
  <c r="X16" i="29"/>
  <c r="X18" i="29" s="1"/>
  <c r="X26" i="29" s="1"/>
  <c r="V16" i="29"/>
  <c r="V24" i="29" s="1"/>
  <c r="T16" i="29"/>
  <c r="R16" i="29"/>
  <c r="R24" i="29" s="1"/>
  <c r="P16" i="29"/>
  <c r="O16" i="29"/>
  <c r="N16" i="29"/>
  <c r="L16" i="29"/>
  <c r="K16" i="29"/>
  <c r="J16" i="29"/>
  <c r="H16" i="29"/>
  <c r="G16" i="29"/>
  <c r="F16" i="29"/>
  <c r="O15" i="29"/>
  <c r="Q14" i="29"/>
  <c r="S14" i="29" s="1"/>
  <c r="M14" i="29"/>
  <c r="I14" i="29"/>
  <c r="O13" i="29"/>
  <c r="Q12" i="29"/>
  <c r="M12" i="29"/>
  <c r="I12" i="29"/>
  <c r="O11" i="29"/>
  <c r="Q10" i="29"/>
  <c r="M10" i="29"/>
  <c r="I10" i="29"/>
  <c r="O9" i="29"/>
  <c r="Q8" i="29"/>
  <c r="U8" i="29" s="1"/>
  <c r="M8" i="29"/>
  <c r="I8" i="29"/>
  <c r="O7" i="29"/>
  <c r="S6" i="29"/>
  <c r="Q6" i="29"/>
  <c r="AE6" i="29" s="1"/>
  <c r="M6" i="29"/>
  <c r="I6" i="29"/>
  <c r="C3" i="29"/>
  <c r="AE65" i="28"/>
  <c r="AC65" i="28"/>
  <c r="AA65" i="28"/>
  <c r="Y65" i="28"/>
  <c r="W65" i="28"/>
  <c r="U65" i="28"/>
  <c r="S65" i="28"/>
  <c r="AE64" i="28"/>
  <c r="AC64" i="28"/>
  <c r="AA64" i="28"/>
  <c r="Y64" i="28"/>
  <c r="W64" i="28"/>
  <c r="U64" i="28"/>
  <c r="S64" i="28"/>
  <c r="AE63" i="28"/>
  <c r="AC63" i="28"/>
  <c r="AA63" i="28"/>
  <c r="Y63" i="28"/>
  <c r="W63" i="28"/>
  <c r="U63" i="28"/>
  <c r="S63" i="28"/>
  <c r="AE62" i="28"/>
  <c r="AC62" i="28"/>
  <c r="AA62" i="28"/>
  <c r="Y62" i="28"/>
  <c r="W62" i="28"/>
  <c r="U62" i="28"/>
  <c r="S62" i="28"/>
  <c r="AE61" i="28"/>
  <c r="AC61" i="28"/>
  <c r="AA61" i="28"/>
  <c r="Y61" i="28"/>
  <c r="W61" i="28"/>
  <c r="U61" i="28"/>
  <c r="S61" i="28"/>
  <c r="AE60" i="28"/>
  <c r="AC60" i="28"/>
  <c r="AA60" i="28"/>
  <c r="Y60" i="28"/>
  <c r="W60" i="28"/>
  <c r="U60" i="28"/>
  <c r="S60" i="28"/>
  <c r="AE59" i="28"/>
  <c r="AC59" i="28"/>
  <c r="AA59" i="28"/>
  <c r="Y59" i="28"/>
  <c r="W59" i="28"/>
  <c r="U59" i="28"/>
  <c r="S59" i="28"/>
  <c r="AE58" i="28"/>
  <c r="AC58" i="28"/>
  <c r="AA58" i="28"/>
  <c r="Y58" i="28"/>
  <c r="W58" i="28"/>
  <c r="U58" i="28"/>
  <c r="S58" i="28"/>
  <c r="AE57" i="28"/>
  <c r="AC57" i="28"/>
  <c r="AA57" i="28"/>
  <c r="Y57" i="28"/>
  <c r="W57" i="28"/>
  <c r="U57" i="28"/>
  <c r="S57" i="28"/>
  <c r="AE56" i="28"/>
  <c r="AC56" i="28"/>
  <c r="AA56" i="28"/>
  <c r="Y56" i="28"/>
  <c r="W56" i="28"/>
  <c r="U56" i="28"/>
  <c r="S56" i="28"/>
  <c r="AE55" i="28"/>
  <c r="AC55" i="28"/>
  <c r="AA55" i="28"/>
  <c r="Y55" i="28"/>
  <c r="W55" i="28"/>
  <c r="U55" i="28"/>
  <c r="S55" i="28"/>
  <c r="AE54" i="28"/>
  <c r="AC54" i="28"/>
  <c r="AA54" i="28"/>
  <c r="Y54" i="28"/>
  <c r="W54" i="28"/>
  <c r="U54" i="28"/>
  <c r="S54" i="28"/>
  <c r="AE53" i="28"/>
  <c r="AC53" i="28"/>
  <c r="AA53" i="28"/>
  <c r="Y53" i="28"/>
  <c r="W53" i="28"/>
  <c r="U53" i="28"/>
  <c r="S53" i="28"/>
  <c r="AE52" i="28"/>
  <c r="AC52" i="28"/>
  <c r="AA52" i="28"/>
  <c r="Y52" i="28"/>
  <c r="W52" i="28"/>
  <c r="U52" i="28"/>
  <c r="S52" i="28"/>
  <c r="AE51" i="28"/>
  <c r="AC51" i="28"/>
  <c r="AA51" i="28"/>
  <c r="Y51" i="28"/>
  <c r="W51" i="28"/>
  <c r="U51" i="28"/>
  <c r="S51" i="28"/>
  <c r="AE50" i="28"/>
  <c r="AC50" i="28"/>
  <c r="AA50" i="28"/>
  <c r="Y50" i="28"/>
  <c r="W50" i="28"/>
  <c r="U50" i="28"/>
  <c r="S50" i="28"/>
  <c r="AE49" i="28"/>
  <c r="AC49" i="28"/>
  <c r="AA49" i="28"/>
  <c r="Y49" i="28"/>
  <c r="W49" i="28"/>
  <c r="U49" i="28"/>
  <c r="S49" i="28"/>
  <c r="AE48" i="28"/>
  <c r="AC48" i="28"/>
  <c r="AA48" i="28"/>
  <c r="Y48" i="28"/>
  <c r="W48" i="28"/>
  <c r="U48" i="28"/>
  <c r="S48" i="28"/>
  <c r="AE47" i="28"/>
  <c r="AC47" i="28"/>
  <c r="AA47" i="28"/>
  <c r="Y47" i="28"/>
  <c r="W47" i="28"/>
  <c r="U47" i="28"/>
  <c r="S47" i="28"/>
  <c r="AE46" i="28"/>
  <c r="AC46" i="28"/>
  <c r="AA46" i="28"/>
  <c r="Y46" i="28"/>
  <c r="W46" i="28"/>
  <c r="U46" i="28"/>
  <c r="S46" i="28"/>
  <c r="AE45" i="28"/>
  <c r="AC45" i="28"/>
  <c r="AA45" i="28"/>
  <c r="Y45" i="28"/>
  <c r="W45" i="28"/>
  <c r="U45" i="28"/>
  <c r="S45" i="28"/>
  <c r="AE44" i="28"/>
  <c r="AC44" i="28"/>
  <c r="AA44" i="28"/>
  <c r="Y44" i="28"/>
  <c r="W44" i="28"/>
  <c r="U44" i="28"/>
  <c r="S44" i="28"/>
  <c r="AE43" i="28"/>
  <c r="AC43" i="28"/>
  <c r="AA43" i="28"/>
  <c r="Y43" i="28"/>
  <c r="W43" i="28"/>
  <c r="U43" i="28"/>
  <c r="S43" i="28"/>
  <c r="AE42" i="28"/>
  <c r="AC42" i="28"/>
  <c r="AA42" i="28"/>
  <c r="Y42" i="28"/>
  <c r="W42" i="28"/>
  <c r="U42" i="28"/>
  <c r="S42" i="28"/>
  <c r="AE41" i="28"/>
  <c r="AC41" i="28"/>
  <c r="AA41" i="28"/>
  <c r="Y41" i="28"/>
  <c r="W41" i="28"/>
  <c r="U41" i="28"/>
  <c r="S41" i="28"/>
  <c r="AE40" i="28"/>
  <c r="AC40" i="28"/>
  <c r="AA40" i="28"/>
  <c r="Y40" i="28"/>
  <c r="W40" i="28"/>
  <c r="U40" i="28"/>
  <c r="S40" i="28"/>
  <c r="AE39" i="28"/>
  <c r="AC39" i="28"/>
  <c r="AA39" i="28"/>
  <c r="Y39" i="28"/>
  <c r="W39" i="28"/>
  <c r="U39" i="28"/>
  <c r="S39" i="28"/>
  <c r="AE38" i="28"/>
  <c r="AC38" i="28"/>
  <c r="AA38" i="28"/>
  <c r="Y38" i="28"/>
  <c r="W38" i="28"/>
  <c r="U38" i="28"/>
  <c r="S38" i="28"/>
  <c r="AE37" i="28"/>
  <c r="AC37" i="28"/>
  <c r="AA37" i="28"/>
  <c r="Y37" i="28"/>
  <c r="W37" i="28"/>
  <c r="U37" i="28"/>
  <c r="S37" i="28"/>
  <c r="AE36" i="28"/>
  <c r="AC36" i="28"/>
  <c r="AA36" i="28"/>
  <c r="Y36" i="28"/>
  <c r="W36" i="28"/>
  <c r="U36" i="28"/>
  <c r="S36" i="28"/>
  <c r="D35" i="28"/>
  <c r="E35" i="28" s="1"/>
  <c r="D34" i="28"/>
  <c r="E34" i="28" s="1"/>
  <c r="D33" i="28"/>
  <c r="E33" i="28" s="1"/>
  <c r="D32" i="28"/>
  <c r="E32" i="28" s="1"/>
  <c r="D31" i="28"/>
  <c r="E31" i="28" s="1"/>
  <c r="D30" i="28"/>
  <c r="E30" i="28" s="1"/>
  <c r="E29" i="28"/>
  <c r="D29" i="28"/>
  <c r="AD24" i="28"/>
  <c r="R24" i="28"/>
  <c r="AD17" i="28"/>
  <c r="AD25" i="28" s="1"/>
  <c r="AB17" i="28"/>
  <c r="AB25" i="28" s="1"/>
  <c r="Z17" i="28"/>
  <c r="Z25" i="28" s="1"/>
  <c r="X17" i="28"/>
  <c r="X25" i="28" s="1"/>
  <c r="V17" i="28"/>
  <c r="V25" i="28" s="1"/>
  <c r="T17" i="28"/>
  <c r="T25" i="28" s="1"/>
  <c r="R17" i="28"/>
  <c r="R25" i="28" s="1"/>
  <c r="AD16" i="28"/>
  <c r="AD18" i="28" s="1"/>
  <c r="AD26" i="28" s="1"/>
  <c r="AB16" i="28"/>
  <c r="AB24" i="28" s="1"/>
  <c r="Z16" i="28"/>
  <c r="AB18" i="28" s="1"/>
  <c r="AB26" i="28" s="1"/>
  <c r="X16" i="28"/>
  <c r="V16" i="28"/>
  <c r="V18" i="28" s="1"/>
  <c r="V26" i="28" s="1"/>
  <c r="T16" i="28"/>
  <c r="T24" i="28" s="1"/>
  <c r="R16" i="28"/>
  <c r="R18" i="28" s="1"/>
  <c r="R26" i="28" s="1"/>
  <c r="P16" i="28"/>
  <c r="O16" i="28"/>
  <c r="N16" i="28"/>
  <c r="L16" i="28"/>
  <c r="K16" i="28"/>
  <c r="J16" i="28"/>
  <c r="H16" i="28"/>
  <c r="G16" i="28"/>
  <c r="F16" i="28"/>
  <c r="O15" i="28"/>
  <c r="O17" i="28" s="1"/>
  <c r="Q14" i="28"/>
  <c r="M14" i="28"/>
  <c r="I14" i="28"/>
  <c r="O13" i="28"/>
  <c r="AC12" i="28"/>
  <c r="W12" i="28"/>
  <c r="Q12" i="28"/>
  <c r="U12" i="28" s="1"/>
  <c r="M12" i="28"/>
  <c r="I12" i="28"/>
  <c r="O11" i="28"/>
  <c r="Q10" i="28"/>
  <c r="AA10" i="28" s="1"/>
  <c r="M10" i="28"/>
  <c r="I10" i="28"/>
  <c r="O9" i="28"/>
  <c r="Q8" i="28"/>
  <c r="AE8" i="28" s="1"/>
  <c r="M8" i="28"/>
  <c r="I8" i="28"/>
  <c r="O7" i="28"/>
  <c r="W6" i="28"/>
  <c r="S6" i="28"/>
  <c r="Q6" i="28"/>
  <c r="AE6" i="28" s="1"/>
  <c r="M6" i="28"/>
  <c r="M16" i="28" s="1"/>
  <c r="I6" i="28"/>
  <c r="C3" i="28"/>
  <c r="AE65" i="27"/>
  <c r="AC65" i="27"/>
  <c r="AA65" i="27"/>
  <c r="Y65" i="27"/>
  <c r="W65" i="27"/>
  <c r="U65" i="27"/>
  <c r="S65" i="27"/>
  <c r="AE64" i="27"/>
  <c r="AC64" i="27"/>
  <c r="AA64" i="27"/>
  <c r="Y64" i="27"/>
  <c r="W64" i="27"/>
  <c r="U64" i="27"/>
  <c r="S64" i="27"/>
  <c r="AE63" i="27"/>
  <c r="AC63" i="27"/>
  <c r="AA63" i="27"/>
  <c r="Y63" i="27"/>
  <c r="W63" i="27"/>
  <c r="U63" i="27"/>
  <c r="S63" i="27"/>
  <c r="AE62" i="27"/>
  <c r="AC62" i="27"/>
  <c r="AA62" i="27"/>
  <c r="Y62" i="27"/>
  <c r="W62" i="27"/>
  <c r="U62" i="27"/>
  <c r="S62" i="27"/>
  <c r="AE61" i="27"/>
  <c r="AC61" i="27"/>
  <c r="AA61" i="27"/>
  <c r="Y61" i="27"/>
  <c r="W61" i="27"/>
  <c r="U61" i="27"/>
  <c r="S61" i="27"/>
  <c r="AE60" i="27"/>
  <c r="AC60" i="27"/>
  <c r="AA60" i="27"/>
  <c r="Y60" i="27"/>
  <c r="W60" i="27"/>
  <c r="U60" i="27"/>
  <c r="S60" i="27"/>
  <c r="AE59" i="27"/>
  <c r="AC59" i="27"/>
  <c r="AA59" i="27"/>
  <c r="Y59" i="27"/>
  <c r="W59" i="27"/>
  <c r="U59" i="27"/>
  <c r="S59" i="27"/>
  <c r="AE58" i="27"/>
  <c r="AC58" i="27"/>
  <c r="AA58" i="27"/>
  <c r="Y58" i="27"/>
  <c r="W58" i="27"/>
  <c r="U58" i="27"/>
  <c r="S58" i="27"/>
  <c r="AE57" i="27"/>
  <c r="AC57" i="27"/>
  <c r="AA57" i="27"/>
  <c r="Y57" i="27"/>
  <c r="W57" i="27"/>
  <c r="U57" i="27"/>
  <c r="S57" i="27"/>
  <c r="AE56" i="27"/>
  <c r="AC56" i="27"/>
  <c r="AA56" i="27"/>
  <c r="Y56" i="27"/>
  <c r="W56" i="27"/>
  <c r="U56" i="27"/>
  <c r="S56" i="27"/>
  <c r="AE55" i="27"/>
  <c r="AC55" i="27"/>
  <c r="AA55" i="27"/>
  <c r="Y55" i="27"/>
  <c r="W55" i="27"/>
  <c r="U55" i="27"/>
  <c r="S55" i="27"/>
  <c r="AE54" i="27"/>
  <c r="AC54" i="27"/>
  <c r="AA54" i="27"/>
  <c r="Y54" i="27"/>
  <c r="W54" i="27"/>
  <c r="U54" i="27"/>
  <c r="S54" i="27"/>
  <c r="AE53" i="27"/>
  <c r="AC53" i="27"/>
  <c r="AA53" i="27"/>
  <c r="Y53" i="27"/>
  <c r="W53" i="27"/>
  <c r="U53" i="27"/>
  <c r="S53" i="27"/>
  <c r="AE52" i="27"/>
  <c r="AC52" i="27"/>
  <c r="AA52" i="27"/>
  <c r="Y52" i="27"/>
  <c r="W52" i="27"/>
  <c r="U52" i="27"/>
  <c r="S52" i="27"/>
  <c r="AE51" i="27"/>
  <c r="AC51" i="27"/>
  <c r="AA51" i="27"/>
  <c r="Y51" i="27"/>
  <c r="W51" i="27"/>
  <c r="U51" i="27"/>
  <c r="S51" i="27"/>
  <c r="AE50" i="27"/>
  <c r="AC50" i="27"/>
  <c r="AA50" i="27"/>
  <c r="Y50" i="27"/>
  <c r="W50" i="27"/>
  <c r="U50" i="27"/>
  <c r="S50" i="27"/>
  <c r="AE49" i="27"/>
  <c r="AC49" i="27"/>
  <c r="AA49" i="27"/>
  <c r="Y49" i="27"/>
  <c r="W49" i="27"/>
  <c r="U49" i="27"/>
  <c r="S49" i="27"/>
  <c r="AE48" i="27"/>
  <c r="AC48" i="27"/>
  <c r="AA48" i="27"/>
  <c r="Y48" i="27"/>
  <c r="W48" i="27"/>
  <c r="U48" i="27"/>
  <c r="S48" i="27"/>
  <c r="AE47" i="27"/>
  <c r="AC47" i="27"/>
  <c r="AA47" i="27"/>
  <c r="Y47" i="27"/>
  <c r="W47" i="27"/>
  <c r="U47" i="27"/>
  <c r="S47" i="27"/>
  <c r="AE46" i="27"/>
  <c r="AC46" i="27"/>
  <c r="AA46" i="27"/>
  <c r="Y46" i="27"/>
  <c r="W46" i="27"/>
  <c r="U46" i="27"/>
  <c r="S46" i="27"/>
  <c r="AE45" i="27"/>
  <c r="AC45" i="27"/>
  <c r="AA45" i="27"/>
  <c r="Y45" i="27"/>
  <c r="W45" i="27"/>
  <c r="U45" i="27"/>
  <c r="S45" i="27"/>
  <c r="AE44" i="27"/>
  <c r="AC44" i="27"/>
  <c r="AA44" i="27"/>
  <c r="Y44" i="27"/>
  <c r="W44" i="27"/>
  <c r="U44" i="27"/>
  <c r="S44" i="27"/>
  <c r="AE43" i="27"/>
  <c r="AC43" i="27"/>
  <c r="AA43" i="27"/>
  <c r="Y43" i="27"/>
  <c r="W43" i="27"/>
  <c r="U43" i="27"/>
  <c r="S43" i="27"/>
  <c r="AE42" i="27"/>
  <c r="AC42" i="27"/>
  <c r="AA42" i="27"/>
  <c r="Y42" i="27"/>
  <c r="W42" i="27"/>
  <c r="U42" i="27"/>
  <c r="S42" i="27"/>
  <c r="AE41" i="27"/>
  <c r="AC41" i="27"/>
  <c r="AA41" i="27"/>
  <c r="Y41" i="27"/>
  <c r="W41" i="27"/>
  <c r="U41" i="27"/>
  <c r="S41" i="27"/>
  <c r="AE40" i="27"/>
  <c r="AC40" i="27"/>
  <c r="AA40" i="27"/>
  <c r="Y40" i="27"/>
  <c r="W40" i="27"/>
  <c r="U40" i="27"/>
  <c r="S40" i="27"/>
  <c r="AE39" i="27"/>
  <c r="AC39" i="27"/>
  <c r="AA39" i="27"/>
  <c r="Y39" i="27"/>
  <c r="W39" i="27"/>
  <c r="U39" i="27"/>
  <c r="S39" i="27"/>
  <c r="AE38" i="27"/>
  <c r="AC38" i="27"/>
  <c r="AA38" i="27"/>
  <c r="Y38" i="27"/>
  <c r="W38" i="27"/>
  <c r="U38" i="27"/>
  <c r="S38" i="27"/>
  <c r="AE37" i="27"/>
  <c r="AC37" i="27"/>
  <c r="AA37" i="27"/>
  <c r="Y37" i="27"/>
  <c r="W37" i="27"/>
  <c r="U37" i="27"/>
  <c r="S37" i="27"/>
  <c r="AE36" i="27"/>
  <c r="AC36" i="27"/>
  <c r="AA36" i="27"/>
  <c r="Y36" i="27"/>
  <c r="W36" i="27"/>
  <c r="U36" i="27"/>
  <c r="S36" i="27"/>
  <c r="D35" i="27"/>
  <c r="E35" i="27" s="1"/>
  <c r="D34" i="27"/>
  <c r="E34" i="27" s="1"/>
  <c r="D33" i="27"/>
  <c r="E33" i="27" s="1"/>
  <c r="D32" i="27"/>
  <c r="E32" i="27" s="1"/>
  <c r="D31" i="27"/>
  <c r="E31" i="27" s="1"/>
  <c r="D30" i="27"/>
  <c r="E30" i="27" s="1"/>
  <c r="D29" i="27"/>
  <c r="E29" i="27" s="1"/>
  <c r="AD25" i="27"/>
  <c r="R25" i="27"/>
  <c r="AD17" i="27"/>
  <c r="AB17" i="27"/>
  <c r="AB25" i="27" s="1"/>
  <c r="Z17" i="27"/>
  <c r="Z25" i="27" s="1"/>
  <c r="X17" i="27"/>
  <c r="X25" i="27" s="1"/>
  <c r="V17" i="27"/>
  <c r="V25" i="27" s="1"/>
  <c r="T17" i="27"/>
  <c r="T25" i="27" s="1"/>
  <c r="R17" i="27"/>
  <c r="AD16" i="27"/>
  <c r="AB16" i="27"/>
  <c r="AB24" i="27" s="1"/>
  <c r="Z16" i="27"/>
  <c r="X16" i="27"/>
  <c r="X24" i="27" s="1"/>
  <c r="V16" i="27"/>
  <c r="T16" i="27"/>
  <c r="T18" i="27" s="1"/>
  <c r="T26" i="27" s="1"/>
  <c r="R16" i="27"/>
  <c r="R18" i="27" s="1"/>
  <c r="R26" i="27" s="1"/>
  <c r="P16" i="27"/>
  <c r="O16" i="27"/>
  <c r="N16" i="27"/>
  <c r="L16" i="27"/>
  <c r="K16" i="27"/>
  <c r="J16" i="27"/>
  <c r="H16" i="27"/>
  <c r="G16" i="27"/>
  <c r="F16" i="27"/>
  <c r="O15" i="27"/>
  <c r="AC14" i="27"/>
  <c r="Q14" i="27"/>
  <c r="M14" i="27"/>
  <c r="I14" i="27"/>
  <c r="O13" i="27"/>
  <c r="U12" i="27"/>
  <c r="Q12" i="27"/>
  <c r="M12" i="27"/>
  <c r="I12" i="27"/>
  <c r="O11" i="27"/>
  <c r="AE10" i="27"/>
  <c r="AC10" i="27"/>
  <c r="AA10" i="27"/>
  <c r="Y10" i="27"/>
  <c r="W10" i="27"/>
  <c r="U10" i="27"/>
  <c r="S10" i="27"/>
  <c r="Q10" i="27"/>
  <c r="M10" i="27"/>
  <c r="I10" i="27"/>
  <c r="O9" i="27"/>
  <c r="U8" i="27"/>
  <c r="Q8" i="27"/>
  <c r="AC8" i="27" s="1"/>
  <c r="M8" i="27"/>
  <c r="I8" i="27"/>
  <c r="O7" i="27"/>
  <c r="AE6" i="27"/>
  <c r="AA6" i="27"/>
  <c r="Y6" i="27"/>
  <c r="W6" i="27"/>
  <c r="U6" i="27"/>
  <c r="S6" i="27"/>
  <c r="Q6" i="27"/>
  <c r="M6" i="27"/>
  <c r="I6" i="27"/>
  <c r="C3" i="27"/>
  <c r="AE65" i="26"/>
  <c r="AC65" i="26"/>
  <c r="AA65" i="26"/>
  <c r="Y65" i="26"/>
  <c r="W65" i="26"/>
  <c r="U65" i="26"/>
  <c r="S65" i="26"/>
  <c r="AE64" i="26"/>
  <c r="AC64" i="26"/>
  <c r="AA64" i="26"/>
  <c r="Y64" i="26"/>
  <c r="W64" i="26"/>
  <c r="U64" i="26"/>
  <c r="S64" i="26"/>
  <c r="AE63" i="26"/>
  <c r="AC63" i="26"/>
  <c r="AA63" i="26"/>
  <c r="Y63" i="26"/>
  <c r="W63" i="26"/>
  <c r="U63" i="26"/>
  <c r="S63" i="26"/>
  <c r="AE62" i="26"/>
  <c r="AC62" i="26"/>
  <c r="AA62" i="26"/>
  <c r="Y62" i="26"/>
  <c r="W62" i="26"/>
  <c r="U62" i="26"/>
  <c r="S62" i="26"/>
  <c r="AE61" i="26"/>
  <c r="AC61" i="26"/>
  <c r="AA61" i="26"/>
  <c r="Y61" i="26"/>
  <c r="W61" i="26"/>
  <c r="U61" i="26"/>
  <c r="S61" i="26"/>
  <c r="AE60" i="26"/>
  <c r="AC60" i="26"/>
  <c r="AA60" i="26"/>
  <c r="Y60" i="26"/>
  <c r="W60" i="26"/>
  <c r="U60" i="26"/>
  <c r="S60" i="26"/>
  <c r="AE59" i="26"/>
  <c r="AC59" i="26"/>
  <c r="AA59" i="26"/>
  <c r="Y59" i="26"/>
  <c r="W59" i="26"/>
  <c r="U59" i="26"/>
  <c r="S59" i="26"/>
  <c r="AE58" i="26"/>
  <c r="AC58" i="26"/>
  <c r="AA58" i="26"/>
  <c r="Y58" i="26"/>
  <c r="W58" i="26"/>
  <c r="U58" i="26"/>
  <c r="S58" i="26"/>
  <c r="AE57" i="26"/>
  <c r="AC57" i="26"/>
  <c r="AA57" i="26"/>
  <c r="Y57" i="26"/>
  <c r="W57" i="26"/>
  <c r="U57" i="26"/>
  <c r="S57" i="26"/>
  <c r="AE56" i="26"/>
  <c r="AC56" i="26"/>
  <c r="AA56" i="26"/>
  <c r="Y56" i="26"/>
  <c r="W56" i="26"/>
  <c r="U56" i="26"/>
  <c r="S56" i="26"/>
  <c r="AE55" i="26"/>
  <c r="AC55" i="26"/>
  <c r="AA55" i="26"/>
  <c r="Y55" i="26"/>
  <c r="W55" i="26"/>
  <c r="U55" i="26"/>
  <c r="S55" i="26"/>
  <c r="AE54" i="26"/>
  <c r="AC54" i="26"/>
  <c r="AA54" i="26"/>
  <c r="Y54" i="26"/>
  <c r="W54" i="26"/>
  <c r="U54" i="26"/>
  <c r="S54" i="26"/>
  <c r="AE53" i="26"/>
  <c r="AC53" i="26"/>
  <c r="AA53" i="26"/>
  <c r="Y53" i="26"/>
  <c r="W53" i="26"/>
  <c r="U53" i="26"/>
  <c r="S53" i="26"/>
  <c r="AE52" i="26"/>
  <c r="AC52" i="26"/>
  <c r="AA52" i="26"/>
  <c r="Y52" i="26"/>
  <c r="W52" i="26"/>
  <c r="U52" i="26"/>
  <c r="S52" i="26"/>
  <c r="AE51" i="26"/>
  <c r="AC51" i="26"/>
  <c r="AA51" i="26"/>
  <c r="Y51" i="26"/>
  <c r="W51" i="26"/>
  <c r="U51" i="26"/>
  <c r="S51" i="26"/>
  <c r="AE50" i="26"/>
  <c r="AC50" i="26"/>
  <c r="AA50" i="26"/>
  <c r="Y50" i="26"/>
  <c r="W50" i="26"/>
  <c r="U50" i="26"/>
  <c r="S50" i="26"/>
  <c r="AE49" i="26"/>
  <c r="AC49" i="26"/>
  <c r="AA49" i="26"/>
  <c r="Y49" i="26"/>
  <c r="W49" i="26"/>
  <c r="U49" i="26"/>
  <c r="S49" i="26"/>
  <c r="AE48" i="26"/>
  <c r="AC48" i="26"/>
  <c r="AA48" i="26"/>
  <c r="Y48" i="26"/>
  <c r="W48" i="26"/>
  <c r="U48" i="26"/>
  <c r="S48" i="26"/>
  <c r="AE47" i="26"/>
  <c r="AC47" i="26"/>
  <c r="AA47" i="26"/>
  <c r="Y47" i="26"/>
  <c r="W47" i="26"/>
  <c r="U47" i="26"/>
  <c r="S47" i="26"/>
  <c r="AE46" i="26"/>
  <c r="AC46" i="26"/>
  <c r="AA46" i="26"/>
  <c r="Y46" i="26"/>
  <c r="W46" i="26"/>
  <c r="U46" i="26"/>
  <c r="S46" i="26"/>
  <c r="AE45" i="26"/>
  <c r="AC45" i="26"/>
  <c r="AA45" i="26"/>
  <c r="Y45" i="26"/>
  <c r="W45" i="26"/>
  <c r="U45" i="26"/>
  <c r="S45" i="26"/>
  <c r="AE44" i="26"/>
  <c r="AC44" i="26"/>
  <c r="AA44" i="26"/>
  <c r="Y44" i="26"/>
  <c r="W44" i="26"/>
  <c r="U44" i="26"/>
  <c r="S44" i="26"/>
  <c r="AE43" i="26"/>
  <c r="AC43" i="26"/>
  <c r="AA43" i="26"/>
  <c r="Y43" i="26"/>
  <c r="W43" i="26"/>
  <c r="U43" i="26"/>
  <c r="S43" i="26"/>
  <c r="AE42" i="26"/>
  <c r="AC42" i="26"/>
  <c r="AA42" i="26"/>
  <c r="Y42" i="26"/>
  <c r="W42" i="26"/>
  <c r="U42" i="26"/>
  <c r="S42" i="26"/>
  <c r="AE41" i="26"/>
  <c r="AC41" i="26"/>
  <c r="AA41" i="26"/>
  <c r="Y41" i="26"/>
  <c r="W41" i="26"/>
  <c r="U41" i="26"/>
  <c r="S41" i="26"/>
  <c r="AE40" i="26"/>
  <c r="AC40" i="26"/>
  <c r="AA40" i="26"/>
  <c r="Y40" i="26"/>
  <c r="W40" i="26"/>
  <c r="U40" i="26"/>
  <c r="S40" i="26"/>
  <c r="AE39" i="26"/>
  <c r="AC39" i="26"/>
  <c r="AA39" i="26"/>
  <c r="Y39" i="26"/>
  <c r="W39" i="26"/>
  <c r="U39" i="26"/>
  <c r="S39" i="26"/>
  <c r="AE38" i="26"/>
  <c r="AC38" i="26"/>
  <c r="AA38" i="26"/>
  <c r="Y38" i="26"/>
  <c r="W38" i="26"/>
  <c r="U38" i="26"/>
  <c r="S38" i="26"/>
  <c r="AE37" i="26"/>
  <c r="AC37" i="26"/>
  <c r="AA37" i="26"/>
  <c r="Y37" i="26"/>
  <c r="W37" i="26"/>
  <c r="U37" i="26"/>
  <c r="S37" i="26"/>
  <c r="AE36" i="26"/>
  <c r="AC36" i="26"/>
  <c r="AA36" i="26"/>
  <c r="Y36" i="26"/>
  <c r="W36" i="26"/>
  <c r="U36" i="26"/>
  <c r="S36" i="26"/>
  <c r="E35" i="26"/>
  <c r="D35" i="26"/>
  <c r="D34" i="26"/>
  <c r="E34" i="26" s="1"/>
  <c r="D33" i="26"/>
  <c r="E33" i="26" s="1"/>
  <c r="D32" i="26"/>
  <c r="E32" i="26" s="1"/>
  <c r="E31" i="26"/>
  <c r="D31" i="26"/>
  <c r="D30" i="26"/>
  <c r="E30" i="26" s="1"/>
  <c r="D29" i="26"/>
  <c r="E29" i="26" s="1"/>
  <c r="Z25" i="26"/>
  <c r="AB24" i="26"/>
  <c r="X24" i="26"/>
  <c r="Z18" i="26"/>
  <c r="Z26" i="26" s="1"/>
  <c r="AD17" i="26"/>
  <c r="AD25" i="26" s="1"/>
  <c r="AB17" i="26"/>
  <c r="AB25" i="26" s="1"/>
  <c r="Z17" i="26"/>
  <c r="X17" i="26"/>
  <c r="X25" i="26" s="1"/>
  <c r="V17" i="26"/>
  <c r="V25" i="26" s="1"/>
  <c r="T17" i="26"/>
  <c r="T25" i="26" s="1"/>
  <c r="R17" i="26"/>
  <c r="R25" i="26" s="1"/>
  <c r="AD16" i="26"/>
  <c r="AB16" i="26"/>
  <c r="Z16" i="26"/>
  <c r="Z24" i="26" s="1"/>
  <c r="X16" i="26"/>
  <c r="X18" i="26" s="1"/>
  <c r="X26" i="26" s="1"/>
  <c r="V16" i="26"/>
  <c r="V24" i="26" s="1"/>
  <c r="T16" i="26"/>
  <c r="R16" i="26"/>
  <c r="R18" i="26" s="1"/>
  <c r="R26" i="26" s="1"/>
  <c r="P16" i="26"/>
  <c r="O16" i="26"/>
  <c r="N16" i="26"/>
  <c r="L16" i="26"/>
  <c r="K16" i="26"/>
  <c r="J16" i="26"/>
  <c r="H16" i="26"/>
  <c r="G16" i="26"/>
  <c r="F16" i="26"/>
  <c r="O15" i="26"/>
  <c r="AA14" i="26"/>
  <c r="Y14" i="26"/>
  <c r="W14" i="26"/>
  <c r="U14" i="26"/>
  <c r="Q14" i="26"/>
  <c r="S14" i="26" s="1"/>
  <c r="M14" i="26"/>
  <c r="I14" i="26"/>
  <c r="O13" i="26"/>
  <c r="U12" i="26"/>
  <c r="Q12" i="26"/>
  <c r="AC12" i="26" s="1"/>
  <c r="M12" i="26"/>
  <c r="I12" i="26"/>
  <c r="O11" i="26"/>
  <c r="AA10" i="26"/>
  <c r="Y10" i="26"/>
  <c r="W10" i="26"/>
  <c r="U10" i="26"/>
  <c r="Q10" i="26"/>
  <c r="S10" i="26" s="1"/>
  <c r="M10" i="26"/>
  <c r="I10" i="26"/>
  <c r="O9" i="26"/>
  <c r="Q8" i="26"/>
  <c r="M8" i="26"/>
  <c r="I8" i="26"/>
  <c r="O7" i="26"/>
  <c r="Q6" i="26"/>
  <c r="M6" i="26"/>
  <c r="I6" i="26"/>
  <c r="C3" i="26"/>
  <c r="AE65" i="25"/>
  <c r="AC65" i="25"/>
  <c r="AA65" i="25"/>
  <c r="Y65" i="25"/>
  <c r="W65" i="25"/>
  <c r="U65" i="25"/>
  <c r="S65" i="25"/>
  <c r="AE64" i="25"/>
  <c r="AC64" i="25"/>
  <c r="AA64" i="25"/>
  <c r="Y64" i="25"/>
  <c r="W64" i="25"/>
  <c r="U64" i="25"/>
  <c r="S64" i="25"/>
  <c r="AE63" i="25"/>
  <c r="AC63" i="25"/>
  <c r="AA63" i="25"/>
  <c r="Y63" i="25"/>
  <c r="W63" i="25"/>
  <c r="U63" i="25"/>
  <c r="S63" i="25"/>
  <c r="AE62" i="25"/>
  <c r="AC62" i="25"/>
  <c r="AA62" i="25"/>
  <c r="Y62" i="25"/>
  <c r="W62" i="25"/>
  <c r="U62" i="25"/>
  <c r="S62" i="25"/>
  <c r="AE61" i="25"/>
  <c r="AC61" i="25"/>
  <c r="AA61" i="25"/>
  <c r="Y61" i="25"/>
  <c r="W61" i="25"/>
  <c r="U61" i="25"/>
  <c r="S61" i="25"/>
  <c r="AE60" i="25"/>
  <c r="AC60" i="25"/>
  <c r="AA60" i="25"/>
  <c r="Y60" i="25"/>
  <c r="W60" i="25"/>
  <c r="U60" i="25"/>
  <c r="S60" i="25"/>
  <c r="AE59" i="25"/>
  <c r="AC59" i="25"/>
  <c r="AA59" i="25"/>
  <c r="Y59" i="25"/>
  <c r="W59" i="25"/>
  <c r="U59" i="25"/>
  <c r="S59" i="25"/>
  <c r="AE58" i="25"/>
  <c r="AC58" i="25"/>
  <c r="AA58" i="25"/>
  <c r="Y58" i="25"/>
  <c r="W58" i="25"/>
  <c r="U58" i="25"/>
  <c r="S58" i="25"/>
  <c r="AE57" i="25"/>
  <c r="AC57" i="25"/>
  <c r="AA57" i="25"/>
  <c r="Y57" i="25"/>
  <c r="W57" i="25"/>
  <c r="U57" i="25"/>
  <c r="S57" i="25"/>
  <c r="AE56" i="25"/>
  <c r="AC56" i="25"/>
  <c r="AA56" i="25"/>
  <c r="Y56" i="25"/>
  <c r="W56" i="25"/>
  <c r="U56" i="25"/>
  <c r="S56" i="25"/>
  <c r="AE55" i="25"/>
  <c r="AC55" i="25"/>
  <c r="AA55" i="25"/>
  <c r="Y55" i="25"/>
  <c r="W55" i="25"/>
  <c r="U55" i="25"/>
  <c r="S55" i="25"/>
  <c r="AE54" i="25"/>
  <c r="AC54" i="25"/>
  <c r="AA54" i="25"/>
  <c r="Y54" i="25"/>
  <c r="W54" i="25"/>
  <c r="U54" i="25"/>
  <c r="S54" i="25"/>
  <c r="AE53" i="25"/>
  <c r="AC53" i="25"/>
  <c r="AA53" i="25"/>
  <c r="Y53" i="25"/>
  <c r="W53" i="25"/>
  <c r="U53" i="25"/>
  <c r="S53" i="25"/>
  <c r="AE52" i="25"/>
  <c r="AC52" i="25"/>
  <c r="AA52" i="25"/>
  <c r="Y52" i="25"/>
  <c r="W52" i="25"/>
  <c r="U52" i="25"/>
  <c r="S52" i="25"/>
  <c r="AE51" i="25"/>
  <c r="AC51" i="25"/>
  <c r="AA51" i="25"/>
  <c r="Y51" i="25"/>
  <c r="W51" i="25"/>
  <c r="U51" i="25"/>
  <c r="S51" i="25"/>
  <c r="AE50" i="25"/>
  <c r="AC50" i="25"/>
  <c r="AA50" i="25"/>
  <c r="Y50" i="25"/>
  <c r="W50" i="25"/>
  <c r="U50" i="25"/>
  <c r="S50" i="25"/>
  <c r="AE49" i="25"/>
  <c r="AC49" i="25"/>
  <c r="AA49" i="25"/>
  <c r="Y49" i="25"/>
  <c r="W49" i="25"/>
  <c r="U49" i="25"/>
  <c r="S49" i="25"/>
  <c r="AE48" i="25"/>
  <c r="AC48" i="25"/>
  <c r="AA48" i="25"/>
  <c r="Y48" i="25"/>
  <c r="W48" i="25"/>
  <c r="U48" i="25"/>
  <c r="S48" i="25"/>
  <c r="AE47" i="25"/>
  <c r="AC47" i="25"/>
  <c r="AA47" i="25"/>
  <c r="Y47" i="25"/>
  <c r="W47" i="25"/>
  <c r="U47" i="25"/>
  <c r="S47" i="25"/>
  <c r="AE46" i="25"/>
  <c r="AC46" i="25"/>
  <c r="AA46" i="25"/>
  <c r="Y46" i="25"/>
  <c r="W46" i="25"/>
  <c r="U46" i="25"/>
  <c r="S46" i="25"/>
  <c r="AE45" i="25"/>
  <c r="AC45" i="25"/>
  <c r="AA45" i="25"/>
  <c r="Y45" i="25"/>
  <c r="W45" i="25"/>
  <c r="U45" i="25"/>
  <c r="S45" i="25"/>
  <c r="AE44" i="25"/>
  <c r="AC44" i="25"/>
  <c r="AA44" i="25"/>
  <c r="Y44" i="25"/>
  <c r="W44" i="25"/>
  <c r="U44" i="25"/>
  <c r="S44" i="25"/>
  <c r="AE43" i="25"/>
  <c r="AC43" i="25"/>
  <c r="AA43" i="25"/>
  <c r="Y43" i="25"/>
  <c r="W43" i="25"/>
  <c r="U43" i="25"/>
  <c r="S43" i="25"/>
  <c r="AE42" i="25"/>
  <c r="AC42" i="25"/>
  <c r="AA42" i="25"/>
  <c r="Y42" i="25"/>
  <c r="W42" i="25"/>
  <c r="U42" i="25"/>
  <c r="S42" i="25"/>
  <c r="AE41" i="25"/>
  <c r="AC41" i="25"/>
  <c r="AA41" i="25"/>
  <c r="Y41" i="25"/>
  <c r="W41" i="25"/>
  <c r="U41" i="25"/>
  <c r="S41" i="25"/>
  <c r="AE40" i="25"/>
  <c r="AC40" i="25"/>
  <c r="AA40" i="25"/>
  <c r="Y40" i="25"/>
  <c r="W40" i="25"/>
  <c r="U40" i="25"/>
  <c r="S40" i="25"/>
  <c r="AE39" i="25"/>
  <c r="AC39" i="25"/>
  <c r="AA39" i="25"/>
  <c r="Y39" i="25"/>
  <c r="W39" i="25"/>
  <c r="U39" i="25"/>
  <c r="S39" i="25"/>
  <c r="AE38" i="25"/>
  <c r="AC38" i="25"/>
  <c r="AA38" i="25"/>
  <c r="Y38" i="25"/>
  <c r="W38" i="25"/>
  <c r="U38" i="25"/>
  <c r="S38" i="25"/>
  <c r="AE37" i="25"/>
  <c r="AC37" i="25"/>
  <c r="AA37" i="25"/>
  <c r="Y37" i="25"/>
  <c r="W37" i="25"/>
  <c r="U37" i="25"/>
  <c r="S37" i="25"/>
  <c r="AE36" i="25"/>
  <c r="AC36" i="25"/>
  <c r="AA36" i="25"/>
  <c r="Y36" i="25"/>
  <c r="W36" i="25"/>
  <c r="U36" i="25"/>
  <c r="S36" i="25"/>
  <c r="D35" i="25"/>
  <c r="E35" i="25" s="1"/>
  <c r="E34" i="25"/>
  <c r="D34" i="25"/>
  <c r="D33" i="25"/>
  <c r="E33" i="25" s="1"/>
  <c r="D32" i="25"/>
  <c r="E32" i="25" s="1"/>
  <c r="D31" i="25"/>
  <c r="E31" i="25" s="1"/>
  <c r="E30" i="25"/>
  <c r="D30" i="25"/>
  <c r="D29" i="25"/>
  <c r="E29" i="25" s="1"/>
  <c r="Z25" i="25"/>
  <c r="V25" i="25"/>
  <c r="V24" i="25"/>
  <c r="T24" i="25"/>
  <c r="V18" i="25"/>
  <c r="V26" i="25" s="1"/>
  <c r="AD17" i="25"/>
  <c r="AD25" i="25" s="1"/>
  <c r="AB17" i="25"/>
  <c r="AB25" i="25" s="1"/>
  <c r="Z17" i="25"/>
  <c r="X17" i="25"/>
  <c r="X25" i="25" s="1"/>
  <c r="V17" i="25"/>
  <c r="T17" i="25"/>
  <c r="T25" i="25" s="1"/>
  <c r="R17" i="25"/>
  <c r="R25" i="25" s="1"/>
  <c r="AD16" i="25"/>
  <c r="AD18" i="25" s="1"/>
  <c r="AD26" i="25" s="1"/>
  <c r="AB16" i="25"/>
  <c r="AB18" i="25" s="1"/>
  <c r="AB26" i="25" s="1"/>
  <c r="Z16" i="25"/>
  <c r="X16" i="25"/>
  <c r="X18" i="25" s="1"/>
  <c r="X26" i="25" s="1"/>
  <c r="V16" i="25"/>
  <c r="T16" i="25"/>
  <c r="R16" i="25"/>
  <c r="P16" i="25"/>
  <c r="O16" i="25"/>
  <c r="N16" i="25"/>
  <c r="L16" i="25"/>
  <c r="K16" i="25"/>
  <c r="J16" i="25"/>
  <c r="H16" i="25"/>
  <c r="G16" i="25"/>
  <c r="F16" i="25"/>
  <c r="O15" i="25"/>
  <c r="AE14" i="25"/>
  <c r="S14" i="25"/>
  <c r="Q14" i="25"/>
  <c r="AC14" i="25" s="1"/>
  <c r="M14" i="25"/>
  <c r="I14" i="25"/>
  <c r="O13" i="25"/>
  <c r="AA12" i="25"/>
  <c r="Q12" i="25"/>
  <c r="M12" i="25"/>
  <c r="I12" i="25"/>
  <c r="O11" i="25"/>
  <c r="W10" i="25"/>
  <c r="Q10" i="25"/>
  <c r="M10" i="25"/>
  <c r="I10" i="25"/>
  <c r="O9" i="25"/>
  <c r="AA8" i="25"/>
  <c r="W8" i="25"/>
  <c r="Q8" i="25"/>
  <c r="U8" i="25" s="1"/>
  <c r="M8" i="25"/>
  <c r="I8" i="25"/>
  <c r="O7" i="25"/>
  <c r="S6" i="25"/>
  <c r="Q6" i="25"/>
  <c r="M6" i="25"/>
  <c r="I6" i="25"/>
  <c r="C3" i="25"/>
  <c r="AE65" i="24"/>
  <c r="AC65" i="24"/>
  <c r="AA65" i="24"/>
  <c r="Y65" i="24"/>
  <c r="W65" i="24"/>
  <c r="U65" i="24"/>
  <c r="S65" i="24"/>
  <c r="AE64" i="24"/>
  <c r="AC64" i="24"/>
  <c r="AA64" i="24"/>
  <c r="Y64" i="24"/>
  <c r="W64" i="24"/>
  <c r="U64" i="24"/>
  <c r="S64" i="24"/>
  <c r="AE63" i="24"/>
  <c r="AC63" i="24"/>
  <c r="AA63" i="24"/>
  <c r="Y63" i="24"/>
  <c r="W63" i="24"/>
  <c r="U63" i="24"/>
  <c r="S63" i="24"/>
  <c r="AE62" i="24"/>
  <c r="AC62" i="24"/>
  <c r="AA62" i="24"/>
  <c r="Y62" i="24"/>
  <c r="W62" i="24"/>
  <c r="U62" i="24"/>
  <c r="S62" i="24"/>
  <c r="AE61" i="24"/>
  <c r="AC61" i="24"/>
  <c r="AA61" i="24"/>
  <c r="Y61" i="24"/>
  <c r="W61" i="24"/>
  <c r="U61" i="24"/>
  <c r="S61" i="24"/>
  <c r="AE60" i="24"/>
  <c r="AC60" i="24"/>
  <c r="AA60" i="24"/>
  <c r="Y60" i="24"/>
  <c r="W60" i="24"/>
  <c r="U60" i="24"/>
  <c r="S60" i="24"/>
  <c r="AE59" i="24"/>
  <c r="AC59" i="24"/>
  <c r="AA59" i="24"/>
  <c r="Y59" i="24"/>
  <c r="W59" i="24"/>
  <c r="U59" i="24"/>
  <c r="S59" i="24"/>
  <c r="AE58" i="24"/>
  <c r="AC58" i="24"/>
  <c r="AA58" i="24"/>
  <c r="Y58" i="24"/>
  <c r="W58" i="24"/>
  <c r="U58" i="24"/>
  <c r="S58" i="24"/>
  <c r="AE57" i="24"/>
  <c r="AC57" i="24"/>
  <c r="AA57" i="24"/>
  <c r="Y57" i="24"/>
  <c r="W57" i="24"/>
  <c r="U57" i="24"/>
  <c r="S57" i="24"/>
  <c r="AE56" i="24"/>
  <c r="AC56" i="24"/>
  <c r="AA56" i="24"/>
  <c r="Y56" i="24"/>
  <c r="W56" i="24"/>
  <c r="U56" i="24"/>
  <c r="S56" i="24"/>
  <c r="AE55" i="24"/>
  <c r="AC55" i="24"/>
  <c r="AA55" i="24"/>
  <c r="Y55" i="24"/>
  <c r="W55" i="24"/>
  <c r="U55" i="24"/>
  <c r="S55" i="24"/>
  <c r="AE54" i="24"/>
  <c r="AC54" i="24"/>
  <c r="AA54" i="24"/>
  <c r="Y54" i="24"/>
  <c r="W54" i="24"/>
  <c r="U54" i="24"/>
  <c r="S54" i="24"/>
  <c r="AE53" i="24"/>
  <c r="AC53" i="24"/>
  <c r="AA53" i="24"/>
  <c r="Y53" i="24"/>
  <c r="W53" i="24"/>
  <c r="U53" i="24"/>
  <c r="S53" i="24"/>
  <c r="AE52" i="24"/>
  <c r="AC52" i="24"/>
  <c r="AA52" i="24"/>
  <c r="Y52" i="24"/>
  <c r="W52" i="24"/>
  <c r="U52" i="24"/>
  <c r="S52" i="24"/>
  <c r="AE51" i="24"/>
  <c r="AC51" i="24"/>
  <c r="AA51" i="24"/>
  <c r="Y51" i="24"/>
  <c r="W51" i="24"/>
  <c r="U51" i="24"/>
  <c r="S51" i="24"/>
  <c r="AE50" i="24"/>
  <c r="AC50" i="24"/>
  <c r="AA50" i="24"/>
  <c r="Y50" i="24"/>
  <c r="W50" i="24"/>
  <c r="U50" i="24"/>
  <c r="S50" i="24"/>
  <c r="AE49" i="24"/>
  <c r="AC49" i="24"/>
  <c r="AA49" i="24"/>
  <c r="Y49" i="24"/>
  <c r="W49" i="24"/>
  <c r="U49" i="24"/>
  <c r="S49" i="24"/>
  <c r="AE48" i="24"/>
  <c r="AC48" i="24"/>
  <c r="AA48" i="24"/>
  <c r="Y48" i="24"/>
  <c r="W48" i="24"/>
  <c r="U48" i="24"/>
  <c r="S48" i="24"/>
  <c r="AE47" i="24"/>
  <c r="AC47" i="24"/>
  <c r="AA47" i="24"/>
  <c r="Y47" i="24"/>
  <c r="W47" i="24"/>
  <c r="U47" i="24"/>
  <c r="S47" i="24"/>
  <c r="AE46" i="24"/>
  <c r="AC46" i="24"/>
  <c r="AA46" i="24"/>
  <c r="Y46" i="24"/>
  <c r="W46" i="24"/>
  <c r="U46" i="24"/>
  <c r="S46" i="24"/>
  <c r="AE45" i="24"/>
  <c r="AC45" i="24"/>
  <c r="AA45" i="24"/>
  <c r="Y45" i="24"/>
  <c r="W45" i="24"/>
  <c r="U45" i="24"/>
  <c r="S45" i="24"/>
  <c r="AE44" i="24"/>
  <c r="AC44" i="24"/>
  <c r="AA44" i="24"/>
  <c r="Y44" i="24"/>
  <c r="W44" i="24"/>
  <c r="U44" i="24"/>
  <c r="S44" i="24"/>
  <c r="AE43" i="24"/>
  <c r="AC43" i="24"/>
  <c r="AA43" i="24"/>
  <c r="Y43" i="24"/>
  <c r="W43" i="24"/>
  <c r="U43" i="24"/>
  <c r="S43" i="24"/>
  <c r="AE42" i="24"/>
  <c r="AC42" i="24"/>
  <c r="AA42" i="24"/>
  <c r="Y42" i="24"/>
  <c r="W42" i="24"/>
  <c r="U42" i="24"/>
  <c r="S42" i="24"/>
  <c r="AE41" i="24"/>
  <c r="AC41" i="24"/>
  <c r="AA41" i="24"/>
  <c r="Y41" i="24"/>
  <c r="W41" i="24"/>
  <c r="U41" i="24"/>
  <c r="S41" i="24"/>
  <c r="AE40" i="24"/>
  <c r="AC40" i="24"/>
  <c r="AA40" i="24"/>
  <c r="Y40" i="24"/>
  <c r="W40" i="24"/>
  <c r="U40" i="24"/>
  <c r="S40" i="24"/>
  <c r="AE39" i="24"/>
  <c r="AC39" i="24"/>
  <c r="AA39" i="24"/>
  <c r="Y39" i="24"/>
  <c r="W39" i="24"/>
  <c r="U39" i="24"/>
  <c r="S39" i="24"/>
  <c r="AE38" i="24"/>
  <c r="AC38" i="24"/>
  <c r="AA38" i="24"/>
  <c r="Y38" i="24"/>
  <c r="W38" i="24"/>
  <c r="U38" i="24"/>
  <c r="S38" i="24"/>
  <c r="AE37" i="24"/>
  <c r="AC37" i="24"/>
  <c r="AA37" i="24"/>
  <c r="Y37" i="24"/>
  <c r="W37" i="24"/>
  <c r="U37" i="24"/>
  <c r="S37" i="24"/>
  <c r="AE36" i="24"/>
  <c r="AC36" i="24"/>
  <c r="AA36" i="24"/>
  <c r="Y36" i="24"/>
  <c r="W36" i="24"/>
  <c r="U36" i="24"/>
  <c r="S36" i="24"/>
  <c r="D35" i="24"/>
  <c r="E35" i="24" s="1"/>
  <c r="D34" i="24"/>
  <c r="E34" i="24" s="1"/>
  <c r="E33" i="24"/>
  <c r="D33" i="24"/>
  <c r="D32" i="24"/>
  <c r="E32" i="24" s="1"/>
  <c r="D31" i="24"/>
  <c r="E31" i="24" s="1"/>
  <c r="D30" i="24"/>
  <c r="E30" i="24" s="1"/>
  <c r="D29" i="24"/>
  <c r="E29" i="24" s="1"/>
  <c r="V25" i="24"/>
  <c r="T25" i="24"/>
  <c r="R18" i="24"/>
  <c r="R26" i="24" s="1"/>
  <c r="AD17" i="24"/>
  <c r="AD25" i="24" s="1"/>
  <c r="AB17" i="24"/>
  <c r="AB25" i="24" s="1"/>
  <c r="Z17" i="24"/>
  <c r="Z25" i="24" s="1"/>
  <c r="X17" i="24"/>
  <c r="X25" i="24" s="1"/>
  <c r="V17" i="24"/>
  <c r="T17" i="24"/>
  <c r="R17" i="24"/>
  <c r="R25" i="24" s="1"/>
  <c r="AD16" i="24"/>
  <c r="AB16" i="24"/>
  <c r="AB24" i="24" s="1"/>
  <c r="Z16" i="24"/>
  <c r="Z18" i="24" s="1"/>
  <c r="Z26" i="24" s="1"/>
  <c r="X16" i="24"/>
  <c r="V16" i="24"/>
  <c r="T16" i="24"/>
  <c r="T18" i="24" s="1"/>
  <c r="T26" i="24" s="1"/>
  <c r="R16" i="24"/>
  <c r="P16" i="24"/>
  <c r="O16" i="24"/>
  <c r="N16" i="24"/>
  <c r="L16" i="24"/>
  <c r="K16" i="24"/>
  <c r="J16" i="24"/>
  <c r="H16" i="24"/>
  <c r="G16" i="24"/>
  <c r="F16" i="24"/>
  <c r="O15" i="24"/>
  <c r="O17" i="24" s="1"/>
  <c r="Q14" i="24"/>
  <c r="M14" i="24"/>
  <c r="I14" i="24"/>
  <c r="O13" i="24"/>
  <c r="W12" i="24"/>
  <c r="Q12" i="24"/>
  <c r="U12" i="24" s="1"/>
  <c r="M12" i="24"/>
  <c r="I12" i="24"/>
  <c r="O11" i="24"/>
  <c r="Q10" i="24"/>
  <c r="M10" i="24"/>
  <c r="I10" i="24"/>
  <c r="O9" i="24"/>
  <c r="Q8" i="24"/>
  <c r="M8" i="24"/>
  <c r="I8" i="24"/>
  <c r="O7" i="24"/>
  <c r="W6" i="24"/>
  <c r="S6" i="24"/>
  <c r="Q6" i="24"/>
  <c r="AE6" i="24" s="1"/>
  <c r="M6" i="24"/>
  <c r="I6" i="24"/>
  <c r="C3" i="24"/>
  <c r="AE65" i="23"/>
  <c r="AC65" i="23"/>
  <c r="AA65" i="23"/>
  <c r="Y65" i="23"/>
  <c r="W65" i="23"/>
  <c r="U65" i="23"/>
  <c r="S65" i="23"/>
  <c r="AE64" i="23"/>
  <c r="AC64" i="23"/>
  <c r="AA64" i="23"/>
  <c r="Y64" i="23"/>
  <c r="W64" i="23"/>
  <c r="U64" i="23"/>
  <c r="S64" i="23"/>
  <c r="AE63" i="23"/>
  <c r="AC63" i="23"/>
  <c r="AA63" i="23"/>
  <c r="Y63" i="23"/>
  <c r="W63" i="23"/>
  <c r="U63" i="23"/>
  <c r="S63" i="23"/>
  <c r="AE62" i="23"/>
  <c r="AC62" i="23"/>
  <c r="AA62" i="23"/>
  <c r="Y62" i="23"/>
  <c r="W62" i="23"/>
  <c r="U62" i="23"/>
  <c r="S62" i="23"/>
  <c r="AE61" i="23"/>
  <c r="AC61" i="23"/>
  <c r="AA61" i="23"/>
  <c r="Y61" i="23"/>
  <c r="W61" i="23"/>
  <c r="U61" i="23"/>
  <c r="S61" i="23"/>
  <c r="AE60" i="23"/>
  <c r="AC60" i="23"/>
  <c r="AA60" i="23"/>
  <c r="Y60" i="23"/>
  <c r="W60" i="23"/>
  <c r="U60" i="23"/>
  <c r="S60" i="23"/>
  <c r="AE59" i="23"/>
  <c r="AC59" i="23"/>
  <c r="AA59" i="23"/>
  <c r="Y59" i="23"/>
  <c r="W59" i="23"/>
  <c r="U59" i="23"/>
  <c r="S59" i="23"/>
  <c r="AE58" i="23"/>
  <c r="AC58" i="23"/>
  <c r="AA58" i="23"/>
  <c r="Y58" i="23"/>
  <c r="W58" i="23"/>
  <c r="U58" i="23"/>
  <c r="S58" i="23"/>
  <c r="AE57" i="23"/>
  <c r="AC57" i="23"/>
  <c r="AA57" i="23"/>
  <c r="Y57" i="23"/>
  <c r="W57" i="23"/>
  <c r="U57" i="23"/>
  <c r="S57" i="23"/>
  <c r="AE56" i="23"/>
  <c r="AC56" i="23"/>
  <c r="AA56" i="23"/>
  <c r="Y56" i="23"/>
  <c r="W56" i="23"/>
  <c r="U56" i="23"/>
  <c r="S56" i="23"/>
  <c r="AE55" i="23"/>
  <c r="AC55" i="23"/>
  <c r="AA55" i="23"/>
  <c r="Y55" i="23"/>
  <c r="W55" i="23"/>
  <c r="U55" i="23"/>
  <c r="S55" i="23"/>
  <c r="AE54" i="23"/>
  <c r="AC54" i="23"/>
  <c r="AA54" i="23"/>
  <c r="Y54" i="23"/>
  <c r="W54" i="23"/>
  <c r="U54" i="23"/>
  <c r="S54" i="23"/>
  <c r="AE53" i="23"/>
  <c r="AC53" i="23"/>
  <c r="AA53" i="23"/>
  <c r="Y53" i="23"/>
  <c r="W53" i="23"/>
  <c r="U53" i="23"/>
  <c r="S53" i="23"/>
  <c r="AE52" i="23"/>
  <c r="AC52" i="23"/>
  <c r="AA52" i="23"/>
  <c r="Y52" i="23"/>
  <c r="W52" i="23"/>
  <c r="U52" i="23"/>
  <c r="S52" i="23"/>
  <c r="AE51" i="23"/>
  <c r="AC51" i="23"/>
  <c r="AA51" i="23"/>
  <c r="Y51" i="23"/>
  <c r="W51" i="23"/>
  <c r="U51" i="23"/>
  <c r="S51" i="23"/>
  <c r="AE50" i="23"/>
  <c r="AC50" i="23"/>
  <c r="AA50" i="23"/>
  <c r="Y50" i="23"/>
  <c r="W50" i="23"/>
  <c r="U50" i="23"/>
  <c r="S50" i="23"/>
  <c r="AE49" i="23"/>
  <c r="AC49" i="23"/>
  <c r="AA49" i="23"/>
  <c r="Y49" i="23"/>
  <c r="W49" i="23"/>
  <c r="U49" i="23"/>
  <c r="S49" i="23"/>
  <c r="AE48" i="23"/>
  <c r="AC48" i="23"/>
  <c r="AA48" i="23"/>
  <c r="Y48" i="23"/>
  <c r="W48" i="23"/>
  <c r="U48" i="23"/>
  <c r="S48" i="23"/>
  <c r="AE47" i="23"/>
  <c r="AC47" i="23"/>
  <c r="AA47" i="23"/>
  <c r="Y47" i="23"/>
  <c r="W47" i="23"/>
  <c r="U47" i="23"/>
  <c r="S47" i="23"/>
  <c r="AE46" i="23"/>
  <c r="AC46" i="23"/>
  <c r="AA46" i="23"/>
  <c r="Y46" i="23"/>
  <c r="W46" i="23"/>
  <c r="U46" i="23"/>
  <c r="S46" i="23"/>
  <c r="AE45" i="23"/>
  <c r="AC45" i="23"/>
  <c r="AA45" i="23"/>
  <c r="Y45" i="23"/>
  <c r="W45" i="23"/>
  <c r="U45" i="23"/>
  <c r="S45" i="23"/>
  <c r="AE44" i="23"/>
  <c r="AC44" i="23"/>
  <c r="AA44" i="23"/>
  <c r="Y44" i="23"/>
  <c r="W44" i="23"/>
  <c r="U44" i="23"/>
  <c r="S44" i="23"/>
  <c r="AE43" i="23"/>
  <c r="AC43" i="23"/>
  <c r="AA43" i="23"/>
  <c r="Y43" i="23"/>
  <c r="W43" i="23"/>
  <c r="U43" i="23"/>
  <c r="S43" i="23"/>
  <c r="AE42" i="23"/>
  <c r="AC42" i="23"/>
  <c r="AA42" i="23"/>
  <c r="Y42" i="23"/>
  <c r="W42" i="23"/>
  <c r="U42" i="23"/>
  <c r="S42" i="23"/>
  <c r="AE41" i="23"/>
  <c r="AC41" i="23"/>
  <c r="AA41" i="23"/>
  <c r="Y41" i="23"/>
  <c r="W41" i="23"/>
  <c r="U41" i="23"/>
  <c r="S41" i="23"/>
  <c r="AE40" i="23"/>
  <c r="AC40" i="23"/>
  <c r="AA40" i="23"/>
  <c r="Y40" i="23"/>
  <c r="W40" i="23"/>
  <c r="U40" i="23"/>
  <c r="S40" i="23"/>
  <c r="AE39" i="23"/>
  <c r="AC39" i="23"/>
  <c r="AA39" i="23"/>
  <c r="Y39" i="23"/>
  <c r="W39" i="23"/>
  <c r="U39" i="23"/>
  <c r="S39" i="23"/>
  <c r="AE38" i="23"/>
  <c r="AC38" i="23"/>
  <c r="AA38" i="23"/>
  <c r="Y38" i="23"/>
  <c r="W38" i="23"/>
  <c r="U38" i="23"/>
  <c r="S38" i="23"/>
  <c r="AE37" i="23"/>
  <c r="AC37" i="23"/>
  <c r="AA37" i="23"/>
  <c r="Y37" i="23"/>
  <c r="W37" i="23"/>
  <c r="U37" i="23"/>
  <c r="S37" i="23"/>
  <c r="AE36" i="23"/>
  <c r="AC36" i="23"/>
  <c r="AA36" i="23"/>
  <c r="Y36" i="23"/>
  <c r="W36" i="23"/>
  <c r="U36" i="23"/>
  <c r="S36" i="23"/>
  <c r="D35" i="23"/>
  <c r="E35" i="23" s="1"/>
  <c r="D34" i="23"/>
  <c r="E34" i="23" s="1"/>
  <c r="D33" i="23"/>
  <c r="E33" i="23" s="1"/>
  <c r="D32" i="23"/>
  <c r="E32" i="23" s="1"/>
  <c r="D31" i="23"/>
  <c r="E31" i="23" s="1"/>
  <c r="D30" i="23"/>
  <c r="E30" i="23" s="1"/>
  <c r="D29" i="23"/>
  <c r="E29" i="23" s="1"/>
  <c r="AD25" i="23"/>
  <c r="AB25" i="23"/>
  <c r="R25" i="23"/>
  <c r="AD17" i="23"/>
  <c r="AB17" i="23"/>
  <c r="Z17" i="23"/>
  <c r="Z25" i="23" s="1"/>
  <c r="X17" i="23"/>
  <c r="X25" i="23" s="1"/>
  <c r="V17" i="23"/>
  <c r="V25" i="23" s="1"/>
  <c r="T17" i="23"/>
  <c r="T25" i="23" s="1"/>
  <c r="R17" i="23"/>
  <c r="AD16" i="23"/>
  <c r="AD18" i="23" s="1"/>
  <c r="AD26" i="23" s="1"/>
  <c r="AB16" i="23"/>
  <c r="AB24" i="23" s="1"/>
  <c r="Z16" i="23"/>
  <c r="X16" i="23"/>
  <c r="X24" i="23" s="1"/>
  <c r="V16" i="23"/>
  <c r="T16" i="23"/>
  <c r="T18" i="23" s="1"/>
  <c r="T26" i="23" s="1"/>
  <c r="R16" i="23"/>
  <c r="R18" i="23" s="1"/>
  <c r="R26" i="23" s="1"/>
  <c r="P16" i="23"/>
  <c r="O16" i="23"/>
  <c r="N16" i="23"/>
  <c r="L16" i="23"/>
  <c r="K16" i="23"/>
  <c r="J16" i="23"/>
  <c r="H16" i="23"/>
  <c r="G16" i="23"/>
  <c r="F16" i="23"/>
  <c r="O15" i="23"/>
  <c r="AA14" i="23"/>
  <c r="Q14" i="23"/>
  <c r="M14" i="23"/>
  <c r="I14" i="23"/>
  <c r="O13" i="23"/>
  <c r="Q12" i="23"/>
  <c r="M12" i="23"/>
  <c r="I12" i="23"/>
  <c r="O11" i="23"/>
  <c r="W10" i="23"/>
  <c r="S10" i="23"/>
  <c r="Q10" i="23"/>
  <c r="AE10" i="23" s="1"/>
  <c r="M10" i="23"/>
  <c r="I10" i="23"/>
  <c r="O9" i="23"/>
  <c r="U8" i="23"/>
  <c r="Q8" i="23"/>
  <c r="AC8" i="23" s="1"/>
  <c r="M8" i="23"/>
  <c r="I8" i="23"/>
  <c r="O7" i="23"/>
  <c r="U6" i="23"/>
  <c r="Q6" i="23"/>
  <c r="M6" i="23"/>
  <c r="I6" i="23"/>
  <c r="C3" i="23"/>
  <c r="AE65" i="22"/>
  <c r="AC65" i="22"/>
  <c r="AA65" i="22"/>
  <c r="Y65" i="22"/>
  <c r="W65" i="22"/>
  <c r="U65" i="22"/>
  <c r="S65" i="22"/>
  <c r="AE64" i="22"/>
  <c r="AC64" i="22"/>
  <c r="AA64" i="22"/>
  <c r="Y64" i="22"/>
  <c r="W64" i="22"/>
  <c r="U64" i="22"/>
  <c r="S64" i="22"/>
  <c r="AE63" i="22"/>
  <c r="AC63" i="22"/>
  <c r="AA63" i="22"/>
  <c r="Y63" i="22"/>
  <c r="W63" i="22"/>
  <c r="U63" i="22"/>
  <c r="S63" i="22"/>
  <c r="AE62" i="22"/>
  <c r="AC62" i="22"/>
  <c r="AA62" i="22"/>
  <c r="Y62" i="22"/>
  <c r="W62" i="22"/>
  <c r="U62" i="22"/>
  <c r="S62" i="22"/>
  <c r="AE61" i="22"/>
  <c r="AC61" i="22"/>
  <c r="AA61" i="22"/>
  <c r="Y61" i="22"/>
  <c r="W61" i="22"/>
  <c r="U61" i="22"/>
  <c r="S61" i="22"/>
  <c r="AE60" i="22"/>
  <c r="AC60" i="22"/>
  <c r="AA60" i="22"/>
  <c r="Y60" i="22"/>
  <c r="W60" i="22"/>
  <c r="U60" i="22"/>
  <c r="S60" i="22"/>
  <c r="AE59" i="22"/>
  <c r="AC59" i="22"/>
  <c r="AA59" i="22"/>
  <c r="Y59" i="22"/>
  <c r="W59" i="22"/>
  <c r="U59" i="22"/>
  <c r="S59" i="22"/>
  <c r="AE58" i="22"/>
  <c r="AC58" i="22"/>
  <c r="AA58" i="22"/>
  <c r="Y58" i="22"/>
  <c r="W58" i="22"/>
  <c r="U58" i="22"/>
  <c r="S58" i="22"/>
  <c r="AE57" i="22"/>
  <c r="AC57" i="22"/>
  <c r="AA57" i="22"/>
  <c r="Y57" i="22"/>
  <c r="W57" i="22"/>
  <c r="U57" i="22"/>
  <c r="S57" i="22"/>
  <c r="AE56" i="22"/>
  <c r="AC56" i="22"/>
  <c r="AA56" i="22"/>
  <c r="Y56" i="22"/>
  <c r="W56" i="22"/>
  <c r="U56" i="22"/>
  <c r="S56" i="22"/>
  <c r="AE55" i="22"/>
  <c r="AC55" i="22"/>
  <c r="AA55" i="22"/>
  <c r="Y55" i="22"/>
  <c r="W55" i="22"/>
  <c r="U55" i="22"/>
  <c r="S55" i="22"/>
  <c r="AE54" i="22"/>
  <c r="AC54" i="22"/>
  <c r="AA54" i="22"/>
  <c r="Y54" i="22"/>
  <c r="W54" i="22"/>
  <c r="U54" i="22"/>
  <c r="S54" i="22"/>
  <c r="AE53" i="22"/>
  <c r="AC53" i="22"/>
  <c r="AA53" i="22"/>
  <c r="Y53" i="22"/>
  <c r="W53" i="22"/>
  <c r="U53" i="22"/>
  <c r="S53" i="22"/>
  <c r="AE52" i="22"/>
  <c r="AC52" i="22"/>
  <c r="AA52" i="22"/>
  <c r="Y52" i="22"/>
  <c r="W52" i="22"/>
  <c r="U52" i="22"/>
  <c r="S52" i="22"/>
  <c r="AE51" i="22"/>
  <c r="AC51" i="22"/>
  <c r="AA51" i="22"/>
  <c r="Y51" i="22"/>
  <c r="W51" i="22"/>
  <c r="U51" i="22"/>
  <c r="S51" i="22"/>
  <c r="AE50" i="22"/>
  <c r="AC50" i="22"/>
  <c r="AA50" i="22"/>
  <c r="Y50" i="22"/>
  <c r="W50" i="22"/>
  <c r="U50" i="22"/>
  <c r="S50" i="22"/>
  <c r="AE49" i="22"/>
  <c r="AC49" i="22"/>
  <c r="AA49" i="22"/>
  <c r="Y49" i="22"/>
  <c r="W49" i="22"/>
  <c r="U49" i="22"/>
  <c r="S49" i="22"/>
  <c r="AE48" i="22"/>
  <c r="AC48" i="22"/>
  <c r="AA48" i="22"/>
  <c r="Y48" i="22"/>
  <c r="W48" i="22"/>
  <c r="U48" i="22"/>
  <c r="S48" i="22"/>
  <c r="AE47" i="22"/>
  <c r="AC47" i="22"/>
  <c r="AA47" i="22"/>
  <c r="Y47" i="22"/>
  <c r="W47" i="22"/>
  <c r="U47" i="22"/>
  <c r="S47" i="22"/>
  <c r="AE46" i="22"/>
  <c r="AC46" i="22"/>
  <c r="AA46" i="22"/>
  <c r="Y46" i="22"/>
  <c r="W46" i="22"/>
  <c r="U46" i="22"/>
  <c r="S46" i="22"/>
  <c r="AE45" i="22"/>
  <c r="AC45" i="22"/>
  <c r="AA45" i="22"/>
  <c r="Y45" i="22"/>
  <c r="W45" i="22"/>
  <c r="U45" i="22"/>
  <c r="S45" i="22"/>
  <c r="AE44" i="22"/>
  <c r="AC44" i="22"/>
  <c r="AA44" i="22"/>
  <c r="Y44" i="22"/>
  <c r="W44" i="22"/>
  <c r="U44" i="22"/>
  <c r="S44" i="22"/>
  <c r="AE43" i="22"/>
  <c r="AC43" i="22"/>
  <c r="AA43" i="22"/>
  <c r="Y43" i="22"/>
  <c r="W43" i="22"/>
  <c r="U43" i="22"/>
  <c r="S43" i="22"/>
  <c r="AE42" i="22"/>
  <c r="AC42" i="22"/>
  <c r="AA42" i="22"/>
  <c r="Y42" i="22"/>
  <c r="W42" i="22"/>
  <c r="U42" i="22"/>
  <c r="S42" i="22"/>
  <c r="AE41" i="22"/>
  <c r="AC41" i="22"/>
  <c r="AA41" i="22"/>
  <c r="Y41" i="22"/>
  <c r="W41" i="22"/>
  <c r="U41" i="22"/>
  <c r="S41" i="22"/>
  <c r="AE40" i="22"/>
  <c r="AC40" i="22"/>
  <c r="AA40" i="22"/>
  <c r="Y40" i="22"/>
  <c r="W40" i="22"/>
  <c r="U40" i="22"/>
  <c r="S40" i="22"/>
  <c r="AE39" i="22"/>
  <c r="AC39" i="22"/>
  <c r="AA39" i="22"/>
  <c r="Y39" i="22"/>
  <c r="W39" i="22"/>
  <c r="U39" i="22"/>
  <c r="S39" i="22"/>
  <c r="AE38" i="22"/>
  <c r="AC38" i="22"/>
  <c r="AA38" i="22"/>
  <c r="Y38" i="22"/>
  <c r="W38" i="22"/>
  <c r="U38" i="22"/>
  <c r="S38" i="22"/>
  <c r="AE37" i="22"/>
  <c r="AC37" i="22"/>
  <c r="AA37" i="22"/>
  <c r="Y37" i="22"/>
  <c r="W37" i="22"/>
  <c r="U37" i="22"/>
  <c r="S37" i="22"/>
  <c r="AE36" i="22"/>
  <c r="AC36" i="22"/>
  <c r="AA36" i="22"/>
  <c r="Y36" i="22"/>
  <c r="W36" i="22"/>
  <c r="U36" i="22"/>
  <c r="S36" i="22"/>
  <c r="E35" i="22"/>
  <c r="D35" i="22"/>
  <c r="D34" i="22"/>
  <c r="E34" i="22" s="1"/>
  <c r="D33" i="22"/>
  <c r="E33" i="22" s="1"/>
  <c r="D32" i="22"/>
  <c r="E32" i="22" s="1"/>
  <c r="D31" i="22"/>
  <c r="E31" i="22" s="1"/>
  <c r="D30" i="22"/>
  <c r="E30" i="22" s="1"/>
  <c r="D29" i="22"/>
  <c r="E29" i="22" s="1"/>
  <c r="AD25" i="22"/>
  <c r="AB24" i="22"/>
  <c r="AD17" i="22"/>
  <c r="AB17" i="22"/>
  <c r="AB25" i="22" s="1"/>
  <c r="Z17" i="22"/>
  <c r="Z25" i="22" s="1"/>
  <c r="X17" i="22"/>
  <c r="X25" i="22" s="1"/>
  <c r="V17" i="22"/>
  <c r="V25" i="22" s="1"/>
  <c r="T17" i="22"/>
  <c r="T25" i="22" s="1"/>
  <c r="R17" i="22"/>
  <c r="R25" i="22" s="1"/>
  <c r="AD16" i="22"/>
  <c r="AB16" i="22"/>
  <c r="Z16" i="22"/>
  <c r="Z24" i="22" s="1"/>
  <c r="X16" i="22"/>
  <c r="X24" i="22" s="1"/>
  <c r="V16" i="22"/>
  <c r="V24" i="22" s="1"/>
  <c r="T16" i="22"/>
  <c r="T18" i="22" s="1"/>
  <c r="T26" i="22" s="1"/>
  <c r="R16" i="22"/>
  <c r="R18" i="22" s="1"/>
  <c r="R26" i="22" s="1"/>
  <c r="P16" i="22"/>
  <c r="O16" i="22"/>
  <c r="N16" i="22"/>
  <c r="L16" i="22"/>
  <c r="K16" i="22"/>
  <c r="J16" i="22"/>
  <c r="I16" i="22"/>
  <c r="H16" i="22"/>
  <c r="G16" i="22"/>
  <c r="F16" i="22"/>
  <c r="O15" i="22"/>
  <c r="AE14" i="22"/>
  <c r="AA14" i="22"/>
  <c r="Y14" i="22"/>
  <c r="W14" i="22"/>
  <c r="S14" i="22"/>
  <c r="Q14" i="22"/>
  <c r="U14" i="22" s="1"/>
  <c r="M14" i="22"/>
  <c r="I14" i="22"/>
  <c r="O13" i="22"/>
  <c r="AE12" i="22"/>
  <c r="Q12" i="22"/>
  <c r="M12" i="22"/>
  <c r="I12" i="22"/>
  <c r="O11" i="22"/>
  <c r="W10" i="22"/>
  <c r="S10" i="22"/>
  <c r="Q10" i="22"/>
  <c r="AC10" i="22" s="1"/>
  <c r="M10" i="22"/>
  <c r="I10" i="22"/>
  <c r="O9" i="22"/>
  <c r="Q8" i="22"/>
  <c r="M8" i="22"/>
  <c r="I8" i="22"/>
  <c r="O7" i="22"/>
  <c r="Q6" i="22"/>
  <c r="M6" i="22"/>
  <c r="I6" i="22"/>
  <c r="C3" i="22"/>
  <c r="AE65" i="21"/>
  <c r="AC65" i="21"/>
  <c r="AA65" i="21"/>
  <c r="Y65" i="21"/>
  <c r="W65" i="21"/>
  <c r="U65" i="21"/>
  <c r="S65" i="21"/>
  <c r="AE64" i="21"/>
  <c r="AC64" i="21"/>
  <c r="AA64" i="21"/>
  <c r="Y64" i="21"/>
  <c r="W64" i="21"/>
  <c r="U64" i="21"/>
  <c r="S64" i="21"/>
  <c r="AE63" i="21"/>
  <c r="AC63" i="21"/>
  <c r="AA63" i="21"/>
  <c r="Y63" i="21"/>
  <c r="W63" i="21"/>
  <c r="U63" i="21"/>
  <c r="S63" i="21"/>
  <c r="AE62" i="21"/>
  <c r="AC62" i="21"/>
  <c r="AA62" i="21"/>
  <c r="Y62" i="21"/>
  <c r="W62" i="21"/>
  <c r="U62" i="21"/>
  <c r="S62" i="21"/>
  <c r="AE61" i="21"/>
  <c r="AC61" i="21"/>
  <c r="AA61" i="21"/>
  <c r="Y61" i="21"/>
  <c r="W61" i="21"/>
  <c r="U61" i="21"/>
  <c r="S61" i="21"/>
  <c r="AE60" i="21"/>
  <c r="AC60" i="21"/>
  <c r="AA60" i="21"/>
  <c r="Y60" i="21"/>
  <c r="W60" i="21"/>
  <c r="U60" i="21"/>
  <c r="S60" i="21"/>
  <c r="AE59" i="21"/>
  <c r="AC59" i="21"/>
  <c r="AA59" i="21"/>
  <c r="Y59" i="21"/>
  <c r="W59" i="21"/>
  <c r="U59" i="21"/>
  <c r="S59" i="21"/>
  <c r="AE58" i="21"/>
  <c r="AC58" i="21"/>
  <c r="AA58" i="21"/>
  <c r="Y58" i="21"/>
  <c r="W58" i="21"/>
  <c r="U58" i="21"/>
  <c r="S58" i="21"/>
  <c r="AE57" i="21"/>
  <c r="AC57" i="21"/>
  <c r="AA57" i="21"/>
  <c r="Y57" i="21"/>
  <c r="W57" i="21"/>
  <c r="U57" i="21"/>
  <c r="S57" i="21"/>
  <c r="AE56" i="21"/>
  <c r="AC56" i="21"/>
  <c r="AA56" i="21"/>
  <c r="Y56" i="21"/>
  <c r="W56" i="21"/>
  <c r="U56" i="21"/>
  <c r="S56" i="21"/>
  <c r="AE55" i="21"/>
  <c r="AC55" i="21"/>
  <c r="AA55" i="21"/>
  <c r="Y55" i="21"/>
  <c r="W55" i="21"/>
  <c r="U55" i="21"/>
  <c r="S55" i="21"/>
  <c r="AE54" i="21"/>
  <c r="AC54" i="21"/>
  <c r="AA54" i="21"/>
  <c r="Y54" i="21"/>
  <c r="W54" i="21"/>
  <c r="U54" i="21"/>
  <c r="S54" i="21"/>
  <c r="AE53" i="21"/>
  <c r="AC53" i="21"/>
  <c r="AA53" i="21"/>
  <c r="Y53" i="21"/>
  <c r="W53" i="21"/>
  <c r="U53" i="21"/>
  <c r="S53" i="21"/>
  <c r="AE52" i="21"/>
  <c r="AC52" i="21"/>
  <c r="AA52" i="21"/>
  <c r="Y52" i="21"/>
  <c r="W52" i="21"/>
  <c r="U52" i="21"/>
  <c r="S52" i="21"/>
  <c r="AE51" i="21"/>
  <c r="AC51" i="21"/>
  <c r="AA51" i="21"/>
  <c r="Y51" i="21"/>
  <c r="W51" i="21"/>
  <c r="U51" i="21"/>
  <c r="S51" i="21"/>
  <c r="AE50" i="21"/>
  <c r="AC50" i="21"/>
  <c r="AA50" i="21"/>
  <c r="Y50" i="21"/>
  <c r="W50" i="21"/>
  <c r="U50" i="21"/>
  <c r="S50" i="21"/>
  <c r="AE49" i="21"/>
  <c r="AC49" i="21"/>
  <c r="AA49" i="21"/>
  <c r="Y49" i="21"/>
  <c r="W49" i="21"/>
  <c r="U49" i="21"/>
  <c r="S49" i="21"/>
  <c r="AE48" i="21"/>
  <c r="AC48" i="21"/>
  <c r="AA48" i="21"/>
  <c r="Y48" i="21"/>
  <c r="W48" i="21"/>
  <c r="U48" i="21"/>
  <c r="S48" i="21"/>
  <c r="AE47" i="21"/>
  <c r="AC47" i="21"/>
  <c r="AA47" i="21"/>
  <c r="Y47" i="21"/>
  <c r="W47" i="21"/>
  <c r="U47" i="21"/>
  <c r="S47" i="21"/>
  <c r="AE46" i="21"/>
  <c r="AC46" i="21"/>
  <c r="AA46" i="21"/>
  <c r="Y46" i="21"/>
  <c r="W46" i="21"/>
  <c r="U46" i="21"/>
  <c r="S46" i="21"/>
  <c r="AE45" i="21"/>
  <c r="AC45" i="21"/>
  <c r="AA45" i="21"/>
  <c r="Y45" i="21"/>
  <c r="W45" i="21"/>
  <c r="U45" i="21"/>
  <c r="S45" i="21"/>
  <c r="AE44" i="21"/>
  <c r="AC44" i="21"/>
  <c r="AA44" i="21"/>
  <c r="Y44" i="21"/>
  <c r="W44" i="21"/>
  <c r="U44" i="21"/>
  <c r="S44" i="21"/>
  <c r="AE43" i="21"/>
  <c r="AC43" i="21"/>
  <c r="AA43" i="21"/>
  <c r="Y43" i="21"/>
  <c r="W43" i="21"/>
  <c r="U43" i="21"/>
  <c r="S43" i="21"/>
  <c r="AE42" i="21"/>
  <c r="AC42" i="21"/>
  <c r="AA42" i="21"/>
  <c r="Y42" i="21"/>
  <c r="W42" i="21"/>
  <c r="U42" i="21"/>
  <c r="S42" i="21"/>
  <c r="AE41" i="21"/>
  <c r="AC41" i="21"/>
  <c r="AA41" i="21"/>
  <c r="Y41" i="21"/>
  <c r="W41" i="21"/>
  <c r="U41" i="21"/>
  <c r="S41" i="21"/>
  <c r="AE40" i="21"/>
  <c r="AC40" i="21"/>
  <c r="AA40" i="21"/>
  <c r="Y40" i="21"/>
  <c r="W40" i="21"/>
  <c r="U40" i="21"/>
  <c r="S40" i="21"/>
  <c r="AE39" i="21"/>
  <c r="AC39" i="21"/>
  <c r="AA39" i="21"/>
  <c r="Y39" i="21"/>
  <c r="W39" i="21"/>
  <c r="U39" i="21"/>
  <c r="S39" i="21"/>
  <c r="AE38" i="21"/>
  <c r="AC38" i="21"/>
  <c r="AA38" i="21"/>
  <c r="Y38" i="21"/>
  <c r="W38" i="21"/>
  <c r="U38" i="21"/>
  <c r="S38" i="21"/>
  <c r="AE37" i="21"/>
  <c r="AC37" i="21"/>
  <c r="AA37" i="21"/>
  <c r="Y37" i="21"/>
  <c r="W37" i="21"/>
  <c r="U37" i="21"/>
  <c r="S37" i="21"/>
  <c r="AE36" i="21"/>
  <c r="AC36" i="21"/>
  <c r="AA36" i="21"/>
  <c r="Y36" i="21"/>
  <c r="W36" i="21"/>
  <c r="U36" i="21"/>
  <c r="S36" i="21"/>
  <c r="D35" i="21"/>
  <c r="E35" i="21" s="1"/>
  <c r="E34" i="21"/>
  <c r="D34" i="21"/>
  <c r="D33" i="21"/>
  <c r="E33" i="21" s="1"/>
  <c r="D32" i="21"/>
  <c r="E32" i="21" s="1"/>
  <c r="D31" i="21"/>
  <c r="E31" i="21" s="1"/>
  <c r="D30" i="21"/>
  <c r="E30" i="21" s="1"/>
  <c r="D29" i="21"/>
  <c r="E29" i="21" s="1"/>
  <c r="AD25" i="21"/>
  <c r="Z18" i="21"/>
  <c r="Z26" i="21" s="1"/>
  <c r="AD17" i="21"/>
  <c r="AB17" i="21"/>
  <c r="AB25" i="21" s="1"/>
  <c r="Z17" i="21"/>
  <c r="Z25" i="21" s="1"/>
  <c r="X17" i="21"/>
  <c r="X25" i="21" s="1"/>
  <c r="V17" i="21"/>
  <c r="V25" i="21" s="1"/>
  <c r="T17" i="21"/>
  <c r="T25" i="21" s="1"/>
  <c r="R17" i="21"/>
  <c r="R25" i="21" s="1"/>
  <c r="AD16" i="21"/>
  <c r="AD24" i="21" s="1"/>
  <c r="AB16" i="21"/>
  <c r="AB18" i="21" s="1"/>
  <c r="AB26" i="21" s="1"/>
  <c r="Z16" i="21"/>
  <c r="X16" i="21"/>
  <c r="V16" i="21"/>
  <c r="V24" i="21" s="1"/>
  <c r="T16" i="21"/>
  <c r="R16" i="21"/>
  <c r="P16" i="21"/>
  <c r="O16" i="21"/>
  <c r="N16" i="21"/>
  <c r="L16" i="21"/>
  <c r="K16" i="21"/>
  <c r="J16" i="21"/>
  <c r="H16" i="21"/>
  <c r="G16" i="21"/>
  <c r="F16" i="21"/>
  <c r="O15" i="21"/>
  <c r="Q14" i="21"/>
  <c r="M14" i="21"/>
  <c r="I14" i="21"/>
  <c r="O13" i="21"/>
  <c r="O17" i="21" s="1"/>
  <c r="Q12" i="21"/>
  <c r="M12" i="21"/>
  <c r="I12" i="21"/>
  <c r="O11" i="21"/>
  <c r="W10" i="21"/>
  <c r="S10" i="21"/>
  <c r="Q10" i="21"/>
  <c r="AE10" i="21" s="1"/>
  <c r="M10" i="21"/>
  <c r="I10" i="21"/>
  <c r="O9" i="21"/>
  <c r="Y8" i="21"/>
  <c r="Q8" i="21"/>
  <c r="AA8" i="21" s="1"/>
  <c r="M8" i="21"/>
  <c r="I8" i="21"/>
  <c r="O7" i="21"/>
  <c r="W6" i="21"/>
  <c r="S6" i="21"/>
  <c r="Q6" i="21"/>
  <c r="AE6" i="21" s="1"/>
  <c r="M6" i="21"/>
  <c r="I6" i="21"/>
  <c r="C3" i="21"/>
  <c r="AE65" i="20"/>
  <c r="AC65" i="20"/>
  <c r="AA65" i="20"/>
  <c r="Y65" i="20"/>
  <c r="W65" i="20"/>
  <c r="U65" i="20"/>
  <c r="S65" i="20"/>
  <c r="AE64" i="20"/>
  <c r="AC64" i="20"/>
  <c r="AA64" i="20"/>
  <c r="Y64" i="20"/>
  <c r="W64" i="20"/>
  <c r="U64" i="20"/>
  <c r="S64" i="20"/>
  <c r="AE63" i="20"/>
  <c r="AC63" i="20"/>
  <c r="AA63" i="20"/>
  <c r="Y63" i="20"/>
  <c r="W63" i="20"/>
  <c r="U63" i="20"/>
  <c r="S63" i="20"/>
  <c r="AE62" i="20"/>
  <c r="AC62" i="20"/>
  <c r="AA62" i="20"/>
  <c r="Y62" i="20"/>
  <c r="W62" i="20"/>
  <c r="U62" i="20"/>
  <c r="S62" i="20"/>
  <c r="AE61" i="20"/>
  <c r="AC61" i="20"/>
  <c r="AA61" i="20"/>
  <c r="Y61" i="20"/>
  <c r="W61" i="20"/>
  <c r="U61" i="20"/>
  <c r="S61" i="20"/>
  <c r="AE60" i="20"/>
  <c r="AC60" i="20"/>
  <c r="AA60" i="20"/>
  <c r="Y60" i="20"/>
  <c r="W60" i="20"/>
  <c r="U60" i="20"/>
  <c r="S60" i="20"/>
  <c r="AE59" i="20"/>
  <c r="AC59" i="20"/>
  <c r="AA59" i="20"/>
  <c r="Y59" i="20"/>
  <c r="W59" i="20"/>
  <c r="U59" i="20"/>
  <c r="S59" i="20"/>
  <c r="AE58" i="20"/>
  <c r="AC58" i="20"/>
  <c r="AA58" i="20"/>
  <c r="Y58" i="20"/>
  <c r="W58" i="20"/>
  <c r="U58" i="20"/>
  <c r="S58" i="20"/>
  <c r="AE57" i="20"/>
  <c r="AC57" i="20"/>
  <c r="AA57" i="20"/>
  <c r="Y57" i="20"/>
  <c r="W57" i="20"/>
  <c r="U57" i="20"/>
  <c r="S57" i="20"/>
  <c r="AE56" i="20"/>
  <c r="AC56" i="20"/>
  <c r="AA56" i="20"/>
  <c r="Y56" i="20"/>
  <c r="W56" i="20"/>
  <c r="U56" i="20"/>
  <c r="S56" i="20"/>
  <c r="AE55" i="20"/>
  <c r="AC55" i="20"/>
  <c r="AA55" i="20"/>
  <c r="Y55" i="20"/>
  <c r="W55" i="20"/>
  <c r="U55" i="20"/>
  <c r="S55" i="20"/>
  <c r="AE54" i="20"/>
  <c r="AC54" i="20"/>
  <c r="AA54" i="20"/>
  <c r="Y54" i="20"/>
  <c r="W54" i="20"/>
  <c r="U54" i="20"/>
  <c r="S54" i="20"/>
  <c r="AE53" i="20"/>
  <c r="AC53" i="20"/>
  <c r="AA53" i="20"/>
  <c r="Y53" i="20"/>
  <c r="W53" i="20"/>
  <c r="U53" i="20"/>
  <c r="S53" i="20"/>
  <c r="AE52" i="20"/>
  <c r="AC52" i="20"/>
  <c r="AA52" i="20"/>
  <c r="Y52" i="20"/>
  <c r="W52" i="20"/>
  <c r="U52" i="20"/>
  <c r="S52" i="20"/>
  <c r="AE51" i="20"/>
  <c r="AC51" i="20"/>
  <c r="AA51" i="20"/>
  <c r="Y51" i="20"/>
  <c r="W51" i="20"/>
  <c r="U51" i="20"/>
  <c r="S51" i="20"/>
  <c r="AE50" i="20"/>
  <c r="AC50" i="20"/>
  <c r="AA50" i="20"/>
  <c r="Y50" i="20"/>
  <c r="W50" i="20"/>
  <c r="U50" i="20"/>
  <c r="S50" i="20"/>
  <c r="AE49" i="20"/>
  <c r="AC49" i="20"/>
  <c r="AA49" i="20"/>
  <c r="Y49" i="20"/>
  <c r="W49" i="20"/>
  <c r="U49" i="20"/>
  <c r="S49" i="20"/>
  <c r="AE48" i="20"/>
  <c r="AC48" i="20"/>
  <c r="AA48" i="20"/>
  <c r="Y48" i="20"/>
  <c r="W48" i="20"/>
  <c r="U48" i="20"/>
  <c r="S48" i="20"/>
  <c r="AE47" i="20"/>
  <c r="AC47" i="20"/>
  <c r="AA47" i="20"/>
  <c r="Y47" i="20"/>
  <c r="W47" i="20"/>
  <c r="U47" i="20"/>
  <c r="S47" i="20"/>
  <c r="AE46" i="20"/>
  <c r="AC46" i="20"/>
  <c r="AA46" i="20"/>
  <c r="Y46" i="20"/>
  <c r="W46" i="20"/>
  <c r="U46" i="20"/>
  <c r="S46" i="20"/>
  <c r="AE45" i="20"/>
  <c r="AC45" i="20"/>
  <c r="AA45" i="20"/>
  <c r="Y45" i="20"/>
  <c r="W45" i="20"/>
  <c r="U45" i="20"/>
  <c r="S45" i="20"/>
  <c r="AE44" i="20"/>
  <c r="AC44" i="20"/>
  <c r="AA44" i="20"/>
  <c r="Y44" i="20"/>
  <c r="W44" i="20"/>
  <c r="U44" i="20"/>
  <c r="S44" i="20"/>
  <c r="AE43" i="20"/>
  <c r="AC43" i="20"/>
  <c r="AA43" i="20"/>
  <c r="Y43" i="20"/>
  <c r="W43" i="20"/>
  <c r="U43" i="20"/>
  <c r="S43" i="20"/>
  <c r="AE42" i="20"/>
  <c r="AC42" i="20"/>
  <c r="AA42" i="20"/>
  <c r="Y42" i="20"/>
  <c r="W42" i="20"/>
  <c r="U42" i="20"/>
  <c r="S42" i="20"/>
  <c r="AE41" i="20"/>
  <c r="AC41" i="20"/>
  <c r="AA41" i="20"/>
  <c r="Y41" i="20"/>
  <c r="W41" i="20"/>
  <c r="U41" i="20"/>
  <c r="S41" i="20"/>
  <c r="AE40" i="20"/>
  <c r="AC40" i="20"/>
  <c r="AA40" i="20"/>
  <c r="Y40" i="20"/>
  <c r="W40" i="20"/>
  <c r="U40" i="20"/>
  <c r="S40" i="20"/>
  <c r="AE39" i="20"/>
  <c r="AC39" i="20"/>
  <c r="AA39" i="20"/>
  <c r="Y39" i="20"/>
  <c r="W39" i="20"/>
  <c r="U39" i="20"/>
  <c r="S39" i="20"/>
  <c r="AE38" i="20"/>
  <c r="AC38" i="20"/>
  <c r="AA38" i="20"/>
  <c r="Y38" i="20"/>
  <c r="W38" i="20"/>
  <c r="U38" i="20"/>
  <c r="S38" i="20"/>
  <c r="AE37" i="20"/>
  <c r="AC37" i="20"/>
  <c r="AA37" i="20"/>
  <c r="Y37" i="20"/>
  <c r="W37" i="20"/>
  <c r="U37" i="20"/>
  <c r="S37" i="20"/>
  <c r="AE36" i="20"/>
  <c r="AC36" i="20"/>
  <c r="AA36" i="20"/>
  <c r="Y36" i="20"/>
  <c r="W36" i="20"/>
  <c r="U36" i="20"/>
  <c r="S36" i="20"/>
  <c r="D35" i="20"/>
  <c r="E35" i="20" s="1"/>
  <c r="D34" i="20"/>
  <c r="E34" i="20" s="1"/>
  <c r="D33" i="20"/>
  <c r="E33" i="20" s="1"/>
  <c r="D32" i="20"/>
  <c r="E32" i="20" s="1"/>
  <c r="E31" i="20"/>
  <c r="D31" i="20"/>
  <c r="D30" i="20"/>
  <c r="E30" i="20" s="1"/>
  <c r="D29" i="20"/>
  <c r="E29" i="20" s="1"/>
  <c r="Z25" i="20"/>
  <c r="AD17" i="20"/>
  <c r="AD25" i="20" s="1"/>
  <c r="AB17" i="20"/>
  <c r="AB25" i="20" s="1"/>
  <c r="Z17" i="20"/>
  <c r="X17" i="20"/>
  <c r="X25" i="20" s="1"/>
  <c r="V17" i="20"/>
  <c r="V25" i="20" s="1"/>
  <c r="T17" i="20"/>
  <c r="T25" i="20" s="1"/>
  <c r="R17" i="20"/>
  <c r="R25" i="20" s="1"/>
  <c r="AD16" i="20"/>
  <c r="AB16" i="20"/>
  <c r="Z16" i="20"/>
  <c r="Z18" i="20" s="1"/>
  <c r="Z26" i="20" s="1"/>
  <c r="X16" i="20"/>
  <c r="X24" i="20" s="1"/>
  <c r="V16" i="20"/>
  <c r="V24" i="20" s="1"/>
  <c r="T16" i="20"/>
  <c r="T18" i="20" s="1"/>
  <c r="T26" i="20" s="1"/>
  <c r="R16" i="20"/>
  <c r="R24" i="20" s="1"/>
  <c r="P16" i="20"/>
  <c r="O16" i="20"/>
  <c r="N16" i="20"/>
  <c r="L16" i="20"/>
  <c r="K16" i="20"/>
  <c r="J16" i="20"/>
  <c r="I16" i="20"/>
  <c r="H16" i="20"/>
  <c r="G16" i="20"/>
  <c r="F16" i="20"/>
  <c r="O15" i="20"/>
  <c r="AE14" i="20"/>
  <c r="AC14" i="20"/>
  <c r="AA14" i="20"/>
  <c r="Y14" i="20"/>
  <c r="Q14" i="20"/>
  <c r="W14" i="20" s="1"/>
  <c r="M14" i="20"/>
  <c r="I14" i="20"/>
  <c r="O13" i="20"/>
  <c r="AE12" i="20"/>
  <c r="Q12" i="20"/>
  <c r="AA12" i="20" s="1"/>
  <c r="M12" i="20"/>
  <c r="I12" i="20"/>
  <c r="O11" i="20"/>
  <c r="AE10" i="20"/>
  <c r="AA10" i="20"/>
  <c r="Y10" i="20"/>
  <c r="U10" i="20"/>
  <c r="Q10" i="20"/>
  <c r="AC10" i="20" s="1"/>
  <c r="M10" i="20"/>
  <c r="I10" i="20"/>
  <c r="O9" i="20"/>
  <c r="AE8" i="20"/>
  <c r="Q8" i="20"/>
  <c r="W8" i="20" s="1"/>
  <c r="M8" i="20"/>
  <c r="I8" i="20"/>
  <c r="O7" i="20"/>
  <c r="Q6" i="20"/>
  <c r="Q16" i="20" s="1"/>
  <c r="Y16" i="20" s="1"/>
  <c r="M6" i="20"/>
  <c r="I6" i="20"/>
  <c r="C3" i="20"/>
  <c r="AE65" i="19"/>
  <c r="AC65" i="19"/>
  <c r="AA65" i="19"/>
  <c r="Y65" i="19"/>
  <c r="W65" i="19"/>
  <c r="U65" i="19"/>
  <c r="S65" i="19"/>
  <c r="AE64" i="19"/>
  <c r="AC64" i="19"/>
  <c r="AA64" i="19"/>
  <c r="Y64" i="19"/>
  <c r="W64" i="19"/>
  <c r="U64" i="19"/>
  <c r="S64" i="19"/>
  <c r="AE63" i="19"/>
  <c r="AC63" i="19"/>
  <c r="AA63" i="19"/>
  <c r="Y63" i="19"/>
  <c r="W63" i="19"/>
  <c r="U63" i="19"/>
  <c r="S63" i="19"/>
  <c r="AE62" i="19"/>
  <c r="AC62" i="19"/>
  <c r="AA62" i="19"/>
  <c r="Y62" i="19"/>
  <c r="W62" i="19"/>
  <c r="U62" i="19"/>
  <c r="S62" i="19"/>
  <c r="AE61" i="19"/>
  <c r="AC61" i="19"/>
  <c r="AA61" i="19"/>
  <c r="Y61" i="19"/>
  <c r="W61" i="19"/>
  <c r="U61" i="19"/>
  <c r="S61" i="19"/>
  <c r="AE60" i="19"/>
  <c r="AC60" i="19"/>
  <c r="AA60" i="19"/>
  <c r="Y60" i="19"/>
  <c r="W60" i="19"/>
  <c r="U60" i="19"/>
  <c r="S60" i="19"/>
  <c r="AE59" i="19"/>
  <c r="AC59" i="19"/>
  <c r="AA59" i="19"/>
  <c r="Y59" i="19"/>
  <c r="W59" i="19"/>
  <c r="U59" i="19"/>
  <c r="S59" i="19"/>
  <c r="AE58" i="19"/>
  <c r="AC58" i="19"/>
  <c r="AA58" i="19"/>
  <c r="Y58" i="19"/>
  <c r="W58" i="19"/>
  <c r="U58" i="19"/>
  <c r="S58" i="19"/>
  <c r="AE57" i="19"/>
  <c r="AC57" i="19"/>
  <c r="AA57" i="19"/>
  <c r="Y57" i="19"/>
  <c r="W57" i="19"/>
  <c r="U57" i="19"/>
  <c r="S57" i="19"/>
  <c r="AE56" i="19"/>
  <c r="AC56" i="19"/>
  <c r="AA56" i="19"/>
  <c r="Y56" i="19"/>
  <c r="W56" i="19"/>
  <c r="U56" i="19"/>
  <c r="S56" i="19"/>
  <c r="AE55" i="19"/>
  <c r="AC55" i="19"/>
  <c r="AA55" i="19"/>
  <c r="Y55" i="19"/>
  <c r="W55" i="19"/>
  <c r="U55" i="19"/>
  <c r="S55" i="19"/>
  <c r="AE54" i="19"/>
  <c r="AC54" i="19"/>
  <c r="AA54" i="19"/>
  <c r="Y54" i="19"/>
  <c r="W54" i="19"/>
  <c r="U54" i="19"/>
  <c r="S54" i="19"/>
  <c r="AE53" i="19"/>
  <c r="AC53" i="19"/>
  <c r="AA53" i="19"/>
  <c r="Y53" i="19"/>
  <c r="W53" i="19"/>
  <c r="U53" i="19"/>
  <c r="S53" i="19"/>
  <c r="AE52" i="19"/>
  <c r="AC52" i="19"/>
  <c r="AA52" i="19"/>
  <c r="Y52" i="19"/>
  <c r="W52" i="19"/>
  <c r="U52" i="19"/>
  <c r="S52" i="19"/>
  <c r="AE51" i="19"/>
  <c r="AC51" i="19"/>
  <c r="AA51" i="19"/>
  <c r="Y51" i="19"/>
  <c r="W51" i="19"/>
  <c r="U51" i="19"/>
  <c r="S51" i="19"/>
  <c r="AE50" i="19"/>
  <c r="AC50" i="19"/>
  <c r="AA50" i="19"/>
  <c r="Y50" i="19"/>
  <c r="W50" i="19"/>
  <c r="U50" i="19"/>
  <c r="S50" i="19"/>
  <c r="AE49" i="19"/>
  <c r="AC49" i="19"/>
  <c r="AA49" i="19"/>
  <c r="Y49" i="19"/>
  <c r="W49" i="19"/>
  <c r="U49" i="19"/>
  <c r="S49" i="19"/>
  <c r="AE48" i="19"/>
  <c r="AC48" i="19"/>
  <c r="AA48" i="19"/>
  <c r="Y48" i="19"/>
  <c r="W48" i="19"/>
  <c r="U48" i="19"/>
  <c r="S48" i="19"/>
  <c r="AE47" i="19"/>
  <c r="AC47" i="19"/>
  <c r="AA47" i="19"/>
  <c r="Y47" i="19"/>
  <c r="W47" i="19"/>
  <c r="U47" i="19"/>
  <c r="S47" i="19"/>
  <c r="AE46" i="19"/>
  <c r="AC46" i="19"/>
  <c r="AA46" i="19"/>
  <c r="Y46" i="19"/>
  <c r="W46" i="19"/>
  <c r="U46" i="19"/>
  <c r="S46" i="19"/>
  <c r="AE45" i="19"/>
  <c r="AC45" i="19"/>
  <c r="AA45" i="19"/>
  <c r="Y45" i="19"/>
  <c r="W45" i="19"/>
  <c r="U45" i="19"/>
  <c r="S45" i="19"/>
  <c r="AE44" i="19"/>
  <c r="AC44" i="19"/>
  <c r="AA44" i="19"/>
  <c r="Y44" i="19"/>
  <c r="W44" i="19"/>
  <c r="U44" i="19"/>
  <c r="S44" i="19"/>
  <c r="AE43" i="19"/>
  <c r="AC43" i="19"/>
  <c r="AA43" i="19"/>
  <c r="Y43" i="19"/>
  <c r="W43" i="19"/>
  <c r="U43" i="19"/>
  <c r="S43" i="19"/>
  <c r="AE42" i="19"/>
  <c r="AC42" i="19"/>
  <c r="AA42" i="19"/>
  <c r="Y42" i="19"/>
  <c r="W42" i="19"/>
  <c r="U42" i="19"/>
  <c r="S42" i="19"/>
  <c r="AE41" i="19"/>
  <c r="AC41" i="19"/>
  <c r="AA41" i="19"/>
  <c r="Y41" i="19"/>
  <c r="W41" i="19"/>
  <c r="U41" i="19"/>
  <c r="S41" i="19"/>
  <c r="AE40" i="19"/>
  <c r="AC40" i="19"/>
  <c r="AA40" i="19"/>
  <c r="Y40" i="19"/>
  <c r="W40" i="19"/>
  <c r="U40" i="19"/>
  <c r="S40" i="19"/>
  <c r="AE39" i="19"/>
  <c r="AC39" i="19"/>
  <c r="AA39" i="19"/>
  <c r="Y39" i="19"/>
  <c r="W39" i="19"/>
  <c r="U39" i="19"/>
  <c r="S39" i="19"/>
  <c r="AE38" i="19"/>
  <c r="AC38" i="19"/>
  <c r="AA38" i="19"/>
  <c r="Y38" i="19"/>
  <c r="W38" i="19"/>
  <c r="U38" i="19"/>
  <c r="S38" i="19"/>
  <c r="AE37" i="19"/>
  <c r="AC37" i="19"/>
  <c r="AA37" i="19"/>
  <c r="Y37" i="19"/>
  <c r="W37" i="19"/>
  <c r="U37" i="19"/>
  <c r="S37" i="19"/>
  <c r="AE36" i="19"/>
  <c r="AC36" i="19"/>
  <c r="AA36" i="19"/>
  <c r="Y36" i="19"/>
  <c r="W36" i="19"/>
  <c r="U36" i="19"/>
  <c r="S36" i="19"/>
  <c r="D35" i="19"/>
  <c r="E35" i="19" s="1"/>
  <c r="E34" i="19"/>
  <c r="D34" i="19"/>
  <c r="D33" i="19"/>
  <c r="E33" i="19" s="1"/>
  <c r="D32" i="19"/>
  <c r="E32" i="19" s="1"/>
  <c r="D31" i="19"/>
  <c r="E31" i="19" s="1"/>
  <c r="D30" i="19"/>
  <c r="E30" i="19" s="1"/>
  <c r="D29" i="19"/>
  <c r="E29" i="19" s="1"/>
  <c r="V25" i="19"/>
  <c r="AD17" i="19"/>
  <c r="AD25" i="19" s="1"/>
  <c r="AB17" i="19"/>
  <c r="AB25" i="19" s="1"/>
  <c r="Z17" i="19"/>
  <c r="Z25" i="19" s="1"/>
  <c r="X17" i="19"/>
  <c r="X25" i="19" s="1"/>
  <c r="V17" i="19"/>
  <c r="T17" i="19"/>
  <c r="T25" i="19" s="1"/>
  <c r="R17" i="19"/>
  <c r="R25" i="19" s="1"/>
  <c r="AD16" i="19"/>
  <c r="AD24" i="19" s="1"/>
  <c r="AB16" i="19"/>
  <c r="AB18" i="19" s="1"/>
  <c r="AB26" i="19" s="1"/>
  <c r="Z16" i="19"/>
  <c r="Z24" i="19" s="1"/>
  <c r="X16" i="19"/>
  <c r="X18" i="19" s="1"/>
  <c r="X26" i="19" s="1"/>
  <c r="V16" i="19"/>
  <c r="V18" i="19" s="1"/>
  <c r="V26" i="19" s="1"/>
  <c r="T16" i="19"/>
  <c r="R16" i="19"/>
  <c r="R24" i="19" s="1"/>
  <c r="P16" i="19"/>
  <c r="O16" i="19"/>
  <c r="N16" i="19"/>
  <c r="L16" i="19"/>
  <c r="K16" i="19"/>
  <c r="J16" i="19"/>
  <c r="H16" i="19"/>
  <c r="G16" i="19"/>
  <c r="F16" i="19"/>
  <c r="O15" i="19"/>
  <c r="AE14" i="19"/>
  <c r="AA14" i="19"/>
  <c r="Y14" i="19"/>
  <c r="W14" i="19"/>
  <c r="S14" i="19"/>
  <c r="Q14" i="19"/>
  <c r="AC14" i="19" s="1"/>
  <c r="M14" i="19"/>
  <c r="I14" i="19"/>
  <c r="O13" i="19"/>
  <c r="AC12" i="19"/>
  <c r="AA12" i="19"/>
  <c r="Q12" i="19"/>
  <c r="W12" i="19" s="1"/>
  <c r="M12" i="19"/>
  <c r="I12" i="19"/>
  <c r="O11" i="19"/>
  <c r="Q10" i="19"/>
  <c r="M10" i="19"/>
  <c r="I10" i="19"/>
  <c r="O9" i="19"/>
  <c r="W8" i="19"/>
  <c r="S8" i="19"/>
  <c r="Q8" i="19"/>
  <c r="AE8" i="19" s="1"/>
  <c r="M8" i="19"/>
  <c r="I8" i="19"/>
  <c r="O7" i="19"/>
  <c r="AE6" i="19"/>
  <c r="W6" i="19"/>
  <c r="S6" i="19"/>
  <c r="Q6" i="19"/>
  <c r="Y6" i="19" s="1"/>
  <c r="M6" i="19"/>
  <c r="I6" i="19"/>
  <c r="C3" i="19"/>
  <c r="AE65" i="18"/>
  <c r="AC65" i="18"/>
  <c r="AA65" i="18"/>
  <c r="Y65" i="18"/>
  <c r="W65" i="18"/>
  <c r="U65" i="18"/>
  <c r="S65" i="18"/>
  <c r="AE64" i="18"/>
  <c r="AC64" i="18"/>
  <c r="AA64" i="18"/>
  <c r="Y64" i="18"/>
  <c r="W64" i="18"/>
  <c r="U64" i="18"/>
  <c r="S64" i="18"/>
  <c r="AE63" i="18"/>
  <c r="AC63" i="18"/>
  <c r="AA63" i="18"/>
  <c r="Y63" i="18"/>
  <c r="W63" i="18"/>
  <c r="U63" i="18"/>
  <c r="S63" i="18"/>
  <c r="AE62" i="18"/>
  <c r="AC62" i="18"/>
  <c r="AA62" i="18"/>
  <c r="Y62" i="18"/>
  <c r="W62" i="18"/>
  <c r="U62" i="18"/>
  <c r="S62" i="18"/>
  <c r="AE61" i="18"/>
  <c r="AC61" i="18"/>
  <c r="AA61" i="18"/>
  <c r="Y61" i="18"/>
  <c r="W61" i="18"/>
  <c r="U61" i="18"/>
  <c r="S61" i="18"/>
  <c r="AE60" i="18"/>
  <c r="AC60" i="18"/>
  <c r="AA60" i="18"/>
  <c r="Y60" i="18"/>
  <c r="W60" i="18"/>
  <c r="U60" i="18"/>
  <c r="S60" i="18"/>
  <c r="AE59" i="18"/>
  <c r="AC59" i="18"/>
  <c r="AA59" i="18"/>
  <c r="Y59" i="18"/>
  <c r="W59" i="18"/>
  <c r="U59" i="18"/>
  <c r="S59" i="18"/>
  <c r="AE58" i="18"/>
  <c r="AC58" i="18"/>
  <c r="AA58" i="18"/>
  <c r="Y58" i="18"/>
  <c r="W58" i="18"/>
  <c r="U58" i="18"/>
  <c r="S58" i="18"/>
  <c r="AE57" i="18"/>
  <c r="AC57" i="18"/>
  <c r="AA57" i="18"/>
  <c r="Y57" i="18"/>
  <c r="W57" i="18"/>
  <c r="U57" i="18"/>
  <c r="S57" i="18"/>
  <c r="AE56" i="18"/>
  <c r="AC56" i="18"/>
  <c r="AA56" i="18"/>
  <c r="Y56" i="18"/>
  <c r="W56" i="18"/>
  <c r="U56" i="18"/>
  <c r="S56" i="18"/>
  <c r="AE55" i="18"/>
  <c r="AC55" i="18"/>
  <c r="AA55" i="18"/>
  <c r="Y55" i="18"/>
  <c r="W55" i="18"/>
  <c r="U55" i="18"/>
  <c r="S55" i="18"/>
  <c r="AE54" i="18"/>
  <c r="AC54" i="18"/>
  <c r="AA54" i="18"/>
  <c r="Y54" i="18"/>
  <c r="W54" i="18"/>
  <c r="U54" i="18"/>
  <c r="S54" i="18"/>
  <c r="AE53" i="18"/>
  <c r="AC53" i="18"/>
  <c r="AA53" i="18"/>
  <c r="Y53" i="18"/>
  <c r="W53" i="18"/>
  <c r="U53" i="18"/>
  <c r="S53" i="18"/>
  <c r="AE52" i="18"/>
  <c r="AC52" i="18"/>
  <c r="AA52" i="18"/>
  <c r="Y52" i="18"/>
  <c r="W52" i="18"/>
  <c r="U52" i="18"/>
  <c r="S52" i="18"/>
  <c r="AE51" i="18"/>
  <c r="AC51" i="18"/>
  <c r="AA51" i="18"/>
  <c r="Y51" i="18"/>
  <c r="W51" i="18"/>
  <c r="U51" i="18"/>
  <c r="S51" i="18"/>
  <c r="AE50" i="18"/>
  <c r="AC50" i="18"/>
  <c r="AA50" i="18"/>
  <c r="Y50" i="18"/>
  <c r="W50" i="18"/>
  <c r="U50" i="18"/>
  <c r="S50" i="18"/>
  <c r="AE49" i="18"/>
  <c r="AC49" i="18"/>
  <c r="AA49" i="18"/>
  <c r="Y49" i="18"/>
  <c r="W49" i="18"/>
  <c r="U49" i="18"/>
  <c r="S49" i="18"/>
  <c r="AE48" i="18"/>
  <c r="AC48" i="18"/>
  <c r="AA48" i="18"/>
  <c r="Y48" i="18"/>
  <c r="W48" i="18"/>
  <c r="U48" i="18"/>
  <c r="S48" i="18"/>
  <c r="AE47" i="18"/>
  <c r="AC47" i="18"/>
  <c r="AA47" i="18"/>
  <c r="Y47" i="18"/>
  <c r="W47" i="18"/>
  <c r="U47" i="18"/>
  <c r="S47" i="18"/>
  <c r="AE46" i="18"/>
  <c r="AC46" i="18"/>
  <c r="AA46" i="18"/>
  <c r="Y46" i="18"/>
  <c r="W46" i="18"/>
  <c r="U46" i="18"/>
  <c r="S46" i="18"/>
  <c r="AE45" i="18"/>
  <c r="AC45" i="18"/>
  <c r="AA45" i="18"/>
  <c r="Y45" i="18"/>
  <c r="W45" i="18"/>
  <c r="U45" i="18"/>
  <c r="S45" i="18"/>
  <c r="AE44" i="18"/>
  <c r="AC44" i="18"/>
  <c r="AA44" i="18"/>
  <c r="Y44" i="18"/>
  <c r="W44" i="18"/>
  <c r="U44" i="18"/>
  <c r="S44" i="18"/>
  <c r="AE43" i="18"/>
  <c r="AC43" i="18"/>
  <c r="AA43" i="18"/>
  <c r="Y43" i="18"/>
  <c r="W43" i="18"/>
  <c r="U43" i="18"/>
  <c r="S43" i="18"/>
  <c r="AE42" i="18"/>
  <c r="AC42" i="18"/>
  <c r="AA42" i="18"/>
  <c r="Y42" i="18"/>
  <c r="W42" i="18"/>
  <c r="U42" i="18"/>
  <c r="S42" i="18"/>
  <c r="AE41" i="18"/>
  <c r="AC41" i="18"/>
  <c r="AA41" i="18"/>
  <c r="Y41" i="18"/>
  <c r="W41" i="18"/>
  <c r="U41" i="18"/>
  <c r="S41" i="18"/>
  <c r="AE40" i="18"/>
  <c r="AC40" i="18"/>
  <c r="AA40" i="18"/>
  <c r="Y40" i="18"/>
  <c r="W40" i="18"/>
  <c r="U40" i="18"/>
  <c r="S40" i="18"/>
  <c r="AE39" i="18"/>
  <c r="AC39" i="18"/>
  <c r="AA39" i="18"/>
  <c r="Y39" i="18"/>
  <c r="W39" i="18"/>
  <c r="U39" i="18"/>
  <c r="S39" i="18"/>
  <c r="AE38" i="18"/>
  <c r="AC38" i="18"/>
  <c r="AA38" i="18"/>
  <c r="Y38" i="18"/>
  <c r="W38" i="18"/>
  <c r="U38" i="18"/>
  <c r="S38" i="18"/>
  <c r="AE37" i="18"/>
  <c r="AC37" i="18"/>
  <c r="AA37" i="18"/>
  <c r="Y37" i="18"/>
  <c r="W37" i="18"/>
  <c r="U37" i="18"/>
  <c r="S37" i="18"/>
  <c r="AE36" i="18"/>
  <c r="AC36" i="18"/>
  <c r="AA36" i="18"/>
  <c r="Y36" i="18"/>
  <c r="W36" i="18"/>
  <c r="U36" i="18"/>
  <c r="S36" i="18"/>
  <c r="D35" i="18"/>
  <c r="E35" i="18" s="1"/>
  <c r="D34" i="18"/>
  <c r="E34" i="18" s="1"/>
  <c r="D33" i="18"/>
  <c r="E33" i="18" s="1"/>
  <c r="D32" i="18"/>
  <c r="E32" i="18" s="1"/>
  <c r="D31" i="18"/>
  <c r="E31" i="18" s="1"/>
  <c r="D30" i="18"/>
  <c r="E30" i="18" s="1"/>
  <c r="D29" i="18"/>
  <c r="E29" i="18" s="1"/>
  <c r="AD24" i="18"/>
  <c r="AB18" i="18"/>
  <c r="AB26" i="18" s="1"/>
  <c r="V18" i="18"/>
  <c r="V26" i="18" s="1"/>
  <c r="AD17" i="18"/>
  <c r="AD25" i="18" s="1"/>
  <c r="AB17" i="18"/>
  <c r="AB25" i="18" s="1"/>
  <c r="Z17" i="18"/>
  <c r="Z25" i="18" s="1"/>
  <c r="X17" i="18"/>
  <c r="X25" i="18" s="1"/>
  <c r="V17" i="18"/>
  <c r="V25" i="18" s="1"/>
  <c r="T17" i="18"/>
  <c r="T25" i="18" s="1"/>
  <c r="R17" i="18"/>
  <c r="R25" i="18" s="1"/>
  <c r="AD16" i="18"/>
  <c r="AB16" i="18"/>
  <c r="AB24" i="18" s="1"/>
  <c r="Z16" i="18"/>
  <c r="Z24" i="18" s="1"/>
  <c r="X16" i="18"/>
  <c r="X18" i="18" s="1"/>
  <c r="X26" i="18" s="1"/>
  <c r="V16" i="18"/>
  <c r="V24" i="18" s="1"/>
  <c r="T16" i="18"/>
  <c r="R16" i="18"/>
  <c r="P16" i="18"/>
  <c r="O16" i="18"/>
  <c r="N16" i="18"/>
  <c r="L16" i="18"/>
  <c r="K16" i="18"/>
  <c r="J16" i="18"/>
  <c r="H16" i="18"/>
  <c r="G16" i="18"/>
  <c r="F16" i="18"/>
  <c r="O15" i="18"/>
  <c r="Q14" i="18"/>
  <c r="M14" i="18"/>
  <c r="I14" i="18"/>
  <c r="O13" i="18"/>
  <c r="W12" i="18"/>
  <c r="Q12" i="18"/>
  <c r="S12" i="18" s="1"/>
  <c r="M12" i="18"/>
  <c r="I12" i="18"/>
  <c r="O11" i="18"/>
  <c r="AC10" i="18"/>
  <c r="S10" i="18"/>
  <c r="Q10" i="18"/>
  <c r="Y10" i="18" s="1"/>
  <c r="M10" i="18"/>
  <c r="I10" i="18"/>
  <c r="O9" i="18"/>
  <c r="Y8" i="18"/>
  <c r="W8" i="18"/>
  <c r="U8" i="18"/>
  <c r="S8" i="18"/>
  <c r="Q8" i="18"/>
  <c r="AE8" i="18" s="1"/>
  <c r="M8" i="18"/>
  <c r="I8" i="18"/>
  <c r="O7" i="18"/>
  <c r="AE6" i="18"/>
  <c r="AC6" i="18"/>
  <c r="AA6" i="18"/>
  <c r="Y6" i="18"/>
  <c r="W6" i="18"/>
  <c r="U6" i="18"/>
  <c r="S6" i="18"/>
  <c r="Q6" i="18"/>
  <c r="M6" i="18"/>
  <c r="M16" i="18" s="1"/>
  <c r="I6" i="18"/>
  <c r="C3" i="18"/>
  <c r="AE65" i="17"/>
  <c r="AC65" i="17"/>
  <c r="AA65" i="17"/>
  <c r="Y65" i="17"/>
  <c r="W65" i="17"/>
  <c r="U65" i="17"/>
  <c r="S65" i="17"/>
  <c r="AE64" i="17"/>
  <c r="AC64" i="17"/>
  <c r="AA64" i="17"/>
  <c r="Y64" i="17"/>
  <c r="W64" i="17"/>
  <c r="U64" i="17"/>
  <c r="S64" i="17"/>
  <c r="AE63" i="17"/>
  <c r="AC63" i="17"/>
  <c r="AA63" i="17"/>
  <c r="Y63" i="17"/>
  <c r="W63" i="17"/>
  <c r="U63" i="17"/>
  <c r="S63" i="17"/>
  <c r="AE62" i="17"/>
  <c r="AC62" i="17"/>
  <c r="AA62" i="17"/>
  <c r="Y62" i="17"/>
  <c r="W62" i="17"/>
  <c r="U62" i="17"/>
  <c r="S62" i="17"/>
  <c r="AE61" i="17"/>
  <c r="AC61" i="17"/>
  <c r="AA61" i="17"/>
  <c r="Y61" i="17"/>
  <c r="W61" i="17"/>
  <c r="U61" i="17"/>
  <c r="S61" i="17"/>
  <c r="AE60" i="17"/>
  <c r="AC60" i="17"/>
  <c r="AA60" i="17"/>
  <c r="Y60" i="17"/>
  <c r="W60" i="17"/>
  <c r="U60" i="17"/>
  <c r="S60" i="17"/>
  <c r="AE59" i="17"/>
  <c r="AC59" i="17"/>
  <c r="AA59" i="17"/>
  <c r="Y59" i="17"/>
  <c r="W59" i="17"/>
  <c r="U59" i="17"/>
  <c r="S59" i="17"/>
  <c r="AE58" i="17"/>
  <c r="AC58" i="17"/>
  <c r="AA58" i="17"/>
  <c r="Y58" i="17"/>
  <c r="W58" i="17"/>
  <c r="U58" i="17"/>
  <c r="S58" i="17"/>
  <c r="AE57" i="17"/>
  <c r="AC57" i="17"/>
  <c r="AA57" i="17"/>
  <c r="Y57" i="17"/>
  <c r="W57" i="17"/>
  <c r="U57" i="17"/>
  <c r="S57" i="17"/>
  <c r="AE56" i="17"/>
  <c r="AC56" i="17"/>
  <c r="AA56" i="17"/>
  <c r="Y56" i="17"/>
  <c r="W56" i="17"/>
  <c r="U56" i="17"/>
  <c r="S56" i="17"/>
  <c r="AE55" i="17"/>
  <c r="AC55" i="17"/>
  <c r="AA55" i="17"/>
  <c r="Y55" i="17"/>
  <c r="W55" i="17"/>
  <c r="U55" i="17"/>
  <c r="S55" i="17"/>
  <c r="AE54" i="17"/>
  <c r="AC54" i="17"/>
  <c r="AA54" i="17"/>
  <c r="Y54" i="17"/>
  <c r="W54" i="17"/>
  <c r="U54" i="17"/>
  <c r="S54" i="17"/>
  <c r="AE53" i="17"/>
  <c r="AC53" i="17"/>
  <c r="AA53" i="17"/>
  <c r="Y53" i="17"/>
  <c r="W53" i="17"/>
  <c r="U53" i="17"/>
  <c r="S53" i="17"/>
  <c r="AE52" i="17"/>
  <c r="AC52" i="17"/>
  <c r="AA52" i="17"/>
  <c r="Y52" i="17"/>
  <c r="W52" i="17"/>
  <c r="U52" i="17"/>
  <c r="S52" i="17"/>
  <c r="AE51" i="17"/>
  <c r="AC51" i="17"/>
  <c r="AA51" i="17"/>
  <c r="Y51" i="17"/>
  <c r="W51" i="17"/>
  <c r="U51" i="17"/>
  <c r="S51" i="17"/>
  <c r="AE50" i="17"/>
  <c r="AC50" i="17"/>
  <c r="AA50" i="17"/>
  <c r="Y50" i="17"/>
  <c r="W50" i="17"/>
  <c r="U50" i="17"/>
  <c r="S50" i="17"/>
  <c r="AE49" i="17"/>
  <c r="AC49" i="17"/>
  <c r="AA49" i="17"/>
  <c r="Y49" i="17"/>
  <c r="W49" i="17"/>
  <c r="U49" i="17"/>
  <c r="S49" i="17"/>
  <c r="AE48" i="17"/>
  <c r="AC48" i="17"/>
  <c r="AA48" i="17"/>
  <c r="Y48" i="17"/>
  <c r="W48" i="17"/>
  <c r="U48" i="17"/>
  <c r="S48" i="17"/>
  <c r="AE47" i="17"/>
  <c r="AC47" i="17"/>
  <c r="AA47" i="17"/>
  <c r="Y47" i="17"/>
  <c r="W47" i="17"/>
  <c r="U47" i="17"/>
  <c r="S47" i="17"/>
  <c r="AE46" i="17"/>
  <c r="AC46" i="17"/>
  <c r="AA46" i="17"/>
  <c r="Y46" i="17"/>
  <c r="W46" i="17"/>
  <c r="U46" i="17"/>
  <c r="S46" i="17"/>
  <c r="AE45" i="17"/>
  <c r="AC45" i="17"/>
  <c r="AA45" i="17"/>
  <c r="Y45" i="17"/>
  <c r="W45" i="17"/>
  <c r="U45" i="17"/>
  <c r="S45" i="17"/>
  <c r="AE44" i="17"/>
  <c r="AC44" i="17"/>
  <c r="AA44" i="17"/>
  <c r="Y44" i="17"/>
  <c r="W44" i="17"/>
  <c r="U44" i="17"/>
  <c r="S44" i="17"/>
  <c r="AE43" i="17"/>
  <c r="AC43" i="17"/>
  <c r="AA43" i="17"/>
  <c r="Y43" i="17"/>
  <c r="W43" i="17"/>
  <c r="U43" i="17"/>
  <c r="S43" i="17"/>
  <c r="AE42" i="17"/>
  <c r="AC42" i="17"/>
  <c r="AA42" i="17"/>
  <c r="Y42" i="17"/>
  <c r="W42" i="17"/>
  <c r="U42" i="17"/>
  <c r="S42" i="17"/>
  <c r="AE41" i="17"/>
  <c r="AC41" i="17"/>
  <c r="AA41" i="17"/>
  <c r="Y41" i="17"/>
  <c r="W41" i="17"/>
  <c r="U41" i="17"/>
  <c r="S41" i="17"/>
  <c r="AE40" i="17"/>
  <c r="AC40" i="17"/>
  <c r="AA40" i="17"/>
  <c r="Y40" i="17"/>
  <c r="W40" i="17"/>
  <c r="U40" i="17"/>
  <c r="S40" i="17"/>
  <c r="AE39" i="17"/>
  <c r="AC39" i="17"/>
  <c r="AA39" i="17"/>
  <c r="Y39" i="17"/>
  <c r="W39" i="17"/>
  <c r="U39" i="17"/>
  <c r="S39" i="17"/>
  <c r="AE38" i="17"/>
  <c r="AC38" i="17"/>
  <c r="AA38" i="17"/>
  <c r="Y38" i="17"/>
  <c r="W38" i="17"/>
  <c r="U38" i="17"/>
  <c r="S38" i="17"/>
  <c r="AE37" i="17"/>
  <c r="AC37" i="17"/>
  <c r="AA37" i="17"/>
  <c r="Y37" i="17"/>
  <c r="W37" i="17"/>
  <c r="U37" i="17"/>
  <c r="S37" i="17"/>
  <c r="AE36" i="17"/>
  <c r="AC36" i="17"/>
  <c r="AA36" i="17"/>
  <c r="Y36" i="17"/>
  <c r="W36" i="17"/>
  <c r="U36" i="17"/>
  <c r="S36" i="17"/>
  <c r="D35" i="17"/>
  <c r="E35" i="17" s="1"/>
  <c r="D34" i="17"/>
  <c r="E34" i="17" s="1"/>
  <c r="D33" i="17"/>
  <c r="E33" i="17" s="1"/>
  <c r="E32" i="17"/>
  <c r="D32" i="17"/>
  <c r="D31" i="17"/>
  <c r="E31" i="17" s="1"/>
  <c r="D30" i="17"/>
  <c r="E30" i="17" s="1"/>
  <c r="D29" i="17"/>
  <c r="E29" i="17" s="1"/>
  <c r="AD25" i="17"/>
  <c r="Z24" i="17"/>
  <c r="AD17" i="17"/>
  <c r="AB17" i="17"/>
  <c r="AB25" i="17" s="1"/>
  <c r="Z17" i="17"/>
  <c r="Z25" i="17" s="1"/>
  <c r="X17" i="17"/>
  <c r="X25" i="17" s="1"/>
  <c r="V17" i="17"/>
  <c r="V25" i="17" s="1"/>
  <c r="T17" i="17"/>
  <c r="T25" i="17" s="1"/>
  <c r="R17" i="17"/>
  <c r="R25" i="17" s="1"/>
  <c r="O17" i="17"/>
  <c r="AD16" i="17"/>
  <c r="AB16" i="17"/>
  <c r="Z16" i="17"/>
  <c r="X16" i="17"/>
  <c r="V16" i="17"/>
  <c r="V24" i="17" s="1"/>
  <c r="T16" i="17"/>
  <c r="R16" i="17"/>
  <c r="R24" i="17" s="1"/>
  <c r="P16" i="17"/>
  <c r="O16" i="17"/>
  <c r="N16" i="17"/>
  <c r="L16" i="17"/>
  <c r="K16" i="17"/>
  <c r="J16" i="17"/>
  <c r="H16" i="17"/>
  <c r="G16" i="17"/>
  <c r="F16" i="17"/>
  <c r="O15" i="17"/>
  <c r="W14" i="17"/>
  <c r="Q14" i="17"/>
  <c r="M14" i="17"/>
  <c r="I14" i="17"/>
  <c r="O13" i="17"/>
  <c r="W12" i="17"/>
  <c r="S12" i="17"/>
  <c r="Q12" i="17"/>
  <c r="AE12" i="17" s="1"/>
  <c r="M12" i="17"/>
  <c r="I12" i="17"/>
  <c r="O11" i="17"/>
  <c r="AC10" i="17"/>
  <c r="AA10" i="17"/>
  <c r="Y10" i="17"/>
  <c r="W10" i="17"/>
  <c r="Q10" i="17"/>
  <c r="U10" i="17" s="1"/>
  <c r="M10" i="17"/>
  <c r="I10" i="17"/>
  <c r="O9" i="17"/>
  <c r="AE8" i="17"/>
  <c r="Y8" i="17"/>
  <c r="Q8" i="17"/>
  <c r="AA8" i="17" s="1"/>
  <c r="M8" i="17"/>
  <c r="I8" i="17"/>
  <c r="O7" i="17"/>
  <c r="AE6" i="17"/>
  <c r="AA6" i="17"/>
  <c r="Y6" i="17"/>
  <c r="W6" i="17"/>
  <c r="Q6" i="17"/>
  <c r="M6" i="17"/>
  <c r="I6" i="17"/>
  <c r="C3" i="17"/>
  <c r="AE65" i="16"/>
  <c r="AC65" i="16"/>
  <c r="AA65" i="16"/>
  <c r="Y65" i="16"/>
  <c r="W65" i="16"/>
  <c r="U65" i="16"/>
  <c r="S65" i="16"/>
  <c r="AE64" i="16"/>
  <c r="AC64" i="16"/>
  <c r="AA64" i="16"/>
  <c r="Y64" i="16"/>
  <c r="W64" i="16"/>
  <c r="U64" i="16"/>
  <c r="S64" i="16"/>
  <c r="AE63" i="16"/>
  <c r="AC63" i="16"/>
  <c r="AA63" i="16"/>
  <c r="Y63" i="16"/>
  <c r="W63" i="16"/>
  <c r="U63" i="16"/>
  <c r="S63" i="16"/>
  <c r="AE62" i="16"/>
  <c r="AC62" i="16"/>
  <c r="AA62" i="16"/>
  <c r="Y62" i="16"/>
  <c r="W62" i="16"/>
  <c r="U62" i="16"/>
  <c r="S62" i="16"/>
  <c r="AE61" i="16"/>
  <c r="AC61" i="16"/>
  <c r="AA61" i="16"/>
  <c r="Y61" i="16"/>
  <c r="W61" i="16"/>
  <c r="U61" i="16"/>
  <c r="S61" i="16"/>
  <c r="AE60" i="16"/>
  <c r="AC60" i="16"/>
  <c r="AA60" i="16"/>
  <c r="Y60" i="16"/>
  <c r="W60" i="16"/>
  <c r="U60" i="16"/>
  <c r="S60" i="16"/>
  <c r="AE59" i="16"/>
  <c r="AC59" i="16"/>
  <c r="AA59" i="16"/>
  <c r="Y59" i="16"/>
  <c r="W59" i="16"/>
  <c r="U59" i="16"/>
  <c r="S59" i="16"/>
  <c r="AE58" i="16"/>
  <c r="AC58" i="16"/>
  <c r="AA58" i="16"/>
  <c r="Y58" i="16"/>
  <c r="W58" i="16"/>
  <c r="U58" i="16"/>
  <c r="S58" i="16"/>
  <c r="AE57" i="16"/>
  <c r="AC57" i="16"/>
  <c r="AA57" i="16"/>
  <c r="Y57" i="16"/>
  <c r="W57" i="16"/>
  <c r="U57" i="16"/>
  <c r="S57" i="16"/>
  <c r="AE56" i="16"/>
  <c r="AC56" i="16"/>
  <c r="AA56" i="16"/>
  <c r="Y56" i="16"/>
  <c r="W56" i="16"/>
  <c r="U56" i="16"/>
  <c r="S56" i="16"/>
  <c r="AE55" i="16"/>
  <c r="AC55" i="16"/>
  <c r="AA55" i="16"/>
  <c r="Y55" i="16"/>
  <c r="W55" i="16"/>
  <c r="U55" i="16"/>
  <c r="S55" i="16"/>
  <c r="AE54" i="16"/>
  <c r="AC54" i="16"/>
  <c r="AA54" i="16"/>
  <c r="Y54" i="16"/>
  <c r="W54" i="16"/>
  <c r="U54" i="16"/>
  <c r="S54" i="16"/>
  <c r="AE53" i="16"/>
  <c r="AC53" i="16"/>
  <c r="AA53" i="16"/>
  <c r="Y53" i="16"/>
  <c r="W53" i="16"/>
  <c r="U53" i="16"/>
  <c r="S53" i="16"/>
  <c r="AE52" i="16"/>
  <c r="AC52" i="16"/>
  <c r="AA52" i="16"/>
  <c r="Y52" i="16"/>
  <c r="W52" i="16"/>
  <c r="U52" i="16"/>
  <c r="S52" i="16"/>
  <c r="AE51" i="16"/>
  <c r="AC51" i="16"/>
  <c r="AA51" i="16"/>
  <c r="Y51" i="16"/>
  <c r="W51" i="16"/>
  <c r="U51" i="16"/>
  <c r="S51" i="16"/>
  <c r="AE50" i="16"/>
  <c r="AC50" i="16"/>
  <c r="AA50" i="16"/>
  <c r="Y50" i="16"/>
  <c r="W50" i="16"/>
  <c r="U50" i="16"/>
  <c r="S50" i="16"/>
  <c r="AE49" i="16"/>
  <c r="AC49" i="16"/>
  <c r="AA49" i="16"/>
  <c r="Y49" i="16"/>
  <c r="W49" i="16"/>
  <c r="U49" i="16"/>
  <c r="S49" i="16"/>
  <c r="AE48" i="16"/>
  <c r="AC48" i="16"/>
  <c r="AA48" i="16"/>
  <c r="Y48" i="16"/>
  <c r="W48" i="16"/>
  <c r="U48" i="16"/>
  <c r="S48" i="16"/>
  <c r="AE47" i="16"/>
  <c r="AC47" i="16"/>
  <c r="AA47" i="16"/>
  <c r="Y47" i="16"/>
  <c r="W47" i="16"/>
  <c r="U47" i="16"/>
  <c r="S47" i="16"/>
  <c r="AE46" i="16"/>
  <c r="AC46" i="16"/>
  <c r="AA46" i="16"/>
  <c r="Y46" i="16"/>
  <c r="W46" i="16"/>
  <c r="U46" i="16"/>
  <c r="S46" i="16"/>
  <c r="AE45" i="16"/>
  <c r="AC45" i="16"/>
  <c r="AA45" i="16"/>
  <c r="Y45" i="16"/>
  <c r="W45" i="16"/>
  <c r="U45" i="16"/>
  <c r="S45" i="16"/>
  <c r="AE44" i="16"/>
  <c r="AC44" i="16"/>
  <c r="AA44" i="16"/>
  <c r="Y44" i="16"/>
  <c r="W44" i="16"/>
  <c r="U44" i="16"/>
  <c r="S44" i="16"/>
  <c r="AE43" i="16"/>
  <c r="AC43" i="16"/>
  <c r="AA43" i="16"/>
  <c r="Y43" i="16"/>
  <c r="W43" i="16"/>
  <c r="U43" i="16"/>
  <c r="S43" i="16"/>
  <c r="AE42" i="16"/>
  <c r="AC42" i="16"/>
  <c r="AA42" i="16"/>
  <c r="Y42" i="16"/>
  <c r="W42" i="16"/>
  <c r="U42" i="16"/>
  <c r="S42" i="16"/>
  <c r="AE41" i="16"/>
  <c r="AC41" i="16"/>
  <c r="AA41" i="16"/>
  <c r="Y41" i="16"/>
  <c r="W41" i="16"/>
  <c r="U41" i="16"/>
  <c r="S41" i="16"/>
  <c r="AE40" i="16"/>
  <c r="AC40" i="16"/>
  <c r="AA40" i="16"/>
  <c r="Y40" i="16"/>
  <c r="W40" i="16"/>
  <c r="U40" i="16"/>
  <c r="S40" i="16"/>
  <c r="AE39" i="16"/>
  <c r="AC39" i="16"/>
  <c r="AA39" i="16"/>
  <c r="Y39" i="16"/>
  <c r="W39" i="16"/>
  <c r="U39" i="16"/>
  <c r="S39" i="16"/>
  <c r="AE38" i="16"/>
  <c r="AC38" i="16"/>
  <c r="AA38" i="16"/>
  <c r="Y38" i="16"/>
  <c r="W38" i="16"/>
  <c r="U38" i="16"/>
  <c r="S38" i="16"/>
  <c r="AE37" i="16"/>
  <c r="AC37" i="16"/>
  <c r="AA37" i="16"/>
  <c r="Y37" i="16"/>
  <c r="W37" i="16"/>
  <c r="U37" i="16"/>
  <c r="S37" i="16"/>
  <c r="AE36" i="16"/>
  <c r="AC36" i="16"/>
  <c r="AA36" i="16"/>
  <c r="Y36" i="16"/>
  <c r="W36" i="16"/>
  <c r="U36" i="16"/>
  <c r="S36" i="16"/>
  <c r="D35" i="16"/>
  <c r="E35" i="16" s="1"/>
  <c r="D34" i="16"/>
  <c r="E34" i="16" s="1"/>
  <c r="D33" i="16"/>
  <c r="E33" i="16" s="1"/>
  <c r="D32" i="16"/>
  <c r="E32" i="16" s="1"/>
  <c r="D31" i="16"/>
  <c r="E31" i="16" s="1"/>
  <c r="D30" i="16"/>
  <c r="E30" i="16" s="1"/>
  <c r="D29" i="16"/>
  <c r="E29" i="16" s="1"/>
  <c r="X24" i="16"/>
  <c r="AD17" i="16"/>
  <c r="AD25" i="16" s="1"/>
  <c r="AB17" i="16"/>
  <c r="AB25" i="16" s="1"/>
  <c r="Z17" i="16"/>
  <c r="Z25" i="16" s="1"/>
  <c r="X17" i="16"/>
  <c r="X25" i="16" s="1"/>
  <c r="V17" i="16"/>
  <c r="V25" i="16" s="1"/>
  <c r="T17" i="16"/>
  <c r="T25" i="16" s="1"/>
  <c r="R17" i="16"/>
  <c r="R25" i="16" s="1"/>
  <c r="AD16" i="16"/>
  <c r="AB16" i="16"/>
  <c r="AB18" i="16" s="1"/>
  <c r="AB26" i="16" s="1"/>
  <c r="Z16" i="16"/>
  <c r="X16" i="16"/>
  <c r="X18" i="16" s="1"/>
  <c r="X26" i="16" s="1"/>
  <c r="V16" i="16"/>
  <c r="V24" i="16" s="1"/>
  <c r="T16" i="16"/>
  <c r="R16" i="16"/>
  <c r="R24" i="16" s="1"/>
  <c r="P16" i="16"/>
  <c r="O16" i="16"/>
  <c r="N16" i="16"/>
  <c r="L16" i="16"/>
  <c r="K16" i="16"/>
  <c r="J16" i="16"/>
  <c r="H16" i="16"/>
  <c r="G16" i="16"/>
  <c r="F16" i="16"/>
  <c r="O15" i="16"/>
  <c r="W14" i="16"/>
  <c r="S14" i="16"/>
  <c r="Q14" i="16"/>
  <c r="AE14" i="16" s="1"/>
  <c r="M14" i="16"/>
  <c r="I14" i="16"/>
  <c r="O13" i="16"/>
  <c r="Y12" i="16"/>
  <c r="Q12" i="16"/>
  <c r="AA12" i="16" s="1"/>
  <c r="M12" i="16"/>
  <c r="I12" i="16"/>
  <c r="O11" i="16"/>
  <c r="W10" i="16"/>
  <c r="S10" i="16"/>
  <c r="Q10" i="16"/>
  <c r="AC10" i="16" s="1"/>
  <c r="M10" i="16"/>
  <c r="I10" i="16"/>
  <c r="O9" i="16"/>
  <c r="AA8" i="16"/>
  <c r="Q8" i="16"/>
  <c r="M8" i="16"/>
  <c r="I8" i="16"/>
  <c r="O7" i="16"/>
  <c r="Q6" i="16"/>
  <c r="M6" i="16"/>
  <c r="I6" i="16"/>
  <c r="I16" i="16" s="1"/>
  <c r="C3" i="16"/>
  <c r="AE65" i="15"/>
  <c r="AC65" i="15"/>
  <c r="AA65" i="15"/>
  <c r="Y65" i="15"/>
  <c r="W65" i="15"/>
  <c r="U65" i="15"/>
  <c r="S65" i="15"/>
  <c r="AE64" i="15"/>
  <c r="AC64" i="15"/>
  <c r="AA64" i="15"/>
  <c r="Y64" i="15"/>
  <c r="W64" i="15"/>
  <c r="U64" i="15"/>
  <c r="S64" i="15"/>
  <c r="AE63" i="15"/>
  <c r="AC63" i="15"/>
  <c r="AA63" i="15"/>
  <c r="Y63" i="15"/>
  <c r="W63" i="15"/>
  <c r="U63" i="15"/>
  <c r="S63" i="15"/>
  <c r="AE62" i="15"/>
  <c r="AC62" i="15"/>
  <c r="AA62" i="15"/>
  <c r="Y62" i="15"/>
  <c r="W62" i="15"/>
  <c r="U62" i="15"/>
  <c r="S62" i="15"/>
  <c r="AE61" i="15"/>
  <c r="AC61" i="15"/>
  <c r="AA61" i="15"/>
  <c r="Y61" i="15"/>
  <c r="W61" i="15"/>
  <c r="U61" i="15"/>
  <c r="S61" i="15"/>
  <c r="AE60" i="15"/>
  <c r="AC60" i="15"/>
  <c r="AA60" i="15"/>
  <c r="Y60" i="15"/>
  <c r="W60" i="15"/>
  <c r="U60" i="15"/>
  <c r="S60" i="15"/>
  <c r="AE59" i="15"/>
  <c r="AC59" i="15"/>
  <c r="AA59" i="15"/>
  <c r="Y59" i="15"/>
  <c r="W59" i="15"/>
  <c r="U59" i="15"/>
  <c r="S59" i="15"/>
  <c r="AE58" i="15"/>
  <c r="AC58" i="15"/>
  <c r="AA58" i="15"/>
  <c r="Y58" i="15"/>
  <c r="W58" i="15"/>
  <c r="U58" i="15"/>
  <c r="S58" i="15"/>
  <c r="AE57" i="15"/>
  <c r="AC57" i="15"/>
  <c r="AA57" i="15"/>
  <c r="Y57" i="15"/>
  <c r="W57" i="15"/>
  <c r="U57" i="15"/>
  <c r="S57" i="15"/>
  <c r="AE56" i="15"/>
  <c r="AC56" i="15"/>
  <c r="AA56" i="15"/>
  <c r="Y56" i="15"/>
  <c r="W56" i="15"/>
  <c r="U56" i="15"/>
  <c r="S56" i="15"/>
  <c r="AE55" i="15"/>
  <c r="AC55" i="15"/>
  <c r="AA55" i="15"/>
  <c r="Y55" i="15"/>
  <c r="W55" i="15"/>
  <c r="U55" i="15"/>
  <c r="S55" i="15"/>
  <c r="AE54" i="15"/>
  <c r="AC54" i="15"/>
  <c r="AA54" i="15"/>
  <c r="Y54" i="15"/>
  <c r="W54" i="15"/>
  <c r="U54" i="15"/>
  <c r="S54" i="15"/>
  <c r="AE53" i="15"/>
  <c r="AC53" i="15"/>
  <c r="AA53" i="15"/>
  <c r="Y53" i="15"/>
  <c r="W53" i="15"/>
  <c r="U53" i="15"/>
  <c r="S53" i="15"/>
  <c r="AE52" i="15"/>
  <c r="AC52" i="15"/>
  <c r="AA52" i="15"/>
  <c r="Y52" i="15"/>
  <c r="W52" i="15"/>
  <c r="U52" i="15"/>
  <c r="S52" i="15"/>
  <c r="AE51" i="15"/>
  <c r="AC51" i="15"/>
  <c r="AA51" i="15"/>
  <c r="Y51" i="15"/>
  <c r="W51" i="15"/>
  <c r="U51" i="15"/>
  <c r="S51" i="15"/>
  <c r="AE50" i="15"/>
  <c r="AC50" i="15"/>
  <c r="AA50" i="15"/>
  <c r="Y50" i="15"/>
  <c r="W50" i="15"/>
  <c r="U50" i="15"/>
  <c r="S50" i="15"/>
  <c r="AE49" i="15"/>
  <c r="AC49" i="15"/>
  <c r="AA49" i="15"/>
  <c r="Y49" i="15"/>
  <c r="W49" i="15"/>
  <c r="U49" i="15"/>
  <c r="S49" i="15"/>
  <c r="AE48" i="15"/>
  <c r="AC48" i="15"/>
  <c r="AA48" i="15"/>
  <c r="Y48" i="15"/>
  <c r="W48" i="15"/>
  <c r="U48" i="15"/>
  <c r="S48" i="15"/>
  <c r="AE47" i="15"/>
  <c r="AC47" i="15"/>
  <c r="AA47" i="15"/>
  <c r="Y47" i="15"/>
  <c r="W47" i="15"/>
  <c r="U47" i="15"/>
  <c r="S47" i="15"/>
  <c r="AE46" i="15"/>
  <c r="AC46" i="15"/>
  <c r="AA46" i="15"/>
  <c r="Y46" i="15"/>
  <c r="W46" i="15"/>
  <c r="U46" i="15"/>
  <c r="S46" i="15"/>
  <c r="AE45" i="15"/>
  <c r="AC45" i="15"/>
  <c r="AA45" i="15"/>
  <c r="Y45" i="15"/>
  <c r="W45" i="15"/>
  <c r="U45" i="15"/>
  <c r="S45" i="15"/>
  <c r="AE44" i="15"/>
  <c r="AC44" i="15"/>
  <c r="AA44" i="15"/>
  <c r="Y44" i="15"/>
  <c r="W44" i="15"/>
  <c r="U44" i="15"/>
  <c r="S44" i="15"/>
  <c r="AE43" i="15"/>
  <c r="AC43" i="15"/>
  <c r="AA43" i="15"/>
  <c r="Y43" i="15"/>
  <c r="W43" i="15"/>
  <c r="U43" i="15"/>
  <c r="S43" i="15"/>
  <c r="AE42" i="15"/>
  <c r="AC42" i="15"/>
  <c r="AA42" i="15"/>
  <c r="Y42" i="15"/>
  <c r="W42" i="15"/>
  <c r="U42" i="15"/>
  <c r="S42" i="15"/>
  <c r="AE41" i="15"/>
  <c r="AC41" i="15"/>
  <c r="AA41" i="15"/>
  <c r="Y41" i="15"/>
  <c r="W41" i="15"/>
  <c r="U41" i="15"/>
  <c r="S41" i="15"/>
  <c r="AE40" i="15"/>
  <c r="AC40" i="15"/>
  <c r="AA40" i="15"/>
  <c r="Y40" i="15"/>
  <c r="W40" i="15"/>
  <c r="U40" i="15"/>
  <c r="S40" i="15"/>
  <c r="AE39" i="15"/>
  <c r="AC39" i="15"/>
  <c r="AA39" i="15"/>
  <c r="Y39" i="15"/>
  <c r="W39" i="15"/>
  <c r="U39" i="15"/>
  <c r="S39" i="15"/>
  <c r="AE38" i="15"/>
  <c r="AC38" i="15"/>
  <c r="AA38" i="15"/>
  <c r="Y38" i="15"/>
  <c r="W38" i="15"/>
  <c r="U38" i="15"/>
  <c r="S38" i="15"/>
  <c r="AE37" i="15"/>
  <c r="AC37" i="15"/>
  <c r="AA37" i="15"/>
  <c r="Y37" i="15"/>
  <c r="W37" i="15"/>
  <c r="U37" i="15"/>
  <c r="S37" i="15"/>
  <c r="AE36" i="15"/>
  <c r="AC36" i="15"/>
  <c r="AA36" i="15"/>
  <c r="Y36" i="15"/>
  <c r="W36" i="15"/>
  <c r="U36" i="15"/>
  <c r="S36" i="15"/>
  <c r="D35" i="15"/>
  <c r="E35" i="15" s="1"/>
  <c r="D34" i="15"/>
  <c r="E34" i="15" s="1"/>
  <c r="D33" i="15"/>
  <c r="E33" i="15" s="1"/>
  <c r="D32" i="15"/>
  <c r="E32" i="15" s="1"/>
  <c r="D31" i="15"/>
  <c r="E31" i="15" s="1"/>
  <c r="E30" i="15"/>
  <c r="D30" i="15"/>
  <c r="D29" i="15"/>
  <c r="E29" i="15" s="1"/>
  <c r="V25" i="15"/>
  <c r="R18" i="15"/>
  <c r="R26" i="15" s="1"/>
  <c r="AD17" i="15"/>
  <c r="AD25" i="15" s="1"/>
  <c r="AB17" i="15"/>
  <c r="AB25" i="15" s="1"/>
  <c r="Z17" i="15"/>
  <c r="Z25" i="15" s="1"/>
  <c r="X17" i="15"/>
  <c r="X25" i="15" s="1"/>
  <c r="V17" i="15"/>
  <c r="T17" i="15"/>
  <c r="T25" i="15" s="1"/>
  <c r="R17" i="15"/>
  <c r="R25" i="15" s="1"/>
  <c r="AD16" i="15"/>
  <c r="AD24" i="15" s="1"/>
  <c r="AB16" i="15"/>
  <c r="AB18" i="15" s="1"/>
  <c r="AB26" i="15" s="1"/>
  <c r="Z16" i="15"/>
  <c r="Z24" i="15" s="1"/>
  <c r="X16" i="15"/>
  <c r="Z18" i="15" s="1"/>
  <c r="Z26" i="15" s="1"/>
  <c r="V16" i="15"/>
  <c r="V18" i="15" s="1"/>
  <c r="V26" i="15" s="1"/>
  <c r="T16" i="15"/>
  <c r="R16" i="15"/>
  <c r="R24" i="15" s="1"/>
  <c r="P16" i="15"/>
  <c r="O16" i="15"/>
  <c r="N16" i="15"/>
  <c r="L16" i="15"/>
  <c r="K16" i="15"/>
  <c r="J16" i="15"/>
  <c r="H16" i="15"/>
  <c r="G16" i="15"/>
  <c r="F16" i="15"/>
  <c r="O15" i="15"/>
  <c r="AE14" i="15"/>
  <c r="W14" i="15"/>
  <c r="S14" i="15"/>
  <c r="Q14" i="15"/>
  <c r="AC14" i="15" s="1"/>
  <c r="M14" i="15"/>
  <c r="I14" i="15"/>
  <c r="O13" i="15"/>
  <c r="Q12" i="15"/>
  <c r="M12" i="15"/>
  <c r="I12" i="15"/>
  <c r="O11" i="15"/>
  <c r="Q10" i="15"/>
  <c r="M10" i="15"/>
  <c r="I10" i="15"/>
  <c r="O9" i="15"/>
  <c r="W8" i="15"/>
  <c r="Q8" i="15"/>
  <c r="S8" i="15" s="1"/>
  <c r="M8" i="15"/>
  <c r="I8" i="15"/>
  <c r="O7" i="15"/>
  <c r="S6" i="15"/>
  <c r="Q6" i="15"/>
  <c r="Y6" i="15" s="1"/>
  <c r="M6" i="15"/>
  <c r="I6" i="15"/>
  <c r="C3" i="15"/>
  <c r="AE65" i="14"/>
  <c r="AC65" i="14"/>
  <c r="AA65" i="14"/>
  <c r="Y65" i="14"/>
  <c r="W65" i="14"/>
  <c r="U65" i="14"/>
  <c r="S65" i="14"/>
  <c r="AE64" i="14"/>
  <c r="AC64" i="14"/>
  <c r="AA64" i="14"/>
  <c r="Y64" i="14"/>
  <c r="W64" i="14"/>
  <c r="U64" i="14"/>
  <c r="S64" i="14"/>
  <c r="AE63" i="14"/>
  <c r="AC63" i="14"/>
  <c r="AA63" i="14"/>
  <c r="Y63" i="14"/>
  <c r="W63" i="14"/>
  <c r="U63" i="14"/>
  <c r="S63" i="14"/>
  <c r="AE62" i="14"/>
  <c r="AC62" i="14"/>
  <c r="AA62" i="14"/>
  <c r="Y62" i="14"/>
  <c r="W62" i="14"/>
  <c r="U62" i="14"/>
  <c r="S62" i="14"/>
  <c r="AE61" i="14"/>
  <c r="AC61" i="14"/>
  <c r="AA61" i="14"/>
  <c r="Y61" i="14"/>
  <c r="W61" i="14"/>
  <c r="U61" i="14"/>
  <c r="S61" i="14"/>
  <c r="AE60" i="14"/>
  <c r="AC60" i="14"/>
  <c r="AA60" i="14"/>
  <c r="Y60" i="14"/>
  <c r="W60" i="14"/>
  <c r="U60" i="14"/>
  <c r="S60" i="14"/>
  <c r="AE59" i="14"/>
  <c r="AC59" i="14"/>
  <c r="AA59" i="14"/>
  <c r="Y59" i="14"/>
  <c r="W59" i="14"/>
  <c r="U59" i="14"/>
  <c r="S59" i="14"/>
  <c r="AE58" i="14"/>
  <c r="AC58" i="14"/>
  <c r="AA58" i="14"/>
  <c r="Y58" i="14"/>
  <c r="W58" i="14"/>
  <c r="U58" i="14"/>
  <c r="S58" i="14"/>
  <c r="AE57" i="14"/>
  <c r="AC57" i="14"/>
  <c r="AA57" i="14"/>
  <c r="Y57" i="14"/>
  <c r="W57" i="14"/>
  <c r="U57" i="14"/>
  <c r="S57" i="14"/>
  <c r="AE56" i="14"/>
  <c r="AC56" i="14"/>
  <c r="AA56" i="14"/>
  <c r="Y56" i="14"/>
  <c r="W56" i="14"/>
  <c r="U56" i="14"/>
  <c r="S56" i="14"/>
  <c r="AE55" i="14"/>
  <c r="AC55" i="14"/>
  <c r="AA55" i="14"/>
  <c r="Y55" i="14"/>
  <c r="W55" i="14"/>
  <c r="U55" i="14"/>
  <c r="S55" i="14"/>
  <c r="AE54" i="14"/>
  <c r="AC54" i="14"/>
  <c r="AA54" i="14"/>
  <c r="Y54" i="14"/>
  <c r="W54" i="14"/>
  <c r="U54" i="14"/>
  <c r="S54" i="14"/>
  <c r="AE53" i="14"/>
  <c r="AC53" i="14"/>
  <c r="AA53" i="14"/>
  <c r="Y53" i="14"/>
  <c r="W53" i="14"/>
  <c r="U53" i="14"/>
  <c r="S53" i="14"/>
  <c r="AE52" i="14"/>
  <c r="AC52" i="14"/>
  <c r="AA52" i="14"/>
  <c r="Y52" i="14"/>
  <c r="W52" i="14"/>
  <c r="U52" i="14"/>
  <c r="S52" i="14"/>
  <c r="AE51" i="14"/>
  <c r="AC51" i="14"/>
  <c r="AA51" i="14"/>
  <c r="Y51" i="14"/>
  <c r="W51" i="14"/>
  <c r="U51" i="14"/>
  <c r="S51" i="14"/>
  <c r="AE50" i="14"/>
  <c r="AC50" i="14"/>
  <c r="AA50" i="14"/>
  <c r="Y50" i="14"/>
  <c r="W50" i="14"/>
  <c r="U50" i="14"/>
  <c r="S50" i="14"/>
  <c r="AE49" i="14"/>
  <c r="AC49" i="14"/>
  <c r="AA49" i="14"/>
  <c r="Y49" i="14"/>
  <c r="W49" i="14"/>
  <c r="U49" i="14"/>
  <c r="S49" i="14"/>
  <c r="AE48" i="14"/>
  <c r="AC48" i="14"/>
  <c r="AA48" i="14"/>
  <c r="Y48" i="14"/>
  <c r="W48" i="14"/>
  <c r="U48" i="14"/>
  <c r="S48" i="14"/>
  <c r="AE47" i="14"/>
  <c r="AC47" i="14"/>
  <c r="AA47" i="14"/>
  <c r="Y47" i="14"/>
  <c r="W47" i="14"/>
  <c r="U47" i="14"/>
  <c r="S47" i="14"/>
  <c r="AE46" i="14"/>
  <c r="AC46" i="14"/>
  <c r="AA46" i="14"/>
  <c r="Y46" i="14"/>
  <c r="W46" i="14"/>
  <c r="U46" i="14"/>
  <c r="S46" i="14"/>
  <c r="AE45" i="14"/>
  <c r="AC45" i="14"/>
  <c r="AA45" i="14"/>
  <c r="Y45" i="14"/>
  <c r="W45" i="14"/>
  <c r="U45" i="14"/>
  <c r="S45" i="14"/>
  <c r="AE44" i="14"/>
  <c r="AC44" i="14"/>
  <c r="AA44" i="14"/>
  <c r="Y44" i="14"/>
  <c r="W44" i="14"/>
  <c r="U44" i="14"/>
  <c r="S44" i="14"/>
  <c r="AE43" i="14"/>
  <c r="AC43" i="14"/>
  <c r="AA43" i="14"/>
  <c r="Y43" i="14"/>
  <c r="W43" i="14"/>
  <c r="U43" i="14"/>
  <c r="S43" i="14"/>
  <c r="AE42" i="14"/>
  <c r="AC42" i="14"/>
  <c r="AA42" i="14"/>
  <c r="Y42" i="14"/>
  <c r="W42" i="14"/>
  <c r="U42" i="14"/>
  <c r="S42" i="14"/>
  <c r="AE41" i="14"/>
  <c r="AC41" i="14"/>
  <c r="AA41" i="14"/>
  <c r="Y41" i="14"/>
  <c r="W41" i="14"/>
  <c r="U41" i="14"/>
  <c r="S41" i="14"/>
  <c r="AE40" i="14"/>
  <c r="AC40" i="14"/>
  <c r="AA40" i="14"/>
  <c r="Y40" i="14"/>
  <c r="W40" i="14"/>
  <c r="U40" i="14"/>
  <c r="S40" i="14"/>
  <c r="AE39" i="14"/>
  <c r="AC39" i="14"/>
  <c r="AA39" i="14"/>
  <c r="Y39" i="14"/>
  <c r="W39" i="14"/>
  <c r="U39" i="14"/>
  <c r="S39" i="14"/>
  <c r="AE38" i="14"/>
  <c r="AC38" i="14"/>
  <c r="AA38" i="14"/>
  <c r="Y38" i="14"/>
  <c r="W38" i="14"/>
  <c r="U38" i="14"/>
  <c r="S38" i="14"/>
  <c r="AE37" i="14"/>
  <c r="AC37" i="14"/>
  <c r="AA37" i="14"/>
  <c r="Y37" i="14"/>
  <c r="W37" i="14"/>
  <c r="U37" i="14"/>
  <c r="S37" i="14"/>
  <c r="AE36" i="14"/>
  <c r="AC36" i="14"/>
  <c r="AA36" i="14"/>
  <c r="Y36" i="14"/>
  <c r="W36" i="14"/>
  <c r="U36" i="14"/>
  <c r="S36" i="14"/>
  <c r="D35" i="14"/>
  <c r="E35" i="14" s="1"/>
  <c r="D34" i="14"/>
  <c r="E34" i="14" s="1"/>
  <c r="D33" i="14"/>
  <c r="E33" i="14" s="1"/>
  <c r="D32" i="14"/>
  <c r="E32" i="14" s="1"/>
  <c r="D31" i="14"/>
  <c r="E31" i="14" s="1"/>
  <c r="D30" i="14"/>
  <c r="E30" i="14" s="1"/>
  <c r="E29" i="14"/>
  <c r="D29" i="14"/>
  <c r="R25" i="14"/>
  <c r="AD24" i="14"/>
  <c r="AD17" i="14"/>
  <c r="AD25" i="14" s="1"/>
  <c r="AB17" i="14"/>
  <c r="AB25" i="14" s="1"/>
  <c r="Z17" i="14"/>
  <c r="Z25" i="14" s="1"/>
  <c r="X17" i="14"/>
  <c r="X25" i="14" s="1"/>
  <c r="V17" i="14"/>
  <c r="V25" i="14" s="1"/>
  <c r="T17" i="14"/>
  <c r="T25" i="14" s="1"/>
  <c r="R17" i="14"/>
  <c r="AD16" i="14"/>
  <c r="AB16" i="14"/>
  <c r="AB24" i="14" s="1"/>
  <c r="Z16" i="14"/>
  <c r="Z24" i="14" s="1"/>
  <c r="X16" i="14"/>
  <c r="V16" i="14"/>
  <c r="V24" i="14" s="1"/>
  <c r="U16" i="14"/>
  <c r="T16" i="14"/>
  <c r="T18" i="14" s="1"/>
  <c r="T26" i="14" s="1"/>
  <c r="R16" i="14"/>
  <c r="P16" i="14"/>
  <c r="O16" i="14"/>
  <c r="N16" i="14"/>
  <c r="L16" i="14"/>
  <c r="K16" i="14"/>
  <c r="J16" i="14"/>
  <c r="H16" i="14"/>
  <c r="G16" i="14"/>
  <c r="F16" i="14"/>
  <c r="O15" i="14"/>
  <c r="Y14" i="14"/>
  <c r="Q14" i="14"/>
  <c r="M14" i="14"/>
  <c r="I14" i="14"/>
  <c r="O13" i="14"/>
  <c r="Q12" i="14"/>
  <c r="S12" i="14" s="1"/>
  <c r="M12" i="14"/>
  <c r="I12" i="14"/>
  <c r="O11" i="14"/>
  <c r="AE10" i="14"/>
  <c r="AC10" i="14"/>
  <c r="W10" i="14"/>
  <c r="S10" i="14"/>
  <c r="Q10" i="14"/>
  <c r="Y10" i="14" s="1"/>
  <c r="M10" i="14"/>
  <c r="I10" i="14"/>
  <c r="O9" i="14"/>
  <c r="AC8" i="14"/>
  <c r="Q8" i="14"/>
  <c r="AE8" i="14" s="1"/>
  <c r="M8" i="14"/>
  <c r="I8" i="14"/>
  <c r="O7" i="14"/>
  <c r="AE6" i="14"/>
  <c r="AC6" i="14"/>
  <c r="S6" i="14"/>
  <c r="Q6" i="14"/>
  <c r="Q16" i="14" s="1"/>
  <c r="AC16" i="14" s="1"/>
  <c r="M6" i="14"/>
  <c r="M16" i="14" s="1"/>
  <c r="I6" i="14"/>
  <c r="C3" i="14"/>
  <c r="AE65" i="13"/>
  <c r="AC65" i="13"/>
  <c r="AA65" i="13"/>
  <c r="Y65" i="13"/>
  <c r="W65" i="13"/>
  <c r="U65" i="13"/>
  <c r="S65" i="13"/>
  <c r="AE64" i="13"/>
  <c r="AC64" i="13"/>
  <c r="AA64" i="13"/>
  <c r="Y64" i="13"/>
  <c r="W64" i="13"/>
  <c r="U64" i="13"/>
  <c r="S64" i="13"/>
  <c r="AE63" i="13"/>
  <c r="AC63" i="13"/>
  <c r="AA63" i="13"/>
  <c r="Y63" i="13"/>
  <c r="W63" i="13"/>
  <c r="U63" i="13"/>
  <c r="S63" i="13"/>
  <c r="AE62" i="13"/>
  <c r="AC62" i="13"/>
  <c r="AA62" i="13"/>
  <c r="Y62" i="13"/>
  <c r="W62" i="13"/>
  <c r="U62" i="13"/>
  <c r="S62" i="13"/>
  <c r="AE61" i="13"/>
  <c r="AC61" i="13"/>
  <c r="AA61" i="13"/>
  <c r="Y61" i="13"/>
  <c r="W61" i="13"/>
  <c r="U61" i="13"/>
  <c r="S61" i="13"/>
  <c r="AE60" i="13"/>
  <c r="AC60" i="13"/>
  <c r="AA60" i="13"/>
  <c r="Y60" i="13"/>
  <c r="W60" i="13"/>
  <c r="U60" i="13"/>
  <c r="S60" i="13"/>
  <c r="AE59" i="13"/>
  <c r="AC59" i="13"/>
  <c r="AA59" i="13"/>
  <c r="Y59" i="13"/>
  <c r="W59" i="13"/>
  <c r="U59" i="13"/>
  <c r="S59" i="13"/>
  <c r="AE58" i="13"/>
  <c r="AC58" i="13"/>
  <c r="AA58" i="13"/>
  <c r="Y58" i="13"/>
  <c r="W58" i="13"/>
  <c r="U58" i="13"/>
  <c r="S58" i="13"/>
  <c r="AE57" i="13"/>
  <c r="AC57" i="13"/>
  <c r="AA57" i="13"/>
  <c r="Y57" i="13"/>
  <c r="W57" i="13"/>
  <c r="U57" i="13"/>
  <c r="S57" i="13"/>
  <c r="AE56" i="13"/>
  <c r="AC56" i="13"/>
  <c r="AA56" i="13"/>
  <c r="Y56" i="13"/>
  <c r="W56" i="13"/>
  <c r="U56" i="13"/>
  <c r="S56" i="13"/>
  <c r="AE55" i="13"/>
  <c r="AC55" i="13"/>
  <c r="AA55" i="13"/>
  <c r="Y55" i="13"/>
  <c r="W55" i="13"/>
  <c r="U55" i="13"/>
  <c r="S55" i="13"/>
  <c r="AE54" i="13"/>
  <c r="AC54" i="13"/>
  <c r="AA54" i="13"/>
  <c r="Y54" i="13"/>
  <c r="W54" i="13"/>
  <c r="U54" i="13"/>
  <c r="S54" i="13"/>
  <c r="AE53" i="13"/>
  <c r="AC53" i="13"/>
  <c r="AA53" i="13"/>
  <c r="Y53" i="13"/>
  <c r="W53" i="13"/>
  <c r="U53" i="13"/>
  <c r="S53" i="13"/>
  <c r="AE52" i="13"/>
  <c r="AC52" i="13"/>
  <c r="AA52" i="13"/>
  <c r="Y52" i="13"/>
  <c r="W52" i="13"/>
  <c r="U52" i="13"/>
  <c r="S52" i="13"/>
  <c r="AE51" i="13"/>
  <c r="AC51" i="13"/>
  <c r="AA51" i="13"/>
  <c r="Y51" i="13"/>
  <c r="W51" i="13"/>
  <c r="U51" i="13"/>
  <c r="S51" i="13"/>
  <c r="AE50" i="13"/>
  <c r="AC50" i="13"/>
  <c r="AA50" i="13"/>
  <c r="Y50" i="13"/>
  <c r="W50" i="13"/>
  <c r="U50" i="13"/>
  <c r="S50" i="13"/>
  <c r="AE49" i="13"/>
  <c r="AC49" i="13"/>
  <c r="AA49" i="13"/>
  <c r="Y49" i="13"/>
  <c r="W49" i="13"/>
  <c r="U49" i="13"/>
  <c r="S49" i="13"/>
  <c r="AE48" i="13"/>
  <c r="AC48" i="13"/>
  <c r="AA48" i="13"/>
  <c r="Y48" i="13"/>
  <c r="W48" i="13"/>
  <c r="U48" i="13"/>
  <c r="S48" i="13"/>
  <c r="AE47" i="13"/>
  <c r="AC47" i="13"/>
  <c r="AA47" i="13"/>
  <c r="Y47" i="13"/>
  <c r="W47" i="13"/>
  <c r="U47" i="13"/>
  <c r="S47" i="13"/>
  <c r="AE46" i="13"/>
  <c r="AC46" i="13"/>
  <c r="AA46" i="13"/>
  <c r="Y46" i="13"/>
  <c r="W46" i="13"/>
  <c r="U46" i="13"/>
  <c r="S46" i="13"/>
  <c r="AE45" i="13"/>
  <c r="AC45" i="13"/>
  <c r="AA45" i="13"/>
  <c r="Y45" i="13"/>
  <c r="W45" i="13"/>
  <c r="U45" i="13"/>
  <c r="S45" i="13"/>
  <c r="AE44" i="13"/>
  <c r="AC44" i="13"/>
  <c r="AA44" i="13"/>
  <c r="Y44" i="13"/>
  <c r="W44" i="13"/>
  <c r="U44" i="13"/>
  <c r="S44" i="13"/>
  <c r="AE43" i="13"/>
  <c r="AC43" i="13"/>
  <c r="AA43" i="13"/>
  <c r="Y43" i="13"/>
  <c r="W43" i="13"/>
  <c r="U43" i="13"/>
  <c r="S43" i="13"/>
  <c r="AE42" i="13"/>
  <c r="AC42" i="13"/>
  <c r="AA42" i="13"/>
  <c r="Y42" i="13"/>
  <c r="W42" i="13"/>
  <c r="U42" i="13"/>
  <c r="S42" i="13"/>
  <c r="AE41" i="13"/>
  <c r="AC41" i="13"/>
  <c r="AA41" i="13"/>
  <c r="Y41" i="13"/>
  <c r="W41" i="13"/>
  <c r="U41" i="13"/>
  <c r="S41" i="13"/>
  <c r="AE40" i="13"/>
  <c r="AC40" i="13"/>
  <c r="AA40" i="13"/>
  <c r="Y40" i="13"/>
  <c r="W40" i="13"/>
  <c r="U40" i="13"/>
  <c r="S40" i="13"/>
  <c r="AE39" i="13"/>
  <c r="AC39" i="13"/>
  <c r="AA39" i="13"/>
  <c r="Y39" i="13"/>
  <c r="W39" i="13"/>
  <c r="U39" i="13"/>
  <c r="S39" i="13"/>
  <c r="AE38" i="13"/>
  <c r="AC38" i="13"/>
  <c r="AA38" i="13"/>
  <c r="Y38" i="13"/>
  <c r="W38" i="13"/>
  <c r="U38" i="13"/>
  <c r="S38" i="13"/>
  <c r="AE37" i="13"/>
  <c r="AC37" i="13"/>
  <c r="AA37" i="13"/>
  <c r="Y37" i="13"/>
  <c r="W37" i="13"/>
  <c r="U37" i="13"/>
  <c r="S37" i="13"/>
  <c r="AE36" i="13"/>
  <c r="AC36" i="13"/>
  <c r="AA36" i="13"/>
  <c r="Y36" i="13"/>
  <c r="W36" i="13"/>
  <c r="U36" i="13"/>
  <c r="S36" i="13"/>
  <c r="D35" i="13"/>
  <c r="E35" i="13" s="1"/>
  <c r="D34" i="13"/>
  <c r="E34" i="13" s="1"/>
  <c r="D33" i="13"/>
  <c r="E33" i="13" s="1"/>
  <c r="E32" i="13"/>
  <c r="D32" i="13"/>
  <c r="D31" i="13"/>
  <c r="E31" i="13" s="1"/>
  <c r="D30" i="13"/>
  <c r="E30" i="13" s="1"/>
  <c r="D29" i="13"/>
  <c r="E29" i="13" s="1"/>
  <c r="AB25" i="13"/>
  <c r="R25" i="13"/>
  <c r="Z24" i="13"/>
  <c r="R18" i="13"/>
  <c r="R26" i="13" s="1"/>
  <c r="AD17" i="13"/>
  <c r="AD25" i="13" s="1"/>
  <c r="AB17" i="13"/>
  <c r="Z17" i="13"/>
  <c r="Z25" i="13" s="1"/>
  <c r="X17" i="13"/>
  <c r="X25" i="13" s="1"/>
  <c r="V17" i="13"/>
  <c r="V25" i="13" s="1"/>
  <c r="T17" i="13"/>
  <c r="T25" i="13" s="1"/>
  <c r="R17" i="13"/>
  <c r="AD16" i="13"/>
  <c r="AB16" i="13"/>
  <c r="Z16" i="13"/>
  <c r="X16" i="13"/>
  <c r="V16" i="13"/>
  <c r="V24" i="13" s="1"/>
  <c r="T16" i="13"/>
  <c r="T18" i="13" s="1"/>
  <c r="T26" i="13" s="1"/>
  <c r="R16" i="13"/>
  <c r="R24" i="13" s="1"/>
  <c r="P16" i="13"/>
  <c r="O16" i="13"/>
  <c r="N16" i="13"/>
  <c r="L16" i="13"/>
  <c r="K16" i="13"/>
  <c r="J16" i="13"/>
  <c r="H16" i="13"/>
  <c r="G16" i="13"/>
  <c r="F16" i="13"/>
  <c r="O15" i="13"/>
  <c r="AE14" i="13"/>
  <c r="AC14" i="13"/>
  <c r="AA14" i="13"/>
  <c r="W14" i="13"/>
  <c r="S14" i="13"/>
  <c r="Q14" i="13"/>
  <c r="Y14" i="13" s="1"/>
  <c r="M14" i="13"/>
  <c r="I14" i="13"/>
  <c r="O13" i="13"/>
  <c r="AC12" i="13"/>
  <c r="Y12" i="13"/>
  <c r="U12" i="13"/>
  <c r="S12" i="13"/>
  <c r="Q12" i="13"/>
  <c r="AE12" i="13" s="1"/>
  <c r="M12" i="13"/>
  <c r="I12" i="13"/>
  <c r="O11" i="13"/>
  <c r="AE10" i="13"/>
  <c r="AC10" i="13"/>
  <c r="AA10" i="13"/>
  <c r="Y10" i="13"/>
  <c r="W10" i="13"/>
  <c r="U10" i="13"/>
  <c r="S10" i="13"/>
  <c r="Q10" i="13"/>
  <c r="M10" i="13"/>
  <c r="I10" i="13"/>
  <c r="O9" i="13"/>
  <c r="AE8" i="13"/>
  <c r="Y8" i="13"/>
  <c r="Q8" i="13"/>
  <c r="AA8" i="13" s="1"/>
  <c r="M8" i="13"/>
  <c r="I8" i="13"/>
  <c r="O7" i="13"/>
  <c r="AE6" i="13"/>
  <c r="AA6" i="13"/>
  <c r="Y6" i="13"/>
  <c r="W6" i="13"/>
  <c r="U6" i="13"/>
  <c r="S6" i="13"/>
  <c r="Q6" i="13"/>
  <c r="Q16" i="13" s="1"/>
  <c r="M6" i="13"/>
  <c r="I6" i="13"/>
  <c r="C3" i="13"/>
  <c r="AE65" i="12"/>
  <c r="AC65" i="12"/>
  <c r="AA65" i="12"/>
  <c r="Y65" i="12"/>
  <c r="W65" i="12"/>
  <c r="U65" i="12"/>
  <c r="S65" i="12"/>
  <c r="AE64" i="12"/>
  <c r="AC64" i="12"/>
  <c r="AA64" i="12"/>
  <c r="Y64" i="12"/>
  <c r="W64" i="12"/>
  <c r="U64" i="12"/>
  <c r="S64" i="12"/>
  <c r="AE63" i="12"/>
  <c r="AC63" i="12"/>
  <c r="AA63" i="12"/>
  <c r="Y63" i="12"/>
  <c r="W63" i="12"/>
  <c r="U63" i="12"/>
  <c r="S63" i="12"/>
  <c r="AE62" i="12"/>
  <c r="AC62" i="12"/>
  <c r="AA62" i="12"/>
  <c r="Y62" i="12"/>
  <c r="W62" i="12"/>
  <c r="U62" i="12"/>
  <c r="S62" i="12"/>
  <c r="AE61" i="12"/>
  <c r="AC61" i="12"/>
  <c r="AA61" i="12"/>
  <c r="Y61" i="12"/>
  <c r="W61" i="12"/>
  <c r="U61" i="12"/>
  <c r="S61" i="12"/>
  <c r="AE60" i="12"/>
  <c r="AC60" i="12"/>
  <c r="AA60" i="12"/>
  <c r="Y60" i="12"/>
  <c r="W60" i="12"/>
  <c r="U60" i="12"/>
  <c r="S60" i="12"/>
  <c r="AE59" i="12"/>
  <c r="AC59" i="12"/>
  <c r="AA59" i="12"/>
  <c r="Y59" i="12"/>
  <c r="W59" i="12"/>
  <c r="U59" i="12"/>
  <c r="S59" i="12"/>
  <c r="AE58" i="12"/>
  <c r="AC58" i="12"/>
  <c r="AA58" i="12"/>
  <c r="Y58" i="12"/>
  <c r="W58" i="12"/>
  <c r="U58" i="12"/>
  <c r="S58" i="12"/>
  <c r="AE57" i="12"/>
  <c r="AC57" i="12"/>
  <c r="AA57" i="12"/>
  <c r="Y57" i="12"/>
  <c r="W57" i="12"/>
  <c r="U57" i="12"/>
  <c r="S57" i="12"/>
  <c r="AE56" i="12"/>
  <c r="AC56" i="12"/>
  <c r="AA56" i="12"/>
  <c r="Y56" i="12"/>
  <c r="W56" i="12"/>
  <c r="U56" i="12"/>
  <c r="S56" i="12"/>
  <c r="AE55" i="12"/>
  <c r="AC55" i="12"/>
  <c r="AA55" i="12"/>
  <c r="Y55" i="12"/>
  <c r="W55" i="12"/>
  <c r="U55" i="12"/>
  <c r="S55" i="12"/>
  <c r="AE54" i="12"/>
  <c r="AC54" i="12"/>
  <c r="AA54" i="12"/>
  <c r="Y54" i="12"/>
  <c r="W54" i="12"/>
  <c r="U54" i="12"/>
  <c r="S54" i="12"/>
  <c r="AE53" i="12"/>
  <c r="AC53" i="12"/>
  <c r="AA53" i="12"/>
  <c r="Y53" i="12"/>
  <c r="W53" i="12"/>
  <c r="U53" i="12"/>
  <c r="S53" i="12"/>
  <c r="AE52" i="12"/>
  <c r="AC52" i="12"/>
  <c r="AA52" i="12"/>
  <c r="Y52" i="12"/>
  <c r="W52" i="12"/>
  <c r="U52" i="12"/>
  <c r="S52" i="12"/>
  <c r="AE51" i="12"/>
  <c r="AC51" i="12"/>
  <c r="AA51" i="12"/>
  <c r="Y51" i="12"/>
  <c r="W51" i="12"/>
  <c r="U51" i="12"/>
  <c r="S51" i="12"/>
  <c r="AE50" i="12"/>
  <c r="AC50" i="12"/>
  <c r="AA50" i="12"/>
  <c r="Y50" i="12"/>
  <c r="W50" i="12"/>
  <c r="U50" i="12"/>
  <c r="S50" i="12"/>
  <c r="AE49" i="12"/>
  <c r="AC49" i="12"/>
  <c r="AA49" i="12"/>
  <c r="Y49" i="12"/>
  <c r="W49" i="12"/>
  <c r="U49" i="12"/>
  <c r="S49" i="12"/>
  <c r="AE48" i="12"/>
  <c r="AC48" i="12"/>
  <c r="AA48" i="12"/>
  <c r="Y48" i="12"/>
  <c r="W48" i="12"/>
  <c r="U48" i="12"/>
  <c r="S48" i="12"/>
  <c r="AE47" i="12"/>
  <c r="AC47" i="12"/>
  <c r="AA47" i="12"/>
  <c r="Y47" i="12"/>
  <c r="W47" i="12"/>
  <c r="U47" i="12"/>
  <c r="S47" i="12"/>
  <c r="AE46" i="12"/>
  <c r="AC46" i="12"/>
  <c r="AA46" i="12"/>
  <c r="Y46" i="12"/>
  <c r="W46" i="12"/>
  <c r="U46" i="12"/>
  <c r="S46" i="12"/>
  <c r="AE45" i="12"/>
  <c r="AC45" i="12"/>
  <c r="AA45" i="12"/>
  <c r="Y45" i="12"/>
  <c r="W45" i="12"/>
  <c r="U45" i="12"/>
  <c r="S45" i="12"/>
  <c r="AE44" i="12"/>
  <c r="AC44" i="12"/>
  <c r="AA44" i="12"/>
  <c r="Y44" i="12"/>
  <c r="W44" i="12"/>
  <c r="U44" i="12"/>
  <c r="S44" i="12"/>
  <c r="AE43" i="12"/>
  <c r="AC43" i="12"/>
  <c r="AA43" i="12"/>
  <c r="Y43" i="12"/>
  <c r="W43" i="12"/>
  <c r="U43" i="12"/>
  <c r="S43" i="12"/>
  <c r="AE42" i="12"/>
  <c r="AC42" i="12"/>
  <c r="AA42" i="12"/>
  <c r="Y42" i="12"/>
  <c r="W42" i="12"/>
  <c r="U42" i="12"/>
  <c r="S42" i="12"/>
  <c r="AE41" i="12"/>
  <c r="AC41" i="12"/>
  <c r="AA41" i="12"/>
  <c r="Y41" i="12"/>
  <c r="W41" i="12"/>
  <c r="U41" i="12"/>
  <c r="S41" i="12"/>
  <c r="AE40" i="12"/>
  <c r="AC40" i="12"/>
  <c r="AA40" i="12"/>
  <c r="Y40" i="12"/>
  <c r="W40" i="12"/>
  <c r="U40" i="12"/>
  <c r="S40" i="12"/>
  <c r="AE39" i="12"/>
  <c r="AC39" i="12"/>
  <c r="AA39" i="12"/>
  <c r="Y39" i="12"/>
  <c r="W39" i="12"/>
  <c r="U39" i="12"/>
  <c r="S39" i="12"/>
  <c r="AE38" i="12"/>
  <c r="AC38" i="12"/>
  <c r="AA38" i="12"/>
  <c r="Y38" i="12"/>
  <c r="W38" i="12"/>
  <c r="U38" i="12"/>
  <c r="S38" i="12"/>
  <c r="AE37" i="12"/>
  <c r="AC37" i="12"/>
  <c r="AA37" i="12"/>
  <c r="Y37" i="12"/>
  <c r="W37" i="12"/>
  <c r="U37" i="12"/>
  <c r="S37" i="12"/>
  <c r="AE36" i="12"/>
  <c r="AC36" i="12"/>
  <c r="AA36" i="12"/>
  <c r="Y36" i="12"/>
  <c r="W36" i="12"/>
  <c r="U36" i="12"/>
  <c r="S36" i="12"/>
  <c r="D35" i="12"/>
  <c r="E35" i="12" s="1"/>
  <c r="D34" i="12"/>
  <c r="E34" i="12" s="1"/>
  <c r="D33" i="12"/>
  <c r="E33" i="12" s="1"/>
  <c r="D32" i="12"/>
  <c r="E32" i="12" s="1"/>
  <c r="E31" i="12"/>
  <c r="D31" i="12"/>
  <c r="D30" i="12"/>
  <c r="E30" i="12" s="1"/>
  <c r="D29" i="12"/>
  <c r="E29" i="12" s="1"/>
  <c r="X25" i="12"/>
  <c r="V24" i="12"/>
  <c r="AD17" i="12"/>
  <c r="AD25" i="12" s="1"/>
  <c r="AB17" i="12"/>
  <c r="AB25" i="12" s="1"/>
  <c r="Z17" i="12"/>
  <c r="Z25" i="12" s="1"/>
  <c r="X17" i="12"/>
  <c r="V17" i="12"/>
  <c r="V25" i="12" s="1"/>
  <c r="T17" i="12"/>
  <c r="T25" i="12" s="1"/>
  <c r="R17" i="12"/>
  <c r="R25" i="12" s="1"/>
  <c r="AD16" i="12"/>
  <c r="AB16" i="12"/>
  <c r="Z16" i="12"/>
  <c r="Z18" i="12" s="1"/>
  <c r="Z26" i="12" s="1"/>
  <c r="X16" i="12"/>
  <c r="X18" i="12" s="1"/>
  <c r="X26" i="12" s="1"/>
  <c r="V16" i="12"/>
  <c r="T16" i="12"/>
  <c r="T18" i="12" s="1"/>
  <c r="T26" i="12" s="1"/>
  <c r="R16" i="12"/>
  <c r="R24" i="12" s="1"/>
  <c r="P16" i="12"/>
  <c r="O16" i="12"/>
  <c r="N16" i="12"/>
  <c r="L16" i="12"/>
  <c r="K16" i="12"/>
  <c r="J16" i="12"/>
  <c r="H16" i="12"/>
  <c r="G16" i="12"/>
  <c r="F16" i="12"/>
  <c r="O15" i="12"/>
  <c r="AA14" i="12"/>
  <c r="W14" i="12"/>
  <c r="U14" i="12"/>
  <c r="Q14" i="12"/>
  <c r="S14" i="12" s="1"/>
  <c r="M14" i="12"/>
  <c r="I14" i="12"/>
  <c r="O13" i="12"/>
  <c r="Y12" i="12"/>
  <c r="Q12" i="12"/>
  <c r="AA12" i="12" s="1"/>
  <c r="M12" i="12"/>
  <c r="I12" i="12"/>
  <c r="O11" i="12"/>
  <c r="AA10" i="12"/>
  <c r="Y10" i="12"/>
  <c r="W10" i="12"/>
  <c r="U10" i="12"/>
  <c r="Q10" i="12"/>
  <c r="AC10" i="12" s="1"/>
  <c r="M10" i="12"/>
  <c r="I10" i="12"/>
  <c r="O9" i="12"/>
  <c r="AC8" i="12"/>
  <c r="AA8" i="12"/>
  <c r="U8" i="12"/>
  <c r="Q8" i="12"/>
  <c r="W8" i="12" s="1"/>
  <c r="M8" i="12"/>
  <c r="I8" i="12"/>
  <c r="O7" i="12"/>
  <c r="Q6" i="12"/>
  <c r="Q16" i="12" s="1"/>
  <c r="Y16" i="12" s="1"/>
  <c r="M6" i="12"/>
  <c r="I6" i="12"/>
  <c r="I16" i="12" s="1"/>
  <c r="C3" i="12"/>
  <c r="AE65" i="11"/>
  <c r="AC65" i="11"/>
  <c r="AA65" i="11"/>
  <c r="Y65" i="11"/>
  <c r="W65" i="11"/>
  <c r="U65" i="11"/>
  <c r="S65" i="11"/>
  <c r="AE64" i="11"/>
  <c r="AC64" i="11"/>
  <c r="AA64" i="11"/>
  <c r="Y64" i="11"/>
  <c r="W64" i="11"/>
  <c r="U64" i="11"/>
  <c r="S64" i="11"/>
  <c r="AE63" i="11"/>
  <c r="AC63" i="11"/>
  <c r="AA63" i="11"/>
  <c r="Y63" i="11"/>
  <c r="W63" i="11"/>
  <c r="U63" i="11"/>
  <c r="S63" i="11"/>
  <c r="AE62" i="11"/>
  <c r="AC62" i="11"/>
  <c r="AA62" i="11"/>
  <c r="Y62" i="11"/>
  <c r="W62" i="11"/>
  <c r="U62" i="11"/>
  <c r="S62" i="11"/>
  <c r="AE61" i="11"/>
  <c r="AC61" i="11"/>
  <c r="AA61" i="11"/>
  <c r="Y61" i="11"/>
  <c r="W61" i="11"/>
  <c r="U61" i="11"/>
  <c r="S61" i="11"/>
  <c r="AE60" i="11"/>
  <c r="AC60" i="11"/>
  <c r="AA60" i="11"/>
  <c r="Y60" i="11"/>
  <c r="W60" i="11"/>
  <c r="U60" i="11"/>
  <c r="S60" i="11"/>
  <c r="AE59" i="11"/>
  <c r="AC59" i="11"/>
  <c r="AA59" i="11"/>
  <c r="Y59" i="11"/>
  <c r="W59" i="11"/>
  <c r="U59" i="11"/>
  <c r="S59" i="11"/>
  <c r="AE58" i="11"/>
  <c r="AC58" i="11"/>
  <c r="AA58" i="11"/>
  <c r="Y58" i="11"/>
  <c r="W58" i="11"/>
  <c r="U58" i="11"/>
  <c r="S58" i="11"/>
  <c r="AE57" i="11"/>
  <c r="AC57" i="11"/>
  <c r="AA57" i="11"/>
  <c r="Y57" i="11"/>
  <c r="W57" i="11"/>
  <c r="U57" i="11"/>
  <c r="S57" i="11"/>
  <c r="AE56" i="11"/>
  <c r="AC56" i="11"/>
  <c r="AA56" i="11"/>
  <c r="Y56" i="11"/>
  <c r="W56" i="11"/>
  <c r="U56" i="11"/>
  <c r="S56" i="11"/>
  <c r="AE55" i="11"/>
  <c r="AC55" i="11"/>
  <c r="AA55" i="11"/>
  <c r="Y55" i="11"/>
  <c r="W55" i="11"/>
  <c r="U55" i="11"/>
  <c r="S55" i="11"/>
  <c r="AE54" i="11"/>
  <c r="AC54" i="11"/>
  <c r="AA54" i="11"/>
  <c r="Y54" i="11"/>
  <c r="W54" i="11"/>
  <c r="U54" i="11"/>
  <c r="S54" i="11"/>
  <c r="AE53" i="11"/>
  <c r="AC53" i="11"/>
  <c r="AA53" i="11"/>
  <c r="Y53" i="11"/>
  <c r="W53" i="11"/>
  <c r="U53" i="11"/>
  <c r="S53" i="11"/>
  <c r="AE52" i="11"/>
  <c r="AC52" i="11"/>
  <c r="AA52" i="11"/>
  <c r="Y52" i="11"/>
  <c r="W52" i="11"/>
  <c r="U52" i="11"/>
  <c r="S52" i="11"/>
  <c r="AE51" i="11"/>
  <c r="AC51" i="11"/>
  <c r="AA51" i="11"/>
  <c r="Y51" i="11"/>
  <c r="W51" i="11"/>
  <c r="U51" i="11"/>
  <c r="S51" i="11"/>
  <c r="AE50" i="11"/>
  <c r="AC50" i="11"/>
  <c r="AA50" i="11"/>
  <c r="Y50" i="11"/>
  <c r="W50" i="11"/>
  <c r="U50" i="11"/>
  <c r="S50" i="11"/>
  <c r="AE49" i="11"/>
  <c r="AC49" i="11"/>
  <c r="AA49" i="11"/>
  <c r="Y49" i="11"/>
  <c r="W49" i="11"/>
  <c r="U49" i="11"/>
  <c r="S49" i="11"/>
  <c r="AE48" i="11"/>
  <c r="AC48" i="11"/>
  <c r="AA48" i="11"/>
  <c r="Y48" i="11"/>
  <c r="W48" i="11"/>
  <c r="U48" i="11"/>
  <c r="S48" i="11"/>
  <c r="AE47" i="11"/>
  <c r="AC47" i="11"/>
  <c r="AA47" i="11"/>
  <c r="Y47" i="11"/>
  <c r="W47" i="11"/>
  <c r="U47" i="11"/>
  <c r="S47" i="11"/>
  <c r="AE46" i="11"/>
  <c r="AC46" i="11"/>
  <c r="AA46" i="11"/>
  <c r="Y46" i="11"/>
  <c r="W46" i="11"/>
  <c r="U46" i="11"/>
  <c r="S46" i="11"/>
  <c r="AE45" i="11"/>
  <c r="AC45" i="11"/>
  <c r="AA45" i="11"/>
  <c r="Y45" i="11"/>
  <c r="W45" i="11"/>
  <c r="U45" i="11"/>
  <c r="S45" i="11"/>
  <c r="AE44" i="11"/>
  <c r="AC44" i="11"/>
  <c r="AA44" i="11"/>
  <c r="Y44" i="11"/>
  <c r="W44" i="11"/>
  <c r="U44" i="11"/>
  <c r="S44" i="11"/>
  <c r="AE43" i="11"/>
  <c r="AC43" i="11"/>
  <c r="AA43" i="11"/>
  <c r="Y43" i="11"/>
  <c r="W43" i="11"/>
  <c r="U43" i="11"/>
  <c r="S43" i="11"/>
  <c r="AE42" i="11"/>
  <c r="AC42" i="11"/>
  <c r="AA42" i="11"/>
  <c r="Y42" i="11"/>
  <c r="W42" i="11"/>
  <c r="U42" i="11"/>
  <c r="S42" i="11"/>
  <c r="AE41" i="11"/>
  <c r="AC41" i="11"/>
  <c r="AA41" i="11"/>
  <c r="Y41" i="11"/>
  <c r="W41" i="11"/>
  <c r="U41" i="11"/>
  <c r="S41" i="11"/>
  <c r="AE40" i="11"/>
  <c r="AC40" i="11"/>
  <c r="AA40" i="11"/>
  <c r="Y40" i="11"/>
  <c r="W40" i="11"/>
  <c r="U40" i="11"/>
  <c r="S40" i="11"/>
  <c r="AE39" i="11"/>
  <c r="AC39" i="11"/>
  <c r="AA39" i="11"/>
  <c r="Y39" i="11"/>
  <c r="W39" i="11"/>
  <c r="U39" i="11"/>
  <c r="S39" i="11"/>
  <c r="AE38" i="11"/>
  <c r="AC38" i="11"/>
  <c r="AA38" i="11"/>
  <c r="Y38" i="11"/>
  <c r="W38" i="11"/>
  <c r="U38" i="11"/>
  <c r="S38" i="11"/>
  <c r="AE37" i="11"/>
  <c r="AC37" i="11"/>
  <c r="AA37" i="11"/>
  <c r="Y37" i="11"/>
  <c r="W37" i="11"/>
  <c r="U37" i="11"/>
  <c r="S37" i="11"/>
  <c r="AE36" i="11"/>
  <c r="AC36" i="11"/>
  <c r="AA36" i="11"/>
  <c r="Y36" i="11"/>
  <c r="W36" i="11"/>
  <c r="U36" i="11"/>
  <c r="S36" i="11"/>
  <c r="D35" i="11"/>
  <c r="E35" i="11" s="1"/>
  <c r="D34" i="11"/>
  <c r="E34" i="11" s="1"/>
  <c r="D33" i="11"/>
  <c r="E33" i="11" s="1"/>
  <c r="D32" i="11"/>
  <c r="E32" i="11" s="1"/>
  <c r="D31" i="11"/>
  <c r="E31" i="11" s="1"/>
  <c r="D30" i="11"/>
  <c r="E30" i="11" s="1"/>
  <c r="D29" i="11"/>
  <c r="E29" i="11" s="1"/>
  <c r="V25" i="11"/>
  <c r="R25" i="11"/>
  <c r="AD17" i="11"/>
  <c r="AD25" i="11" s="1"/>
  <c r="AB17" i="11"/>
  <c r="AB25" i="11" s="1"/>
  <c r="Z17" i="11"/>
  <c r="Z25" i="11" s="1"/>
  <c r="X17" i="11"/>
  <c r="X25" i="11" s="1"/>
  <c r="V17" i="11"/>
  <c r="T17" i="11"/>
  <c r="T25" i="11" s="1"/>
  <c r="R17" i="11"/>
  <c r="AD16" i="11"/>
  <c r="AD24" i="11" s="1"/>
  <c r="AB16" i="11"/>
  <c r="AB18" i="11" s="1"/>
  <c r="AB26" i="11" s="1"/>
  <c r="Z16" i="11"/>
  <c r="Z24" i="11" s="1"/>
  <c r="X16" i="11"/>
  <c r="X18" i="11" s="1"/>
  <c r="X26" i="11" s="1"/>
  <c r="V16" i="11"/>
  <c r="T16" i="11"/>
  <c r="R16" i="11"/>
  <c r="R24" i="11" s="1"/>
  <c r="P16" i="11"/>
  <c r="O16" i="11"/>
  <c r="N16" i="11"/>
  <c r="L16" i="11"/>
  <c r="K16" i="11"/>
  <c r="J16" i="11"/>
  <c r="H16" i="11"/>
  <c r="G16" i="11"/>
  <c r="F16" i="11"/>
  <c r="O15" i="11"/>
  <c r="AE14" i="11"/>
  <c r="AA14" i="11"/>
  <c r="Y14" i="11"/>
  <c r="W14" i="11"/>
  <c r="U14" i="11"/>
  <c r="S14" i="11"/>
  <c r="Q14" i="11"/>
  <c r="AC14" i="11" s="1"/>
  <c r="M14" i="11"/>
  <c r="I14" i="11"/>
  <c r="O13" i="11"/>
  <c r="AC12" i="11"/>
  <c r="U12" i="11"/>
  <c r="Q12" i="11"/>
  <c r="W12" i="11" s="1"/>
  <c r="M12" i="11"/>
  <c r="I12" i="11"/>
  <c r="O11" i="11"/>
  <c r="Q10" i="11"/>
  <c r="M10" i="11"/>
  <c r="I10" i="11"/>
  <c r="O9" i="11"/>
  <c r="W8" i="11"/>
  <c r="Q8" i="11"/>
  <c r="S8" i="11" s="1"/>
  <c r="M8" i="11"/>
  <c r="I8" i="11"/>
  <c r="O7" i="11"/>
  <c r="AE6" i="11"/>
  <c r="AC6" i="11"/>
  <c r="AA6" i="11"/>
  <c r="W6" i="11"/>
  <c r="S6" i="11"/>
  <c r="Q6" i="11"/>
  <c r="Y6" i="11" s="1"/>
  <c r="M6" i="11"/>
  <c r="I6" i="11"/>
  <c r="C3" i="11"/>
  <c r="AE65" i="10"/>
  <c r="AC65" i="10"/>
  <c r="AA65" i="10"/>
  <c r="Y65" i="10"/>
  <c r="W65" i="10"/>
  <c r="U65" i="10"/>
  <c r="S65" i="10"/>
  <c r="AE64" i="10"/>
  <c r="AC64" i="10"/>
  <c r="AA64" i="10"/>
  <c r="Y64" i="10"/>
  <c r="W64" i="10"/>
  <c r="U64" i="10"/>
  <c r="S64" i="10"/>
  <c r="AE63" i="10"/>
  <c r="AC63" i="10"/>
  <c r="AA63" i="10"/>
  <c r="Y63" i="10"/>
  <c r="W63" i="10"/>
  <c r="U63" i="10"/>
  <c r="S63" i="10"/>
  <c r="AE62" i="10"/>
  <c r="AC62" i="10"/>
  <c r="AA62" i="10"/>
  <c r="Y62" i="10"/>
  <c r="W62" i="10"/>
  <c r="U62" i="10"/>
  <c r="S62" i="10"/>
  <c r="AE61" i="10"/>
  <c r="AC61" i="10"/>
  <c r="AA61" i="10"/>
  <c r="Y61" i="10"/>
  <c r="W61" i="10"/>
  <c r="U61" i="10"/>
  <c r="S61" i="10"/>
  <c r="AE60" i="10"/>
  <c r="AC60" i="10"/>
  <c r="AA60" i="10"/>
  <c r="Y60" i="10"/>
  <c r="W60" i="10"/>
  <c r="U60" i="10"/>
  <c r="S60" i="10"/>
  <c r="AE59" i="10"/>
  <c r="AC59" i="10"/>
  <c r="AA59" i="10"/>
  <c r="Y59" i="10"/>
  <c r="W59" i="10"/>
  <c r="U59" i="10"/>
  <c r="S59" i="10"/>
  <c r="AE58" i="10"/>
  <c r="AC58" i="10"/>
  <c r="AA58" i="10"/>
  <c r="Y58" i="10"/>
  <c r="W58" i="10"/>
  <c r="U58" i="10"/>
  <c r="S58" i="10"/>
  <c r="AE57" i="10"/>
  <c r="AC57" i="10"/>
  <c r="AA57" i="10"/>
  <c r="Y57" i="10"/>
  <c r="W57" i="10"/>
  <c r="U57" i="10"/>
  <c r="S57" i="10"/>
  <c r="AE56" i="10"/>
  <c r="AC56" i="10"/>
  <c r="AA56" i="10"/>
  <c r="Y56" i="10"/>
  <c r="W56" i="10"/>
  <c r="U56" i="10"/>
  <c r="S56" i="10"/>
  <c r="AE55" i="10"/>
  <c r="AC55" i="10"/>
  <c r="AA55" i="10"/>
  <c r="Y55" i="10"/>
  <c r="W55" i="10"/>
  <c r="U55" i="10"/>
  <c r="S55" i="10"/>
  <c r="AE54" i="10"/>
  <c r="AC54" i="10"/>
  <c r="AA54" i="10"/>
  <c r="Y54" i="10"/>
  <c r="W54" i="10"/>
  <c r="U54" i="10"/>
  <c r="S54" i="10"/>
  <c r="AE53" i="10"/>
  <c r="AC53" i="10"/>
  <c r="AA53" i="10"/>
  <c r="Y53" i="10"/>
  <c r="W53" i="10"/>
  <c r="U53" i="10"/>
  <c r="S53" i="10"/>
  <c r="AE52" i="10"/>
  <c r="AC52" i="10"/>
  <c r="AA52" i="10"/>
  <c r="Y52" i="10"/>
  <c r="W52" i="10"/>
  <c r="U52" i="10"/>
  <c r="S52" i="10"/>
  <c r="AE51" i="10"/>
  <c r="AC51" i="10"/>
  <c r="AA51" i="10"/>
  <c r="Y51" i="10"/>
  <c r="W51" i="10"/>
  <c r="U51" i="10"/>
  <c r="S51" i="10"/>
  <c r="AE50" i="10"/>
  <c r="AC50" i="10"/>
  <c r="AA50" i="10"/>
  <c r="Y50" i="10"/>
  <c r="W50" i="10"/>
  <c r="U50" i="10"/>
  <c r="S50" i="10"/>
  <c r="AE49" i="10"/>
  <c r="AC49" i="10"/>
  <c r="AA49" i="10"/>
  <c r="Y49" i="10"/>
  <c r="W49" i="10"/>
  <c r="U49" i="10"/>
  <c r="S49" i="10"/>
  <c r="AE48" i="10"/>
  <c r="AC48" i="10"/>
  <c r="AA48" i="10"/>
  <c r="Y48" i="10"/>
  <c r="W48" i="10"/>
  <c r="U48" i="10"/>
  <c r="S48" i="10"/>
  <c r="AE47" i="10"/>
  <c r="AC47" i="10"/>
  <c r="AA47" i="10"/>
  <c r="Y47" i="10"/>
  <c r="W47" i="10"/>
  <c r="U47" i="10"/>
  <c r="S47" i="10"/>
  <c r="AE46" i="10"/>
  <c r="AC46" i="10"/>
  <c r="AA46" i="10"/>
  <c r="Y46" i="10"/>
  <c r="W46" i="10"/>
  <c r="U46" i="10"/>
  <c r="S46" i="10"/>
  <c r="AE45" i="10"/>
  <c r="AC45" i="10"/>
  <c r="AA45" i="10"/>
  <c r="Y45" i="10"/>
  <c r="W45" i="10"/>
  <c r="U45" i="10"/>
  <c r="S45" i="10"/>
  <c r="AE44" i="10"/>
  <c r="AC44" i="10"/>
  <c r="AA44" i="10"/>
  <c r="Y44" i="10"/>
  <c r="W44" i="10"/>
  <c r="U44" i="10"/>
  <c r="S44" i="10"/>
  <c r="AE43" i="10"/>
  <c r="AC43" i="10"/>
  <c r="AA43" i="10"/>
  <c r="Y43" i="10"/>
  <c r="W43" i="10"/>
  <c r="U43" i="10"/>
  <c r="S43" i="10"/>
  <c r="AE42" i="10"/>
  <c r="AC42" i="10"/>
  <c r="AA42" i="10"/>
  <c r="Y42" i="10"/>
  <c r="W42" i="10"/>
  <c r="U42" i="10"/>
  <c r="S42" i="10"/>
  <c r="AE41" i="10"/>
  <c r="AC41" i="10"/>
  <c r="AA41" i="10"/>
  <c r="Y41" i="10"/>
  <c r="W41" i="10"/>
  <c r="U41" i="10"/>
  <c r="S41" i="10"/>
  <c r="AE40" i="10"/>
  <c r="AC40" i="10"/>
  <c r="AA40" i="10"/>
  <c r="Y40" i="10"/>
  <c r="W40" i="10"/>
  <c r="U40" i="10"/>
  <c r="S40" i="10"/>
  <c r="AE39" i="10"/>
  <c r="AC39" i="10"/>
  <c r="AA39" i="10"/>
  <c r="Y39" i="10"/>
  <c r="W39" i="10"/>
  <c r="U39" i="10"/>
  <c r="S39" i="10"/>
  <c r="AE38" i="10"/>
  <c r="AC38" i="10"/>
  <c r="AA38" i="10"/>
  <c r="Y38" i="10"/>
  <c r="W38" i="10"/>
  <c r="U38" i="10"/>
  <c r="S38" i="10"/>
  <c r="AE37" i="10"/>
  <c r="AC37" i="10"/>
  <c r="AA37" i="10"/>
  <c r="Y37" i="10"/>
  <c r="W37" i="10"/>
  <c r="U37" i="10"/>
  <c r="S37" i="10"/>
  <c r="AE36" i="10"/>
  <c r="AC36" i="10"/>
  <c r="AA36" i="10"/>
  <c r="Y36" i="10"/>
  <c r="W36" i="10"/>
  <c r="U36" i="10"/>
  <c r="S36" i="10"/>
  <c r="D35" i="10"/>
  <c r="E35" i="10" s="1"/>
  <c r="D34" i="10"/>
  <c r="E34" i="10" s="1"/>
  <c r="D33" i="10"/>
  <c r="E33" i="10" s="1"/>
  <c r="D32" i="10"/>
  <c r="E32" i="10" s="1"/>
  <c r="D31" i="10"/>
  <c r="E31" i="10" s="1"/>
  <c r="D30" i="10"/>
  <c r="E30" i="10" s="1"/>
  <c r="E29" i="10"/>
  <c r="D29" i="10"/>
  <c r="V25" i="10"/>
  <c r="X24" i="10"/>
  <c r="V18" i="10"/>
  <c r="V26" i="10" s="1"/>
  <c r="AD17" i="10"/>
  <c r="AD25" i="10" s="1"/>
  <c r="AB17" i="10"/>
  <c r="AB25" i="10" s="1"/>
  <c r="Z17" i="10"/>
  <c r="Z25" i="10" s="1"/>
  <c r="X17" i="10"/>
  <c r="X25" i="10" s="1"/>
  <c r="V17" i="10"/>
  <c r="T17" i="10"/>
  <c r="T25" i="10" s="1"/>
  <c r="R17" i="10"/>
  <c r="R25" i="10" s="1"/>
  <c r="AD16" i="10"/>
  <c r="AD24" i="10" s="1"/>
  <c r="AB16" i="10"/>
  <c r="AB24" i="10" s="1"/>
  <c r="Z16" i="10"/>
  <c r="Z24" i="10" s="1"/>
  <c r="X16" i="10"/>
  <c r="X18" i="10" s="1"/>
  <c r="X26" i="10" s="1"/>
  <c r="V16" i="10"/>
  <c r="V24" i="10" s="1"/>
  <c r="T16" i="10"/>
  <c r="R16" i="10"/>
  <c r="P16" i="10"/>
  <c r="O16" i="10"/>
  <c r="N16" i="10"/>
  <c r="M16" i="10"/>
  <c r="L16" i="10"/>
  <c r="K16" i="10"/>
  <c r="J16" i="10"/>
  <c r="H16" i="10"/>
  <c r="G16" i="10"/>
  <c r="F16" i="10"/>
  <c r="O15" i="10"/>
  <c r="Q14" i="10"/>
  <c r="I14" i="10"/>
  <c r="O13" i="10"/>
  <c r="AA12" i="10"/>
  <c r="W12" i="10"/>
  <c r="U12" i="10"/>
  <c r="S12" i="10"/>
  <c r="Q12" i="10"/>
  <c r="AC12" i="10" s="1"/>
  <c r="I12" i="10"/>
  <c r="O11" i="10"/>
  <c r="AC10" i="10"/>
  <c r="Y10" i="10"/>
  <c r="W10" i="10"/>
  <c r="S10" i="10"/>
  <c r="Q10" i="10"/>
  <c r="U10" i="10" s="1"/>
  <c r="I10" i="10"/>
  <c r="O9" i="10"/>
  <c r="AC8" i="10"/>
  <c r="AA8" i="10"/>
  <c r="S8" i="10"/>
  <c r="Q8" i="10"/>
  <c r="Y8" i="10" s="1"/>
  <c r="I8" i="10"/>
  <c r="O7" i="10"/>
  <c r="Q6" i="10"/>
  <c r="I6" i="10"/>
  <c r="I16" i="10" s="1"/>
  <c r="C3" i="10"/>
  <c r="AE65" i="9"/>
  <c r="AC65" i="9"/>
  <c r="AA65" i="9"/>
  <c r="Y65" i="9"/>
  <c r="W65" i="9"/>
  <c r="U65" i="9"/>
  <c r="S65" i="9"/>
  <c r="AE64" i="9"/>
  <c r="AC64" i="9"/>
  <c r="AA64" i="9"/>
  <c r="Y64" i="9"/>
  <c r="W64" i="9"/>
  <c r="U64" i="9"/>
  <c r="S64" i="9"/>
  <c r="AE63" i="9"/>
  <c r="AC63" i="9"/>
  <c r="AA63" i="9"/>
  <c r="Y63" i="9"/>
  <c r="W63" i="9"/>
  <c r="U63" i="9"/>
  <c r="S63" i="9"/>
  <c r="AE62" i="9"/>
  <c r="AC62" i="9"/>
  <c r="AA62" i="9"/>
  <c r="Y62" i="9"/>
  <c r="W62" i="9"/>
  <c r="U62" i="9"/>
  <c r="S62" i="9"/>
  <c r="AE61" i="9"/>
  <c r="AC61" i="9"/>
  <c r="AA61" i="9"/>
  <c r="Y61" i="9"/>
  <c r="W61" i="9"/>
  <c r="U61" i="9"/>
  <c r="S61" i="9"/>
  <c r="AE60" i="9"/>
  <c r="AC60" i="9"/>
  <c r="AA60" i="9"/>
  <c r="Y60" i="9"/>
  <c r="W60" i="9"/>
  <c r="U60" i="9"/>
  <c r="S60" i="9"/>
  <c r="AE59" i="9"/>
  <c r="AC59" i="9"/>
  <c r="AA59" i="9"/>
  <c r="Y59" i="9"/>
  <c r="W59" i="9"/>
  <c r="U59" i="9"/>
  <c r="S59" i="9"/>
  <c r="AE58" i="9"/>
  <c r="AC58" i="9"/>
  <c r="AA58" i="9"/>
  <c r="Y58" i="9"/>
  <c r="W58" i="9"/>
  <c r="U58" i="9"/>
  <c r="S58" i="9"/>
  <c r="AE57" i="9"/>
  <c r="AC57" i="9"/>
  <c r="AA57" i="9"/>
  <c r="Y57" i="9"/>
  <c r="W57" i="9"/>
  <c r="U57" i="9"/>
  <c r="S57" i="9"/>
  <c r="AE56" i="9"/>
  <c r="AC56" i="9"/>
  <c r="AA56" i="9"/>
  <c r="Y56" i="9"/>
  <c r="W56" i="9"/>
  <c r="U56" i="9"/>
  <c r="S56" i="9"/>
  <c r="AE55" i="9"/>
  <c r="AC55" i="9"/>
  <c r="AA55" i="9"/>
  <c r="Y55" i="9"/>
  <c r="W55" i="9"/>
  <c r="U55" i="9"/>
  <c r="S55" i="9"/>
  <c r="AE54" i="9"/>
  <c r="AC54" i="9"/>
  <c r="AA54" i="9"/>
  <c r="Y54" i="9"/>
  <c r="W54" i="9"/>
  <c r="U54" i="9"/>
  <c r="S54" i="9"/>
  <c r="AE53" i="9"/>
  <c r="AC53" i="9"/>
  <c r="AA53" i="9"/>
  <c r="Y53" i="9"/>
  <c r="W53" i="9"/>
  <c r="U53" i="9"/>
  <c r="S53" i="9"/>
  <c r="AE52" i="9"/>
  <c r="AC52" i="9"/>
  <c r="AA52" i="9"/>
  <c r="Y52" i="9"/>
  <c r="W52" i="9"/>
  <c r="U52" i="9"/>
  <c r="S52" i="9"/>
  <c r="AE51" i="9"/>
  <c r="AC51" i="9"/>
  <c r="AA51" i="9"/>
  <c r="Y51" i="9"/>
  <c r="W51" i="9"/>
  <c r="U51" i="9"/>
  <c r="S51" i="9"/>
  <c r="AE50" i="9"/>
  <c r="AC50" i="9"/>
  <c r="AA50" i="9"/>
  <c r="Y50" i="9"/>
  <c r="W50" i="9"/>
  <c r="U50" i="9"/>
  <c r="S50" i="9"/>
  <c r="AE49" i="9"/>
  <c r="AC49" i="9"/>
  <c r="AA49" i="9"/>
  <c r="Y49" i="9"/>
  <c r="W49" i="9"/>
  <c r="U49" i="9"/>
  <c r="S49" i="9"/>
  <c r="AE48" i="9"/>
  <c r="AC48" i="9"/>
  <c r="AA48" i="9"/>
  <c r="Y48" i="9"/>
  <c r="W48" i="9"/>
  <c r="U48" i="9"/>
  <c r="S48" i="9"/>
  <c r="AE47" i="9"/>
  <c r="AC47" i="9"/>
  <c r="AA47" i="9"/>
  <c r="Y47" i="9"/>
  <c r="W47" i="9"/>
  <c r="U47" i="9"/>
  <c r="S47" i="9"/>
  <c r="AE46" i="9"/>
  <c r="AC46" i="9"/>
  <c r="AA46" i="9"/>
  <c r="Y46" i="9"/>
  <c r="W46" i="9"/>
  <c r="U46" i="9"/>
  <c r="S46" i="9"/>
  <c r="AE45" i="9"/>
  <c r="AC45" i="9"/>
  <c r="AA45" i="9"/>
  <c r="Y45" i="9"/>
  <c r="W45" i="9"/>
  <c r="U45" i="9"/>
  <c r="S45" i="9"/>
  <c r="AE44" i="9"/>
  <c r="AC44" i="9"/>
  <c r="AA44" i="9"/>
  <c r="Y44" i="9"/>
  <c r="W44" i="9"/>
  <c r="U44" i="9"/>
  <c r="S44" i="9"/>
  <c r="AE43" i="9"/>
  <c r="AC43" i="9"/>
  <c r="AA43" i="9"/>
  <c r="Y43" i="9"/>
  <c r="W43" i="9"/>
  <c r="U43" i="9"/>
  <c r="S43" i="9"/>
  <c r="AE42" i="9"/>
  <c r="AC42" i="9"/>
  <c r="AA42" i="9"/>
  <c r="Y42" i="9"/>
  <c r="W42" i="9"/>
  <c r="U42" i="9"/>
  <c r="S42" i="9"/>
  <c r="AE41" i="9"/>
  <c r="AC41" i="9"/>
  <c r="AA41" i="9"/>
  <c r="Y41" i="9"/>
  <c r="W41" i="9"/>
  <c r="U41" i="9"/>
  <c r="S41" i="9"/>
  <c r="AE40" i="9"/>
  <c r="AC40" i="9"/>
  <c r="AA40" i="9"/>
  <c r="Y40" i="9"/>
  <c r="W40" i="9"/>
  <c r="U40" i="9"/>
  <c r="S40" i="9"/>
  <c r="AE39" i="9"/>
  <c r="AC39" i="9"/>
  <c r="AA39" i="9"/>
  <c r="Y39" i="9"/>
  <c r="W39" i="9"/>
  <c r="U39" i="9"/>
  <c r="S39" i="9"/>
  <c r="AE38" i="9"/>
  <c r="AC38" i="9"/>
  <c r="AA38" i="9"/>
  <c r="Y38" i="9"/>
  <c r="W38" i="9"/>
  <c r="U38" i="9"/>
  <c r="S38" i="9"/>
  <c r="AE37" i="9"/>
  <c r="AC37" i="9"/>
  <c r="AA37" i="9"/>
  <c r="Y37" i="9"/>
  <c r="W37" i="9"/>
  <c r="U37" i="9"/>
  <c r="S37" i="9"/>
  <c r="AE36" i="9"/>
  <c r="AC36" i="9"/>
  <c r="AA36" i="9"/>
  <c r="Y36" i="9"/>
  <c r="W36" i="9"/>
  <c r="U36" i="9"/>
  <c r="S36" i="9"/>
  <c r="E35" i="9"/>
  <c r="D35" i="9"/>
  <c r="D34" i="9"/>
  <c r="E34" i="9" s="1"/>
  <c r="D33" i="9"/>
  <c r="E33" i="9" s="1"/>
  <c r="D32" i="9"/>
  <c r="E32" i="9" s="1"/>
  <c r="D31" i="9"/>
  <c r="E31" i="9" s="1"/>
  <c r="D30" i="9"/>
  <c r="E30" i="9" s="1"/>
  <c r="D29" i="9"/>
  <c r="E29" i="9" s="1"/>
  <c r="T25" i="9"/>
  <c r="Z24" i="9"/>
  <c r="R24" i="9"/>
  <c r="AD17" i="9"/>
  <c r="AD25" i="9" s="1"/>
  <c r="AB17" i="9"/>
  <c r="AB25" i="9" s="1"/>
  <c r="Z17" i="9"/>
  <c r="Z25" i="9" s="1"/>
  <c r="X17" i="9"/>
  <c r="X25" i="9" s="1"/>
  <c r="V17" i="9"/>
  <c r="V25" i="9" s="1"/>
  <c r="T17" i="9"/>
  <c r="R17" i="9"/>
  <c r="R25" i="9" s="1"/>
  <c r="AD16" i="9"/>
  <c r="AB16" i="9"/>
  <c r="AB24" i="9" s="1"/>
  <c r="Z16" i="9"/>
  <c r="Z18" i="9" s="1"/>
  <c r="Z26" i="9" s="1"/>
  <c r="X16" i="9"/>
  <c r="X24" i="9" s="1"/>
  <c r="V16" i="9"/>
  <c r="T16" i="9"/>
  <c r="T18" i="9" s="1"/>
  <c r="T26" i="9" s="1"/>
  <c r="R16" i="9"/>
  <c r="R18" i="9" s="1"/>
  <c r="R26" i="9" s="1"/>
  <c r="P16" i="9"/>
  <c r="O16" i="9"/>
  <c r="N16" i="9"/>
  <c r="L16" i="9"/>
  <c r="K16" i="9"/>
  <c r="J16" i="9"/>
  <c r="H16" i="9"/>
  <c r="G16" i="9"/>
  <c r="F16" i="9"/>
  <c r="O15" i="9"/>
  <c r="AC14" i="9"/>
  <c r="AA14" i="9"/>
  <c r="W14" i="9"/>
  <c r="U14" i="9"/>
  <c r="S14" i="9"/>
  <c r="Q14" i="9"/>
  <c r="M14" i="9"/>
  <c r="I14" i="9"/>
  <c r="O13" i="9"/>
  <c r="Y12" i="9"/>
  <c r="S12" i="9"/>
  <c r="Q12" i="9"/>
  <c r="U12" i="9" s="1"/>
  <c r="M12" i="9"/>
  <c r="I12" i="9"/>
  <c r="O11" i="9"/>
  <c r="Q10" i="9"/>
  <c r="Y10" i="9" s="1"/>
  <c r="M10" i="9"/>
  <c r="I10" i="9"/>
  <c r="O9" i="9"/>
  <c r="W8" i="9"/>
  <c r="Q8" i="9"/>
  <c r="M8" i="9"/>
  <c r="I8" i="9"/>
  <c r="O7" i="9"/>
  <c r="AA6" i="9"/>
  <c r="Q6" i="9"/>
  <c r="M6" i="9"/>
  <c r="I6" i="9"/>
  <c r="C3" i="9"/>
  <c r="AE65" i="8"/>
  <c r="AC65" i="8"/>
  <c r="AA65" i="8"/>
  <c r="Y65" i="8"/>
  <c r="W65" i="8"/>
  <c r="U65" i="8"/>
  <c r="S65" i="8"/>
  <c r="AE64" i="8"/>
  <c r="AC64" i="8"/>
  <c r="AA64" i="8"/>
  <c r="Y64" i="8"/>
  <c r="W64" i="8"/>
  <c r="U64" i="8"/>
  <c r="S64" i="8"/>
  <c r="AE63" i="8"/>
  <c r="AC63" i="8"/>
  <c r="AA63" i="8"/>
  <c r="Y63" i="8"/>
  <c r="W63" i="8"/>
  <c r="U63" i="8"/>
  <c r="S63" i="8"/>
  <c r="AE62" i="8"/>
  <c r="AC62" i="8"/>
  <c r="AA62" i="8"/>
  <c r="Y62" i="8"/>
  <c r="W62" i="8"/>
  <c r="U62" i="8"/>
  <c r="S62" i="8"/>
  <c r="AE61" i="8"/>
  <c r="AC61" i="8"/>
  <c r="AA61" i="8"/>
  <c r="Y61" i="8"/>
  <c r="W61" i="8"/>
  <c r="U61" i="8"/>
  <c r="S61" i="8"/>
  <c r="AE60" i="8"/>
  <c r="AC60" i="8"/>
  <c r="AA60" i="8"/>
  <c r="Y60" i="8"/>
  <c r="W60" i="8"/>
  <c r="U60" i="8"/>
  <c r="S60" i="8"/>
  <c r="AE59" i="8"/>
  <c r="AC59" i="8"/>
  <c r="AA59" i="8"/>
  <c r="Y59" i="8"/>
  <c r="W59" i="8"/>
  <c r="U59" i="8"/>
  <c r="S59" i="8"/>
  <c r="AE58" i="8"/>
  <c r="AC58" i="8"/>
  <c r="AA58" i="8"/>
  <c r="Y58" i="8"/>
  <c r="W58" i="8"/>
  <c r="U58" i="8"/>
  <c r="S58" i="8"/>
  <c r="AE57" i="8"/>
  <c r="AC57" i="8"/>
  <c r="AA57" i="8"/>
  <c r="Y57" i="8"/>
  <c r="W57" i="8"/>
  <c r="U57" i="8"/>
  <c r="S57" i="8"/>
  <c r="AE56" i="8"/>
  <c r="AC56" i="8"/>
  <c r="AA56" i="8"/>
  <c r="Y56" i="8"/>
  <c r="W56" i="8"/>
  <c r="U56" i="8"/>
  <c r="S56" i="8"/>
  <c r="AE55" i="8"/>
  <c r="AC55" i="8"/>
  <c r="AA55" i="8"/>
  <c r="Y55" i="8"/>
  <c r="W55" i="8"/>
  <c r="U55" i="8"/>
  <c r="S55" i="8"/>
  <c r="AE54" i="8"/>
  <c r="AC54" i="8"/>
  <c r="AA54" i="8"/>
  <c r="Y54" i="8"/>
  <c r="W54" i="8"/>
  <c r="U54" i="8"/>
  <c r="S54" i="8"/>
  <c r="AE53" i="8"/>
  <c r="AC53" i="8"/>
  <c r="AA53" i="8"/>
  <c r="Y53" i="8"/>
  <c r="W53" i="8"/>
  <c r="U53" i="8"/>
  <c r="S53" i="8"/>
  <c r="AE52" i="8"/>
  <c r="AC52" i="8"/>
  <c r="AA52" i="8"/>
  <c r="Y52" i="8"/>
  <c r="W52" i="8"/>
  <c r="U52" i="8"/>
  <c r="S52" i="8"/>
  <c r="AE51" i="8"/>
  <c r="AC51" i="8"/>
  <c r="AA51" i="8"/>
  <c r="Y51" i="8"/>
  <c r="W51" i="8"/>
  <c r="U51" i="8"/>
  <c r="S51" i="8"/>
  <c r="AE50" i="8"/>
  <c r="AC50" i="8"/>
  <c r="AA50" i="8"/>
  <c r="Y50" i="8"/>
  <c r="W50" i="8"/>
  <c r="U50" i="8"/>
  <c r="S50" i="8"/>
  <c r="AE49" i="8"/>
  <c r="AC49" i="8"/>
  <c r="AA49" i="8"/>
  <c r="Y49" i="8"/>
  <c r="W49" i="8"/>
  <c r="U49" i="8"/>
  <c r="S49" i="8"/>
  <c r="AE48" i="8"/>
  <c r="AC48" i="8"/>
  <c r="AA48" i="8"/>
  <c r="Y48" i="8"/>
  <c r="W48" i="8"/>
  <c r="U48" i="8"/>
  <c r="S48" i="8"/>
  <c r="AE47" i="8"/>
  <c r="AC47" i="8"/>
  <c r="AA47" i="8"/>
  <c r="Y47" i="8"/>
  <c r="W47" i="8"/>
  <c r="U47" i="8"/>
  <c r="S47" i="8"/>
  <c r="AE46" i="8"/>
  <c r="AC46" i="8"/>
  <c r="AA46" i="8"/>
  <c r="Y46" i="8"/>
  <c r="W46" i="8"/>
  <c r="U46" i="8"/>
  <c r="S46" i="8"/>
  <c r="AE45" i="8"/>
  <c r="AC45" i="8"/>
  <c r="AA45" i="8"/>
  <c r="Y45" i="8"/>
  <c r="W45" i="8"/>
  <c r="U45" i="8"/>
  <c r="S45" i="8"/>
  <c r="AE44" i="8"/>
  <c r="AC44" i="8"/>
  <c r="AA44" i="8"/>
  <c r="Y44" i="8"/>
  <c r="W44" i="8"/>
  <c r="U44" i="8"/>
  <c r="S44" i="8"/>
  <c r="AE43" i="8"/>
  <c r="AC43" i="8"/>
  <c r="AA43" i="8"/>
  <c r="Y43" i="8"/>
  <c r="W43" i="8"/>
  <c r="U43" i="8"/>
  <c r="S43" i="8"/>
  <c r="AE42" i="8"/>
  <c r="AC42" i="8"/>
  <c r="AA42" i="8"/>
  <c r="Y42" i="8"/>
  <c r="W42" i="8"/>
  <c r="U42" i="8"/>
  <c r="S42" i="8"/>
  <c r="AE41" i="8"/>
  <c r="AC41" i="8"/>
  <c r="AA41" i="8"/>
  <c r="Y41" i="8"/>
  <c r="W41" i="8"/>
  <c r="U41" i="8"/>
  <c r="S41" i="8"/>
  <c r="AE40" i="8"/>
  <c r="AC40" i="8"/>
  <c r="AA40" i="8"/>
  <c r="Y40" i="8"/>
  <c r="W40" i="8"/>
  <c r="U40" i="8"/>
  <c r="S40" i="8"/>
  <c r="AE39" i="8"/>
  <c r="AC39" i="8"/>
  <c r="AA39" i="8"/>
  <c r="Y39" i="8"/>
  <c r="W39" i="8"/>
  <c r="U39" i="8"/>
  <c r="S39" i="8"/>
  <c r="AE38" i="8"/>
  <c r="AC38" i="8"/>
  <c r="AA38" i="8"/>
  <c r="Y38" i="8"/>
  <c r="W38" i="8"/>
  <c r="U38" i="8"/>
  <c r="S38" i="8"/>
  <c r="AE37" i="8"/>
  <c r="AC37" i="8"/>
  <c r="AA37" i="8"/>
  <c r="Y37" i="8"/>
  <c r="W37" i="8"/>
  <c r="U37" i="8"/>
  <c r="S37" i="8"/>
  <c r="AE36" i="8"/>
  <c r="AC36" i="8"/>
  <c r="AA36" i="8"/>
  <c r="Y36" i="8"/>
  <c r="W36" i="8"/>
  <c r="U36" i="8"/>
  <c r="S36" i="8"/>
  <c r="E35" i="8"/>
  <c r="D35" i="8"/>
  <c r="D34" i="8"/>
  <c r="E34" i="8" s="1"/>
  <c r="D33" i="8"/>
  <c r="E33" i="8" s="1"/>
  <c r="D32" i="8"/>
  <c r="E32" i="8" s="1"/>
  <c r="E31" i="8"/>
  <c r="D31" i="8"/>
  <c r="D30" i="8"/>
  <c r="E30" i="8" s="1"/>
  <c r="D29" i="8"/>
  <c r="E29" i="8" s="1"/>
  <c r="AD17" i="8"/>
  <c r="AD25" i="8" s="1"/>
  <c r="AB17" i="8"/>
  <c r="AB25" i="8" s="1"/>
  <c r="Z17" i="8"/>
  <c r="Z25" i="8" s="1"/>
  <c r="X17" i="8"/>
  <c r="X25" i="8" s="1"/>
  <c r="V17" i="8"/>
  <c r="V25" i="8" s="1"/>
  <c r="T17" i="8"/>
  <c r="T25" i="8" s="1"/>
  <c r="R17" i="8"/>
  <c r="R25" i="8" s="1"/>
  <c r="AD16" i="8"/>
  <c r="AE16" i="8" s="1"/>
  <c r="AB16" i="8"/>
  <c r="AB24" i="8" s="1"/>
  <c r="Z16" i="8"/>
  <c r="Z24" i="8" s="1"/>
  <c r="X16" i="8"/>
  <c r="X24" i="8" s="1"/>
  <c r="V16" i="8"/>
  <c r="V24" i="8" s="1"/>
  <c r="T16" i="8"/>
  <c r="R16" i="8"/>
  <c r="R18" i="8" s="1"/>
  <c r="R26" i="8" s="1"/>
  <c r="P16" i="8"/>
  <c r="O16" i="8"/>
  <c r="N16" i="8"/>
  <c r="L16" i="8"/>
  <c r="K16" i="8"/>
  <c r="J16" i="8"/>
  <c r="H16" i="8"/>
  <c r="G16" i="8"/>
  <c r="F16" i="8"/>
  <c r="O15" i="8"/>
  <c r="AE14" i="8"/>
  <c r="Y14" i="8"/>
  <c r="W14" i="8"/>
  <c r="Q14" i="8"/>
  <c r="AA14" i="8" s="1"/>
  <c r="M14" i="8"/>
  <c r="I14" i="8"/>
  <c r="O13" i="8"/>
  <c r="AE12" i="8"/>
  <c r="U12" i="8"/>
  <c r="Q12" i="8"/>
  <c r="AA12" i="8" s="1"/>
  <c r="M12" i="8"/>
  <c r="I12" i="8"/>
  <c r="O11" i="8"/>
  <c r="AE10" i="8"/>
  <c r="AC10" i="8"/>
  <c r="W10" i="8"/>
  <c r="Q10" i="8"/>
  <c r="Y10" i="8" s="1"/>
  <c r="M10" i="8"/>
  <c r="I10" i="8"/>
  <c r="O9" i="8"/>
  <c r="AE8" i="8"/>
  <c r="Q8" i="8"/>
  <c r="M8" i="8"/>
  <c r="I8" i="8"/>
  <c r="O7" i="8"/>
  <c r="AE6" i="8"/>
  <c r="Q6" i="8"/>
  <c r="S6" i="8" s="1"/>
  <c r="M6" i="8"/>
  <c r="I6" i="8"/>
  <c r="I16" i="8" s="1"/>
  <c r="C3" i="8"/>
  <c r="AE65" i="7"/>
  <c r="AC65" i="7"/>
  <c r="AA65" i="7"/>
  <c r="Y65" i="7"/>
  <c r="W65" i="7"/>
  <c r="U65" i="7"/>
  <c r="S65" i="7"/>
  <c r="AE64" i="7"/>
  <c r="AC64" i="7"/>
  <c r="AA64" i="7"/>
  <c r="Y64" i="7"/>
  <c r="W64" i="7"/>
  <c r="U64" i="7"/>
  <c r="S64" i="7"/>
  <c r="AE63" i="7"/>
  <c r="AC63" i="7"/>
  <c r="AA63" i="7"/>
  <c r="Y63" i="7"/>
  <c r="W63" i="7"/>
  <c r="U63" i="7"/>
  <c r="S63" i="7"/>
  <c r="AE62" i="7"/>
  <c r="AC62" i="7"/>
  <c r="AA62" i="7"/>
  <c r="Y62" i="7"/>
  <c r="W62" i="7"/>
  <c r="U62" i="7"/>
  <c r="S62" i="7"/>
  <c r="AE61" i="7"/>
  <c r="AC61" i="7"/>
  <c r="AA61" i="7"/>
  <c r="Y61" i="7"/>
  <c r="W61" i="7"/>
  <c r="U61" i="7"/>
  <c r="S61" i="7"/>
  <c r="AE60" i="7"/>
  <c r="AC60" i="7"/>
  <c r="AA60" i="7"/>
  <c r="Y60" i="7"/>
  <c r="W60" i="7"/>
  <c r="U60" i="7"/>
  <c r="S60" i="7"/>
  <c r="AE59" i="7"/>
  <c r="AC59" i="7"/>
  <c r="AA59" i="7"/>
  <c r="Y59" i="7"/>
  <c r="W59" i="7"/>
  <c r="U59" i="7"/>
  <c r="S59" i="7"/>
  <c r="AE58" i="7"/>
  <c r="AC58" i="7"/>
  <c r="AA58" i="7"/>
  <c r="Y58" i="7"/>
  <c r="W58" i="7"/>
  <c r="U58" i="7"/>
  <c r="S58" i="7"/>
  <c r="AE57" i="7"/>
  <c r="AC57" i="7"/>
  <c r="AA57" i="7"/>
  <c r="Y57" i="7"/>
  <c r="W57" i="7"/>
  <c r="U57" i="7"/>
  <c r="S57" i="7"/>
  <c r="AE56" i="7"/>
  <c r="AC56" i="7"/>
  <c r="AA56" i="7"/>
  <c r="Y56" i="7"/>
  <c r="W56" i="7"/>
  <c r="U56" i="7"/>
  <c r="S56" i="7"/>
  <c r="AE55" i="7"/>
  <c r="AC55" i="7"/>
  <c r="AA55" i="7"/>
  <c r="Y55" i="7"/>
  <c r="W55" i="7"/>
  <c r="U55" i="7"/>
  <c r="S55" i="7"/>
  <c r="AE54" i="7"/>
  <c r="AC54" i="7"/>
  <c r="AA54" i="7"/>
  <c r="Y54" i="7"/>
  <c r="W54" i="7"/>
  <c r="U54" i="7"/>
  <c r="S54" i="7"/>
  <c r="AE53" i="7"/>
  <c r="AC53" i="7"/>
  <c r="AA53" i="7"/>
  <c r="Y53" i="7"/>
  <c r="W53" i="7"/>
  <c r="U53" i="7"/>
  <c r="S53" i="7"/>
  <c r="AE52" i="7"/>
  <c r="AC52" i="7"/>
  <c r="AA52" i="7"/>
  <c r="Y52" i="7"/>
  <c r="W52" i="7"/>
  <c r="U52" i="7"/>
  <c r="S52" i="7"/>
  <c r="AE51" i="7"/>
  <c r="AC51" i="7"/>
  <c r="AA51" i="7"/>
  <c r="Y51" i="7"/>
  <c r="W51" i="7"/>
  <c r="U51" i="7"/>
  <c r="S51" i="7"/>
  <c r="AE50" i="7"/>
  <c r="AC50" i="7"/>
  <c r="AA50" i="7"/>
  <c r="Y50" i="7"/>
  <c r="W50" i="7"/>
  <c r="U50" i="7"/>
  <c r="S50" i="7"/>
  <c r="AE49" i="7"/>
  <c r="AC49" i="7"/>
  <c r="AA49" i="7"/>
  <c r="Y49" i="7"/>
  <c r="W49" i="7"/>
  <c r="U49" i="7"/>
  <c r="S49" i="7"/>
  <c r="AE48" i="7"/>
  <c r="AC48" i="7"/>
  <c r="AA48" i="7"/>
  <c r="Y48" i="7"/>
  <c r="W48" i="7"/>
  <c r="U48" i="7"/>
  <c r="S48" i="7"/>
  <c r="AE47" i="7"/>
  <c r="AC47" i="7"/>
  <c r="AA47" i="7"/>
  <c r="Y47" i="7"/>
  <c r="W47" i="7"/>
  <c r="U47" i="7"/>
  <c r="S47" i="7"/>
  <c r="AE46" i="7"/>
  <c r="AC46" i="7"/>
  <c r="AA46" i="7"/>
  <c r="Y46" i="7"/>
  <c r="W46" i="7"/>
  <c r="U46" i="7"/>
  <c r="S46" i="7"/>
  <c r="AE45" i="7"/>
  <c r="AC45" i="7"/>
  <c r="AA45" i="7"/>
  <c r="Y45" i="7"/>
  <c r="W45" i="7"/>
  <c r="U45" i="7"/>
  <c r="S45" i="7"/>
  <c r="AE44" i="7"/>
  <c r="AC44" i="7"/>
  <c r="AA44" i="7"/>
  <c r="Y44" i="7"/>
  <c r="W44" i="7"/>
  <c r="U44" i="7"/>
  <c r="S44" i="7"/>
  <c r="AE43" i="7"/>
  <c r="AC43" i="7"/>
  <c r="AA43" i="7"/>
  <c r="Y43" i="7"/>
  <c r="W43" i="7"/>
  <c r="U43" i="7"/>
  <c r="S43" i="7"/>
  <c r="AE42" i="7"/>
  <c r="AC42" i="7"/>
  <c r="AA42" i="7"/>
  <c r="Y42" i="7"/>
  <c r="W42" i="7"/>
  <c r="U42" i="7"/>
  <c r="S42" i="7"/>
  <c r="AE41" i="7"/>
  <c r="AC41" i="7"/>
  <c r="AA41" i="7"/>
  <c r="Y41" i="7"/>
  <c r="W41" i="7"/>
  <c r="U41" i="7"/>
  <c r="S41" i="7"/>
  <c r="AE40" i="7"/>
  <c r="AC40" i="7"/>
  <c r="AA40" i="7"/>
  <c r="Y40" i="7"/>
  <c r="W40" i="7"/>
  <c r="U40" i="7"/>
  <c r="S40" i="7"/>
  <c r="AE39" i="7"/>
  <c r="AC39" i="7"/>
  <c r="AA39" i="7"/>
  <c r="Y39" i="7"/>
  <c r="W39" i="7"/>
  <c r="U39" i="7"/>
  <c r="S39" i="7"/>
  <c r="AE38" i="7"/>
  <c r="AC38" i="7"/>
  <c r="AA38" i="7"/>
  <c r="Y38" i="7"/>
  <c r="W38" i="7"/>
  <c r="U38" i="7"/>
  <c r="S38" i="7"/>
  <c r="AE37" i="7"/>
  <c r="AC37" i="7"/>
  <c r="AA37" i="7"/>
  <c r="Y37" i="7"/>
  <c r="W37" i="7"/>
  <c r="U37" i="7"/>
  <c r="S37" i="7"/>
  <c r="AE36" i="7"/>
  <c r="AC36" i="7"/>
  <c r="AA36" i="7"/>
  <c r="Y36" i="7"/>
  <c r="W36" i="7"/>
  <c r="U36" i="7"/>
  <c r="S36" i="7"/>
  <c r="D35" i="7"/>
  <c r="E35" i="7" s="1"/>
  <c r="D34" i="7"/>
  <c r="E34" i="7" s="1"/>
  <c r="D33" i="7"/>
  <c r="E33" i="7" s="1"/>
  <c r="D32" i="7"/>
  <c r="E32" i="7" s="1"/>
  <c r="D31" i="7"/>
  <c r="E31" i="7" s="1"/>
  <c r="D30" i="7"/>
  <c r="E30" i="7" s="1"/>
  <c r="D29" i="7"/>
  <c r="E29" i="7" s="1"/>
  <c r="AB25" i="7"/>
  <c r="Z25" i="7"/>
  <c r="V18" i="7"/>
  <c r="V26" i="7" s="1"/>
  <c r="AD17" i="7"/>
  <c r="AD25" i="7" s="1"/>
  <c r="AB17" i="7"/>
  <c r="Z17" i="7"/>
  <c r="X17" i="7"/>
  <c r="X25" i="7" s="1"/>
  <c r="V17" i="7"/>
  <c r="V25" i="7" s="1"/>
  <c r="T17" i="7"/>
  <c r="T25" i="7" s="1"/>
  <c r="R17" i="7"/>
  <c r="R25" i="7" s="1"/>
  <c r="AD16" i="7"/>
  <c r="AD18" i="7" s="1"/>
  <c r="AD26" i="7" s="1"/>
  <c r="AB16" i="7"/>
  <c r="Z16" i="7"/>
  <c r="X16" i="7"/>
  <c r="X18" i="7" s="1"/>
  <c r="X26" i="7" s="1"/>
  <c r="V16" i="7"/>
  <c r="V24" i="7" s="1"/>
  <c r="T16" i="7"/>
  <c r="T24" i="7" s="1"/>
  <c r="R16" i="7"/>
  <c r="P16" i="7"/>
  <c r="O16" i="7"/>
  <c r="N16" i="7"/>
  <c r="L16" i="7"/>
  <c r="K16" i="7"/>
  <c r="J16" i="7"/>
  <c r="H16" i="7"/>
  <c r="G16" i="7"/>
  <c r="F16" i="7"/>
  <c r="O15" i="7"/>
  <c r="AE14" i="7"/>
  <c r="AA14" i="7"/>
  <c r="W14" i="7"/>
  <c r="U14" i="7"/>
  <c r="S14" i="7"/>
  <c r="Q14" i="7"/>
  <c r="Y14" i="7" s="1"/>
  <c r="M14" i="7"/>
  <c r="I14" i="7"/>
  <c r="O13" i="7"/>
  <c r="Q12" i="7"/>
  <c r="M12" i="7"/>
  <c r="I12" i="7"/>
  <c r="O11" i="7"/>
  <c r="Q10" i="7"/>
  <c r="S10" i="7" s="1"/>
  <c r="M10" i="7"/>
  <c r="I10" i="7"/>
  <c r="O9" i="7"/>
  <c r="AC8" i="7"/>
  <c r="W8" i="7"/>
  <c r="U8" i="7"/>
  <c r="Q8" i="7"/>
  <c r="Y8" i="7" s="1"/>
  <c r="M8" i="7"/>
  <c r="I8" i="7"/>
  <c r="O7" i="7"/>
  <c r="AE6" i="7"/>
  <c r="AA6" i="7"/>
  <c r="W6" i="7"/>
  <c r="S6" i="7"/>
  <c r="Q6" i="7"/>
  <c r="Y6" i="7" s="1"/>
  <c r="M6" i="7"/>
  <c r="I6" i="7"/>
  <c r="C3" i="7"/>
  <c r="AE65" i="6"/>
  <c r="AC65" i="6"/>
  <c r="AA65" i="6"/>
  <c r="Y65" i="6"/>
  <c r="W65" i="6"/>
  <c r="U65" i="6"/>
  <c r="S65" i="6"/>
  <c r="AE64" i="6"/>
  <c r="AC64" i="6"/>
  <c r="AA64" i="6"/>
  <c r="Y64" i="6"/>
  <c r="W64" i="6"/>
  <c r="U64" i="6"/>
  <c r="S64" i="6"/>
  <c r="AE63" i="6"/>
  <c r="AC63" i="6"/>
  <c r="AA63" i="6"/>
  <c r="Y63" i="6"/>
  <c r="W63" i="6"/>
  <c r="U63" i="6"/>
  <c r="S63" i="6"/>
  <c r="AE62" i="6"/>
  <c r="AC62" i="6"/>
  <c r="AA62" i="6"/>
  <c r="Y62" i="6"/>
  <c r="W62" i="6"/>
  <c r="U62" i="6"/>
  <c r="S62" i="6"/>
  <c r="AE61" i="6"/>
  <c r="AC61" i="6"/>
  <c r="AA61" i="6"/>
  <c r="Y61" i="6"/>
  <c r="W61" i="6"/>
  <c r="U61" i="6"/>
  <c r="S61" i="6"/>
  <c r="AE60" i="6"/>
  <c r="AC60" i="6"/>
  <c r="AA60" i="6"/>
  <c r="Y60" i="6"/>
  <c r="W60" i="6"/>
  <c r="U60" i="6"/>
  <c r="S60" i="6"/>
  <c r="AE59" i="6"/>
  <c r="AC59" i="6"/>
  <c r="AA59" i="6"/>
  <c r="Y59" i="6"/>
  <c r="W59" i="6"/>
  <c r="U59" i="6"/>
  <c r="S59" i="6"/>
  <c r="AE58" i="6"/>
  <c r="AC58" i="6"/>
  <c r="AA58" i="6"/>
  <c r="Y58" i="6"/>
  <c r="W58" i="6"/>
  <c r="U58" i="6"/>
  <c r="S58" i="6"/>
  <c r="AE57" i="6"/>
  <c r="AC57" i="6"/>
  <c r="AA57" i="6"/>
  <c r="Y57" i="6"/>
  <c r="W57" i="6"/>
  <c r="U57" i="6"/>
  <c r="S57" i="6"/>
  <c r="AE56" i="6"/>
  <c r="AC56" i="6"/>
  <c r="AA56" i="6"/>
  <c r="Y56" i="6"/>
  <c r="W56" i="6"/>
  <c r="U56" i="6"/>
  <c r="S56" i="6"/>
  <c r="AE55" i="6"/>
  <c r="AC55" i="6"/>
  <c r="AA55" i="6"/>
  <c r="Y55" i="6"/>
  <c r="W55" i="6"/>
  <c r="U55" i="6"/>
  <c r="S55" i="6"/>
  <c r="AE54" i="6"/>
  <c r="AC54" i="6"/>
  <c r="AA54" i="6"/>
  <c r="Y54" i="6"/>
  <c r="W54" i="6"/>
  <c r="U54" i="6"/>
  <c r="S54" i="6"/>
  <c r="AE53" i="6"/>
  <c r="AC53" i="6"/>
  <c r="AA53" i="6"/>
  <c r="Y53" i="6"/>
  <c r="W53" i="6"/>
  <c r="U53" i="6"/>
  <c r="S53" i="6"/>
  <c r="AE52" i="6"/>
  <c r="AC52" i="6"/>
  <c r="AA52" i="6"/>
  <c r="Y52" i="6"/>
  <c r="W52" i="6"/>
  <c r="U52" i="6"/>
  <c r="S52" i="6"/>
  <c r="AE51" i="6"/>
  <c r="AC51" i="6"/>
  <c r="AA51" i="6"/>
  <c r="Y51" i="6"/>
  <c r="W51" i="6"/>
  <c r="U51" i="6"/>
  <c r="S51" i="6"/>
  <c r="AE50" i="6"/>
  <c r="AC50" i="6"/>
  <c r="AA50" i="6"/>
  <c r="Y50" i="6"/>
  <c r="W50" i="6"/>
  <c r="U50" i="6"/>
  <c r="S50" i="6"/>
  <c r="AE49" i="6"/>
  <c r="AC49" i="6"/>
  <c r="AA49" i="6"/>
  <c r="Y49" i="6"/>
  <c r="W49" i="6"/>
  <c r="U49" i="6"/>
  <c r="S49" i="6"/>
  <c r="AE48" i="6"/>
  <c r="AC48" i="6"/>
  <c r="AA48" i="6"/>
  <c r="Y48" i="6"/>
  <c r="W48" i="6"/>
  <c r="U48" i="6"/>
  <c r="S48" i="6"/>
  <c r="AE47" i="6"/>
  <c r="AC47" i="6"/>
  <c r="AA47" i="6"/>
  <c r="Y47" i="6"/>
  <c r="W47" i="6"/>
  <c r="U47" i="6"/>
  <c r="S47" i="6"/>
  <c r="AE46" i="6"/>
  <c r="AC46" i="6"/>
  <c r="AA46" i="6"/>
  <c r="Y46" i="6"/>
  <c r="W46" i="6"/>
  <c r="U46" i="6"/>
  <c r="S46" i="6"/>
  <c r="AE45" i="6"/>
  <c r="AC45" i="6"/>
  <c r="AA45" i="6"/>
  <c r="Y45" i="6"/>
  <c r="W45" i="6"/>
  <c r="U45" i="6"/>
  <c r="S45" i="6"/>
  <c r="AE44" i="6"/>
  <c r="AC44" i="6"/>
  <c r="AA44" i="6"/>
  <c r="Y44" i="6"/>
  <c r="W44" i="6"/>
  <c r="U44" i="6"/>
  <c r="S44" i="6"/>
  <c r="AE43" i="6"/>
  <c r="AC43" i="6"/>
  <c r="AA43" i="6"/>
  <c r="Y43" i="6"/>
  <c r="W43" i="6"/>
  <c r="U43" i="6"/>
  <c r="S43" i="6"/>
  <c r="AE42" i="6"/>
  <c r="AC42" i="6"/>
  <c r="AA42" i="6"/>
  <c r="Y42" i="6"/>
  <c r="W42" i="6"/>
  <c r="U42" i="6"/>
  <c r="S42" i="6"/>
  <c r="AE41" i="6"/>
  <c r="AC41" i="6"/>
  <c r="AA41" i="6"/>
  <c r="Y41" i="6"/>
  <c r="W41" i="6"/>
  <c r="U41" i="6"/>
  <c r="S41" i="6"/>
  <c r="AE40" i="6"/>
  <c r="AC40" i="6"/>
  <c r="AA40" i="6"/>
  <c r="Y40" i="6"/>
  <c r="W40" i="6"/>
  <c r="U40" i="6"/>
  <c r="S40" i="6"/>
  <c r="AE39" i="6"/>
  <c r="AC39" i="6"/>
  <c r="AA39" i="6"/>
  <c r="Y39" i="6"/>
  <c r="W39" i="6"/>
  <c r="U39" i="6"/>
  <c r="S39" i="6"/>
  <c r="AE38" i="6"/>
  <c r="AC38" i="6"/>
  <c r="AA38" i="6"/>
  <c r="Y38" i="6"/>
  <c r="W38" i="6"/>
  <c r="U38" i="6"/>
  <c r="S38" i="6"/>
  <c r="AE37" i="6"/>
  <c r="AC37" i="6"/>
  <c r="AA37" i="6"/>
  <c r="Y37" i="6"/>
  <c r="W37" i="6"/>
  <c r="U37" i="6"/>
  <c r="S37" i="6"/>
  <c r="AE36" i="6"/>
  <c r="AC36" i="6"/>
  <c r="AA36" i="6"/>
  <c r="Y36" i="6"/>
  <c r="W36" i="6"/>
  <c r="U36" i="6"/>
  <c r="S36" i="6"/>
  <c r="D35" i="6"/>
  <c r="E35" i="6" s="1"/>
  <c r="D34" i="6"/>
  <c r="E34" i="6" s="1"/>
  <c r="E33" i="6"/>
  <c r="D33" i="6"/>
  <c r="D32" i="6"/>
  <c r="E32" i="6" s="1"/>
  <c r="D31" i="6"/>
  <c r="E31" i="6" s="1"/>
  <c r="D30" i="6"/>
  <c r="E30" i="6" s="1"/>
  <c r="E29" i="6"/>
  <c r="D29" i="6"/>
  <c r="V25" i="6"/>
  <c r="AD17" i="6"/>
  <c r="AD25" i="6" s="1"/>
  <c r="AB17" i="6"/>
  <c r="AB25" i="6" s="1"/>
  <c r="Z17" i="6"/>
  <c r="Z25" i="6" s="1"/>
  <c r="X17" i="6"/>
  <c r="X25" i="6" s="1"/>
  <c r="V17" i="6"/>
  <c r="T17" i="6"/>
  <c r="T25" i="6" s="1"/>
  <c r="R17" i="6"/>
  <c r="R25" i="6" s="1"/>
  <c r="AD16" i="6"/>
  <c r="AD18" i="6" s="1"/>
  <c r="AD26" i="6" s="1"/>
  <c r="AB16" i="6"/>
  <c r="Z16" i="6"/>
  <c r="X16" i="6"/>
  <c r="V16" i="6"/>
  <c r="T16" i="6"/>
  <c r="T24" i="6" s="1"/>
  <c r="R16" i="6"/>
  <c r="R18" i="6" s="1"/>
  <c r="R26" i="6" s="1"/>
  <c r="P16" i="6"/>
  <c r="O16" i="6"/>
  <c r="N16" i="6"/>
  <c r="L16" i="6"/>
  <c r="K16" i="6"/>
  <c r="J16" i="6"/>
  <c r="H16" i="6"/>
  <c r="G16" i="6"/>
  <c r="F16" i="6"/>
  <c r="O15" i="6"/>
  <c r="O17" i="6" s="1"/>
  <c r="AA14" i="6"/>
  <c r="W14" i="6"/>
  <c r="S14" i="6"/>
  <c r="Q14" i="6"/>
  <c r="AE14" i="6" s="1"/>
  <c r="M14" i="6"/>
  <c r="I14" i="6"/>
  <c r="O13" i="6"/>
  <c r="AC12" i="6"/>
  <c r="Q12" i="6"/>
  <c r="Y12" i="6" s="1"/>
  <c r="M12" i="6"/>
  <c r="I12" i="6"/>
  <c r="O11" i="6"/>
  <c r="AE10" i="6"/>
  <c r="W10" i="6"/>
  <c r="S10" i="6"/>
  <c r="Q10" i="6"/>
  <c r="Y10" i="6" s="1"/>
  <c r="M10" i="6"/>
  <c r="I10" i="6"/>
  <c r="O9" i="6"/>
  <c r="U8" i="6"/>
  <c r="S8" i="6"/>
  <c r="Q8" i="6"/>
  <c r="AE8" i="6" s="1"/>
  <c r="M8" i="6"/>
  <c r="I8" i="6"/>
  <c r="O7" i="6"/>
  <c r="U6" i="6"/>
  <c r="Q6" i="6"/>
  <c r="Q16" i="6" s="1"/>
  <c r="AC16" i="6" s="1"/>
  <c r="M6" i="6"/>
  <c r="I6" i="6"/>
  <c r="C3" i="6"/>
  <c r="AE65" i="5"/>
  <c r="AC65" i="5"/>
  <c r="AA65" i="5"/>
  <c r="Y65" i="5"/>
  <c r="W65" i="5"/>
  <c r="U65" i="5"/>
  <c r="S65" i="5"/>
  <c r="AE64" i="5"/>
  <c r="AC64" i="5"/>
  <c r="AA64" i="5"/>
  <c r="Y64" i="5"/>
  <c r="W64" i="5"/>
  <c r="U64" i="5"/>
  <c r="S64" i="5"/>
  <c r="AE63" i="5"/>
  <c r="AC63" i="5"/>
  <c r="AA63" i="5"/>
  <c r="Y63" i="5"/>
  <c r="W63" i="5"/>
  <c r="U63" i="5"/>
  <c r="S63" i="5"/>
  <c r="AE62" i="5"/>
  <c r="AC62" i="5"/>
  <c r="AA62" i="5"/>
  <c r="Y62" i="5"/>
  <c r="W62" i="5"/>
  <c r="U62" i="5"/>
  <c r="S62" i="5"/>
  <c r="AE61" i="5"/>
  <c r="AC61" i="5"/>
  <c r="AA61" i="5"/>
  <c r="Y61" i="5"/>
  <c r="W61" i="5"/>
  <c r="U61" i="5"/>
  <c r="S61" i="5"/>
  <c r="AE60" i="5"/>
  <c r="AC60" i="5"/>
  <c r="AA60" i="5"/>
  <c r="Y60" i="5"/>
  <c r="W60" i="5"/>
  <c r="U60" i="5"/>
  <c r="S60" i="5"/>
  <c r="AE59" i="5"/>
  <c r="AC59" i="5"/>
  <c r="AA59" i="5"/>
  <c r="Y59" i="5"/>
  <c r="W59" i="5"/>
  <c r="U59" i="5"/>
  <c r="S59" i="5"/>
  <c r="AE58" i="5"/>
  <c r="AC58" i="5"/>
  <c r="AA58" i="5"/>
  <c r="Y58" i="5"/>
  <c r="W58" i="5"/>
  <c r="U58" i="5"/>
  <c r="S58" i="5"/>
  <c r="AE57" i="5"/>
  <c r="AC57" i="5"/>
  <c r="AA57" i="5"/>
  <c r="Y57" i="5"/>
  <c r="W57" i="5"/>
  <c r="U57" i="5"/>
  <c r="S57" i="5"/>
  <c r="AE56" i="5"/>
  <c r="AC56" i="5"/>
  <c r="AA56" i="5"/>
  <c r="Y56" i="5"/>
  <c r="W56" i="5"/>
  <c r="U56" i="5"/>
  <c r="S56" i="5"/>
  <c r="AE55" i="5"/>
  <c r="AC55" i="5"/>
  <c r="AA55" i="5"/>
  <c r="Y55" i="5"/>
  <c r="W55" i="5"/>
  <c r="U55" i="5"/>
  <c r="S55" i="5"/>
  <c r="AE54" i="5"/>
  <c r="AC54" i="5"/>
  <c r="AA54" i="5"/>
  <c r="Y54" i="5"/>
  <c r="W54" i="5"/>
  <c r="U54" i="5"/>
  <c r="S54" i="5"/>
  <c r="AE53" i="5"/>
  <c r="AC53" i="5"/>
  <c r="AA53" i="5"/>
  <c r="Y53" i="5"/>
  <c r="W53" i="5"/>
  <c r="U53" i="5"/>
  <c r="S53" i="5"/>
  <c r="AE52" i="5"/>
  <c r="AC52" i="5"/>
  <c r="AA52" i="5"/>
  <c r="Y52" i="5"/>
  <c r="W52" i="5"/>
  <c r="U52" i="5"/>
  <c r="S52" i="5"/>
  <c r="AE51" i="5"/>
  <c r="AC51" i="5"/>
  <c r="AA51" i="5"/>
  <c r="Y51" i="5"/>
  <c r="W51" i="5"/>
  <c r="U51" i="5"/>
  <c r="S51" i="5"/>
  <c r="AE50" i="5"/>
  <c r="AC50" i="5"/>
  <c r="AA50" i="5"/>
  <c r="Y50" i="5"/>
  <c r="W50" i="5"/>
  <c r="U50" i="5"/>
  <c r="S50" i="5"/>
  <c r="AE49" i="5"/>
  <c r="AC49" i="5"/>
  <c r="AA49" i="5"/>
  <c r="Y49" i="5"/>
  <c r="W49" i="5"/>
  <c r="U49" i="5"/>
  <c r="S49" i="5"/>
  <c r="AE48" i="5"/>
  <c r="AC48" i="5"/>
  <c r="AA48" i="5"/>
  <c r="Y48" i="5"/>
  <c r="W48" i="5"/>
  <c r="U48" i="5"/>
  <c r="S48" i="5"/>
  <c r="AE47" i="5"/>
  <c r="AC47" i="5"/>
  <c r="AA47" i="5"/>
  <c r="Y47" i="5"/>
  <c r="W47" i="5"/>
  <c r="U47" i="5"/>
  <c r="S47" i="5"/>
  <c r="AE46" i="5"/>
  <c r="AC46" i="5"/>
  <c r="AA46" i="5"/>
  <c r="Y46" i="5"/>
  <c r="W46" i="5"/>
  <c r="U46" i="5"/>
  <c r="S46" i="5"/>
  <c r="AE45" i="5"/>
  <c r="AC45" i="5"/>
  <c r="AA45" i="5"/>
  <c r="Y45" i="5"/>
  <c r="W45" i="5"/>
  <c r="U45" i="5"/>
  <c r="S45" i="5"/>
  <c r="AE44" i="5"/>
  <c r="AC44" i="5"/>
  <c r="AA44" i="5"/>
  <c r="Y44" i="5"/>
  <c r="W44" i="5"/>
  <c r="U44" i="5"/>
  <c r="S44" i="5"/>
  <c r="AE43" i="5"/>
  <c r="AC43" i="5"/>
  <c r="AA43" i="5"/>
  <c r="Y43" i="5"/>
  <c r="W43" i="5"/>
  <c r="U43" i="5"/>
  <c r="S43" i="5"/>
  <c r="AE42" i="5"/>
  <c r="AC42" i="5"/>
  <c r="AA42" i="5"/>
  <c r="Y42" i="5"/>
  <c r="W42" i="5"/>
  <c r="U42" i="5"/>
  <c r="S42" i="5"/>
  <c r="AE41" i="5"/>
  <c r="AC41" i="5"/>
  <c r="AA41" i="5"/>
  <c r="Y41" i="5"/>
  <c r="W41" i="5"/>
  <c r="U41" i="5"/>
  <c r="S41" i="5"/>
  <c r="AE40" i="5"/>
  <c r="AC40" i="5"/>
  <c r="AA40" i="5"/>
  <c r="Y40" i="5"/>
  <c r="W40" i="5"/>
  <c r="U40" i="5"/>
  <c r="S40" i="5"/>
  <c r="AE39" i="5"/>
  <c r="AC39" i="5"/>
  <c r="AA39" i="5"/>
  <c r="Y39" i="5"/>
  <c r="W39" i="5"/>
  <c r="U39" i="5"/>
  <c r="S39" i="5"/>
  <c r="AE38" i="5"/>
  <c r="AC38" i="5"/>
  <c r="AA38" i="5"/>
  <c r="Y38" i="5"/>
  <c r="W38" i="5"/>
  <c r="U38" i="5"/>
  <c r="S38" i="5"/>
  <c r="AE37" i="5"/>
  <c r="AC37" i="5"/>
  <c r="AA37" i="5"/>
  <c r="Y37" i="5"/>
  <c r="W37" i="5"/>
  <c r="U37" i="5"/>
  <c r="S37" i="5"/>
  <c r="AE36" i="5"/>
  <c r="AC36" i="5"/>
  <c r="AA36" i="5"/>
  <c r="Y36" i="5"/>
  <c r="W36" i="5"/>
  <c r="U36" i="5"/>
  <c r="S36" i="5"/>
  <c r="D35" i="5"/>
  <c r="E35" i="5" s="1"/>
  <c r="D34" i="5"/>
  <c r="E34" i="5" s="1"/>
  <c r="D33" i="5"/>
  <c r="E33" i="5" s="1"/>
  <c r="D32" i="5"/>
  <c r="E32" i="5" s="1"/>
  <c r="D31" i="5"/>
  <c r="E31" i="5" s="1"/>
  <c r="D30" i="5"/>
  <c r="E30" i="5" s="1"/>
  <c r="D29" i="5"/>
  <c r="E29" i="5" s="1"/>
  <c r="AD25" i="5"/>
  <c r="V25" i="5"/>
  <c r="AD17" i="5"/>
  <c r="AB17" i="5"/>
  <c r="AB25" i="5" s="1"/>
  <c r="Z17" i="5"/>
  <c r="Z25" i="5" s="1"/>
  <c r="X17" i="5"/>
  <c r="X25" i="5" s="1"/>
  <c r="V17" i="5"/>
  <c r="T17" i="5"/>
  <c r="T25" i="5" s="1"/>
  <c r="R17" i="5"/>
  <c r="R25" i="5" s="1"/>
  <c r="AD16" i="5"/>
  <c r="AB16" i="5"/>
  <c r="AB24" i="5" s="1"/>
  <c r="Z16" i="5"/>
  <c r="Z24" i="5" s="1"/>
  <c r="X16" i="5"/>
  <c r="Z18" i="5" s="1"/>
  <c r="Z26" i="5" s="1"/>
  <c r="V16" i="5"/>
  <c r="T16" i="5"/>
  <c r="R16" i="5"/>
  <c r="R18" i="5" s="1"/>
  <c r="R26" i="5" s="1"/>
  <c r="P16" i="5"/>
  <c r="O16" i="5"/>
  <c r="N16" i="5"/>
  <c r="L16" i="5"/>
  <c r="K16" i="5"/>
  <c r="J16" i="5"/>
  <c r="H16" i="5"/>
  <c r="G16" i="5"/>
  <c r="F16" i="5"/>
  <c r="O15" i="5"/>
  <c r="AE14" i="5"/>
  <c r="AC14" i="5"/>
  <c r="AA14" i="5"/>
  <c r="Y14" i="5"/>
  <c r="W14" i="5"/>
  <c r="U14" i="5"/>
  <c r="S14" i="5"/>
  <c r="Q14" i="5"/>
  <c r="M14" i="5"/>
  <c r="I14" i="5"/>
  <c r="O13" i="5"/>
  <c r="O17" i="5" s="1"/>
  <c r="AC12" i="5"/>
  <c r="U12" i="5"/>
  <c r="Q12" i="5"/>
  <c r="S12" i="5" s="1"/>
  <c r="M12" i="5"/>
  <c r="I12" i="5"/>
  <c r="O11" i="5"/>
  <c r="AE10" i="5"/>
  <c r="AC10" i="5"/>
  <c r="AA10" i="5"/>
  <c r="Y10" i="5"/>
  <c r="W10" i="5"/>
  <c r="U10" i="5"/>
  <c r="S10" i="5"/>
  <c r="Q10" i="5"/>
  <c r="M10" i="5"/>
  <c r="I10" i="5"/>
  <c r="O9" i="5"/>
  <c r="U8" i="5"/>
  <c r="Q8" i="5"/>
  <c r="AE8" i="5" s="1"/>
  <c r="M8" i="5"/>
  <c r="I8" i="5"/>
  <c r="O7" i="5"/>
  <c r="AE6" i="5"/>
  <c r="AA6" i="5"/>
  <c r="W6" i="5"/>
  <c r="S6" i="5"/>
  <c r="Q6" i="5"/>
  <c r="U6" i="5" s="1"/>
  <c r="M6" i="5"/>
  <c r="I6" i="5"/>
  <c r="C3" i="5"/>
  <c r="AE65" i="4"/>
  <c r="AC65" i="4"/>
  <c r="AA65" i="4"/>
  <c r="Y65" i="4"/>
  <c r="W65" i="4"/>
  <c r="U65" i="4"/>
  <c r="S65" i="4"/>
  <c r="AE64" i="4"/>
  <c r="AC64" i="4"/>
  <c r="AA64" i="4"/>
  <c r="Y64" i="4"/>
  <c r="W64" i="4"/>
  <c r="U64" i="4"/>
  <c r="S64" i="4"/>
  <c r="AE63" i="4"/>
  <c r="AC63" i="4"/>
  <c r="AA63" i="4"/>
  <c r="Y63" i="4"/>
  <c r="W63" i="4"/>
  <c r="U63" i="4"/>
  <c r="S63" i="4"/>
  <c r="AE62" i="4"/>
  <c r="AC62" i="4"/>
  <c r="AA62" i="4"/>
  <c r="Y62" i="4"/>
  <c r="W62" i="4"/>
  <c r="U62" i="4"/>
  <c r="S62" i="4"/>
  <c r="AE61" i="4"/>
  <c r="AC61" i="4"/>
  <c r="AA61" i="4"/>
  <c r="Y61" i="4"/>
  <c r="W61" i="4"/>
  <c r="U61" i="4"/>
  <c r="S61" i="4"/>
  <c r="AE60" i="4"/>
  <c r="AC60" i="4"/>
  <c r="AA60" i="4"/>
  <c r="Y60" i="4"/>
  <c r="W60" i="4"/>
  <c r="U60" i="4"/>
  <c r="S60" i="4"/>
  <c r="AE59" i="4"/>
  <c r="AC59" i="4"/>
  <c r="AA59" i="4"/>
  <c r="Y59" i="4"/>
  <c r="W59" i="4"/>
  <c r="U59" i="4"/>
  <c r="S59" i="4"/>
  <c r="AE58" i="4"/>
  <c r="AC58" i="4"/>
  <c r="AA58" i="4"/>
  <c r="Y58" i="4"/>
  <c r="W58" i="4"/>
  <c r="U58" i="4"/>
  <c r="S58" i="4"/>
  <c r="AE57" i="4"/>
  <c r="AC57" i="4"/>
  <c r="AA57" i="4"/>
  <c r="Y57" i="4"/>
  <c r="W57" i="4"/>
  <c r="U57" i="4"/>
  <c r="S57" i="4"/>
  <c r="AE56" i="4"/>
  <c r="AC56" i="4"/>
  <c r="AA56" i="4"/>
  <c r="Y56" i="4"/>
  <c r="W56" i="4"/>
  <c r="U56" i="4"/>
  <c r="S56" i="4"/>
  <c r="AE55" i="4"/>
  <c r="AC55" i="4"/>
  <c r="AA55" i="4"/>
  <c r="Y55" i="4"/>
  <c r="W55" i="4"/>
  <c r="U55" i="4"/>
  <c r="S55" i="4"/>
  <c r="AE54" i="4"/>
  <c r="AC54" i="4"/>
  <c r="AA54" i="4"/>
  <c r="Y54" i="4"/>
  <c r="W54" i="4"/>
  <c r="U54" i="4"/>
  <c r="S54" i="4"/>
  <c r="AE53" i="4"/>
  <c r="AC53" i="4"/>
  <c r="AA53" i="4"/>
  <c r="Y53" i="4"/>
  <c r="W53" i="4"/>
  <c r="U53" i="4"/>
  <c r="S53" i="4"/>
  <c r="AE52" i="4"/>
  <c r="AC52" i="4"/>
  <c r="AA52" i="4"/>
  <c r="Y52" i="4"/>
  <c r="W52" i="4"/>
  <c r="U52" i="4"/>
  <c r="S52" i="4"/>
  <c r="AE51" i="4"/>
  <c r="AC51" i="4"/>
  <c r="AA51" i="4"/>
  <c r="Y51" i="4"/>
  <c r="W51" i="4"/>
  <c r="U51" i="4"/>
  <c r="S51" i="4"/>
  <c r="AE50" i="4"/>
  <c r="AC50" i="4"/>
  <c r="AA50" i="4"/>
  <c r="Y50" i="4"/>
  <c r="W50" i="4"/>
  <c r="U50" i="4"/>
  <c r="S50" i="4"/>
  <c r="AE49" i="4"/>
  <c r="AC49" i="4"/>
  <c r="AA49" i="4"/>
  <c r="Y49" i="4"/>
  <c r="W49" i="4"/>
  <c r="U49" i="4"/>
  <c r="S49" i="4"/>
  <c r="AE48" i="4"/>
  <c r="AC48" i="4"/>
  <c r="AA48" i="4"/>
  <c r="Y48" i="4"/>
  <c r="W48" i="4"/>
  <c r="U48" i="4"/>
  <c r="S48" i="4"/>
  <c r="AE47" i="4"/>
  <c r="AC47" i="4"/>
  <c r="AA47" i="4"/>
  <c r="Y47" i="4"/>
  <c r="W47" i="4"/>
  <c r="U47" i="4"/>
  <c r="S47" i="4"/>
  <c r="AE46" i="4"/>
  <c r="AC46" i="4"/>
  <c r="AA46" i="4"/>
  <c r="Y46" i="4"/>
  <c r="W46" i="4"/>
  <c r="U46" i="4"/>
  <c r="S46" i="4"/>
  <c r="AE45" i="4"/>
  <c r="AC45" i="4"/>
  <c r="AA45" i="4"/>
  <c r="Y45" i="4"/>
  <c r="W45" i="4"/>
  <c r="U45" i="4"/>
  <c r="S45" i="4"/>
  <c r="AE44" i="4"/>
  <c r="AC44" i="4"/>
  <c r="AA44" i="4"/>
  <c r="Y44" i="4"/>
  <c r="W44" i="4"/>
  <c r="U44" i="4"/>
  <c r="S44" i="4"/>
  <c r="AE43" i="4"/>
  <c r="AC43" i="4"/>
  <c r="AA43" i="4"/>
  <c r="Y43" i="4"/>
  <c r="W43" i="4"/>
  <c r="U43" i="4"/>
  <c r="S43" i="4"/>
  <c r="AE42" i="4"/>
  <c r="AC42" i="4"/>
  <c r="AA42" i="4"/>
  <c r="Y42" i="4"/>
  <c r="W42" i="4"/>
  <c r="U42" i="4"/>
  <c r="S42" i="4"/>
  <c r="AE41" i="4"/>
  <c r="AC41" i="4"/>
  <c r="AA41" i="4"/>
  <c r="Y41" i="4"/>
  <c r="W41" i="4"/>
  <c r="U41" i="4"/>
  <c r="S41" i="4"/>
  <c r="AE40" i="4"/>
  <c r="AC40" i="4"/>
  <c r="AA40" i="4"/>
  <c r="Y40" i="4"/>
  <c r="W40" i="4"/>
  <c r="U40" i="4"/>
  <c r="S40" i="4"/>
  <c r="AE39" i="4"/>
  <c r="AC39" i="4"/>
  <c r="AA39" i="4"/>
  <c r="Y39" i="4"/>
  <c r="W39" i="4"/>
  <c r="U39" i="4"/>
  <c r="S39" i="4"/>
  <c r="AE38" i="4"/>
  <c r="AC38" i="4"/>
  <c r="AA38" i="4"/>
  <c r="Y38" i="4"/>
  <c r="W38" i="4"/>
  <c r="U38" i="4"/>
  <c r="S38" i="4"/>
  <c r="AE37" i="4"/>
  <c r="AC37" i="4"/>
  <c r="AA37" i="4"/>
  <c r="Y37" i="4"/>
  <c r="W37" i="4"/>
  <c r="U37" i="4"/>
  <c r="S37" i="4"/>
  <c r="AE36" i="4"/>
  <c r="AC36" i="4"/>
  <c r="AA36" i="4"/>
  <c r="Y36" i="4"/>
  <c r="W36" i="4"/>
  <c r="U36" i="4"/>
  <c r="S36" i="4"/>
  <c r="D35" i="4"/>
  <c r="E35" i="4" s="1"/>
  <c r="D34" i="4"/>
  <c r="E34" i="4" s="1"/>
  <c r="D33" i="4"/>
  <c r="E33" i="4" s="1"/>
  <c r="D32" i="4"/>
  <c r="E32" i="4" s="1"/>
  <c r="D31" i="4"/>
  <c r="E31" i="4" s="1"/>
  <c r="D30" i="4"/>
  <c r="E30" i="4" s="1"/>
  <c r="D29" i="4"/>
  <c r="E29" i="4" s="1"/>
  <c r="Z25" i="4"/>
  <c r="X24" i="4"/>
  <c r="AD17" i="4"/>
  <c r="AD25" i="4" s="1"/>
  <c r="AB17" i="4"/>
  <c r="AB25" i="4" s="1"/>
  <c r="Z17" i="4"/>
  <c r="X17" i="4"/>
  <c r="X25" i="4" s="1"/>
  <c r="V17" i="4"/>
  <c r="V25" i="4" s="1"/>
  <c r="T17" i="4"/>
  <c r="T25" i="4" s="1"/>
  <c r="R17" i="4"/>
  <c r="R25" i="4" s="1"/>
  <c r="AD16" i="4"/>
  <c r="AE16" i="4" s="1"/>
  <c r="AB16" i="4"/>
  <c r="AB24" i="4" s="1"/>
  <c r="Z16" i="4"/>
  <c r="Z24" i="4" s="1"/>
  <c r="X16" i="4"/>
  <c r="V16" i="4"/>
  <c r="V18" i="4" s="1"/>
  <c r="V26" i="4" s="1"/>
  <c r="T16" i="4"/>
  <c r="R16" i="4"/>
  <c r="R18" i="4" s="1"/>
  <c r="R26" i="4" s="1"/>
  <c r="P16" i="4"/>
  <c r="O16" i="4"/>
  <c r="N16" i="4"/>
  <c r="L16" i="4"/>
  <c r="K16" i="4"/>
  <c r="J16" i="4"/>
  <c r="H16" i="4"/>
  <c r="G16" i="4"/>
  <c r="F16" i="4"/>
  <c r="O15" i="4"/>
  <c r="AE14" i="4"/>
  <c r="AC14" i="4"/>
  <c r="AA14" i="4"/>
  <c r="Y14" i="4"/>
  <c r="W14" i="4"/>
  <c r="U14" i="4"/>
  <c r="S14" i="4"/>
  <c r="Q14" i="4"/>
  <c r="M14" i="4"/>
  <c r="I14" i="4"/>
  <c r="O13" i="4"/>
  <c r="AE12" i="4"/>
  <c r="U12" i="4"/>
  <c r="Q12" i="4"/>
  <c r="AC12" i="4" s="1"/>
  <c r="M12" i="4"/>
  <c r="I12" i="4"/>
  <c r="O11" i="4"/>
  <c r="AE10" i="4"/>
  <c r="Y10" i="4"/>
  <c r="Q10" i="4"/>
  <c r="U10" i="4" s="1"/>
  <c r="M10" i="4"/>
  <c r="I10" i="4"/>
  <c r="O9" i="4"/>
  <c r="AE8" i="4"/>
  <c r="Q8" i="4"/>
  <c r="M8" i="4"/>
  <c r="I8" i="4"/>
  <c r="O7" i="4"/>
  <c r="AE6" i="4"/>
  <c r="AC6" i="4"/>
  <c r="AA6" i="4"/>
  <c r="U6" i="4"/>
  <c r="S6" i="4"/>
  <c r="Q6" i="4"/>
  <c r="W6" i="4" s="1"/>
  <c r="M6" i="4"/>
  <c r="I6" i="4"/>
  <c r="C3" i="4"/>
  <c r="AE65" i="3"/>
  <c r="AC65" i="3"/>
  <c r="AA65" i="3"/>
  <c r="Y65" i="3"/>
  <c r="W65" i="3"/>
  <c r="U65" i="3"/>
  <c r="S65" i="3"/>
  <c r="AE64" i="3"/>
  <c r="AC64" i="3"/>
  <c r="AA64" i="3"/>
  <c r="Y64" i="3"/>
  <c r="W64" i="3"/>
  <c r="U64" i="3"/>
  <c r="S64" i="3"/>
  <c r="AE63" i="3"/>
  <c r="AC63" i="3"/>
  <c r="AA63" i="3"/>
  <c r="Y63" i="3"/>
  <c r="W63" i="3"/>
  <c r="U63" i="3"/>
  <c r="S63" i="3"/>
  <c r="AE62" i="3"/>
  <c r="AC62" i="3"/>
  <c r="AA62" i="3"/>
  <c r="Y62" i="3"/>
  <c r="W62" i="3"/>
  <c r="U62" i="3"/>
  <c r="S62" i="3"/>
  <c r="AE61" i="3"/>
  <c r="AC61" i="3"/>
  <c r="AA61" i="3"/>
  <c r="Y61" i="3"/>
  <c r="W61" i="3"/>
  <c r="U61" i="3"/>
  <c r="S61" i="3"/>
  <c r="AE60" i="3"/>
  <c r="AC60" i="3"/>
  <c r="AA60" i="3"/>
  <c r="Y60" i="3"/>
  <c r="W60" i="3"/>
  <c r="U60" i="3"/>
  <c r="S60" i="3"/>
  <c r="AE59" i="3"/>
  <c r="AC59" i="3"/>
  <c r="AA59" i="3"/>
  <c r="Y59" i="3"/>
  <c r="W59" i="3"/>
  <c r="U59" i="3"/>
  <c r="S59" i="3"/>
  <c r="AE58" i="3"/>
  <c r="AC58" i="3"/>
  <c r="AA58" i="3"/>
  <c r="Y58" i="3"/>
  <c r="W58" i="3"/>
  <c r="U58" i="3"/>
  <c r="S58" i="3"/>
  <c r="AE57" i="3"/>
  <c r="AC57" i="3"/>
  <c r="AA57" i="3"/>
  <c r="Y57" i="3"/>
  <c r="W57" i="3"/>
  <c r="U57" i="3"/>
  <c r="S57" i="3"/>
  <c r="AE56" i="3"/>
  <c r="AC56" i="3"/>
  <c r="AA56" i="3"/>
  <c r="Y56" i="3"/>
  <c r="W56" i="3"/>
  <c r="U56" i="3"/>
  <c r="S56" i="3"/>
  <c r="AE55" i="3"/>
  <c r="AC55" i="3"/>
  <c r="AA55" i="3"/>
  <c r="Y55" i="3"/>
  <c r="W55" i="3"/>
  <c r="U55" i="3"/>
  <c r="S55" i="3"/>
  <c r="AE54" i="3"/>
  <c r="AC54" i="3"/>
  <c r="AA54" i="3"/>
  <c r="Y54" i="3"/>
  <c r="W54" i="3"/>
  <c r="U54" i="3"/>
  <c r="S54" i="3"/>
  <c r="AE53" i="3"/>
  <c r="AC53" i="3"/>
  <c r="AA53" i="3"/>
  <c r="Y53" i="3"/>
  <c r="W53" i="3"/>
  <c r="U53" i="3"/>
  <c r="S53" i="3"/>
  <c r="AE52" i="3"/>
  <c r="AC52" i="3"/>
  <c r="AA52" i="3"/>
  <c r="Y52" i="3"/>
  <c r="W52" i="3"/>
  <c r="U52" i="3"/>
  <c r="S52" i="3"/>
  <c r="AE51" i="3"/>
  <c r="AC51" i="3"/>
  <c r="AA51" i="3"/>
  <c r="Y51" i="3"/>
  <c r="W51" i="3"/>
  <c r="U51" i="3"/>
  <c r="S51" i="3"/>
  <c r="AE50" i="3"/>
  <c r="AC50" i="3"/>
  <c r="AA50" i="3"/>
  <c r="Y50" i="3"/>
  <c r="W50" i="3"/>
  <c r="U50" i="3"/>
  <c r="S50" i="3"/>
  <c r="AE49" i="3"/>
  <c r="AC49" i="3"/>
  <c r="AA49" i="3"/>
  <c r="Y49" i="3"/>
  <c r="W49" i="3"/>
  <c r="U49" i="3"/>
  <c r="S49" i="3"/>
  <c r="AE48" i="3"/>
  <c r="AC48" i="3"/>
  <c r="AA48" i="3"/>
  <c r="Y48" i="3"/>
  <c r="W48" i="3"/>
  <c r="U48" i="3"/>
  <c r="S48" i="3"/>
  <c r="AE47" i="3"/>
  <c r="AC47" i="3"/>
  <c r="AA47" i="3"/>
  <c r="Y47" i="3"/>
  <c r="W47" i="3"/>
  <c r="U47" i="3"/>
  <c r="S47" i="3"/>
  <c r="AE46" i="3"/>
  <c r="AC46" i="3"/>
  <c r="AA46" i="3"/>
  <c r="Y46" i="3"/>
  <c r="W46" i="3"/>
  <c r="U46" i="3"/>
  <c r="S46" i="3"/>
  <c r="AE45" i="3"/>
  <c r="AC45" i="3"/>
  <c r="AA45" i="3"/>
  <c r="Y45" i="3"/>
  <c r="W45" i="3"/>
  <c r="U45" i="3"/>
  <c r="S45" i="3"/>
  <c r="AE44" i="3"/>
  <c r="AC44" i="3"/>
  <c r="AA44" i="3"/>
  <c r="Y44" i="3"/>
  <c r="W44" i="3"/>
  <c r="U44" i="3"/>
  <c r="S44" i="3"/>
  <c r="AE43" i="3"/>
  <c r="AC43" i="3"/>
  <c r="AA43" i="3"/>
  <c r="Y43" i="3"/>
  <c r="W43" i="3"/>
  <c r="U43" i="3"/>
  <c r="S43" i="3"/>
  <c r="AE42" i="3"/>
  <c r="AC42" i="3"/>
  <c r="AA42" i="3"/>
  <c r="Y42" i="3"/>
  <c r="W42" i="3"/>
  <c r="U42" i="3"/>
  <c r="S42" i="3"/>
  <c r="AE41" i="3"/>
  <c r="AC41" i="3"/>
  <c r="AA41" i="3"/>
  <c r="Y41" i="3"/>
  <c r="W41" i="3"/>
  <c r="U41" i="3"/>
  <c r="S41" i="3"/>
  <c r="AE40" i="3"/>
  <c r="AC40" i="3"/>
  <c r="AA40" i="3"/>
  <c r="Y40" i="3"/>
  <c r="W40" i="3"/>
  <c r="U40" i="3"/>
  <c r="S40" i="3"/>
  <c r="AE39" i="3"/>
  <c r="AC39" i="3"/>
  <c r="AA39" i="3"/>
  <c r="Y39" i="3"/>
  <c r="W39" i="3"/>
  <c r="U39" i="3"/>
  <c r="S39" i="3"/>
  <c r="AE38" i="3"/>
  <c r="AC38" i="3"/>
  <c r="AA38" i="3"/>
  <c r="Y38" i="3"/>
  <c r="W38" i="3"/>
  <c r="U38" i="3"/>
  <c r="S38" i="3"/>
  <c r="AE37" i="3"/>
  <c r="AC37" i="3"/>
  <c r="AA37" i="3"/>
  <c r="Y37" i="3"/>
  <c r="W37" i="3"/>
  <c r="U37" i="3"/>
  <c r="S37" i="3"/>
  <c r="AE36" i="3"/>
  <c r="AC36" i="3"/>
  <c r="AA36" i="3"/>
  <c r="Y36" i="3"/>
  <c r="W36" i="3"/>
  <c r="U36" i="3"/>
  <c r="S36" i="3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AD17" i="3"/>
  <c r="AD25" i="3" s="1"/>
  <c r="AB17" i="3"/>
  <c r="AB25" i="3" s="1"/>
  <c r="Z17" i="3"/>
  <c r="Z25" i="3" s="1"/>
  <c r="X17" i="3"/>
  <c r="X25" i="3" s="1"/>
  <c r="V17" i="3"/>
  <c r="V25" i="3" s="1"/>
  <c r="T17" i="3"/>
  <c r="T25" i="3" s="1"/>
  <c r="R17" i="3"/>
  <c r="R25" i="3" s="1"/>
  <c r="AD16" i="3"/>
  <c r="AB16" i="3"/>
  <c r="Z16" i="3"/>
  <c r="X16" i="3"/>
  <c r="X18" i="3" s="1"/>
  <c r="X26" i="3" s="1"/>
  <c r="V16" i="3"/>
  <c r="T16" i="3"/>
  <c r="T24" i="3" s="1"/>
  <c r="R16" i="3"/>
  <c r="P16" i="3"/>
  <c r="O16" i="3"/>
  <c r="N16" i="3"/>
  <c r="L16" i="3"/>
  <c r="K16" i="3"/>
  <c r="J16" i="3"/>
  <c r="H16" i="3"/>
  <c r="G16" i="3"/>
  <c r="F16" i="3"/>
  <c r="O15" i="3"/>
  <c r="Y14" i="3"/>
  <c r="S14" i="3"/>
  <c r="Q14" i="3"/>
  <c r="U14" i="3" s="1"/>
  <c r="M14" i="3"/>
  <c r="I14" i="3"/>
  <c r="O13" i="3"/>
  <c r="Q12" i="3"/>
  <c r="M12" i="3"/>
  <c r="I12" i="3"/>
  <c r="O11" i="3"/>
  <c r="AE10" i="3"/>
  <c r="AC10" i="3"/>
  <c r="AA10" i="3"/>
  <c r="W10" i="3"/>
  <c r="U10" i="3"/>
  <c r="S10" i="3"/>
  <c r="Q10" i="3"/>
  <c r="Y10" i="3" s="1"/>
  <c r="M10" i="3"/>
  <c r="I10" i="3"/>
  <c r="O9" i="3"/>
  <c r="AC8" i="3"/>
  <c r="Q8" i="3"/>
  <c r="W8" i="3" s="1"/>
  <c r="M8" i="3"/>
  <c r="I8" i="3"/>
  <c r="O7" i="3"/>
  <c r="AE6" i="3"/>
  <c r="W6" i="3"/>
  <c r="Q6" i="3"/>
  <c r="AC6" i="3" s="1"/>
  <c r="M6" i="3"/>
  <c r="M16" i="3" s="1"/>
  <c r="I6" i="3"/>
  <c r="C3" i="3"/>
  <c r="AE65" i="2"/>
  <c r="AC65" i="2"/>
  <c r="AA65" i="2"/>
  <c r="Y65" i="2"/>
  <c r="W65" i="2"/>
  <c r="U65" i="2"/>
  <c r="S65" i="2"/>
  <c r="AE64" i="2"/>
  <c r="AC64" i="2"/>
  <c r="AA64" i="2"/>
  <c r="Y64" i="2"/>
  <c r="W64" i="2"/>
  <c r="U64" i="2"/>
  <c r="S64" i="2"/>
  <c r="AE63" i="2"/>
  <c r="AC63" i="2"/>
  <c r="AA63" i="2"/>
  <c r="Y63" i="2"/>
  <c r="W63" i="2"/>
  <c r="U63" i="2"/>
  <c r="S63" i="2"/>
  <c r="AE62" i="2"/>
  <c r="AC62" i="2"/>
  <c r="AA62" i="2"/>
  <c r="Y62" i="2"/>
  <c r="W62" i="2"/>
  <c r="U62" i="2"/>
  <c r="S62" i="2"/>
  <c r="AE61" i="2"/>
  <c r="AC61" i="2"/>
  <c r="AA61" i="2"/>
  <c r="Y61" i="2"/>
  <c r="W61" i="2"/>
  <c r="U61" i="2"/>
  <c r="S61" i="2"/>
  <c r="AE60" i="2"/>
  <c r="AC60" i="2"/>
  <c r="AA60" i="2"/>
  <c r="Y60" i="2"/>
  <c r="W60" i="2"/>
  <c r="U60" i="2"/>
  <c r="S60" i="2"/>
  <c r="AE59" i="2"/>
  <c r="AC59" i="2"/>
  <c r="AA59" i="2"/>
  <c r="Y59" i="2"/>
  <c r="W59" i="2"/>
  <c r="U59" i="2"/>
  <c r="S59" i="2"/>
  <c r="AE58" i="2"/>
  <c r="AC58" i="2"/>
  <c r="AA58" i="2"/>
  <c r="Y58" i="2"/>
  <c r="W58" i="2"/>
  <c r="U58" i="2"/>
  <c r="S58" i="2"/>
  <c r="AE57" i="2"/>
  <c r="AC57" i="2"/>
  <c r="AA57" i="2"/>
  <c r="Y57" i="2"/>
  <c r="W57" i="2"/>
  <c r="U57" i="2"/>
  <c r="S57" i="2"/>
  <c r="AE56" i="2"/>
  <c r="AC56" i="2"/>
  <c r="AA56" i="2"/>
  <c r="Y56" i="2"/>
  <c r="W56" i="2"/>
  <c r="U56" i="2"/>
  <c r="S56" i="2"/>
  <c r="AE55" i="2"/>
  <c r="AC55" i="2"/>
  <c r="AA55" i="2"/>
  <c r="Y55" i="2"/>
  <c r="W55" i="2"/>
  <c r="U55" i="2"/>
  <c r="S55" i="2"/>
  <c r="AE54" i="2"/>
  <c r="AC54" i="2"/>
  <c r="AA54" i="2"/>
  <c r="Y54" i="2"/>
  <c r="W54" i="2"/>
  <c r="U54" i="2"/>
  <c r="S54" i="2"/>
  <c r="AE53" i="2"/>
  <c r="AC53" i="2"/>
  <c r="AA53" i="2"/>
  <c r="Y53" i="2"/>
  <c r="W53" i="2"/>
  <c r="U53" i="2"/>
  <c r="S53" i="2"/>
  <c r="AE52" i="2"/>
  <c r="AC52" i="2"/>
  <c r="AA52" i="2"/>
  <c r="Y52" i="2"/>
  <c r="W52" i="2"/>
  <c r="U52" i="2"/>
  <c r="S52" i="2"/>
  <c r="AE51" i="2"/>
  <c r="AC51" i="2"/>
  <c r="AA51" i="2"/>
  <c r="Y51" i="2"/>
  <c r="W51" i="2"/>
  <c r="U51" i="2"/>
  <c r="S51" i="2"/>
  <c r="AE50" i="2"/>
  <c r="AC50" i="2"/>
  <c r="AA50" i="2"/>
  <c r="Y50" i="2"/>
  <c r="W50" i="2"/>
  <c r="U50" i="2"/>
  <c r="S50" i="2"/>
  <c r="AE49" i="2"/>
  <c r="AC49" i="2"/>
  <c r="AA49" i="2"/>
  <c r="Y49" i="2"/>
  <c r="W49" i="2"/>
  <c r="U49" i="2"/>
  <c r="S49" i="2"/>
  <c r="AE48" i="2"/>
  <c r="AC48" i="2"/>
  <c r="AA48" i="2"/>
  <c r="Y48" i="2"/>
  <c r="W48" i="2"/>
  <c r="U48" i="2"/>
  <c r="S48" i="2"/>
  <c r="AE47" i="2"/>
  <c r="AC47" i="2"/>
  <c r="AA47" i="2"/>
  <c r="Y47" i="2"/>
  <c r="W47" i="2"/>
  <c r="U47" i="2"/>
  <c r="S47" i="2"/>
  <c r="AE46" i="2"/>
  <c r="AC46" i="2"/>
  <c r="AA46" i="2"/>
  <c r="Y46" i="2"/>
  <c r="W46" i="2"/>
  <c r="U46" i="2"/>
  <c r="S46" i="2"/>
  <c r="AE45" i="2"/>
  <c r="AC45" i="2"/>
  <c r="AA45" i="2"/>
  <c r="Y45" i="2"/>
  <c r="W45" i="2"/>
  <c r="U45" i="2"/>
  <c r="S45" i="2"/>
  <c r="AE44" i="2"/>
  <c r="AC44" i="2"/>
  <c r="AA44" i="2"/>
  <c r="Y44" i="2"/>
  <c r="W44" i="2"/>
  <c r="U44" i="2"/>
  <c r="S44" i="2"/>
  <c r="AE43" i="2"/>
  <c r="AC43" i="2"/>
  <c r="AA43" i="2"/>
  <c r="Y43" i="2"/>
  <c r="W43" i="2"/>
  <c r="U43" i="2"/>
  <c r="S43" i="2"/>
  <c r="AE42" i="2"/>
  <c r="AC42" i="2"/>
  <c r="AA42" i="2"/>
  <c r="Y42" i="2"/>
  <c r="W42" i="2"/>
  <c r="U42" i="2"/>
  <c r="S42" i="2"/>
  <c r="AE41" i="2"/>
  <c r="AC41" i="2"/>
  <c r="AA41" i="2"/>
  <c r="Y41" i="2"/>
  <c r="W41" i="2"/>
  <c r="U41" i="2"/>
  <c r="S41" i="2"/>
  <c r="AE40" i="2"/>
  <c r="AC40" i="2"/>
  <c r="AA40" i="2"/>
  <c r="Y40" i="2"/>
  <c r="W40" i="2"/>
  <c r="U40" i="2"/>
  <c r="S40" i="2"/>
  <c r="AE39" i="2"/>
  <c r="AC39" i="2"/>
  <c r="AA39" i="2"/>
  <c r="Y39" i="2"/>
  <c r="W39" i="2"/>
  <c r="U39" i="2"/>
  <c r="S39" i="2"/>
  <c r="AE38" i="2"/>
  <c r="AC38" i="2"/>
  <c r="AA38" i="2"/>
  <c r="Y38" i="2"/>
  <c r="W38" i="2"/>
  <c r="U38" i="2"/>
  <c r="S38" i="2"/>
  <c r="AE37" i="2"/>
  <c r="AC37" i="2"/>
  <c r="AA37" i="2"/>
  <c r="Y37" i="2"/>
  <c r="W37" i="2"/>
  <c r="U37" i="2"/>
  <c r="S37" i="2"/>
  <c r="AE36" i="2"/>
  <c r="AC36" i="2"/>
  <c r="AA36" i="2"/>
  <c r="Y36" i="2"/>
  <c r="W36" i="2"/>
  <c r="U36" i="2"/>
  <c r="S36" i="2"/>
  <c r="D35" i="2"/>
  <c r="E35" i="2" s="1"/>
  <c r="D34" i="2"/>
  <c r="E34" i="2" s="1"/>
  <c r="D33" i="2"/>
  <c r="E33" i="2" s="1"/>
  <c r="D32" i="2"/>
  <c r="E32" i="2" s="1"/>
  <c r="D31" i="2"/>
  <c r="E31" i="2" s="1"/>
  <c r="D30" i="2"/>
  <c r="E30" i="2" s="1"/>
  <c r="D29" i="2"/>
  <c r="E29" i="2" s="1"/>
  <c r="R18" i="2"/>
  <c r="R26" i="2" s="1"/>
  <c r="AD17" i="2"/>
  <c r="AD25" i="2" s="1"/>
  <c r="AB17" i="2"/>
  <c r="AB25" i="2" s="1"/>
  <c r="Z17" i="2"/>
  <c r="Z25" i="2" s="1"/>
  <c r="X17" i="2"/>
  <c r="X25" i="2" s="1"/>
  <c r="V17" i="2"/>
  <c r="V25" i="2" s="1"/>
  <c r="T17" i="2"/>
  <c r="T25" i="2" s="1"/>
  <c r="R17" i="2"/>
  <c r="R25" i="2" s="1"/>
  <c r="O17" i="2"/>
  <c r="AD16" i="2"/>
  <c r="AD24" i="2" s="1"/>
  <c r="AB16" i="2"/>
  <c r="Z16" i="2"/>
  <c r="Z18" i="2" s="1"/>
  <c r="Z26" i="2" s="1"/>
  <c r="X16" i="2"/>
  <c r="V16" i="2"/>
  <c r="V24" i="2" s="1"/>
  <c r="T16" i="2"/>
  <c r="R16" i="2"/>
  <c r="P16" i="2"/>
  <c r="O16" i="2"/>
  <c r="N16" i="2"/>
  <c r="L16" i="2"/>
  <c r="K16" i="2"/>
  <c r="J16" i="2"/>
  <c r="H16" i="2"/>
  <c r="G16" i="2"/>
  <c r="F16" i="2"/>
  <c r="O15" i="2"/>
  <c r="S14" i="2"/>
  <c r="Q14" i="2"/>
  <c r="Y14" i="2" s="1"/>
  <c r="M14" i="2"/>
  <c r="I14" i="2"/>
  <c r="O13" i="2"/>
  <c r="Q12" i="2"/>
  <c r="Y12" i="2" s="1"/>
  <c r="M12" i="2"/>
  <c r="I12" i="2"/>
  <c r="O11" i="2"/>
  <c r="AE10" i="2"/>
  <c r="AA10" i="2"/>
  <c r="Y10" i="2"/>
  <c r="W10" i="2"/>
  <c r="S10" i="2"/>
  <c r="Q10" i="2"/>
  <c r="M10" i="2"/>
  <c r="I10" i="2"/>
  <c r="O9" i="2"/>
  <c r="AE8" i="2"/>
  <c r="W8" i="2"/>
  <c r="Q8" i="2"/>
  <c r="AC8" i="2" s="1"/>
  <c r="M8" i="2"/>
  <c r="I8" i="2"/>
  <c r="O7" i="2"/>
  <c r="AE6" i="2"/>
  <c r="AC6" i="2"/>
  <c r="AA6" i="2"/>
  <c r="W6" i="2"/>
  <c r="U6" i="2"/>
  <c r="S6" i="2"/>
  <c r="Q6" i="2"/>
  <c r="Y6" i="2" s="1"/>
  <c r="M6" i="2"/>
  <c r="I6" i="2"/>
  <c r="C3" i="2"/>
  <c r="AE65" i="1"/>
  <c r="AC65" i="1"/>
  <c r="AA65" i="1"/>
  <c r="Y65" i="1"/>
  <c r="W65" i="1"/>
  <c r="U65" i="1"/>
  <c r="S65" i="1"/>
  <c r="AE64" i="1"/>
  <c r="AC64" i="1"/>
  <c r="AA64" i="1"/>
  <c r="Y64" i="1"/>
  <c r="W64" i="1"/>
  <c r="U64" i="1"/>
  <c r="S64" i="1"/>
  <c r="AE63" i="1"/>
  <c r="AC63" i="1"/>
  <c r="AA63" i="1"/>
  <c r="Y63" i="1"/>
  <c r="W63" i="1"/>
  <c r="U63" i="1"/>
  <c r="S63" i="1"/>
  <c r="AE62" i="1"/>
  <c r="AC62" i="1"/>
  <c r="AA62" i="1"/>
  <c r="Y62" i="1"/>
  <c r="W62" i="1"/>
  <c r="U62" i="1"/>
  <c r="S62" i="1"/>
  <c r="AE61" i="1"/>
  <c r="AC61" i="1"/>
  <c r="AA61" i="1"/>
  <c r="Y61" i="1"/>
  <c r="W61" i="1"/>
  <c r="U61" i="1"/>
  <c r="S61" i="1"/>
  <c r="AE60" i="1"/>
  <c r="AC60" i="1"/>
  <c r="AA60" i="1"/>
  <c r="Y60" i="1"/>
  <c r="W60" i="1"/>
  <c r="U60" i="1"/>
  <c r="S60" i="1"/>
  <c r="AE59" i="1"/>
  <c r="AC59" i="1"/>
  <c r="AA59" i="1"/>
  <c r="Y59" i="1"/>
  <c r="W59" i="1"/>
  <c r="U59" i="1"/>
  <c r="S59" i="1"/>
  <c r="AE58" i="1"/>
  <c r="AC58" i="1"/>
  <c r="AA58" i="1"/>
  <c r="Y58" i="1"/>
  <c r="W58" i="1"/>
  <c r="U58" i="1"/>
  <c r="S58" i="1"/>
  <c r="AE57" i="1"/>
  <c r="AC57" i="1"/>
  <c r="AA57" i="1"/>
  <c r="Y57" i="1"/>
  <c r="W57" i="1"/>
  <c r="U57" i="1"/>
  <c r="S57" i="1"/>
  <c r="AE56" i="1"/>
  <c r="AC56" i="1"/>
  <c r="AA56" i="1"/>
  <c r="Y56" i="1"/>
  <c r="W56" i="1"/>
  <c r="U56" i="1"/>
  <c r="S56" i="1"/>
  <c r="AE55" i="1"/>
  <c r="AC55" i="1"/>
  <c r="AA55" i="1"/>
  <c r="Y55" i="1"/>
  <c r="W55" i="1"/>
  <c r="U55" i="1"/>
  <c r="S55" i="1"/>
  <c r="AE54" i="1"/>
  <c r="AC54" i="1"/>
  <c r="AA54" i="1"/>
  <c r="Y54" i="1"/>
  <c r="W54" i="1"/>
  <c r="U54" i="1"/>
  <c r="S54" i="1"/>
  <c r="AE53" i="1"/>
  <c r="AC53" i="1"/>
  <c r="AA53" i="1"/>
  <c r="Y53" i="1"/>
  <c r="W53" i="1"/>
  <c r="U53" i="1"/>
  <c r="S53" i="1"/>
  <c r="AE52" i="1"/>
  <c r="AC52" i="1"/>
  <c r="AA52" i="1"/>
  <c r="Y52" i="1"/>
  <c r="W52" i="1"/>
  <c r="U52" i="1"/>
  <c r="S52" i="1"/>
  <c r="AE51" i="1"/>
  <c r="AC51" i="1"/>
  <c r="AA51" i="1"/>
  <c r="Y51" i="1"/>
  <c r="W51" i="1"/>
  <c r="U51" i="1"/>
  <c r="S51" i="1"/>
  <c r="AE50" i="1"/>
  <c r="AC50" i="1"/>
  <c r="AA50" i="1"/>
  <c r="Y50" i="1"/>
  <c r="W50" i="1"/>
  <c r="U50" i="1"/>
  <c r="S50" i="1"/>
  <c r="AE49" i="1"/>
  <c r="AC49" i="1"/>
  <c r="AA49" i="1"/>
  <c r="Y49" i="1"/>
  <c r="W49" i="1"/>
  <c r="U49" i="1"/>
  <c r="S49" i="1"/>
  <c r="AE48" i="1"/>
  <c r="AC48" i="1"/>
  <c r="AA48" i="1"/>
  <c r="Y48" i="1"/>
  <c r="W48" i="1"/>
  <c r="U48" i="1"/>
  <c r="S48" i="1"/>
  <c r="AE47" i="1"/>
  <c r="AC47" i="1"/>
  <c r="AA47" i="1"/>
  <c r="Y47" i="1"/>
  <c r="W47" i="1"/>
  <c r="U47" i="1"/>
  <c r="S47" i="1"/>
  <c r="AE46" i="1"/>
  <c r="AC46" i="1"/>
  <c r="AA46" i="1"/>
  <c r="Y46" i="1"/>
  <c r="W46" i="1"/>
  <c r="U46" i="1"/>
  <c r="S46" i="1"/>
  <c r="AE45" i="1"/>
  <c r="AC45" i="1"/>
  <c r="AA45" i="1"/>
  <c r="Y45" i="1"/>
  <c r="W45" i="1"/>
  <c r="U45" i="1"/>
  <c r="S45" i="1"/>
  <c r="AE44" i="1"/>
  <c r="AC44" i="1"/>
  <c r="AA44" i="1"/>
  <c r="Y44" i="1"/>
  <c r="W44" i="1"/>
  <c r="U44" i="1"/>
  <c r="S44" i="1"/>
  <c r="AE43" i="1"/>
  <c r="AC43" i="1"/>
  <c r="AA43" i="1"/>
  <c r="Y43" i="1"/>
  <c r="W43" i="1"/>
  <c r="U43" i="1"/>
  <c r="S43" i="1"/>
  <c r="AE42" i="1"/>
  <c r="AC42" i="1"/>
  <c r="AA42" i="1"/>
  <c r="Y42" i="1"/>
  <c r="W42" i="1"/>
  <c r="U42" i="1"/>
  <c r="S42" i="1"/>
  <c r="AE41" i="1"/>
  <c r="AC41" i="1"/>
  <c r="AA41" i="1"/>
  <c r="Y41" i="1"/>
  <c r="W41" i="1"/>
  <c r="U41" i="1"/>
  <c r="S41" i="1"/>
  <c r="AE40" i="1"/>
  <c r="AC40" i="1"/>
  <c r="AA40" i="1"/>
  <c r="Y40" i="1"/>
  <c r="W40" i="1"/>
  <c r="U40" i="1"/>
  <c r="S40" i="1"/>
  <c r="AE39" i="1"/>
  <c r="AC39" i="1"/>
  <c r="AA39" i="1"/>
  <c r="Y39" i="1"/>
  <c r="W39" i="1"/>
  <c r="U39" i="1"/>
  <c r="S39" i="1"/>
  <c r="AE38" i="1"/>
  <c r="AC38" i="1"/>
  <c r="AA38" i="1"/>
  <c r="Y38" i="1"/>
  <c r="W38" i="1"/>
  <c r="U38" i="1"/>
  <c r="S38" i="1"/>
  <c r="AE37" i="1"/>
  <c r="AC37" i="1"/>
  <c r="AA37" i="1"/>
  <c r="Y37" i="1"/>
  <c r="W37" i="1"/>
  <c r="U37" i="1"/>
  <c r="S37" i="1"/>
  <c r="AE36" i="1"/>
  <c r="AC36" i="1"/>
  <c r="AA36" i="1"/>
  <c r="Y36" i="1"/>
  <c r="W36" i="1"/>
  <c r="U36" i="1"/>
  <c r="S36" i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R25" i="1"/>
  <c r="T24" i="1"/>
  <c r="AD17" i="1"/>
  <c r="AD25" i="1" s="1"/>
  <c r="AB17" i="1"/>
  <c r="AB25" i="1" s="1"/>
  <c r="Z17" i="1"/>
  <c r="Z25" i="1" s="1"/>
  <c r="X17" i="1"/>
  <c r="X25" i="1" s="1"/>
  <c r="V17" i="1"/>
  <c r="V25" i="1" s="1"/>
  <c r="T17" i="1"/>
  <c r="T25" i="1" s="1"/>
  <c r="R17" i="1"/>
  <c r="AD16" i="1"/>
  <c r="AD18" i="1" s="1"/>
  <c r="AD26" i="1" s="1"/>
  <c r="AB16" i="1"/>
  <c r="AB24" i="1" s="1"/>
  <c r="Z16" i="1"/>
  <c r="Z18" i="1" s="1"/>
  <c r="Z26" i="1" s="1"/>
  <c r="X16" i="1"/>
  <c r="X24" i="1" s="1"/>
  <c r="V16" i="1"/>
  <c r="V18" i="1" s="1"/>
  <c r="V26" i="1" s="1"/>
  <c r="T16" i="1"/>
  <c r="U16" i="1" s="1"/>
  <c r="R16" i="1"/>
  <c r="R24" i="1" s="1"/>
  <c r="P16" i="1"/>
  <c r="O16" i="1"/>
  <c r="N16" i="1"/>
  <c r="L16" i="1"/>
  <c r="K16" i="1"/>
  <c r="J16" i="1"/>
  <c r="H16" i="1"/>
  <c r="G16" i="1"/>
  <c r="F16" i="1"/>
  <c r="O15" i="1"/>
  <c r="O17" i="1" s="1"/>
  <c r="AE14" i="1"/>
  <c r="AC14" i="1"/>
  <c r="AA14" i="1"/>
  <c r="Y14" i="1"/>
  <c r="W14" i="1"/>
  <c r="U14" i="1"/>
  <c r="S14" i="1"/>
  <c r="Q14" i="1"/>
  <c r="M14" i="1"/>
  <c r="I14" i="1"/>
  <c r="O13" i="1"/>
  <c r="AE12" i="1"/>
  <c r="AC12" i="1"/>
  <c r="AA12" i="1"/>
  <c r="Y12" i="1"/>
  <c r="W12" i="1"/>
  <c r="U12" i="1"/>
  <c r="S12" i="1"/>
  <c r="Q12" i="1"/>
  <c r="M12" i="1"/>
  <c r="I12" i="1"/>
  <c r="O11" i="1"/>
  <c r="AE10" i="1"/>
  <c r="AC10" i="1"/>
  <c r="AA10" i="1"/>
  <c r="Y10" i="1"/>
  <c r="W10" i="1"/>
  <c r="U10" i="1"/>
  <c r="S10" i="1"/>
  <c r="Q10" i="1"/>
  <c r="M10" i="1"/>
  <c r="I10" i="1"/>
  <c r="O9" i="1"/>
  <c r="AE8" i="1"/>
  <c r="AC8" i="1"/>
  <c r="AA8" i="1"/>
  <c r="Y8" i="1"/>
  <c r="W8" i="1"/>
  <c r="U8" i="1"/>
  <c r="S8" i="1"/>
  <c r="Q8" i="1"/>
  <c r="M8" i="1"/>
  <c r="I8" i="1"/>
  <c r="O7" i="1"/>
  <c r="AE6" i="1"/>
  <c r="AC6" i="1"/>
  <c r="AA6" i="1"/>
  <c r="Y6" i="1"/>
  <c r="W6" i="1"/>
  <c r="U6" i="1"/>
  <c r="S6" i="1"/>
  <c r="Q6" i="1"/>
  <c r="M6" i="1"/>
  <c r="I6" i="1"/>
  <c r="C3" i="1"/>
  <c r="AA16" i="1" l="1"/>
  <c r="Z24" i="1"/>
  <c r="I16" i="3"/>
  <c r="W14" i="3"/>
  <c r="AA10" i="4"/>
  <c r="O17" i="4"/>
  <c r="Y6" i="5"/>
  <c r="Y12" i="5"/>
  <c r="T18" i="5"/>
  <c r="T26" i="5" s="1"/>
  <c r="S6" i="6"/>
  <c r="V18" i="6"/>
  <c r="V26" i="6" s="1"/>
  <c r="U6" i="7"/>
  <c r="W10" i="7"/>
  <c r="X24" i="7"/>
  <c r="M16" i="8"/>
  <c r="AA10" i="8"/>
  <c r="AC12" i="8"/>
  <c r="X18" i="14"/>
  <c r="X26" i="14" s="1"/>
  <c r="X24" i="14"/>
  <c r="T18" i="16"/>
  <c r="T26" i="16" s="1"/>
  <c r="Y14" i="21"/>
  <c r="AE14" i="21"/>
  <c r="AC14" i="21"/>
  <c r="W14" i="21"/>
  <c r="M16" i="2"/>
  <c r="AA14" i="3"/>
  <c r="W6" i="6"/>
  <c r="W6" i="8"/>
  <c r="Z18" i="8"/>
  <c r="Z26" i="8" s="1"/>
  <c r="I16" i="9"/>
  <c r="M16" i="15"/>
  <c r="Y14" i="17"/>
  <c r="AE14" i="17"/>
  <c r="AC14" i="17"/>
  <c r="S14" i="17"/>
  <c r="Q16" i="23"/>
  <c r="S16" i="23" s="1"/>
  <c r="AA6" i="23"/>
  <c r="Y6" i="23"/>
  <c r="W6" i="23"/>
  <c r="S6" i="23"/>
  <c r="U12" i="23"/>
  <c r="Y12" i="23"/>
  <c r="S12" i="23"/>
  <c r="AA10" i="24"/>
  <c r="AE10" i="24"/>
  <c r="AC10" i="24"/>
  <c r="S10" i="24"/>
  <c r="M16" i="1"/>
  <c r="I16" i="1"/>
  <c r="S16" i="1"/>
  <c r="R18" i="1"/>
  <c r="R26" i="1" s="1"/>
  <c r="U14" i="2"/>
  <c r="S6" i="3"/>
  <c r="Y8" i="3"/>
  <c r="O17" i="3"/>
  <c r="AE14" i="3"/>
  <c r="AB18" i="3"/>
  <c r="AB26" i="3" s="1"/>
  <c r="I16" i="4"/>
  <c r="Z18" i="4"/>
  <c r="Z26" i="4" s="1"/>
  <c r="I16" i="5"/>
  <c r="Y6" i="6"/>
  <c r="AB18" i="6"/>
  <c r="AB26" i="6" s="1"/>
  <c r="AC6" i="7"/>
  <c r="AC8" i="9"/>
  <c r="U8" i="9"/>
  <c r="O17" i="9"/>
  <c r="X18" i="13"/>
  <c r="X26" i="13" s="1"/>
  <c r="O17" i="19"/>
  <c r="R24" i="21"/>
  <c r="R18" i="21"/>
  <c r="R26" i="21" s="1"/>
  <c r="S16" i="21"/>
  <c r="AD18" i="24"/>
  <c r="AD26" i="24" s="1"/>
  <c r="AD24" i="24"/>
  <c r="AA6" i="25"/>
  <c r="AE6" i="25"/>
  <c r="AA14" i="27"/>
  <c r="AE14" i="27"/>
  <c r="S14" i="27"/>
  <c r="Z24" i="27"/>
  <c r="Z18" i="27"/>
  <c r="Z26" i="27" s="1"/>
  <c r="AA10" i="9"/>
  <c r="AE10" i="9"/>
  <c r="W12" i="15"/>
  <c r="AC12" i="15"/>
  <c r="AA12" i="15"/>
  <c r="U12" i="15"/>
  <c r="T18" i="1"/>
  <c r="T26" i="1" s="1"/>
  <c r="W14" i="2"/>
  <c r="V18" i="3"/>
  <c r="V26" i="3" s="1"/>
  <c r="AA6" i="6"/>
  <c r="S6" i="9"/>
  <c r="AC6" i="9"/>
  <c r="M16" i="19"/>
  <c r="AE12" i="21"/>
  <c r="AC12" i="21"/>
  <c r="W12" i="21"/>
  <c r="U12" i="21"/>
  <c r="S12" i="21"/>
  <c r="T18" i="21"/>
  <c r="T26" i="21" s="1"/>
  <c r="Q16" i="1"/>
  <c r="X18" i="1"/>
  <c r="X26" i="1" s="1"/>
  <c r="AA14" i="2"/>
  <c r="AA6" i="3"/>
  <c r="X24" i="3"/>
  <c r="Q16" i="4"/>
  <c r="S10" i="4"/>
  <c r="AD18" i="5"/>
  <c r="AD26" i="5" s="1"/>
  <c r="AC6" i="6"/>
  <c r="Y8" i="6"/>
  <c r="AA10" i="6"/>
  <c r="M16" i="7"/>
  <c r="AC14" i="7"/>
  <c r="S10" i="8"/>
  <c r="U6" i="9"/>
  <c r="AE8" i="9"/>
  <c r="AE14" i="9"/>
  <c r="Y14" i="9"/>
  <c r="W8" i="16"/>
  <c r="AC8" i="16"/>
  <c r="U8" i="16"/>
  <c r="AE8" i="24"/>
  <c r="Y8" i="24"/>
  <c r="W8" i="24"/>
  <c r="U8" i="24"/>
  <c r="S8" i="24"/>
  <c r="AC6" i="25"/>
  <c r="I16" i="26"/>
  <c r="AC14" i="2"/>
  <c r="W10" i="4"/>
  <c r="M16" i="6"/>
  <c r="AE6" i="6"/>
  <c r="AC8" i="6"/>
  <c r="AC10" i="6"/>
  <c r="S16" i="6"/>
  <c r="U10" i="8"/>
  <c r="W6" i="9"/>
  <c r="AE12" i="9"/>
  <c r="AA12" i="9"/>
  <c r="O17" i="12"/>
  <c r="O17" i="13"/>
  <c r="X18" i="17"/>
  <c r="X26" i="17" s="1"/>
  <c r="AC12" i="22"/>
  <c r="U12" i="22"/>
  <c r="Y14" i="23"/>
  <c r="AE14" i="23"/>
  <c r="AC14" i="23"/>
  <c r="S14" i="23"/>
  <c r="AE12" i="27"/>
  <c r="Y12" i="27"/>
  <c r="W12" i="27"/>
  <c r="S12" i="27"/>
  <c r="AE14" i="2"/>
  <c r="AE8" i="10"/>
  <c r="AA10" i="10"/>
  <c r="AB18" i="10"/>
  <c r="AB26" i="10" s="1"/>
  <c r="AA12" i="11"/>
  <c r="V18" i="11"/>
  <c r="V26" i="11" s="1"/>
  <c r="AE12" i="12"/>
  <c r="Y14" i="12"/>
  <c r="X24" i="12"/>
  <c r="U10" i="16"/>
  <c r="U14" i="16"/>
  <c r="U12" i="17"/>
  <c r="T18" i="17"/>
  <c r="T26" i="17" s="1"/>
  <c r="T24" i="17"/>
  <c r="I16" i="18"/>
  <c r="W10" i="18"/>
  <c r="T18" i="18"/>
  <c r="T26" i="18" s="1"/>
  <c r="X24" i="18"/>
  <c r="I16" i="19"/>
  <c r="U6" i="21"/>
  <c r="U10" i="21"/>
  <c r="U10" i="22"/>
  <c r="U10" i="23"/>
  <c r="U6" i="24"/>
  <c r="Y8" i="25"/>
  <c r="AE12" i="26"/>
  <c r="T18" i="26"/>
  <c r="T26" i="26" s="1"/>
  <c r="AE8" i="27"/>
  <c r="U6" i="28"/>
  <c r="AE14" i="30"/>
  <c r="AE10" i="31"/>
  <c r="AC14" i="31"/>
  <c r="U6" i="32"/>
  <c r="Z18" i="32"/>
  <c r="Z26" i="32" s="1"/>
  <c r="Y6" i="34"/>
  <c r="S8" i="34"/>
  <c r="AC12" i="35"/>
  <c r="X18" i="35"/>
  <c r="X26" i="35" s="1"/>
  <c r="Q16" i="36"/>
  <c r="O17" i="36"/>
  <c r="AA8" i="37"/>
  <c r="U10" i="37"/>
  <c r="U6" i="38"/>
  <c r="O17" i="38"/>
  <c r="AD18" i="38"/>
  <c r="AD26" i="38" s="1"/>
  <c r="M16" i="39"/>
  <c r="AA8" i="39"/>
  <c r="U10" i="39"/>
  <c r="S12" i="39"/>
  <c r="W14" i="39"/>
  <c r="U6" i="40"/>
  <c r="W6" i="42"/>
  <c r="Y8" i="42"/>
  <c r="S10" i="42"/>
  <c r="Z18" i="42"/>
  <c r="Z26" i="42" s="1"/>
  <c r="S10" i="44"/>
  <c r="V18" i="44"/>
  <c r="V26" i="44" s="1"/>
  <c r="M16" i="45"/>
  <c r="AE10" i="46"/>
  <c r="AD18" i="47"/>
  <c r="AD26" i="47" s="1"/>
  <c r="T18" i="49"/>
  <c r="T26" i="49" s="1"/>
  <c r="S8" i="50"/>
  <c r="S10" i="50"/>
  <c r="T24" i="51"/>
  <c r="T18" i="51"/>
  <c r="T26" i="51" s="1"/>
  <c r="Z24" i="53"/>
  <c r="AB18" i="53"/>
  <c r="AB26" i="53" s="1"/>
  <c r="V18" i="57"/>
  <c r="V26" i="57" s="1"/>
  <c r="V24" i="57"/>
  <c r="AE8" i="63"/>
  <c r="AA8" i="63"/>
  <c r="W8" i="63"/>
  <c r="I16" i="29"/>
  <c r="U8" i="34"/>
  <c r="O17" i="34"/>
  <c r="M16" i="37"/>
  <c r="AC8" i="37"/>
  <c r="W6" i="38"/>
  <c r="AC12" i="39"/>
  <c r="W6" i="40"/>
  <c r="U10" i="42"/>
  <c r="M16" i="42"/>
  <c r="U10" i="44"/>
  <c r="M16" i="44"/>
  <c r="M16" i="49"/>
  <c r="AA8" i="50"/>
  <c r="U10" i="50"/>
  <c r="AC12" i="52"/>
  <c r="AE12" i="52"/>
  <c r="W12" i="52"/>
  <c r="S12" i="52"/>
  <c r="S12" i="53"/>
  <c r="AE12" i="53"/>
  <c r="AC12" i="53"/>
  <c r="AA12" i="53"/>
  <c r="W12" i="53"/>
  <c r="R18" i="59"/>
  <c r="R26" i="59" s="1"/>
  <c r="R24" i="59"/>
  <c r="AE10" i="10"/>
  <c r="AE12" i="10"/>
  <c r="T18" i="10"/>
  <c r="T26" i="10" s="1"/>
  <c r="I16" i="11"/>
  <c r="AE10" i="12"/>
  <c r="AC14" i="12"/>
  <c r="AA16" i="13"/>
  <c r="AB18" i="13"/>
  <c r="AB26" i="13" s="1"/>
  <c r="U6" i="14"/>
  <c r="O17" i="14"/>
  <c r="W6" i="15"/>
  <c r="U14" i="15"/>
  <c r="M16" i="16"/>
  <c r="Y10" i="16"/>
  <c r="AE12" i="16"/>
  <c r="Y14" i="16"/>
  <c r="M16" i="17"/>
  <c r="AE10" i="17"/>
  <c r="Y12" i="17"/>
  <c r="Q16" i="18"/>
  <c r="AC8" i="18"/>
  <c r="AE10" i="18"/>
  <c r="R18" i="19"/>
  <c r="R26" i="19" s="1"/>
  <c r="AB18" i="20"/>
  <c r="AB26" i="20" s="1"/>
  <c r="Y6" i="21"/>
  <c r="AE8" i="21"/>
  <c r="Y10" i="21"/>
  <c r="AA10" i="22"/>
  <c r="AE8" i="23"/>
  <c r="Y10" i="23"/>
  <c r="Z18" i="23"/>
  <c r="Z26" i="23" s="1"/>
  <c r="Y6" i="24"/>
  <c r="Y12" i="24"/>
  <c r="AB18" i="24"/>
  <c r="AB26" i="24" s="1"/>
  <c r="AC8" i="25"/>
  <c r="U14" i="25"/>
  <c r="X24" i="25"/>
  <c r="AE10" i="26"/>
  <c r="AC14" i="26"/>
  <c r="Y6" i="28"/>
  <c r="S8" i="28"/>
  <c r="S10" i="28"/>
  <c r="Y12" i="28"/>
  <c r="M16" i="29"/>
  <c r="W8" i="29"/>
  <c r="U14" i="29"/>
  <c r="S14" i="30"/>
  <c r="S10" i="31"/>
  <c r="O17" i="31"/>
  <c r="R18" i="31"/>
  <c r="R26" i="31" s="1"/>
  <c r="AA6" i="32"/>
  <c r="U8" i="32"/>
  <c r="W12" i="32"/>
  <c r="O17" i="32"/>
  <c r="AD18" i="32"/>
  <c r="AD26" i="32" s="1"/>
  <c r="R18" i="32"/>
  <c r="R26" i="32" s="1"/>
  <c r="X18" i="33"/>
  <c r="X26" i="33" s="1"/>
  <c r="AC6" i="34"/>
  <c r="W8" i="34"/>
  <c r="Y12" i="34"/>
  <c r="Z18" i="34"/>
  <c r="Z26" i="34" s="1"/>
  <c r="AE10" i="35"/>
  <c r="AA6" i="36"/>
  <c r="U8" i="36"/>
  <c r="AC12" i="36"/>
  <c r="AE8" i="37"/>
  <c r="Y10" i="37"/>
  <c r="AD18" i="37"/>
  <c r="AD26" i="37" s="1"/>
  <c r="R18" i="37"/>
  <c r="R26" i="37" s="1"/>
  <c r="Y6" i="38"/>
  <c r="AE12" i="38"/>
  <c r="AE6" i="39"/>
  <c r="AE8" i="39"/>
  <c r="Y10" i="39"/>
  <c r="AE12" i="39"/>
  <c r="AA14" i="39"/>
  <c r="Z24" i="39"/>
  <c r="Y6" i="40"/>
  <c r="AC14" i="41"/>
  <c r="AD24" i="41"/>
  <c r="AC8" i="42"/>
  <c r="W10" i="42"/>
  <c r="R18" i="42"/>
  <c r="R26" i="42" s="1"/>
  <c r="Y6" i="43"/>
  <c r="W12" i="43"/>
  <c r="W10" i="44"/>
  <c r="AA14" i="44"/>
  <c r="W12" i="45"/>
  <c r="R18" i="45"/>
  <c r="R26" i="45" s="1"/>
  <c r="S10" i="46"/>
  <c r="I16" i="46"/>
  <c r="V18" i="46"/>
  <c r="V26" i="46" s="1"/>
  <c r="AB18" i="46"/>
  <c r="AB26" i="46" s="1"/>
  <c r="M16" i="47"/>
  <c r="AB18" i="47"/>
  <c r="AB26" i="47" s="1"/>
  <c r="S8" i="48"/>
  <c r="U10" i="48"/>
  <c r="U6" i="50"/>
  <c r="AC8" i="50"/>
  <c r="W10" i="50"/>
  <c r="AC14" i="50"/>
  <c r="U8" i="51"/>
  <c r="U12" i="53"/>
  <c r="AB24" i="54"/>
  <c r="AB18" i="54"/>
  <c r="AB26" i="54" s="1"/>
  <c r="AE8" i="55"/>
  <c r="AA8" i="55"/>
  <c r="W8" i="55"/>
  <c r="S8" i="55"/>
  <c r="AC8" i="62"/>
  <c r="AE8" i="62"/>
  <c r="AA8" i="62"/>
  <c r="Y8" i="62"/>
  <c r="M16" i="11"/>
  <c r="O17" i="11"/>
  <c r="AE14" i="12"/>
  <c r="AE16" i="13"/>
  <c r="W6" i="14"/>
  <c r="AC6" i="15"/>
  <c r="Q16" i="16"/>
  <c r="Y16" i="16" s="1"/>
  <c r="AA10" i="16"/>
  <c r="O17" i="16"/>
  <c r="AA14" i="16"/>
  <c r="Q16" i="17"/>
  <c r="I16" i="17"/>
  <c r="AC12" i="17"/>
  <c r="Z18" i="19"/>
  <c r="Z26" i="19" s="1"/>
  <c r="U8" i="20"/>
  <c r="S10" i="20"/>
  <c r="S14" i="20"/>
  <c r="AA6" i="21"/>
  <c r="AA10" i="21"/>
  <c r="Z24" i="21"/>
  <c r="AE10" i="22"/>
  <c r="AA10" i="23"/>
  <c r="AA6" i="24"/>
  <c r="AA12" i="24"/>
  <c r="T24" i="24"/>
  <c r="W14" i="25"/>
  <c r="AE14" i="26"/>
  <c r="O17" i="27"/>
  <c r="X18" i="27"/>
  <c r="X26" i="27" s="1"/>
  <c r="AA6" i="28"/>
  <c r="U8" i="28"/>
  <c r="AC10" i="28"/>
  <c r="AA12" i="28"/>
  <c r="Y8" i="29"/>
  <c r="W14" i="29"/>
  <c r="X24" i="29"/>
  <c r="U14" i="30"/>
  <c r="U6" i="31"/>
  <c r="U10" i="31"/>
  <c r="X18" i="31"/>
  <c r="X26" i="31" s="1"/>
  <c r="AC6" i="32"/>
  <c r="W8" i="32"/>
  <c r="S10" i="32"/>
  <c r="Y12" i="32"/>
  <c r="AB18" i="32"/>
  <c r="AB26" i="32" s="1"/>
  <c r="S14" i="33"/>
  <c r="Z18" i="33"/>
  <c r="Z26" i="33" s="1"/>
  <c r="AE6" i="34"/>
  <c r="Y8" i="34"/>
  <c r="S10" i="34"/>
  <c r="AA12" i="34"/>
  <c r="V18" i="35"/>
  <c r="V26" i="35" s="1"/>
  <c r="AC6" i="36"/>
  <c r="W8" i="36"/>
  <c r="AB18" i="36"/>
  <c r="AB26" i="36" s="1"/>
  <c r="AA10" i="37"/>
  <c r="AA6" i="38"/>
  <c r="AA10" i="39"/>
  <c r="AC14" i="39"/>
  <c r="AA6" i="40"/>
  <c r="I16" i="41"/>
  <c r="Y10" i="42"/>
  <c r="AC6" i="43"/>
  <c r="M16" i="43"/>
  <c r="Y12" i="43"/>
  <c r="Y10" i="44"/>
  <c r="AC14" i="44"/>
  <c r="Y12" i="45"/>
  <c r="Z18" i="45"/>
  <c r="Z26" i="45" s="1"/>
  <c r="U10" i="46"/>
  <c r="AA8" i="48"/>
  <c r="W10" i="48"/>
  <c r="V24" i="49"/>
  <c r="Y6" i="50"/>
  <c r="AE8" i="50"/>
  <c r="Y10" i="50"/>
  <c r="O17" i="50"/>
  <c r="W8" i="51"/>
  <c r="M16" i="51"/>
  <c r="S14" i="51"/>
  <c r="U14" i="51"/>
  <c r="Y12" i="53"/>
  <c r="V24" i="53"/>
  <c r="M16" i="59"/>
  <c r="R18" i="11"/>
  <c r="R26" i="11" s="1"/>
  <c r="Y6" i="14"/>
  <c r="S8" i="14"/>
  <c r="W12" i="14"/>
  <c r="V18" i="14"/>
  <c r="V26" i="14" s="1"/>
  <c r="AE6" i="15"/>
  <c r="Y14" i="15"/>
  <c r="X18" i="15"/>
  <c r="X26" i="15" s="1"/>
  <c r="AE10" i="16"/>
  <c r="AC14" i="16"/>
  <c r="S6" i="17"/>
  <c r="S10" i="17"/>
  <c r="AB18" i="17"/>
  <c r="AB26" i="17" s="1"/>
  <c r="O17" i="18"/>
  <c r="AA8" i="20"/>
  <c r="U14" i="20"/>
  <c r="AC10" i="21"/>
  <c r="Z18" i="22"/>
  <c r="Z26" i="22" s="1"/>
  <c r="AC10" i="23"/>
  <c r="O17" i="23"/>
  <c r="AC6" i="24"/>
  <c r="AC12" i="24"/>
  <c r="Y14" i="25"/>
  <c r="Q16" i="27"/>
  <c r="AC6" i="28"/>
  <c r="W8" i="28"/>
  <c r="AE10" i="28"/>
  <c r="AA8" i="29"/>
  <c r="Y14" i="29"/>
  <c r="AD24" i="29"/>
  <c r="U12" i="30"/>
  <c r="W14" i="30"/>
  <c r="W6" i="31"/>
  <c r="W10" i="31"/>
  <c r="Z18" i="31"/>
  <c r="Z26" i="31" s="1"/>
  <c r="AE6" i="32"/>
  <c r="Y8" i="32"/>
  <c r="AC10" i="32"/>
  <c r="AA12" i="32"/>
  <c r="AA8" i="34"/>
  <c r="AC10" i="34"/>
  <c r="AC12" i="34"/>
  <c r="S10" i="35"/>
  <c r="AE6" i="36"/>
  <c r="Y8" i="36"/>
  <c r="AC10" i="37"/>
  <c r="AC6" i="38"/>
  <c r="S12" i="38"/>
  <c r="AE14" i="39"/>
  <c r="AC6" i="40"/>
  <c r="AA10" i="42"/>
  <c r="Z24" i="42"/>
  <c r="AA12" i="43"/>
  <c r="AA10" i="44"/>
  <c r="AE10" i="45"/>
  <c r="AA12" i="45"/>
  <c r="AB18" i="45"/>
  <c r="AB26" i="45" s="1"/>
  <c r="M16" i="46"/>
  <c r="W10" i="46"/>
  <c r="U6" i="48"/>
  <c r="AE8" i="48"/>
  <c r="Y10" i="48"/>
  <c r="S12" i="48"/>
  <c r="AD24" i="49"/>
  <c r="AA10" i="50"/>
  <c r="X18" i="50"/>
  <c r="X26" i="50" s="1"/>
  <c r="AA8" i="51"/>
  <c r="S12" i="51"/>
  <c r="AE12" i="51"/>
  <c r="AC12" i="51"/>
  <c r="U12" i="51"/>
  <c r="AE10" i="52"/>
  <c r="AC10" i="52"/>
  <c r="AA10" i="52"/>
  <c r="Y10" i="52"/>
  <c r="W10" i="52"/>
  <c r="S10" i="52"/>
  <c r="X24" i="52"/>
  <c r="X18" i="52"/>
  <c r="X26" i="52" s="1"/>
  <c r="AC12" i="54"/>
  <c r="AE12" i="54"/>
  <c r="S12" i="54"/>
  <c r="V18" i="56"/>
  <c r="V26" i="56" s="1"/>
  <c r="T18" i="56"/>
  <c r="T26" i="56" s="1"/>
  <c r="T24" i="56"/>
  <c r="W8" i="10"/>
  <c r="Z18" i="11"/>
  <c r="Z26" i="11" s="1"/>
  <c r="S10" i="12"/>
  <c r="AB18" i="12"/>
  <c r="AB26" i="12" s="1"/>
  <c r="AA6" i="14"/>
  <c r="U8" i="14"/>
  <c r="AA10" i="14"/>
  <c r="AB18" i="14"/>
  <c r="AB26" i="14" s="1"/>
  <c r="AA14" i="15"/>
  <c r="Z18" i="16"/>
  <c r="Z26" i="16" s="1"/>
  <c r="U6" i="17"/>
  <c r="AC6" i="19"/>
  <c r="U12" i="19"/>
  <c r="U14" i="19"/>
  <c r="AC8" i="20"/>
  <c r="W10" i="20"/>
  <c r="Y12" i="20"/>
  <c r="M16" i="21"/>
  <c r="I16" i="23"/>
  <c r="Z24" i="23"/>
  <c r="M16" i="24"/>
  <c r="V18" i="24"/>
  <c r="V26" i="24" s="1"/>
  <c r="AA14" i="25"/>
  <c r="M16" i="27"/>
  <c r="Y8" i="28"/>
  <c r="T18" i="28"/>
  <c r="T26" i="28" s="1"/>
  <c r="AC6" i="29"/>
  <c r="AC8" i="29"/>
  <c r="AA14" i="29"/>
  <c r="Y14" i="30"/>
  <c r="Z18" i="30"/>
  <c r="Z26" i="30" s="1"/>
  <c r="Y6" i="31"/>
  <c r="Y10" i="31"/>
  <c r="M16" i="32"/>
  <c r="AC8" i="32"/>
  <c r="AE10" i="32"/>
  <c r="AC12" i="32"/>
  <c r="M16" i="33"/>
  <c r="U12" i="33"/>
  <c r="M16" i="34"/>
  <c r="AC8" i="34"/>
  <c r="U6" i="35"/>
  <c r="I16" i="37"/>
  <c r="Y14" i="37"/>
  <c r="I16" i="38"/>
  <c r="AE6" i="38"/>
  <c r="M16" i="38"/>
  <c r="AD24" i="38"/>
  <c r="I16" i="39"/>
  <c r="AD18" i="39"/>
  <c r="AD26" i="39" s="1"/>
  <c r="I16" i="40"/>
  <c r="AE6" i="40"/>
  <c r="M16" i="40"/>
  <c r="S10" i="41"/>
  <c r="R18" i="41"/>
  <c r="R26" i="41" s="1"/>
  <c r="AC10" i="42"/>
  <c r="AB24" i="42"/>
  <c r="AC12" i="43"/>
  <c r="I16" i="44"/>
  <c r="AC10" i="44"/>
  <c r="O17" i="44"/>
  <c r="Z18" i="44"/>
  <c r="Z26" i="44" s="1"/>
  <c r="AC12" i="45"/>
  <c r="T18" i="45"/>
  <c r="T26" i="45" s="1"/>
  <c r="Y10" i="46"/>
  <c r="S12" i="46"/>
  <c r="W12" i="47"/>
  <c r="Z18" i="47"/>
  <c r="Z26" i="47" s="1"/>
  <c r="V24" i="47"/>
  <c r="Y6" i="48"/>
  <c r="U12" i="48"/>
  <c r="O17" i="48"/>
  <c r="Y12" i="49"/>
  <c r="U14" i="49"/>
  <c r="I16" i="50"/>
  <c r="AC10" i="50"/>
  <c r="AB18" i="50"/>
  <c r="AB26" i="50" s="1"/>
  <c r="W12" i="51"/>
  <c r="U10" i="52"/>
  <c r="T24" i="53"/>
  <c r="T18" i="53"/>
  <c r="T26" i="53" s="1"/>
  <c r="AB24" i="55"/>
  <c r="AB18" i="55"/>
  <c r="AB26" i="55" s="1"/>
  <c r="R24" i="60"/>
  <c r="R18" i="60"/>
  <c r="R26" i="60" s="1"/>
  <c r="O17" i="10"/>
  <c r="T24" i="13"/>
  <c r="I16" i="15"/>
  <c r="O17" i="15"/>
  <c r="R18" i="17"/>
  <c r="R26" i="17" s="1"/>
  <c r="Q16" i="21"/>
  <c r="AA16" i="21" s="1"/>
  <c r="I16" i="21"/>
  <c r="Q16" i="22"/>
  <c r="Y16" i="22" s="1"/>
  <c r="Q16" i="24"/>
  <c r="U16" i="24" s="1"/>
  <c r="M16" i="25"/>
  <c r="Q16" i="28"/>
  <c r="U16" i="28" s="1"/>
  <c r="AE14" i="29"/>
  <c r="I16" i="36"/>
  <c r="R18" i="39"/>
  <c r="R26" i="39" s="1"/>
  <c r="T18" i="41"/>
  <c r="T26" i="41" s="1"/>
  <c r="R18" i="43"/>
  <c r="R26" i="43" s="1"/>
  <c r="I16" i="48"/>
  <c r="T18" i="48"/>
  <c r="T26" i="48" s="1"/>
  <c r="M16" i="50"/>
  <c r="V18" i="50"/>
  <c r="V26" i="50" s="1"/>
  <c r="W8" i="52"/>
  <c r="AE8" i="52"/>
  <c r="AC8" i="52"/>
  <c r="Y8" i="52"/>
  <c r="AB24" i="52"/>
  <c r="AB18" i="52"/>
  <c r="AB26" i="52" s="1"/>
  <c r="W8" i="60"/>
  <c r="AE8" i="60"/>
  <c r="AC8" i="60"/>
  <c r="AA8" i="60"/>
  <c r="Y8" i="60"/>
  <c r="S8" i="60"/>
  <c r="R18" i="61"/>
  <c r="R26" i="61" s="1"/>
  <c r="R24" i="61"/>
  <c r="W16" i="30"/>
  <c r="T18" i="39"/>
  <c r="T26" i="39" s="1"/>
  <c r="R18" i="51"/>
  <c r="R26" i="51" s="1"/>
  <c r="R24" i="51"/>
  <c r="T18" i="58"/>
  <c r="T26" i="58" s="1"/>
  <c r="T24" i="58"/>
  <c r="V18" i="51"/>
  <c r="V26" i="51" s="1"/>
  <c r="Z18" i="52"/>
  <c r="Z26" i="52" s="1"/>
  <c r="Z24" i="52"/>
  <c r="Z18" i="53"/>
  <c r="Z26" i="53" s="1"/>
  <c r="O17" i="54"/>
  <c r="T18" i="54"/>
  <c r="T26" i="54" s="1"/>
  <c r="I16" i="55"/>
  <c r="AC12" i="55"/>
  <c r="AD18" i="55"/>
  <c r="AD26" i="55" s="1"/>
  <c r="R18" i="55"/>
  <c r="R26" i="55" s="1"/>
  <c r="AA10" i="56"/>
  <c r="AE12" i="56"/>
  <c r="X18" i="56"/>
  <c r="X26" i="56" s="1"/>
  <c r="AA8" i="57"/>
  <c r="AB18" i="57"/>
  <c r="AB26" i="57" s="1"/>
  <c r="I16" i="58"/>
  <c r="AC10" i="58"/>
  <c r="AE12" i="58"/>
  <c r="V18" i="58"/>
  <c r="V26" i="58" s="1"/>
  <c r="I16" i="59"/>
  <c r="S8" i="59"/>
  <c r="AE12" i="59"/>
  <c r="T18" i="59"/>
  <c r="T26" i="59" s="1"/>
  <c r="M16" i="60"/>
  <c r="AC10" i="60"/>
  <c r="AC12" i="60"/>
  <c r="T18" i="60"/>
  <c r="T26" i="60" s="1"/>
  <c r="I16" i="61"/>
  <c r="S8" i="61"/>
  <c r="AE12" i="61"/>
  <c r="T18" i="61"/>
  <c r="T26" i="61" s="1"/>
  <c r="M16" i="62"/>
  <c r="AC10" i="62"/>
  <c r="W12" i="62"/>
  <c r="O17" i="62"/>
  <c r="R18" i="62"/>
  <c r="R26" i="62" s="1"/>
  <c r="Y12" i="63"/>
  <c r="U14" i="63"/>
  <c r="Y6" i="64"/>
  <c r="AA8" i="64"/>
  <c r="W10" i="64"/>
  <c r="S12" i="64"/>
  <c r="W12" i="65"/>
  <c r="X18" i="65"/>
  <c r="X26" i="65" s="1"/>
  <c r="V24" i="65"/>
  <c r="U6" i="66"/>
  <c r="Y8" i="66"/>
  <c r="U10" i="66"/>
  <c r="T24" i="66"/>
  <c r="AC6" i="67"/>
  <c r="AA8" i="67"/>
  <c r="Z18" i="67"/>
  <c r="Z26" i="67" s="1"/>
  <c r="AC12" i="68"/>
  <c r="W14" i="68"/>
  <c r="AE14" i="70"/>
  <c r="U14" i="70"/>
  <c r="AE10" i="73"/>
  <c r="AC10" i="73"/>
  <c r="AA10" i="73"/>
  <c r="Y10" i="73"/>
  <c r="W10" i="73"/>
  <c r="U10" i="73"/>
  <c r="S10" i="73"/>
  <c r="V24" i="73"/>
  <c r="V18" i="73"/>
  <c r="V26" i="73" s="1"/>
  <c r="O17" i="52"/>
  <c r="I16" i="53"/>
  <c r="M16" i="54"/>
  <c r="X18" i="54"/>
  <c r="X26" i="54" s="1"/>
  <c r="M16" i="55"/>
  <c r="Z18" i="55"/>
  <c r="Z26" i="55" s="1"/>
  <c r="X18" i="57"/>
  <c r="X26" i="57" s="1"/>
  <c r="AB18" i="58"/>
  <c r="AB26" i="58" s="1"/>
  <c r="AA8" i="59"/>
  <c r="AB18" i="59"/>
  <c r="AB26" i="59" s="1"/>
  <c r="AB18" i="60"/>
  <c r="AB26" i="60" s="1"/>
  <c r="AA8" i="61"/>
  <c r="AB18" i="61"/>
  <c r="AB26" i="61" s="1"/>
  <c r="AE12" i="62"/>
  <c r="X18" i="62"/>
  <c r="X26" i="62" s="1"/>
  <c r="AC12" i="63"/>
  <c r="AD18" i="63"/>
  <c r="AD26" i="63" s="1"/>
  <c r="AA10" i="64"/>
  <c r="W12" i="64"/>
  <c r="O17" i="64"/>
  <c r="R18" i="64"/>
  <c r="R26" i="64" s="1"/>
  <c r="AA12" i="65"/>
  <c r="AE8" i="66"/>
  <c r="Y10" i="66"/>
  <c r="S12" i="66"/>
  <c r="V18" i="67"/>
  <c r="V26" i="67" s="1"/>
  <c r="AE6" i="69"/>
  <c r="U6" i="69"/>
  <c r="Y6" i="74"/>
  <c r="AE6" i="74"/>
  <c r="AC6" i="74"/>
  <c r="AA6" i="74"/>
  <c r="W6" i="74"/>
  <c r="AE8" i="82"/>
  <c r="W8" i="82"/>
  <c r="S8" i="53"/>
  <c r="AD18" i="53"/>
  <c r="AD26" i="53" s="1"/>
  <c r="Y12" i="57"/>
  <c r="U14" i="57"/>
  <c r="AD24" i="57"/>
  <c r="U6" i="58"/>
  <c r="Y8" i="58"/>
  <c r="S10" i="58"/>
  <c r="AC6" i="59"/>
  <c r="U12" i="59"/>
  <c r="V18" i="59"/>
  <c r="V26" i="59" s="1"/>
  <c r="S10" i="60"/>
  <c r="T24" i="60"/>
  <c r="AC6" i="61"/>
  <c r="U12" i="61"/>
  <c r="V18" i="61"/>
  <c r="V26" i="61" s="1"/>
  <c r="S10" i="62"/>
  <c r="V18" i="62"/>
  <c r="V26" i="62" s="1"/>
  <c r="AB18" i="62"/>
  <c r="AB26" i="62" s="1"/>
  <c r="AE12" i="63"/>
  <c r="T18" i="63"/>
  <c r="T26" i="63" s="1"/>
  <c r="M16" i="64"/>
  <c r="AC10" i="64"/>
  <c r="AC12" i="64"/>
  <c r="I16" i="65"/>
  <c r="AC12" i="65"/>
  <c r="AD18" i="65"/>
  <c r="AD26" i="65" s="1"/>
  <c r="AA10" i="66"/>
  <c r="U12" i="66"/>
  <c r="AC14" i="66"/>
  <c r="X18" i="67"/>
  <c r="X26" i="67" s="1"/>
  <c r="V24" i="67"/>
  <c r="O17" i="68"/>
  <c r="R18" i="68"/>
  <c r="R26" i="68" s="1"/>
  <c r="AD18" i="51"/>
  <c r="AD26" i="51" s="1"/>
  <c r="U8" i="53"/>
  <c r="U12" i="55"/>
  <c r="V18" i="55"/>
  <c r="V26" i="55" s="1"/>
  <c r="Y8" i="56"/>
  <c r="Z24" i="56"/>
  <c r="Y6" i="58"/>
  <c r="V24" i="59"/>
  <c r="V24" i="61"/>
  <c r="U6" i="62"/>
  <c r="T24" i="62"/>
  <c r="M16" i="63"/>
  <c r="Z18" i="63"/>
  <c r="Z26" i="63" s="1"/>
  <c r="AE12" i="64"/>
  <c r="X18" i="64"/>
  <c r="X26" i="64" s="1"/>
  <c r="AE12" i="65"/>
  <c r="T18" i="65"/>
  <c r="T26" i="65" s="1"/>
  <c r="M16" i="66"/>
  <c r="AC10" i="66"/>
  <c r="W12" i="66"/>
  <c r="O17" i="66"/>
  <c r="R18" i="66"/>
  <c r="R26" i="66" s="1"/>
  <c r="Q16" i="68"/>
  <c r="Y16" i="68" s="1"/>
  <c r="U12" i="68"/>
  <c r="Z18" i="68"/>
  <c r="Z26" i="68" s="1"/>
  <c r="M16" i="52"/>
  <c r="I16" i="52"/>
  <c r="M16" i="53"/>
  <c r="R18" i="57"/>
  <c r="R26" i="57" s="1"/>
  <c r="AD24" i="59"/>
  <c r="Z24" i="60"/>
  <c r="AD24" i="61"/>
  <c r="AB18" i="63"/>
  <c r="AB26" i="63" s="1"/>
  <c r="V18" i="64"/>
  <c r="V26" i="64" s="1"/>
  <c r="AB18" i="64"/>
  <c r="AB26" i="64" s="1"/>
  <c r="M16" i="65"/>
  <c r="Z18" i="65"/>
  <c r="Z26" i="65" s="1"/>
  <c r="AC12" i="66"/>
  <c r="T18" i="66"/>
  <c r="T26" i="66" s="1"/>
  <c r="I16" i="67"/>
  <c r="AD24" i="67"/>
  <c r="I16" i="68"/>
  <c r="X18" i="74"/>
  <c r="X26" i="74" s="1"/>
  <c r="Z18" i="74"/>
  <c r="Z26" i="74" s="1"/>
  <c r="X24" i="81"/>
  <c r="X18" i="81"/>
  <c r="X26" i="81" s="1"/>
  <c r="Z24" i="54"/>
  <c r="O17" i="56"/>
  <c r="O17" i="58"/>
  <c r="Z24" i="62"/>
  <c r="AB18" i="65"/>
  <c r="AB26" i="65" s="1"/>
  <c r="AE12" i="66"/>
  <c r="X18" i="66"/>
  <c r="X26" i="66" s="1"/>
  <c r="T24" i="68"/>
  <c r="AE10" i="81"/>
  <c r="AC10" i="81"/>
  <c r="AA10" i="81"/>
  <c r="Y10" i="81"/>
  <c r="W10" i="81"/>
  <c r="U10" i="81"/>
  <c r="S10" i="81"/>
  <c r="Y6" i="82"/>
  <c r="AE6" i="82"/>
  <c r="AC6" i="82"/>
  <c r="AA6" i="82"/>
  <c r="W6" i="82"/>
  <c r="M16" i="57"/>
  <c r="M16" i="58"/>
  <c r="O17" i="60"/>
  <c r="T18" i="67"/>
  <c r="T26" i="67" s="1"/>
  <c r="Q16" i="71"/>
  <c r="AA16" i="71" s="1"/>
  <c r="AE6" i="71"/>
  <c r="W6" i="71"/>
  <c r="U6" i="71"/>
  <c r="S6" i="71"/>
  <c r="Y14" i="71"/>
  <c r="AE14" i="71"/>
  <c r="AC14" i="71"/>
  <c r="AA14" i="71"/>
  <c r="W14" i="71"/>
  <c r="R24" i="89"/>
  <c r="R18" i="92"/>
  <c r="R26" i="92" s="1"/>
  <c r="AC6" i="128"/>
  <c r="U6" i="128"/>
  <c r="S6" i="128"/>
  <c r="I16" i="69"/>
  <c r="AE10" i="69"/>
  <c r="V18" i="69"/>
  <c r="V26" i="69" s="1"/>
  <c r="W10" i="71"/>
  <c r="W6" i="73"/>
  <c r="W6" i="75"/>
  <c r="R18" i="75"/>
  <c r="R26" i="75" s="1"/>
  <c r="AE6" i="77"/>
  <c r="O17" i="77"/>
  <c r="V18" i="77"/>
  <c r="V26" i="77" s="1"/>
  <c r="AC6" i="78"/>
  <c r="W6" i="81"/>
  <c r="AC14" i="81"/>
  <c r="Z18" i="81"/>
  <c r="Z26" i="81" s="1"/>
  <c r="S6" i="83"/>
  <c r="AA12" i="84"/>
  <c r="U6" i="85"/>
  <c r="V18" i="85"/>
  <c r="V26" i="85" s="1"/>
  <c r="T18" i="86"/>
  <c r="T26" i="86" s="1"/>
  <c r="U12" i="87"/>
  <c r="AA14" i="88"/>
  <c r="AE16" i="91"/>
  <c r="X24" i="94"/>
  <c r="M16" i="97"/>
  <c r="R24" i="97"/>
  <c r="O17" i="99"/>
  <c r="U8" i="101"/>
  <c r="AB18" i="101"/>
  <c r="AB26" i="101" s="1"/>
  <c r="S6" i="102"/>
  <c r="T18" i="102"/>
  <c r="T26" i="102" s="1"/>
  <c r="Y16" i="106"/>
  <c r="X24" i="106"/>
  <c r="X18" i="106"/>
  <c r="X26" i="106" s="1"/>
  <c r="Y14" i="113"/>
  <c r="AC14" i="113"/>
  <c r="AA14" i="113"/>
  <c r="Q16" i="117"/>
  <c r="AE6" i="117"/>
  <c r="AC6" i="117"/>
  <c r="Y6" i="117"/>
  <c r="U6" i="117"/>
  <c r="S6" i="117"/>
  <c r="S8" i="118"/>
  <c r="AE8" i="118"/>
  <c r="AA8" i="118"/>
  <c r="W8" i="118"/>
  <c r="U8" i="118"/>
  <c r="T24" i="118"/>
  <c r="T18" i="118"/>
  <c r="T26" i="118" s="1"/>
  <c r="AC8" i="120"/>
  <c r="AE8" i="120"/>
  <c r="AA8" i="120"/>
  <c r="W8" i="120"/>
  <c r="U8" i="120"/>
  <c r="S8" i="120"/>
  <c r="AE14" i="120"/>
  <c r="AC14" i="120"/>
  <c r="Y14" i="120"/>
  <c r="U14" i="120"/>
  <c r="S14" i="120"/>
  <c r="AB24" i="135"/>
  <c r="AB18" i="135"/>
  <c r="AB26" i="135" s="1"/>
  <c r="Z18" i="69"/>
  <c r="Z26" i="69" s="1"/>
  <c r="O17" i="70"/>
  <c r="O17" i="72"/>
  <c r="AE6" i="73"/>
  <c r="Y8" i="73"/>
  <c r="Y6" i="75"/>
  <c r="S10" i="75"/>
  <c r="V18" i="75"/>
  <c r="V26" i="75" s="1"/>
  <c r="U12" i="76"/>
  <c r="Z18" i="76"/>
  <c r="Z26" i="76" s="1"/>
  <c r="X18" i="77"/>
  <c r="X26" i="77" s="1"/>
  <c r="AE6" i="78"/>
  <c r="U12" i="78"/>
  <c r="Z18" i="78"/>
  <c r="Z26" i="78" s="1"/>
  <c r="I16" i="79"/>
  <c r="O17" i="79"/>
  <c r="V18" i="79"/>
  <c r="V26" i="79" s="1"/>
  <c r="AB18" i="80"/>
  <c r="AB26" i="80" s="1"/>
  <c r="Y6" i="81"/>
  <c r="AE14" i="81"/>
  <c r="X18" i="82"/>
  <c r="X26" i="82" s="1"/>
  <c r="U6" i="83"/>
  <c r="W14" i="83"/>
  <c r="M16" i="84"/>
  <c r="AC12" i="84"/>
  <c r="V24" i="84"/>
  <c r="W6" i="85"/>
  <c r="Y10" i="85"/>
  <c r="S12" i="85"/>
  <c r="AC8" i="86"/>
  <c r="Y12" i="87"/>
  <c r="S14" i="87"/>
  <c r="AC6" i="88"/>
  <c r="U12" i="88"/>
  <c r="AC14" i="88"/>
  <c r="Z18" i="88"/>
  <c r="Z26" i="88" s="1"/>
  <c r="Y14" i="89"/>
  <c r="Q16" i="90"/>
  <c r="X24" i="90"/>
  <c r="I16" i="91"/>
  <c r="Q16" i="91"/>
  <c r="O17" i="91"/>
  <c r="U16" i="92"/>
  <c r="Y16" i="93"/>
  <c r="X18" i="96"/>
  <c r="X26" i="96" s="1"/>
  <c r="O17" i="97"/>
  <c r="AE12" i="97"/>
  <c r="Y14" i="97"/>
  <c r="U16" i="98"/>
  <c r="AB18" i="98"/>
  <c r="AB26" i="98" s="1"/>
  <c r="Y16" i="99"/>
  <c r="Q16" i="100"/>
  <c r="U16" i="100"/>
  <c r="AB18" i="100"/>
  <c r="AB26" i="100" s="1"/>
  <c r="W6" i="101"/>
  <c r="W8" i="101"/>
  <c r="Z18" i="101"/>
  <c r="Z26" i="101" s="1"/>
  <c r="U6" i="102"/>
  <c r="AE10" i="102"/>
  <c r="V24" i="104"/>
  <c r="V18" i="104"/>
  <c r="V26" i="104" s="1"/>
  <c r="Z18" i="105"/>
  <c r="Z26" i="105" s="1"/>
  <c r="AA16" i="105"/>
  <c r="Y14" i="109"/>
  <c r="AC14" i="109"/>
  <c r="AA14" i="109"/>
  <c r="X24" i="113"/>
  <c r="U8" i="119"/>
  <c r="AE8" i="119"/>
  <c r="AC8" i="119"/>
  <c r="AA8" i="119"/>
  <c r="Y8" i="119"/>
  <c r="W8" i="119"/>
  <c r="S8" i="119"/>
  <c r="X24" i="125"/>
  <c r="X18" i="125"/>
  <c r="X26" i="125" s="1"/>
  <c r="S10" i="69"/>
  <c r="O17" i="69"/>
  <c r="AC12" i="70"/>
  <c r="AB18" i="70"/>
  <c r="AB26" i="70" s="1"/>
  <c r="AA10" i="71"/>
  <c r="Y6" i="72"/>
  <c r="AE12" i="72"/>
  <c r="AC8" i="73"/>
  <c r="AE14" i="73"/>
  <c r="AB18" i="73"/>
  <c r="AB26" i="73" s="1"/>
  <c r="R18" i="74"/>
  <c r="R26" i="74" s="1"/>
  <c r="Y8" i="75"/>
  <c r="U10" i="75"/>
  <c r="W14" i="75"/>
  <c r="T18" i="75"/>
  <c r="T26" i="75" s="1"/>
  <c r="T24" i="75"/>
  <c r="I16" i="76"/>
  <c r="W12" i="76"/>
  <c r="AD18" i="76"/>
  <c r="AD26" i="76" s="1"/>
  <c r="T24" i="77"/>
  <c r="W12" i="78"/>
  <c r="AC10" i="79"/>
  <c r="AE6" i="80"/>
  <c r="AE6" i="81"/>
  <c r="O17" i="81"/>
  <c r="AE12" i="82"/>
  <c r="Y14" i="82"/>
  <c r="W6" i="83"/>
  <c r="S10" i="83"/>
  <c r="AA14" i="83"/>
  <c r="AE12" i="84"/>
  <c r="AD24" i="84"/>
  <c r="Y6" i="85"/>
  <c r="AA10" i="85"/>
  <c r="U12" i="85"/>
  <c r="AC14" i="85"/>
  <c r="S6" i="86"/>
  <c r="AE8" i="86"/>
  <c r="M16" i="87"/>
  <c r="AC8" i="87"/>
  <c r="AA12" i="87"/>
  <c r="U14" i="87"/>
  <c r="AE6" i="88"/>
  <c r="AE8" i="88"/>
  <c r="AA10" i="88"/>
  <c r="W12" i="88"/>
  <c r="AA14" i="89"/>
  <c r="O17" i="90"/>
  <c r="Z24" i="90"/>
  <c r="Z18" i="91"/>
  <c r="Z26" i="91" s="1"/>
  <c r="AB18" i="92"/>
  <c r="AB26" i="92" s="1"/>
  <c r="I16" i="95"/>
  <c r="O17" i="95"/>
  <c r="T18" i="95"/>
  <c r="T26" i="95" s="1"/>
  <c r="U16" i="96"/>
  <c r="AB18" i="96"/>
  <c r="AB26" i="96" s="1"/>
  <c r="W6" i="97"/>
  <c r="U8" i="97"/>
  <c r="AA14" i="97"/>
  <c r="X18" i="97"/>
  <c r="X26" i="97" s="1"/>
  <c r="O17" i="98"/>
  <c r="T24" i="98"/>
  <c r="O17" i="100"/>
  <c r="T24" i="100"/>
  <c r="AA6" i="101"/>
  <c r="U12" i="101"/>
  <c r="AD18" i="101"/>
  <c r="AD26" i="101" s="1"/>
  <c r="W6" i="102"/>
  <c r="W14" i="102"/>
  <c r="I16" i="103"/>
  <c r="T24" i="103"/>
  <c r="X24" i="109"/>
  <c r="U8" i="111"/>
  <c r="AC8" i="111"/>
  <c r="AA8" i="111"/>
  <c r="Y8" i="111"/>
  <c r="W8" i="111"/>
  <c r="S8" i="111"/>
  <c r="AE8" i="111"/>
  <c r="Z18" i="112"/>
  <c r="Z26" i="112" s="1"/>
  <c r="X24" i="122"/>
  <c r="Y16" i="122"/>
  <c r="T24" i="126"/>
  <c r="Z18" i="131"/>
  <c r="Z26" i="131" s="1"/>
  <c r="Z24" i="131"/>
  <c r="AA16" i="131"/>
  <c r="U10" i="69"/>
  <c r="O17" i="73"/>
  <c r="I16" i="78"/>
  <c r="Y12" i="78"/>
  <c r="S14" i="78"/>
  <c r="AE10" i="79"/>
  <c r="U12" i="80"/>
  <c r="Z18" i="80"/>
  <c r="Z26" i="80" s="1"/>
  <c r="Y6" i="83"/>
  <c r="Y8" i="83"/>
  <c r="U10" i="83"/>
  <c r="AC14" i="83"/>
  <c r="AA6" i="85"/>
  <c r="I16" i="85"/>
  <c r="AC10" i="85"/>
  <c r="W12" i="85"/>
  <c r="AC12" i="87"/>
  <c r="W14" i="87"/>
  <c r="AC14" i="89"/>
  <c r="AD24" i="90"/>
  <c r="AD18" i="91"/>
  <c r="AD26" i="91" s="1"/>
  <c r="T24" i="92"/>
  <c r="M16" i="95"/>
  <c r="Z18" i="95"/>
  <c r="Z26" i="95" s="1"/>
  <c r="O17" i="96"/>
  <c r="W8" i="97"/>
  <c r="AC14" i="97"/>
  <c r="X24" i="98"/>
  <c r="X24" i="100"/>
  <c r="AC6" i="101"/>
  <c r="Y6" i="102"/>
  <c r="Y6" i="112"/>
  <c r="AC6" i="112"/>
  <c r="AA6" i="112"/>
  <c r="AC14" i="124"/>
  <c r="AA14" i="124"/>
  <c r="Y14" i="124"/>
  <c r="W14" i="124"/>
  <c r="U14" i="124"/>
  <c r="S14" i="124"/>
  <c r="AE14" i="124"/>
  <c r="M16" i="69"/>
  <c r="W10" i="69"/>
  <c r="O17" i="71"/>
  <c r="AC6" i="72"/>
  <c r="M16" i="73"/>
  <c r="M16" i="75"/>
  <c r="I16" i="75"/>
  <c r="Y10" i="75"/>
  <c r="S12" i="75"/>
  <c r="AA12" i="76"/>
  <c r="S6" i="77"/>
  <c r="W14" i="77"/>
  <c r="W16" i="77"/>
  <c r="AA12" i="78"/>
  <c r="U14" i="78"/>
  <c r="I16" i="80"/>
  <c r="W12" i="80"/>
  <c r="AD18" i="80"/>
  <c r="AD26" i="80" s="1"/>
  <c r="I16" i="81"/>
  <c r="T24" i="81"/>
  <c r="AE6" i="83"/>
  <c r="AC8" i="83"/>
  <c r="W10" i="83"/>
  <c r="AE14" i="83"/>
  <c r="Y8" i="84"/>
  <c r="R18" i="84"/>
  <c r="R26" i="84" s="1"/>
  <c r="AE10" i="85"/>
  <c r="Y12" i="85"/>
  <c r="O17" i="85"/>
  <c r="X18" i="85"/>
  <c r="X26" i="85" s="1"/>
  <c r="Y14" i="87"/>
  <c r="S6" i="88"/>
  <c r="R18" i="88"/>
  <c r="R26" i="88" s="1"/>
  <c r="AE14" i="89"/>
  <c r="AD24" i="92"/>
  <c r="I16" i="93"/>
  <c r="O17" i="93"/>
  <c r="R18" i="93"/>
  <c r="R26" i="93" s="1"/>
  <c r="V18" i="94"/>
  <c r="V26" i="94" s="1"/>
  <c r="X24" i="96"/>
  <c r="AB18" i="97"/>
  <c r="AB26" i="97" s="1"/>
  <c r="AD24" i="98"/>
  <c r="AD24" i="100"/>
  <c r="AA6" i="102"/>
  <c r="Q16" i="103"/>
  <c r="S6" i="104"/>
  <c r="AA6" i="104"/>
  <c r="U6" i="104"/>
  <c r="AA8" i="104"/>
  <c r="AE8" i="104"/>
  <c r="W8" i="104"/>
  <c r="AB24" i="104"/>
  <c r="AB18" i="104"/>
  <c r="AB26" i="104" s="1"/>
  <c r="R18" i="108"/>
  <c r="R26" i="108" s="1"/>
  <c r="R24" i="108"/>
  <c r="M16" i="110"/>
  <c r="S16" i="117"/>
  <c r="T24" i="120"/>
  <c r="T18" i="120"/>
  <c r="T26" i="120" s="1"/>
  <c r="M16" i="70"/>
  <c r="AD18" i="70"/>
  <c r="AD26" i="70" s="1"/>
  <c r="I16" i="71"/>
  <c r="AE6" i="72"/>
  <c r="Q16" i="75"/>
  <c r="S16" i="75" s="1"/>
  <c r="O17" i="76"/>
  <c r="AC12" i="76"/>
  <c r="U6" i="77"/>
  <c r="AA14" i="77"/>
  <c r="O17" i="78"/>
  <c r="O17" i="83"/>
  <c r="AE12" i="85"/>
  <c r="R18" i="86"/>
  <c r="R26" i="86" s="1"/>
  <c r="O17" i="87"/>
  <c r="AA14" i="87"/>
  <c r="M16" i="88"/>
  <c r="O17" i="92"/>
  <c r="T18" i="93"/>
  <c r="T26" i="93" s="1"/>
  <c r="X18" i="94"/>
  <c r="X26" i="94" s="1"/>
  <c r="AD24" i="96"/>
  <c r="I16" i="99"/>
  <c r="I16" i="102"/>
  <c r="AC6" i="102"/>
  <c r="V18" i="102"/>
  <c r="V26" i="102" s="1"/>
  <c r="O17" i="103"/>
  <c r="W16" i="103"/>
  <c r="W6" i="104"/>
  <c r="S8" i="104"/>
  <c r="X24" i="107"/>
  <c r="X18" i="107"/>
  <c r="X26" i="107" s="1"/>
  <c r="S16" i="108"/>
  <c r="Q16" i="111"/>
  <c r="AE6" i="111"/>
  <c r="AC6" i="111"/>
  <c r="Y6" i="111"/>
  <c r="U6" i="111"/>
  <c r="V18" i="113"/>
  <c r="V26" i="113" s="1"/>
  <c r="V24" i="113"/>
  <c r="Q16" i="119"/>
  <c r="AA16" i="119" s="1"/>
  <c r="AC6" i="119"/>
  <c r="Y6" i="119"/>
  <c r="U6" i="119"/>
  <c r="S6" i="119"/>
  <c r="W14" i="69"/>
  <c r="U12" i="70"/>
  <c r="I16" i="72"/>
  <c r="W12" i="72"/>
  <c r="T18" i="73"/>
  <c r="T26" i="73" s="1"/>
  <c r="U14" i="74"/>
  <c r="S6" i="75"/>
  <c r="AA6" i="76"/>
  <c r="AE12" i="76"/>
  <c r="W6" i="77"/>
  <c r="AC14" i="77"/>
  <c r="W6" i="78"/>
  <c r="AE12" i="78"/>
  <c r="Y14" i="78"/>
  <c r="AA14" i="79"/>
  <c r="AA12" i="80"/>
  <c r="W14" i="81"/>
  <c r="M16" i="83"/>
  <c r="I16" i="83"/>
  <c r="AA10" i="83"/>
  <c r="AC8" i="84"/>
  <c r="M16" i="85"/>
  <c r="X18" i="87"/>
  <c r="X26" i="87" s="1"/>
  <c r="I16" i="89"/>
  <c r="Y12" i="89"/>
  <c r="AC16" i="92"/>
  <c r="U16" i="94"/>
  <c r="Y16" i="95"/>
  <c r="M16" i="99"/>
  <c r="I16" i="101"/>
  <c r="M16" i="102"/>
  <c r="O17" i="102"/>
  <c r="V18" i="109"/>
  <c r="V26" i="109" s="1"/>
  <c r="V24" i="109"/>
  <c r="R18" i="114"/>
  <c r="R26" i="114" s="1"/>
  <c r="S16" i="114"/>
  <c r="R24" i="114"/>
  <c r="U10" i="115"/>
  <c r="Y10" i="115"/>
  <c r="M16" i="125"/>
  <c r="U8" i="130"/>
  <c r="S8" i="130"/>
  <c r="AA8" i="130"/>
  <c r="AE8" i="130"/>
  <c r="Y8" i="130"/>
  <c r="W8" i="130"/>
  <c r="V24" i="105"/>
  <c r="AA16" i="108"/>
  <c r="AE6" i="109"/>
  <c r="Y8" i="109"/>
  <c r="I16" i="112"/>
  <c r="Y12" i="112"/>
  <c r="S14" i="112"/>
  <c r="Z24" i="112"/>
  <c r="AC6" i="113"/>
  <c r="Y8" i="113"/>
  <c r="W10" i="113"/>
  <c r="AD18" i="114"/>
  <c r="AD26" i="114" s="1"/>
  <c r="U6" i="115"/>
  <c r="S8" i="115"/>
  <c r="X18" i="115"/>
  <c r="X26" i="115" s="1"/>
  <c r="M16" i="116"/>
  <c r="X18" i="116"/>
  <c r="X26" i="116" s="1"/>
  <c r="AE8" i="117"/>
  <c r="AA14" i="117"/>
  <c r="Y16" i="117"/>
  <c r="M16" i="118"/>
  <c r="W12" i="118"/>
  <c r="Z18" i="118"/>
  <c r="Z26" i="118" s="1"/>
  <c r="M16" i="119"/>
  <c r="M16" i="120"/>
  <c r="U12" i="120"/>
  <c r="Z18" i="120"/>
  <c r="Z26" i="120" s="1"/>
  <c r="V24" i="121"/>
  <c r="M16" i="122"/>
  <c r="T18" i="122"/>
  <c r="T26" i="122" s="1"/>
  <c r="AC8" i="123"/>
  <c r="AC10" i="123"/>
  <c r="S12" i="124"/>
  <c r="AA8" i="126"/>
  <c r="AC12" i="126"/>
  <c r="U6" i="127"/>
  <c r="AC14" i="127"/>
  <c r="AA12" i="128"/>
  <c r="AA14" i="128"/>
  <c r="S14" i="130"/>
  <c r="W14" i="130"/>
  <c r="S16" i="136"/>
  <c r="R18" i="136"/>
  <c r="R26" i="136" s="1"/>
  <c r="W24" i="137"/>
  <c r="W18" i="137"/>
  <c r="W26" i="137" s="1"/>
  <c r="X16" i="137"/>
  <c r="O17" i="116"/>
  <c r="O17" i="122"/>
  <c r="M16" i="123"/>
  <c r="Z24" i="134"/>
  <c r="Z18" i="134"/>
  <c r="Z26" i="134" s="1"/>
  <c r="M16" i="105"/>
  <c r="T24" i="106"/>
  <c r="T24" i="107"/>
  <c r="X18" i="108"/>
  <c r="X26" i="108" s="1"/>
  <c r="M16" i="109"/>
  <c r="AE8" i="109"/>
  <c r="I16" i="110"/>
  <c r="W12" i="110"/>
  <c r="R24" i="110"/>
  <c r="AD18" i="111"/>
  <c r="AD26" i="111" s="1"/>
  <c r="V18" i="111"/>
  <c r="V26" i="111" s="1"/>
  <c r="AA8" i="112"/>
  <c r="AE12" i="112"/>
  <c r="AC14" i="112"/>
  <c r="AE8" i="113"/>
  <c r="AA8" i="115"/>
  <c r="AA16" i="116"/>
  <c r="R24" i="116"/>
  <c r="S8" i="117"/>
  <c r="AD18" i="117"/>
  <c r="AD26" i="117" s="1"/>
  <c r="V18" i="117"/>
  <c r="V26" i="117" s="1"/>
  <c r="AC12" i="118"/>
  <c r="R24" i="118"/>
  <c r="AD18" i="119"/>
  <c r="AD26" i="119" s="1"/>
  <c r="V18" i="119"/>
  <c r="V26" i="119" s="1"/>
  <c r="AA12" i="120"/>
  <c r="W16" i="121"/>
  <c r="AE16" i="121"/>
  <c r="T18" i="121"/>
  <c r="T26" i="121" s="1"/>
  <c r="AD24" i="121"/>
  <c r="AB18" i="122"/>
  <c r="AB26" i="122" s="1"/>
  <c r="O17" i="123"/>
  <c r="AD18" i="123"/>
  <c r="AD26" i="123" s="1"/>
  <c r="V18" i="123"/>
  <c r="V26" i="123" s="1"/>
  <c r="U8" i="124"/>
  <c r="AE10" i="124"/>
  <c r="AA12" i="124"/>
  <c r="U10" i="125"/>
  <c r="AE12" i="125"/>
  <c r="Z18" i="126"/>
  <c r="Z26" i="126" s="1"/>
  <c r="AA6" i="127"/>
  <c r="W8" i="128"/>
  <c r="T18" i="128"/>
  <c r="T26" i="128" s="1"/>
  <c r="O17" i="129"/>
  <c r="O18" i="129" s="1"/>
  <c r="X18" i="129"/>
  <c r="X26" i="129" s="1"/>
  <c r="I16" i="130"/>
  <c r="AA14" i="134"/>
  <c r="AE14" i="134"/>
  <c r="I16" i="106"/>
  <c r="M16" i="113"/>
  <c r="I16" i="115"/>
  <c r="I16" i="116"/>
  <c r="W8" i="117"/>
  <c r="I16" i="122"/>
  <c r="W8" i="124"/>
  <c r="O17" i="124"/>
  <c r="W10" i="125"/>
  <c r="M16" i="126"/>
  <c r="V18" i="128"/>
  <c r="V26" i="128" s="1"/>
  <c r="AB18" i="129"/>
  <c r="AB26" i="129" s="1"/>
  <c r="U14" i="133"/>
  <c r="Y14" i="133"/>
  <c r="W14" i="133"/>
  <c r="S14" i="133"/>
  <c r="AA14" i="133"/>
  <c r="S16" i="105"/>
  <c r="AC16" i="106"/>
  <c r="I16" i="107"/>
  <c r="Q16" i="107"/>
  <c r="S8" i="109"/>
  <c r="O17" i="109"/>
  <c r="AD18" i="109"/>
  <c r="AD26" i="109" s="1"/>
  <c r="W10" i="111"/>
  <c r="S12" i="112"/>
  <c r="O17" i="112"/>
  <c r="S6" i="113"/>
  <c r="AD18" i="113"/>
  <c r="AD26" i="113" s="1"/>
  <c r="T18" i="114"/>
  <c r="T26" i="114" s="1"/>
  <c r="S16" i="116"/>
  <c r="Y8" i="117"/>
  <c r="W10" i="117"/>
  <c r="Y16" i="121"/>
  <c r="S16" i="122"/>
  <c r="R24" i="122"/>
  <c r="AA6" i="124"/>
  <c r="AA8" i="124"/>
  <c r="AA10" i="125"/>
  <c r="AB18" i="126"/>
  <c r="AB26" i="126" s="1"/>
  <c r="AD18" i="128"/>
  <c r="AD26" i="128" s="1"/>
  <c r="U6" i="129"/>
  <c r="S6" i="129"/>
  <c r="AA6" i="129"/>
  <c r="AE14" i="132"/>
  <c r="U14" i="132"/>
  <c r="S14" i="132"/>
  <c r="AE14" i="133"/>
  <c r="AA18" i="140"/>
  <c r="AA26" i="140" s="1"/>
  <c r="AA24" i="140"/>
  <c r="O17" i="104"/>
  <c r="AD18" i="104"/>
  <c r="AD26" i="104" s="1"/>
  <c r="S16" i="107"/>
  <c r="AD24" i="107"/>
  <c r="Y16" i="108"/>
  <c r="Y6" i="109"/>
  <c r="U8" i="109"/>
  <c r="AA6" i="110"/>
  <c r="AA8" i="110"/>
  <c r="AC12" i="110"/>
  <c r="Y14" i="110"/>
  <c r="Y10" i="111"/>
  <c r="U12" i="112"/>
  <c r="U6" i="113"/>
  <c r="S8" i="113"/>
  <c r="X18" i="114"/>
  <c r="X26" i="114" s="1"/>
  <c r="Q16" i="115"/>
  <c r="M16" i="115"/>
  <c r="AE16" i="116"/>
  <c r="AA8" i="117"/>
  <c r="Y10" i="117"/>
  <c r="S12" i="118"/>
  <c r="O17" i="118"/>
  <c r="O17" i="120"/>
  <c r="Q16" i="122"/>
  <c r="AC16" i="122"/>
  <c r="W10" i="123"/>
  <c r="AC6" i="124"/>
  <c r="AE8" i="124"/>
  <c r="Z24" i="124"/>
  <c r="AE10" i="125"/>
  <c r="I16" i="126"/>
  <c r="S8" i="126"/>
  <c r="Y10" i="126"/>
  <c r="V18" i="127"/>
  <c r="V26" i="127" s="1"/>
  <c r="U14" i="128"/>
  <c r="W6" i="129"/>
  <c r="O17" i="132"/>
  <c r="AD24" i="132"/>
  <c r="AD18" i="132"/>
  <c r="AD26" i="132" s="1"/>
  <c r="R24" i="105"/>
  <c r="U16" i="106"/>
  <c r="R18" i="107"/>
  <c r="R26" i="107" s="1"/>
  <c r="AC6" i="110"/>
  <c r="AE8" i="110"/>
  <c r="AC14" i="110"/>
  <c r="AC10" i="111"/>
  <c r="M16" i="112"/>
  <c r="R24" i="112"/>
  <c r="W8" i="113"/>
  <c r="Y16" i="114"/>
  <c r="O17" i="115"/>
  <c r="AD18" i="115"/>
  <c r="AD26" i="115" s="1"/>
  <c r="T18" i="116"/>
  <c r="T26" i="116" s="1"/>
  <c r="AC8" i="117"/>
  <c r="X24" i="117"/>
  <c r="AA16" i="121"/>
  <c r="U16" i="122"/>
  <c r="Y10" i="123"/>
  <c r="AA10" i="126"/>
  <c r="V18" i="126"/>
  <c r="V26" i="126" s="1"/>
  <c r="I16" i="128"/>
  <c r="M16" i="128"/>
  <c r="Y14" i="128"/>
  <c r="X18" i="128"/>
  <c r="X26" i="128" s="1"/>
  <c r="Y6" i="129"/>
  <c r="V24" i="130"/>
  <c r="V18" i="130"/>
  <c r="V26" i="130" s="1"/>
  <c r="Q16" i="131"/>
  <c r="Y12" i="129"/>
  <c r="Z18" i="129"/>
  <c r="Z26" i="129" s="1"/>
  <c r="T24" i="130"/>
  <c r="I16" i="132"/>
  <c r="AE8" i="132"/>
  <c r="AA8" i="133"/>
  <c r="W10" i="133"/>
  <c r="U6" i="134"/>
  <c r="I16" i="134"/>
  <c r="AE12" i="134"/>
  <c r="V16" i="137"/>
  <c r="AC24" i="137"/>
  <c r="AB16" i="138"/>
  <c r="R16" i="139"/>
  <c r="Y18" i="139"/>
  <c r="Y26" i="139" s="1"/>
  <c r="W18" i="142"/>
  <c r="W26" i="142" s="1"/>
  <c r="R16" i="143"/>
  <c r="AA18" i="143"/>
  <c r="AA26" i="143" s="1"/>
  <c r="P17" i="144"/>
  <c r="P18" i="144" s="1"/>
  <c r="AD16" i="144"/>
  <c r="X16" i="145"/>
  <c r="W18" i="145"/>
  <c r="W26" i="145" s="1"/>
  <c r="M16" i="146"/>
  <c r="P17" i="146"/>
  <c r="I16" i="147"/>
  <c r="T16" i="149"/>
  <c r="S18" i="149"/>
  <c r="S26" i="149" s="1"/>
  <c r="P17" i="150"/>
  <c r="P18" i="150" s="1"/>
  <c r="Z16" i="151"/>
  <c r="Y24" i="151"/>
  <c r="Y18" i="152"/>
  <c r="Y26" i="152" s="1"/>
  <c r="R16" i="156"/>
  <c r="AE24" i="158"/>
  <c r="AF16" i="158"/>
  <c r="AA20" i="161"/>
  <c r="AA28" i="161" s="1"/>
  <c r="M18" i="162"/>
  <c r="AC20" i="166"/>
  <c r="AC28" i="166" s="1"/>
  <c r="AC26" i="166"/>
  <c r="AD18" i="166"/>
  <c r="P19" i="183"/>
  <c r="Y18" i="145"/>
  <c r="Y26" i="145" s="1"/>
  <c r="U18" i="149"/>
  <c r="U26" i="149" s="1"/>
  <c r="U18" i="154"/>
  <c r="U26" i="154" s="1"/>
  <c r="S26" i="165"/>
  <c r="S20" i="165"/>
  <c r="S28" i="165" s="1"/>
  <c r="T18" i="165"/>
  <c r="AF18" i="166"/>
  <c r="AE20" i="166"/>
  <c r="AE28" i="166" s="1"/>
  <c r="AB18" i="130"/>
  <c r="AB26" i="130" s="1"/>
  <c r="AB24" i="130"/>
  <c r="I16" i="131"/>
  <c r="V18" i="131"/>
  <c r="V26" i="131" s="1"/>
  <c r="AD18" i="133"/>
  <c r="AD26" i="133" s="1"/>
  <c r="Y6" i="134"/>
  <c r="I16" i="136"/>
  <c r="AB18" i="136"/>
  <c r="AB26" i="136" s="1"/>
  <c r="R16" i="138"/>
  <c r="W18" i="138"/>
  <c r="W26" i="138" s="1"/>
  <c r="P17" i="139"/>
  <c r="U18" i="141"/>
  <c r="U26" i="141" s="1"/>
  <c r="W24" i="142"/>
  <c r="AA24" i="143"/>
  <c r="U18" i="144"/>
  <c r="U26" i="144" s="1"/>
  <c r="Z16" i="145"/>
  <c r="AE18" i="145"/>
  <c r="AE26" i="145" s="1"/>
  <c r="AB16" i="146"/>
  <c r="AF16" i="148"/>
  <c r="S18" i="148"/>
  <c r="S26" i="148" s="1"/>
  <c r="M16" i="149"/>
  <c r="W18" i="149"/>
  <c r="W26" i="149" s="1"/>
  <c r="W18" i="150"/>
  <c r="W26" i="150" s="1"/>
  <c r="Y24" i="152"/>
  <c r="W24" i="153"/>
  <c r="R16" i="154"/>
  <c r="W18" i="154"/>
  <c r="W26" i="154" s="1"/>
  <c r="U18" i="158"/>
  <c r="U26" i="158" s="1"/>
  <c r="V16" i="158"/>
  <c r="W20" i="161"/>
  <c r="W28" i="161" s="1"/>
  <c r="X18" i="161"/>
  <c r="U26" i="165"/>
  <c r="M18" i="182"/>
  <c r="I18" i="200"/>
  <c r="I16" i="129"/>
  <c r="S16" i="131"/>
  <c r="X18" i="131"/>
  <c r="X26" i="131" s="1"/>
  <c r="U6" i="132"/>
  <c r="M16" i="132"/>
  <c r="I16" i="133"/>
  <c r="AE10" i="133"/>
  <c r="U10" i="134"/>
  <c r="S12" i="134"/>
  <c r="M16" i="134"/>
  <c r="I16" i="135"/>
  <c r="O17" i="135"/>
  <c r="O18" i="135" s="1"/>
  <c r="AE16" i="135"/>
  <c r="M16" i="136"/>
  <c r="O17" i="136"/>
  <c r="O18" i="136" s="1"/>
  <c r="T24" i="136"/>
  <c r="I16" i="138"/>
  <c r="T16" i="138"/>
  <c r="Y18" i="138"/>
  <c r="Y26" i="138" s="1"/>
  <c r="AA24" i="139"/>
  <c r="I16" i="141"/>
  <c r="P17" i="141"/>
  <c r="P18" i="141" s="1"/>
  <c r="AC18" i="141"/>
  <c r="AC26" i="141" s="1"/>
  <c r="Y24" i="142"/>
  <c r="AC18" i="144"/>
  <c r="AC26" i="144" s="1"/>
  <c r="I16" i="145"/>
  <c r="AF16" i="147"/>
  <c r="Y18" i="147"/>
  <c r="Y26" i="147" s="1"/>
  <c r="R16" i="148"/>
  <c r="P17" i="148"/>
  <c r="P18" i="148" s="1"/>
  <c r="U18" i="148"/>
  <c r="U26" i="148" s="1"/>
  <c r="X16" i="150"/>
  <c r="AE18" i="150"/>
  <c r="AE26" i="150" s="1"/>
  <c r="AA24" i="152"/>
  <c r="AD16" i="153"/>
  <c r="AC24" i="153"/>
  <c r="M16" i="154"/>
  <c r="X16" i="154"/>
  <c r="Y18" i="154"/>
  <c r="Y26" i="154" s="1"/>
  <c r="T16" i="155"/>
  <c r="S18" i="155"/>
  <c r="S26" i="155" s="1"/>
  <c r="X16" i="157"/>
  <c r="W18" i="157"/>
  <c r="W26" i="157" s="1"/>
  <c r="W24" i="157"/>
  <c r="W26" i="161"/>
  <c r="U20" i="166"/>
  <c r="U28" i="166" s="1"/>
  <c r="V18" i="166"/>
  <c r="U26" i="166"/>
  <c r="M18" i="185"/>
  <c r="I16" i="140"/>
  <c r="M16" i="141"/>
  <c r="M16" i="142"/>
  <c r="P17" i="143"/>
  <c r="U24" i="149"/>
  <c r="I16" i="153"/>
  <c r="AA24" i="156"/>
  <c r="AA18" i="156"/>
  <c r="AA26" i="156" s="1"/>
  <c r="AA26" i="163"/>
  <c r="AB18" i="163"/>
  <c r="AA20" i="163"/>
  <c r="AA28" i="163" s="1"/>
  <c r="Y26" i="164"/>
  <c r="Z18" i="164"/>
  <c r="Y20" i="164"/>
  <c r="Y28" i="164" s="1"/>
  <c r="AE26" i="166"/>
  <c r="P19" i="173"/>
  <c r="P20" i="173" s="1"/>
  <c r="X24" i="131"/>
  <c r="AA6" i="132"/>
  <c r="W8" i="132"/>
  <c r="AE12" i="132"/>
  <c r="Z18" i="132"/>
  <c r="Z26" i="132" s="1"/>
  <c r="AA10" i="134"/>
  <c r="R24" i="135"/>
  <c r="Y16" i="136"/>
  <c r="M16" i="137"/>
  <c r="Y24" i="138"/>
  <c r="M16" i="139"/>
  <c r="R16" i="140"/>
  <c r="P17" i="140"/>
  <c r="P18" i="140" s="1"/>
  <c r="W24" i="141"/>
  <c r="I16" i="142"/>
  <c r="P17" i="142"/>
  <c r="P18" i="142" s="1"/>
  <c r="M16" i="143"/>
  <c r="M16" i="144"/>
  <c r="R16" i="145"/>
  <c r="M16" i="145"/>
  <c r="AA24" i="145"/>
  <c r="Y18" i="146"/>
  <c r="Y26" i="146" s="1"/>
  <c r="X16" i="147"/>
  <c r="AE18" i="147"/>
  <c r="AE26" i="147" s="1"/>
  <c r="AE18" i="148"/>
  <c r="AE26" i="148" s="1"/>
  <c r="W24" i="149"/>
  <c r="M16" i="153"/>
  <c r="V16" i="153"/>
  <c r="AF16" i="153"/>
  <c r="P17" i="154"/>
  <c r="P18" i="154" s="1"/>
  <c r="Z16" i="154"/>
  <c r="Y24" i="155"/>
  <c r="AB16" i="156"/>
  <c r="P17" i="157"/>
  <c r="P18" i="157" s="1"/>
  <c r="AA26" i="161"/>
  <c r="Y26" i="162"/>
  <c r="AC26" i="163"/>
  <c r="AD18" i="163"/>
  <c r="I18" i="164"/>
  <c r="AA26" i="167"/>
  <c r="I18" i="171"/>
  <c r="I18" i="176"/>
  <c r="P19" i="194"/>
  <c r="P20" i="194" s="1"/>
  <c r="T18" i="132"/>
  <c r="T26" i="132" s="1"/>
  <c r="O17" i="134"/>
  <c r="O18" i="134" s="1"/>
  <c r="AA24" i="138"/>
  <c r="I16" i="139"/>
  <c r="S24" i="140"/>
  <c r="I16" i="143"/>
  <c r="R16" i="144"/>
  <c r="AA18" i="146"/>
  <c r="AA26" i="146" s="1"/>
  <c r="S24" i="147"/>
  <c r="AC24" i="150"/>
  <c r="R16" i="153"/>
  <c r="P17" i="153"/>
  <c r="P18" i="153" s="1"/>
  <c r="P17" i="155"/>
  <c r="P18" i="155" s="1"/>
  <c r="I16" i="156"/>
  <c r="P17" i="156"/>
  <c r="P18" i="156" s="1"/>
  <c r="AB16" i="158"/>
  <c r="AA24" i="158"/>
  <c r="AA18" i="158"/>
  <c r="AA26" i="158" s="1"/>
  <c r="I18" i="166"/>
  <c r="Y26" i="167"/>
  <c r="Z18" i="167"/>
  <c r="P19" i="168"/>
  <c r="P20" i="168" s="1"/>
  <c r="P17" i="138"/>
  <c r="P18" i="138" s="1"/>
  <c r="AA24" i="147"/>
  <c r="P17" i="151"/>
  <c r="P18" i="151" s="1"/>
  <c r="AE18" i="153"/>
  <c r="AE26" i="153" s="1"/>
  <c r="T16" i="159"/>
  <c r="S24" i="159"/>
  <c r="S18" i="159"/>
  <c r="S26" i="159" s="1"/>
  <c r="AE24" i="159"/>
  <c r="AF16" i="159"/>
  <c r="AE18" i="159"/>
  <c r="AE26" i="159" s="1"/>
  <c r="AA26" i="160"/>
  <c r="AB18" i="160"/>
  <c r="S26" i="163"/>
  <c r="T18" i="163"/>
  <c r="I18" i="186"/>
  <c r="I18" i="190"/>
  <c r="P19" i="197"/>
  <c r="P20" i="197" s="1"/>
  <c r="I18" i="198"/>
  <c r="I18" i="204"/>
  <c r="M18" i="213"/>
  <c r="I18" i="160"/>
  <c r="P19" i="160"/>
  <c r="I18" i="161"/>
  <c r="I18" i="163"/>
  <c r="P19" i="163"/>
  <c r="P20" i="163" s="1"/>
  <c r="R18" i="167"/>
  <c r="P19" i="167"/>
  <c r="P20" i="167" s="1"/>
  <c r="I18" i="169"/>
  <c r="M18" i="170"/>
  <c r="P19" i="172"/>
  <c r="P20" i="172" s="1"/>
  <c r="I18" i="178"/>
  <c r="M18" i="178"/>
  <c r="M18" i="181"/>
  <c r="M18" i="188"/>
  <c r="P20" i="190"/>
  <c r="M18" i="198"/>
  <c r="I18" i="210"/>
  <c r="M18" i="215"/>
  <c r="M18" i="216"/>
  <c r="I18" i="218"/>
  <c r="P19" i="220"/>
  <c r="P20" i="220" s="1"/>
  <c r="P19" i="236"/>
  <c r="P20" i="236" s="1"/>
  <c r="R16" i="159"/>
  <c r="P17" i="159"/>
  <c r="P18" i="159" s="1"/>
  <c r="AC18" i="159"/>
  <c r="AC26" i="159" s="1"/>
  <c r="M18" i="161"/>
  <c r="P19" i="162"/>
  <c r="P20" i="162" s="1"/>
  <c r="T18" i="162"/>
  <c r="S20" i="162"/>
  <c r="S28" i="162" s="1"/>
  <c r="AF18" i="164"/>
  <c r="U20" i="164"/>
  <c r="U28" i="164" s="1"/>
  <c r="AB18" i="165"/>
  <c r="X18" i="167"/>
  <c r="AE20" i="167"/>
  <c r="AE28" i="167" s="1"/>
  <c r="M18" i="169"/>
  <c r="P19" i="171"/>
  <c r="P20" i="171" s="1"/>
  <c r="M18" i="173"/>
  <c r="M18" i="180"/>
  <c r="P19" i="182"/>
  <c r="P20" i="182" s="1"/>
  <c r="M18" i="183"/>
  <c r="P19" i="187"/>
  <c r="P20" i="187" s="1"/>
  <c r="I18" i="192"/>
  <c r="P19" i="201"/>
  <c r="P20" i="201" s="1"/>
  <c r="I18" i="202"/>
  <c r="M18" i="203"/>
  <c r="P19" i="210"/>
  <c r="P20" i="210" s="1"/>
  <c r="I18" i="219"/>
  <c r="P19" i="219"/>
  <c r="P20" i="219" s="1"/>
  <c r="P19" i="254"/>
  <c r="P20" i="254" s="1"/>
  <c r="I18" i="256"/>
  <c r="P19" i="270"/>
  <c r="M18" i="278"/>
  <c r="I18" i="298"/>
  <c r="P19" i="318"/>
  <c r="P20" i="318" s="1"/>
  <c r="M16" i="156"/>
  <c r="AC24" i="157"/>
  <c r="P17" i="158"/>
  <c r="P18" i="158" s="1"/>
  <c r="I18" i="162"/>
  <c r="W26" i="163"/>
  <c r="P19" i="165"/>
  <c r="P20" i="165" s="1"/>
  <c r="M18" i="167"/>
  <c r="I18" i="168"/>
  <c r="P19" i="177"/>
  <c r="P20" i="177" s="1"/>
  <c r="I18" i="182"/>
  <c r="I18" i="183"/>
  <c r="I18" i="185"/>
  <c r="I18" i="187"/>
  <c r="P19" i="189"/>
  <c r="P20" i="189" s="1"/>
  <c r="I18" i="194"/>
  <c r="I18" i="196"/>
  <c r="P19" i="206"/>
  <c r="P20" i="206" s="1"/>
  <c r="P19" i="211"/>
  <c r="P20" i="211" s="1"/>
  <c r="P19" i="212"/>
  <c r="P20" i="212" s="1"/>
  <c r="M18" i="220"/>
  <c r="P19" i="224"/>
  <c r="P20" i="224" s="1"/>
  <c r="M18" i="285"/>
  <c r="P19" i="322"/>
  <c r="P19" i="205"/>
  <c r="P20" i="205" s="1"/>
  <c r="I18" i="209"/>
  <c r="I18" i="223"/>
  <c r="P19" i="223"/>
  <c r="P20" i="223" s="1"/>
  <c r="I18" i="235"/>
  <c r="I18" i="261"/>
  <c r="I18" i="307"/>
  <c r="M16" i="157"/>
  <c r="U18" i="157"/>
  <c r="U26" i="157" s="1"/>
  <c r="I16" i="158"/>
  <c r="AC26" i="161"/>
  <c r="R18" i="162"/>
  <c r="M18" i="164"/>
  <c r="I18" i="167"/>
  <c r="AC26" i="167"/>
  <c r="M18" i="168"/>
  <c r="P19" i="174"/>
  <c r="P20" i="174" s="1"/>
  <c r="I18" i="184"/>
  <c r="P19" i="184"/>
  <c r="P20" i="184" s="1"/>
  <c r="P19" i="195"/>
  <c r="P20" i="195" s="1"/>
  <c r="P19" i="198"/>
  <c r="P20" i="198" s="1"/>
  <c r="I18" i="206"/>
  <c r="M18" i="208"/>
  <c r="M18" i="209"/>
  <c r="M18" i="210"/>
  <c r="I18" i="212"/>
  <c r="I18" i="215"/>
  <c r="P19" i="215"/>
  <c r="P20" i="215" s="1"/>
  <c r="P19" i="216"/>
  <c r="P20" i="216" s="1"/>
  <c r="M18" i="218"/>
  <c r="I18" i="253"/>
  <c r="V16" i="156"/>
  <c r="R16" i="157"/>
  <c r="V16" i="157"/>
  <c r="M16" i="158"/>
  <c r="AD16" i="158"/>
  <c r="I16" i="159"/>
  <c r="M18" i="160"/>
  <c r="V18" i="161"/>
  <c r="AF18" i="161"/>
  <c r="M18" i="165"/>
  <c r="P19" i="169"/>
  <c r="P20" i="169" s="1"/>
  <c r="I18" i="170"/>
  <c r="I18" i="173"/>
  <c r="P19" i="175"/>
  <c r="P20" i="175" s="1"/>
  <c r="I18" i="179"/>
  <c r="P19" i="179"/>
  <c r="P20" i="179" s="1"/>
  <c r="P19" i="191"/>
  <c r="P20" i="191" s="1"/>
  <c r="I18" i="203"/>
  <c r="P19" i="203"/>
  <c r="P20" i="203" s="1"/>
  <c r="M18" i="206"/>
  <c r="M18" i="212"/>
  <c r="I18" i="213"/>
  <c r="I18" i="217"/>
  <c r="I18" i="221"/>
  <c r="P19" i="227"/>
  <c r="P20" i="227" s="1"/>
  <c r="I18" i="243"/>
  <c r="I18" i="275"/>
  <c r="P19" i="311"/>
  <c r="P20" i="311" s="1"/>
  <c r="M18" i="314"/>
  <c r="I18" i="350"/>
  <c r="M18" i="406"/>
  <c r="I18" i="246"/>
  <c r="M18" i="248"/>
  <c r="I18" i="255"/>
  <c r="P19" i="257"/>
  <c r="P20" i="257" s="1"/>
  <c r="P19" i="273"/>
  <c r="P20" i="273" s="1"/>
  <c r="P19" i="275"/>
  <c r="P20" i="275" s="1"/>
  <c r="I18" i="276"/>
  <c r="I18" i="281"/>
  <c r="P19" i="292"/>
  <c r="P20" i="292" s="1"/>
  <c r="M18" i="293"/>
  <c r="P19" i="293"/>
  <c r="P20" i="293" s="1"/>
  <c r="I18" i="295"/>
  <c r="P19" i="299"/>
  <c r="P20" i="299" s="1"/>
  <c r="M18" i="302"/>
  <c r="P19" i="304"/>
  <c r="P20" i="304" s="1"/>
  <c r="P19" i="305"/>
  <c r="P20" i="305" s="1"/>
  <c r="M18" i="306"/>
  <c r="P19" i="307"/>
  <c r="P20" i="307" s="1"/>
  <c r="M18" i="336"/>
  <c r="M18" i="338"/>
  <c r="M18" i="340"/>
  <c r="M18" i="342"/>
  <c r="P19" i="343"/>
  <c r="P20" i="343" s="1"/>
  <c r="M18" i="344"/>
  <c r="P19" i="345"/>
  <c r="P20" i="345" s="1"/>
  <c r="M18" i="346"/>
  <c r="P19" i="347"/>
  <c r="P20" i="347" s="1"/>
  <c r="M18" i="348"/>
  <c r="P19" i="357"/>
  <c r="P20" i="357" s="1"/>
  <c r="I18" i="360"/>
  <c r="P19" i="484"/>
  <c r="P20" i="484" s="1"/>
  <c r="I18" i="222"/>
  <c r="M18" i="222"/>
  <c r="P19" i="228"/>
  <c r="P20" i="228" s="1"/>
  <c r="M18" i="234"/>
  <c r="M18" i="237"/>
  <c r="I18" i="244"/>
  <c r="P19" i="244"/>
  <c r="P20" i="244" s="1"/>
  <c r="I18" i="245"/>
  <c r="P19" i="245"/>
  <c r="P20" i="245" s="1"/>
  <c r="P19" i="249"/>
  <c r="P20" i="249" s="1"/>
  <c r="I18" i="250"/>
  <c r="P19" i="252"/>
  <c r="P20" i="252" s="1"/>
  <c r="M18" i="254"/>
  <c r="P19" i="269"/>
  <c r="P20" i="269" s="1"/>
  <c r="P19" i="271"/>
  <c r="P20" i="271" s="1"/>
  <c r="M18" i="279"/>
  <c r="M18" i="284"/>
  <c r="I18" i="285"/>
  <c r="M18" i="287"/>
  <c r="P19" i="289"/>
  <c r="P20" i="289" s="1"/>
  <c r="P19" i="290"/>
  <c r="P20" i="290" s="1"/>
  <c r="M18" i="291"/>
  <c r="M18" i="295"/>
  <c r="I18" i="299"/>
  <c r="I18" i="301"/>
  <c r="P19" i="301"/>
  <c r="P20" i="301" s="1"/>
  <c r="I18" i="305"/>
  <c r="M18" i="308"/>
  <c r="P19" i="309"/>
  <c r="P20" i="309" s="1"/>
  <c r="I18" i="312"/>
  <c r="P19" i="312"/>
  <c r="P20" i="312" s="1"/>
  <c r="I18" i="313"/>
  <c r="M18" i="318"/>
  <c r="I18" i="352"/>
  <c r="P19" i="352"/>
  <c r="P20" i="352" s="1"/>
  <c r="I18" i="354"/>
  <c r="P19" i="354"/>
  <c r="P20" i="354" s="1"/>
  <c r="P19" i="355"/>
  <c r="P20" i="355" s="1"/>
  <c r="P19" i="221"/>
  <c r="P20" i="221" s="1"/>
  <c r="M18" i="224"/>
  <c r="M18" i="227"/>
  <c r="P19" i="235"/>
  <c r="P20" i="235" s="1"/>
  <c r="P19" i="243"/>
  <c r="P20" i="243" s="1"/>
  <c r="P19" i="248"/>
  <c r="P20" i="248" s="1"/>
  <c r="I18" i="251"/>
  <c r="P19" i="251"/>
  <c r="P20" i="251" s="1"/>
  <c r="M18" i="252"/>
  <c r="P19" i="266"/>
  <c r="P20" i="266" s="1"/>
  <c r="P19" i="267"/>
  <c r="P20" i="267" s="1"/>
  <c r="I18" i="270"/>
  <c r="P19" i="277"/>
  <c r="P20" i="277" s="1"/>
  <c r="P19" i="288"/>
  <c r="P20" i="288" s="1"/>
  <c r="I18" i="290"/>
  <c r="I18" i="292"/>
  <c r="P19" i="294"/>
  <c r="P20" i="294" s="1"/>
  <c r="P19" i="296"/>
  <c r="P20" i="296" s="1"/>
  <c r="P19" i="297"/>
  <c r="P20" i="297" s="1"/>
  <c r="M18" i="301"/>
  <c r="P19" i="303"/>
  <c r="P20" i="303" s="1"/>
  <c r="I18" i="304"/>
  <c r="M18" i="305"/>
  <c r="I18" i="306"/>
  <c r="I18" i="309"/>
  <c r="M18" i="311"/>
  <c r="P19" i="313"/>
  <c r="P20" i="313" s="1"/>
  <c r="P19" i="314"/>
  <c r="P20" i="314" s="1"/>
  <c r="P19" i="320"/>
  <c r="P20" i="320" s="1"/>
  <c r="M18" i="320"/>
  <c r="I18" i="324"/>
  <c r="P19" i="324"/>
  <c r="P20" i="324" s="1"/>
  <c r="I18" i="326"/>
  <c r="P19" i="326"/>
  <c r="P20" i="326" s="1"/>
  <c r="I18" i="328"/>
  <c r="P19" i="328"/>
  <c r="P20" i="328" s="1"/>
  <c r="P19" i="330"/>
  <c r="P20" i="330" s="1"/>
  <c r="P19" i="332"/>
  <c r="P20" i="332" s="1"/>
  <c r="I18" i="334"/>
  <c r="P19" i="334"/>
  <c r="P20" i="334" s="1"/>
  <c r="I18" i="336"/>
  <c r="P19" i="336"/>
  <c r="P20" i="336" s="1"/>
  <c r="I18" i="338"/>
  <c r="P19" i="338"/>
  <c r="P20" i="338" s="1"/>
  <c r="I18" i="340"/>
  <c r="P19" i="340"/>
  <c r="P20" i="340" s="1"/>
  <c r="I18" i="343"/>
  <c r="I18" i="345"/>
  <c r="I18" i="347"/>
  <c r="P19" i="349"/>
  <c r="P20" i="349" s="1"/>
  <c r="M18" i="350"/>
  <c r="I18" i="355"/>
  <c r="M18" i="357"/>
  <c r="P19" i="358"/>
  <c r="P20" i="358" s="1"/>
  <c r="P19" i="411"/>
  <c r="P20" i="411" s="1"/>
  <c r="P19" i="435"/>
  <c r="P20" i="435" s="1"/>
  <c r="M18" i="494"/>
  <c r="P19" i="225"/>
  <c r="P20" i="225" s="1"/>
  <c r="I18" i="229"/>
  <c r="I18" i="232"/>
  <c r="P19" i="232"/>
  <c r="P20" i="232" s="1"/>
  <c r="M18" i="233"/>
  <c r="I18" i="233"/>
  <c r="M18" i="239"/>
  <c r="I18" i="242"/>
  <c r="M18" i="251"/>
  <c r="P19" i="259"/>
  <c r="P20" i="259" s="1"/>
  <c r="P19" i="272"/>
  <c r="P20" i="272" s="1"/>
  <c r="M18" i="272"/>
  <c r="I18" i="273"/>
  <c r="M18" i="283"/>
  <c r="I18" i="284"/>
  <c r="P19" i="286"/>
  <c r="P20" i="286" s="1"/>
  <c r="M18" i="290"/>
  <c r="M18" i="299"/>
  <c r="I18" i="314"/>
  <c r="I18" i="315"/>
  <c r="I18" i="317"/>
  <c r="M18" i="322"/>
  <c r="M18" i="347"/>
  <c r="M18" i="351"/>
  <c r="M18" i="353"/>
  <c r="M18" i="355"/>
  <c r="I18" i="356"/>
  <c r="M18" i="469"/>
  <c r="P19" i="479"/>
  <c r="P20" i="479" s="1"/>
  <c r="I18" i="224"/>
  <c r="M18" i="231"/>
  <c r="M18" i="236"/>
  <c r="P19" i="240"/>
  <c r="P20" i="240" s="1"/>
  <c r="I18" i="241"/>
  <c r="P19" i="241"/>
  <c r="P20" i="241" s="1"/>
  <c r="M18" i="242"/>
  <c r="P19" i="258"/>
  <c r="P20" i="258" s="1"/>
  <c r="M18" i="261"/>
  <c r="P19" i="265"/>
  <c r="P20" i="265" s="1"/>
  <c r="P19" i="268"/>
  <c r="P20" i="268" s="1"/>
  <c r="M18" i="268"/>
  <c r="I18" i="269"/>
  <c r="I18" i="272"/>
  <c r="P19" i="285"/>
  <c r="P20" i="285" s="1"/>
  <c r="I18" i="293"/>
  <c r="I18" i="294"/>
  <c r="I18" i="296"/>
  <c r="M18" i="297"/>
  <c r="I18" i="300"/>
  <c r="P19" i="302"/>
  <c r="P20" i="302" s="1"/>
  <c r="I18" i="303"/>
  <c r="M18" i="304"/>
  <c r="M18" i="307"/>
  <c r="I18" i="310"/>
  <c r="P19" i="310"/>
  <c r="P20" i="310" s="1"/>
  <c r="M18" i="312"/>
  <c r="M18" i="335"/>
  <c r="M18" i="337"/>
  <c r="M18" i="339"/>
  <c r="M18" i="341"/>
  <c r="P19" i="342"/>
  <c r="P20" i="342" s="1"/>
  <c r="M18" i="343"/>
  <c r="P19" i="344"/>
  <c r="P20" i="344" s="1"/>
  <c r="M18" i="345"/>
  <c r="I18" i="348"/>
  <c r="M18" i="349"/>
  <c r="I18" i="357"/>
  <c r="I18" i="358"/>
  <c r="P19" i="408"/>
  <c r="P20" i="408" s="1"/>
  <c r="P19" i="473"/>
  <c r="P20" i="473" s="1"/>
  <c r="P19" i="474"/>
  <c r="P20" i="474" s="1"/>
  <c r="P19" i="218"/>
  <c r="P20" i="218" s="1"/>
  <c r="M18" i="221"/>
  <c r="I18" i="238"/>
  <c r="P19" i="253"/>
  <c r="P20" i="253" s="1"/>
  <c r="M18" i="263"/>
  <c r="M18" i="264"/>
  <c r="I18" i="268"/>
  <c r="I18" i="278"/>
  <c r="M18" i="282"/>
  <c r="I18" i="283"/>
  <c r="M18" i="286"/>
  <c r="M18" i="289"/>
  <c r="I18" i="289"/>
  <c r="I18" i="291"/>
  <c r="P19" i="291"/>
  <c r="P20" i="291" s="1"/>
  <c r="M18" i="294"/>
  <c r="M18" i="296"/>
  <c r="P19" i="298"/>
  <c r="P20" i="298" s="1"/>
  <c r="P19" i="300"/>
  <c r="P20" i="300" s="1"/>
  <c r="I18" i="308"/>
  <c r="P19" i="308"/>
  <c r="P20" i="308" s="1"/>
  <c r="M18" i="309"/>
  <c r="I18" i="351"/>
  <c r="P19" i="351"/>
  <c r="P20" i="351" s="1"/>
  <c r="I18" i="353"/>
  <c r="P19" i="353"/>
  <c r="P20" i="353" s="1"/>
  <c r="M18" i="358"/>
  <c r="P19" i="445"/>
  <c r="P20" i="445" s="1"/>
  <c r="I18" i="498"/>
  <c r="M18" i="361"/>
  <c r="I18" i="371"/>
  <c r="I18" i="377"/>
  <c r="M18" i="383"/>
  <c r="M18" i="384"/>
  <c r="M18" i="387"/>
  <c r="P19" i="388"/>
  <c r="P20" i="388" s="1"/>
  <c r="M18" i="390"/>
  <c r="M18" i="393"/>
  <c r="M18" i="394"/>
  <c r="I18" i="403"/>
  <c r="I18" i="404"/>
  <c r="P19" i="404"/>
  <c r="P20" i="404" s="1"/>
  <c r="I18" i="410"/>
  <c r="M18" i="413"/>
  <c r="M18" i="416"/>
  <c r="P19" i="417"/>
  <c r="P20" i="417" s="1"/>
  <c r="M18" i="420"/>
  <c r="I18" i="423"/>
  <c r="P19" i="424"/>
  <c r="P19" i="429"/>
  <c r="P20" i="429" s="1"/>
  <c r="P19" i="432"/>
  <c r="P20" i="432" s="1"/>
  <c r="P19" i="433"/>
  <c r="P20" i="433" s="1"/>
  <c r="I18" i="450"/>
  <c r="P19" i="453"/>
  <c r="P20" i="453" s="1"/>
  <c r="P19" i="475"/>
  <c r="P20" i="475" s="1"/>
  <c r="I18" i="497"/>
  <c r="P19" i="500"/>
  <c r="P20" i="500" s="1"/>
  <c r="P19" i="360"/>
  <c r="P20" i="360" s="1"/>
  <c r="P19" i="365"/>
  <c r="P20" i="365" s="1"/>
  <c r="I18" i="369"/>
  <c r="P19" i="369"/>
  <c r="P20" i="369" s="1"/>
  <c r="P19" i="375"/>
  <c r="P20" i="375" s="1"/>
  <c r="I18" i="384"/>
  <c r="P19" i="390"/>
  <c r="P20" i="390" s="1"/>
  <c r="P19" i="395"/>
  <c r="P20" i="395" s="1"/>
  <c r="P19" i="407"/>
  <c r="P20" i="407" s="1"/>
  <c r="I18" i="411"/>
  <c r="I18" i="417"/>
  <c r="M18" i="418"/>
  <c r="I18" i="429"/>
  <c r="M18" i="430"/>
  <c r="P19" i="431"/>
  <c r="P20" i="431" s="1"/>
  <c r="M18" i="432"/>
  <c r="I18" i="433"/>
  <c r="I18" i="451"/>
  <c r="I18" i="453"/>
  <c r="I18" i="466"/>
  <c r="M18" i="473"/>
  <c r="I18" i="483"/>
  <c r="I18" i="487"/>
  <c r="P19" i="496"/>
  <c r="P20" i="496" s="1"/>
  <c r="M18" i="497"/>
  <c r="M18" i="499"/>
  <c r="I18" i="363"/>
  <c r="I18" i="364"/>
  <c r="M18" i="368"/>
  <c r="M18" i="374"/>
  <c r="P19" i="374"/>
  <c r="P20" i="374" s="1"/>
  <c r="P19" i="376"/>
  <c r="P20" i="376" s="1"/>
  <c r="I18" i="379"/>
  <c r="I18" i="380"/>
  <c r="P19" i="381"/>
  <c r="P20" i="381" s="1"/>
  <c r="P19" i="384"/>
  <c r="P20" i="384" s="1"/>
  <c r="M18" i="388"/>
  <c r="I18" i="389"/>
  <c r="M18" i="395"/>
  <c r="M18" i="396"/>
  <c r="M18" i="412"/>
  <c r="M18" i="415"/>
  <c r="M18" i="417"/>
  <c r="P19" i="419"/>
  <c r="P20" i="419" s="1"/>
  <c r="M18" i="427"/>
  <c r="M18" i="429"/>
  <c r="I18" i="435"/>
  <c r="I18" i="437"/>
  <c r="P19" i="437"/>
  <c r="P20" i="437" s="1"/>
  <c r="M18" i="443"/>
  <c r="P19" i="444"/>
  <c r="P20" i="444" s="1"/>
  <c r="I18" i="445"/>
  <c r="P19" i="450"/>
  <c r="P20" i="450" s="1"/>
  <c r="M18" i="452"/>
  <c r="I18" i="468"/>
  <c r="P19" i="480"/>
  <c r="P20" i="480" s="1"/>
  <c r="M18" i="481"/>
  <c r="M18" i="483"/>
  <c r="M18" i="487"/>
  <c r="M18" i="492"/>
  <c r="I18" i="493"/>
  <c r="P19" i="499"/>
  <c r="P20" i="499" s="1"/>
  <c r="M18" i="359"/>
  <c r="I18" i="362"/>
  <c r="P19" i="367"/>
  <c r="M18" i="369"/>
  <c r="I18" i="373"/>
  <c r="I18" i="374"/>
  <c r="P19" i="377"/>
  <c r="P20" i="377" s="1"/>
  <c r="I18" i="378"/>
  <c r="I18" i="381"/>
  <c r="I18" i="383"/>
  <c r="M18" i="385"/>
  <c r="P19" i="387"/>
  <c r="P20" i="387" s="1"/>
  <c r="I18" i="392"/>
  <c r="I18" i="397"/>
  <c r="I18" i="418"/>
  <c r="M18" i="422"/>
  <c r="M18" i="426"/>
  <c r="P19" i="428"/>
  <c r="P20" i="428" s="1"/>
  <c r="P19" i="434"/>
  <c r="P20" i="434" s="1"/>
  <c r="I18" i="436"/>
  <c r="P19" i="436"/>
  <c r="P20" i="436" s="1"/>
  <c r="M18" i="437"/>
  <c r="M18" i="471"/>
  <c r="M18" i="476"/>
  <c r="P19" i="483"/>
  <c r="P20" i="483" s="1"/>
  <c r="I18" i="489"/>
  <c r="P19" i="492"/>
  <c r="I18" i="494"/>
  <c r="I18" i="501"/>
  <c r="M18" i="503"/>
  <c r="P19" i="366"/>
  <c r="P20" i="366" s="1"/>
  <c r="P19" i="368"/>
  <c r="P20" i="368" s="1"/>
  <c r="I18" i="372"/>
  <c r="M18" i="375"/>
  <c r="I18" i="376"/>
  <c r="M18" i="378"/>
  <c r="M18" i="379"/>
  <c r="M18" i="380"/>
  <c r="M18" i="386"/>
  <c r="I18" i="396"/>
  <c r="P19" i="399"/>
  <c r="P20" i="399" s="1"/>
  <c r="I18" i="400"/>
  <c r="I18" i="401"/>
  <c r="P19" i="402"/>
  <c r="P20" i="402" s="1"/>
  <c r="M18" i="408"/>
  <c r="M18" i="411"/>
  <c r="I18" i="412"/>
  <c r="P19" i="412"/>
  <c r="P20" i="412" s="1"/>
  <c r="I18" i="415"/>
  <c r="P19" i="415"/>
  <c r="P20" i="415" s="1"/>
  <c r="M18" i="419"/>
  <c r="I18" i="420"/>
  <c r="I18" i="427"/>
  <c r="P19" i="427"/>
  <c r="P20" i="427" s="1"/>
  <c r="M18" i="431"/>
  <c r="I18" i="439"/>
  <c r="M18" i="446"/>
  <c r="P19" i="449"/>
  <c r="P20" i="449" s="1"/>
  <c r="P19" i="451"/>
  <c r="P20" i="451" s="1"/>
  <c r="I18" i="455"/>
  <c r="M18" i="456"/>
  <c r="P19" i="476"/>
  <c r="P20" i="476" s="1"/>
  <c r="I18" i="478"/>
  <c r="M18" i="485"/>
  <c r="I18" i="491"/>
  <c r="M18" i="496"/>
  <c r="I18" i="502"/>
  <c r="P19" i="503"/>
  <c r="P20" i="503" s="1"/>
  <c r="M18" i="362"/>
  <c r="M18" i="363"/>
  <c r="M18" i="364"/>
  <c r="M18" i="376"/>
  <c r="M18" i="377"/>
  <c r="M18" i="381"/>
  <c r="P19" i="391"/>
  <c r="P20" i="391" s="1"/>
  <c r="P19" i="396"/>
  <c r="P20" i="396" s="1"/>
  <c r="P19" i="398"/>
  <c r="P20" i="398" s="1"/>
  <c r="I18" i="399"/>
  <c r="M18" i="400"/>
  <c r="M18" i="401"/>
  <c r="I18" i="402"/>
  <c r="M18" i="403"/>
  <c r="P19" i="406"/>
  <c r="P20" i="406" s="1"/>
  <c r="M18" i="407"/>
  <c r="I18" i="407"/>
  <c r="I18" i="413"/>
  <c r="P19" i="413"/>
  <c r="P20" i="413" s="1"/>
  <c r="P19" i="416"/>
  <c r="P20" i="416" s="1"/>
  <c r="I18" i="428"/>
  <c r="M18" i="448"/>
  <c r="I18" i="449"/>
  <c r="M18" i="450"/>
  <c r="P19" i="469"/>
  <c r="P20" i="469" s="1"/>
  <c r="I18" i="470"/>
  <c r="I18" i="475"/>
  <c r="M18" i="480"/>
  <c r="M18" i="486"/>
  <c r="M18" i="489"/>
  <c r="P19" i="494"/>
  <c r="P20" i="494" s="1"/>
  <c r="I18" i="495"/>
  <c r="I18" i="500"/>
  <c r="P19" i="501"/>
  <c r="P20" i="501" s="1"/>
  <c r="P19" i="370"/>
  <c r="P20" i="370" s="1"/>
  <c r="P19" i="378"/>
  <c r="P20" i="378" s="1"/>
  <c r="P19" i="383"/>
  <c r="P20" i="383" s="1"/>
  <c r="P19" i="389"/>
  <c r="P20" i="389" s="1"/>
  <c r="I18" i="393"/>
  <c r="P19" i="393"/>
  <c r="P20" i="393" s="1"/>
  <c r="I18" i="394"/>
  <c r="P19" i="394"/>
  <c r="P20" i="394" s="1"/>
  <c r="I18" i="395"/>
  <c r="M18" i="397"/>
  <c r="I18" i="398"/>
  <c r="M18" i="399"/>
  <c r="I18" i="416"/>
  <c r="M18" i="421"/>
  <c r="P19" i="423"/>
  <c r="P20" i="423" s="1"/>
  <c r="M18" i="424"/>
  <c r="P19" i="425"/>
  <c r="P20" i="425" s="1"/>
  <c r="P19" i="447"/>
  <c r="P20" i="447" s="1"/>
  <c r="M18" i="458"/>
  <c r="I18" i="463"/>
  <c r="M18" i="463"/>
  <c r="I18" i="472"/>
  <c r="I18" i="479"/>
  <c r="P19" i="491"/>
  <c r="P20" i="491" s="1"/>
  <c r="W12" i="2"/>
  <c r="AE12" i="2"/>
  <c r="AB18" i="2"/>
  <c r="AB26" i="2" s="1"/>
  <c r="AC16" i="1"/>
  <c r="AB18" i="1"/>
  <c r="AB26" i="1" s="1"/>
  <c r="AD24" i="1"/>
  <c r="I16" i="2"/>
  <c r="U12" i="2"/>
  <c r="AB24" i="2"/>
  <c r="M16" i="4"/>
  <c r="M16" i="5"/>
  <c r="O17" i="8"/>
  <c r="AB18" i="8"/>
  <c r="AB26" i="8" s="1"/>
  <c r="AD24" i="9"/>
  <c r="AD18" i="9"/>
  <c r="AD26" i="9" s="1"/>
  <c r="W16" i="16"/>
  <c r="S16" i="18"/>
  <c r="AE16" i="18"/>
  <c r="R18" i="3"/>
  <c r="R26" i="3" s="1"/>
  <c r="R24" i="3"/>
  <c r="AC10" i="11"/>
  <c r="AA10" i="11"/>
  <c r="Y10" i="11"/>
  <c r="W10" i="11"/>
  <c r="U10" i="11"/>
  <c r="S10" i="11"/>
  <c r="AE10" i="11"/>
  <c r="W16" i="1"/>
  <c r="AE16" i="1"/>
  <c r="AA12" i="2"/>
  <c r="V18" i="2"/>
  <c r="V26" i="2" s="1"/>
  <c r="T18" i="4"/>
  <c r="T26" i="4" s="1"/>
  <c r="T24" i="4"/>
  <c r="U16" i="4"/>
  <c r="I16" i="6"/>
  <c r="I16" i="7"/>
  <c r="AC12" i="7"/>
  <c r="AA12" i="7"/>
  <c r="Y12" i="7"/>
  <c r="W12" i="7"/>
  <c r="U12" i="7"/>
  <c r="S12" i="7"/>
  <c r="AE12" i="7"/>
  <c r="M16" i="9"/>
  <c r="M16" i="12"/>
  <c r="S16" i="13"/>
  <c r="AC8" i="26"/>
  <c r="Y8" i="26"/>
  <c r="W8" i="26"/>
  <c r="U8" i="26"/>
  <c r="S8" i="26"/>
  <c r="AE8" i="26"/>
  <c r="AA8" i="26"/>
  <c r="Q16" i="26"/>
  <c r="Y16" i="26" s="1"/>
  <c r="T18" i="2"/>
  <c r="T26" i="2" s="1"/>
  <c r="AD24" i="5"/>
  <c r="AE10" i="63"/>
  <c r="AC10" i="63"/>
  <c r="AA10" i="63"/>
  <c r="Y10" i="63"/>
  <c r="W10" i="63"/>
  <c r="U10" i="63"/>
  <c r="S10" i="63"/>
  <c r="AC12" i="2"/>
  <c r="AC8" i="4"/>
  <c r="AA8" i="4"/>
  <c r="Y8" i="4"/>
  <c r="W8" i="4"/>
  <c r="U8" i="4"/>
  <c r="S8" i="4"/>
  <c r="Z18" i="7"/>
  <c r="Z26" i="7" s="1"/>
  <c r="Z24" i="7"/>
  <c r="AC6" i="12"/>
  <c r="AA6" i="12"/>
  <c r="Y6" i="12"/>
  <c r="W6" i="12"/>
  <c r="U6" i="12"/>
  <c r="S6" i="12"/>
  <c r="AE6" i="12"/>
  <c r="U16" i="12"/>
  <c r="AC10" i="19"/>
  <c r="AA10" i="19"/>
  <c r="Y10" i="19"/>
  <c r="W10" i="19"/>
  <c r="U10" i="19"/>
  <c r="S10" i="19"/>
  <c r="AE10" i="19"/>
  <c r="M16" i="20"/>
  <c r="AE16" i="20"/>
  <c r="AB18" i="34"/>
  <c r="AB26" i="34" s="1"/>
  <c r="AB24" i="34"/>
  <c r="AC14" i="10"/>
  <c r="AA14" i="10"/>
  <c r="Y14" i="10"/>
  <c r="W14" i="10"/>
  <c r="U14" i="10"/>
  <c r="S14" i="10"/>
  <c r="AE14" i="10"/>
  <c r="AE16" i="12"/>
  <c r="S8" i="2"/>
  <c r="AA8" i="2"/>
  <c r="X18" i="2"/>
  <c r="X26" i="2" s="1"/>
  <c r="AD18" i="2"/>
  <c r="AD26" i="2" s="1"/>
  <c r="Y16" i="4"/>
  <c r="U16" i="6"/>
  <c r="AB18" i="7"/>
  <c r="AB26" i="7" s="1"/>
  <c r="T18" i="8"/>
  <c r="T26" i="8" s="1"/>
  <c r="T24" i="8"/>
  <c r="X18" i="9"/>
  <c r="X26" i="9" s="1"/>
  <c r="V18" i="9"/>
  <c r="V26" i="9" s="1"/>
  <c r="V24" i="9"/>
  <c r="AC6" i="10"/>
  <c r="AA6" i="10"/>
  <c r="Q16" i="10"/>
  <c r="Y6" i="10"/>
  <c r="W6" i="10"/>
  <c r="U6" i="10"/>
  <c r="S6" i="10"/>
  <c r="AE6" i="10"/>
  <c r="W16" i="12"/>
  <c r="I16" i="13"/>
  <c r="S16" i="14"/>
  <c r="AE16" i="14"/>
  <c r="AC14" i="18"/>
  <c r="AA14" i="18"/>
  <c r="Y14" i="18"/>
  <c r="W14" i="18"/>
  <c r="U14" i="18"/>
  <c r="S14" i="18"/>
  <c r="AE14" i="18"/>
  <c r="AC6" i="20"/>
  <c r="AA6" i="20"/>
  <c r="Y6" i="20"/>
  <c r="W6" i="20"/>
  <c r="U6" i="20"/>
  <c r="S6" i="20"/>
  <c r="AE6" i="20"/>
  <c r="Y16" i="21"/>
  <c r="AE16" i="31"/>
  <c r="AD24" i="31"/>
  <c r="AD18" i="31"/>
  <c r="AD26" i="31" s="1"/>
  <c r="Y16" i="1"/>
  <c r="V24" i="1"/>
  <c r="U8" i="2"/>
  <c r="AC10" i="2"/>
  <c r="U10" i="2"/>
  <c r="Z24" i="2"/>
  <c r="R24" i="2"/>
  <c r="AC12" i="3"/>
  <c r="AA12" i="3"/>
  <c r="Y12" i="3"/>
  <c r="W12" i="3"/>
  <c r="U12" i="3"/>
  <c r="S12" i="3"/>
  <c r="AE12" i="3"/>
  <c r="Z18" i="3"/>
  <c r="Z26" i="3" s="1"/>
  <c r="Z24" i="3"/>
  <c r="V18" i="5"/>
  <c r="V26" i="5" s="1"/>
  <c r="V24" i="5"/>
  <c r="O17" i="7"/>
  <c r="V18" i="8"/>
  <c r="V26" i="8" s="1"/>
  <c r="S16" i="10"/>
  <c r="AE16" i="10"/>
  <c r="M16" i="13"/>
  <c r="Y16" i="13"/>
  <c r="I16" i="14"/>
  <c r="AE16" i="16"/>
  <c r="AE16" i="17"/>
  <c r="O17" i="20"/>
  <c r="U16" i="20"/>
  <c r="S16" i="27"/>
  <c r="AA16" i="27"/>
  <c r="X18" i="6"/>
  <c r="X26" i="6" s="1"/>
  <c r="X24" i="6"/>
  <c r="Y16" i="6"/>
  <c r="AC8" i="8"/>
  <c r="AA8" i="8"/>
  <c r="Y8" i="8"/>
  <c r="W8" i="8"/>
  <c r="U8" i="8"/>
  <c r="S8" i="8"/>
  <c r="AC10" i="15"/>
  <c r="AA10" i="15"/>
  <c r="Y10" i="15"/>
  <c r="W10" i="15"/>
  <c r="U10" i="15"/>
  <c r="S10" i="15"/>
  <c r="AE10" i="15"/>
  <c r="W16" i="20"/>
  <c r="T24" i="2"/>
  <c r="AB18" i="4"/>
  <c r="AB26" i="4" s="1"/>
  <c r="AC16" i="4"/>
  <c r="Y8" i="2"/>
  <c r="S12" i="2"/>
  <c r="X24" i="2"/>
  <c r="Z18" i="6"/>
  <c r="Z26" i="6" s="1"/>
  <c r="R18" i="7"/>
  <c r="R26" i="7" s="1"/>
  <c r="R24" i="7"/>
  <c r="S16" i="7"/>
  <c r="AC14" i="14"/>
  <c r="AA14" i="14"/>
  <c r="W14" i="14"/>
  <c r="U14" i="14"/>
  <c r="S14" i="14"/>
  <c r="AE14" i="14"/>
  <c r="AC6" i="16"/>
  <c r="AA6" i="16"/>
  <c r="Y6" i="16"/>
  <c r="W6" i="16"/>
  <c r="U6" i="16"/>
  <c r="S6" i="16"/>
  <c r="AE6" i="16"/>
  <c r="U16" i="16"/>
  <c r="V18" i="36"/>
  <c r="V26" i="36" s="1"/>
  <c r="W16" i="36"/>
  <c r="V24" i="36"/>
  <c r="AA8" i="3"/>
  <c r="Q16" i="3"/>
  <c r="S16" i="3" s="1"/>
  <c r="T18" i="3"/>
  <c r="T26" i="3" s="1"/>
  <c r="V24" i="3"/>
  <c r="S12" i="4"/>
  <c r="S16" i="4"/>
  <c r="AA16" i="4"/>
  <c r="X18" i="4"/>
  <c r="X26" i="4" s="1"/>
  <c r="S8" i="5"/>
  <c r="W12" i="5"/>
  <c r="AB18" i="5"/>
  <c r="AB26" i="5" s="1"/>
  <c r="W8" i="6"/>
  <c r="AA12" i="6"/>
  <c r="U14" i="6"/>
  <c r="W16" i="6"/>
  <c r="AE16" i="6"/>
  <c r="R24" i="6"/>
  <c r="AA8" i="7"/>
  <c r="U10" i="7"/>
  <c r="Q16" i="7"/>
  <c r="AA16" i="7" s="1"/>
  <c r="T18" i="7"/>
  <c r="T26" i="7" s="1"/>
  <c r="U6" i="8"/>
  <c r="S12" i="8"/>
  <c r="AC14" i="8"/>
  <c r="X18" i="8"/>
  <c r="X26" i="8" s="1"/>
  <c r="Y6" i="9"/>
  <c r="S8" i="9"/>
  <c r="AC10" i="9"/>
  <c r="W12" i="9"/>
  <c r="AB18" i="9"/>
  <c r="AB26" i="9" s="1"/>
  <c r="Z18" i="10"/>
  <c r="Z26" i="10" s="1"/>
  <c r="U8" i="11"/>
  <c r="Y12" i="11"/>
  <c r="AD18" i="11"/>
  <c r="AD26" i="11" s="1"/>
  <c r="Y8" i="12"/>
  <c r="AC12" i="12"/>
  <c r="R18" i="12"/>
  <c r="R26" i="12" s="1"/>
  <c r="T24" i="12"/>
  <c r="AC8" i="13"/>
  <c r="V18" i="13"/>
  <c r="V26" i="13" s="1"/>
  <c r="X24" i="13"/>
  <c r="U12" i="14"/>
  <c r="Z18" i="14"/>
  <c r="Z26" i="14" s="1"/>
  <c r="AA6" i="15"/>
  <c r="U8" i="15"/>
  <c r="Y12" i="15"/>
  <c r="AD18" i="15"/>
  <c r="AD26" i="15" s="1"/>
  <c r="Y8" i="16"/>
  <c r="AC12" i="16"/>
  <c r="R18" i="16"/>
  <c r="R26" i="16" s="1"/>
  <c r="T24" i="16"/>
  <c r="AC8" i="17"/>
  <c r="AA14" i="17"/>
  <c r="V18" i="17"/>
  <c r="V26" i="17" s="1"/>
  <c r="X24" i="17"/>
  <c r="AA10" i="18"/>
  <c r="U12" i="18"/>
  <c r="Z18" i="18"/>
  <c r="Z26" i="18" s="1"/>
  <c r="AA6" i="19"/>
  <c r="U8" i="19"/>
  <c r="Y12" i="19"/>
  <c r="AD18" i="19"/>
  <c r="AD26" i="19" s="1"/>
  <c r="Y8" i="20"/>
  <c r="AC12" i="20"/>
  <c r="R18" i="20"/>
  <c r="R26" i="20" s="1"/>
  <c r="T24" i="20"/>
  <c r="AC8" i="21"/>
  <c r="AA14" i="21"/>
  <c r="X18" i="21"/>
  <c r="X26" i="21" s="1"/>
  <c r="AE16" i="22"/>
  <c r="V18" i="23"/>
  <c r="V26" i="23" s="1"/>
  <c r="V24" i="23"/>
  <c r="W16" i="23"/>
  <c r="I16" i="24"/>
  <c r="AC16" i="24"/>
  <c r="S10" i="25"/>
  <c r="AE10" i="25"/>
  <c r="AC10" i="25"/>
  <c r="AA10" i="25"/>
  <c r="Y10" i="25"/>
  <c r="U10" i="25"/>
  <c r="Z18" i="25"/>
  <c r="Z26" i="25" s="1"/>
  <c r="Z24" i="25"/>
  <c r="R18" i="29"/>
  <c r="R26" i="29" s="1"/>
  <c r="T18" i="29"/>
  <c r="T26" i="29" s="1"/>
  <c r="V18" i="30"/>
  <c r="V26" i="30" s="1"/>
  <c r="T24" i="30"/>
  <c r="U16" i="30"/>
  <c r="M16" i="35"/>
  <c r="AB18" i="35"/>
  <c r="AB26" i="35" s="1"/>
  <c r="AB18" i="40"/>
  <c r="AB26" i="40" s="1"/>
  <c r="AB24" i="40"/>
  <c r="Q16" i="2"/>
  <c r="W16" i="2" s="1"/>
  <c r="U6" i="3"/>
  <c r="AE8" i="3"/>
  <c r="AC14" i="3"/>
  <c r="Y6" i="4"/>
  <c r="AC10" i="4"/>
  <c r="W12" i="4"/>
  <c r="AD24" i="4"/>
  <c r="AC6" i="5"/>
  <c r="W8" i="5"/>
  <c r="AA12" i="5"/>
  <c r="R24" i="5"/>
  <c r="AA8" i="6"/>
  <c r="U10" i="6"/>
  <c r="AE12" i="6"/>
  <c r="Y14" i="6"/>
  <c r="T18" i="6"/>
  <c r="T26" i="6" s="1"/>
  <c r="V24" i="6"/>
  <c r="AE8" i="7"/>
  <c r="Y10" i="7"/>
  <c r="Y6" i="8"/>
  <c r="W12" i="8"/>
  <c r="AD24" i="8"/>
  <c r="AD18" i="10"/>
  <c r="AD26" i="10" s="1"/>
  <c r="Y8" i="11"/>
  <c r="T24" i="11"/>
  <c r="V18" i="12"/>
  <c r="V26" i="12" s="1"/>
  <c r="Z18" i="13"/>
  <c r="Z26" i="13" s="1"/>
  <c r="AB24" i="13"/>
  <c r="Y12" i="14"/>
  <c r="AD18" i="14"/>
  <c r="AD26" i="14" s="1"/>
  <c r="Y8" i="15"/>
  <c r="T24" i="15"/>
  <c r="V18" i="16"/>
  <c r="V26" i="16" s="1"/>
  <c r="Z18" i="17"/>
  <c r="Z26" i="17" s="1"/>
  <c r="AB24" i="17"/>
  <c r="Y12" i="18"/>
  <c r="AD18" i="18"/>
  <c r="AD26" i="18" s="1"/>
  <c r="Y8" i="19"/>
  <c r="T24" i="19"/>
  <c r="V18" i="20"/>
  <c r="V26" i="20" s="1"/>
  <c r="AD18" i="21"/>
  <c r="AD26" i="21" s="1"/>
  <c r="T24" i="22"/>
  <c r="U16" i="22"/>
  <c r="V18" i="26"/>
  <c r="V26" i="26" s="1"/>
  <c r="T24" i="26"/>
  <c r="AE16" i="27"/>
  <c r="AD24" i="27"/>
  <c r="S14" i="28"/>
  <c r="AE14" i="28"/>
  <c r="AC14" i="28"/>
  <c r="AA14" i="28"/>
  <c r="Y14" i="28"/>
  <c r="U14" i="28"/>
  <c r="S6" i="30"/>
  <c r="AE6" i="30"/>
  <c r="AC6" i="30"/>
  <c r="AA6" i="30"/>
  <c r="Y6" i="30"/>
  <c r="U6" i="30"/>
  <c r="S6" i="33"/>
  <c r="AE6" i="33"/>
  <c r="AC6" i="33"/>
  <c r="AA6" i="33"/>
  <c r="Y6" i="33"/>
  <c r="U6" i="33"/>
  <c r="O17" i="33"/>
  <c r="I16" i="34"/>
  <c r="AD18" i="34"/>
  <c r="AD26" i="34" s="1"/>
  <c r="R18" i="35"/>
  <c r="R26" i="35" s="1"/>
  <c r="T18" i="35"/>
  <c r="T26" i="35" s="1"/>
  <c r="X18" i="41"/>
  <c r="X26" i="41" s="1"/>
  <c r="X24" i="41"/>
  <c r="O17" i="45"/>
  <c r="AB24" i="3"/>
  <c r="Y12" i="4"/>
  <c r="AD18" i="4"/>
  <c r="AD26" i="4" s="1"/>
  <c r="Y8" i="5"/>
  <c r="T24" i="5"/>
  <c r="AA10" i="7"/>
  <c r="AB24" i="7"/>
  <c r="AA6" i="8"/>
  <c r="Y12" i="8"/>
  <c r="S14" i="8"/>
  <c r="AD18" i="8"/>
  <c r="AD26" i="8" s="1"/>
  <c r="AE6" i="9"/>
  <c r="Y8" i="9"/>
  <c r="S10" i="9"/>
  <c r="AC12" i="9"/>
  <c r="T24" i="9"/>
  <c r="Y12" i="10"/>
  <c r="W16" i="10"/>
  <c r="R24" i="10"/>
  <c r="AA8" i="11"/>
  <c r="AE12" i="11"/>
  <c r="Q16" i="11"/>
  <c r="Y16" i="11" s="1"/>
  <c r="T18" i="11"/>
  <c r="T26" i="11" s="1"/>
  <c r="V24" i="11"/>
  <c r="AE8" i="12"/>
  <c r="S12" i="12"/>
  <c r="S16" i="12"/>
  <c r="AA16" i="12"/>
  <c r="Z24" i="12"/>
  <c r="S8" i="13"/>
  <c r="W12" i="13"/>
  <c r="U16" i="13"/>
  <c r="AC16" i="13"/>
  <c r="AD24" i="13"/>
  <c r="W8" i="14"/>
  <c r="AA12" i="14"/>
  <c r="W16" i="14"/>
  <c r="R24" i="14"/>
  <c r="AA8" i="15"/>
  <c r="AE12" i="15"/>
  <c r="Q16" i="15"/>
  <c r="Y16" i="15" s="1"/>
  <c r="T18" i="15"/>
  <c r="T26" i="15" s="1"/>
  <c r="V24" i="15"/>
  <c r="AE8" i="16"/>
  <c r="S12" i="16"/>
  <c r="S16" i="16"/>
  <c r="AA16" i="16"/>
  <c r="Z24" i="16"/>
  <c r="S8" i="17"/>
  <c r="U16" i="17"/>
  <c r="AC16" i="17"/>
  <c r="AD24" i="17"/>
  <c r="AA12" i="18"/>
  <c r="W16" i="18"/>
  <c r="R24" i="18"/>
  <c r="AA8" i="19"/>
  <c r="AE12" i="19"/>
  <c r="Q16" i="19"/>
  <c r="U16" i="19" s="1"/>
  <c r="T18" i="19"/>
  <c r="T26" i="19" s="1"/>
  <c r="V24" i="19"/>
  <c r="S12" i="20"/>
  <c r="S16" i="20"/>
  <c r="AA16" i="20"/>
  <c r="X18" i="20"/>
  <c r="X26" i="20" s="1"/>
  <c r="Z24" i="20"/>
  <c r="S8" i="21"/>
  <c r="U16" i="21"/>
  <c r="AC16" i="21"/>
  <c r="AC8" i="22"/>
  <c r="Y8" i="22"/>
  <c r="W8" i="22"/>
  <c r="U8" i="22"/>
  <c r="S8" i="22"/>
  <c r="AE8" i="22"/>
  <c r="V18" i="22"/>
  <c r="V26" i="22" s="1"/>
  <c r="AA16" i="23"/>
  <c r="R18" i="25"/>
  <c r="R26" i="25" s="1"/>
  <c r="T18" i="25"/>
  <c r="T26" i="25" s="1"/>
  <c r="M16" i="26"/>
  <c r="W14" i="28"/>
  <c r="X18" i="28"/>
  <c r="X26" i="28" s="1"/>
  <c r="X24" i="28"/>
  <c r="Y16" i="28"/>
  <c r="AC12" i="29"/>
  <c r="Y12" i="29"/>
  <c r="W12" i="29"/>
  <c r="U12" i="29"/>
  <c r="S12" i="29"/>
  <c r="AE12" i="29"/>
  <c r="O17" i="30"/>
  <c r="R24" i="35"/>
  <c r="U16" i="36"/>
  <c r="AC16" i="36"/>
  <c r="AC14" i="36"/>
  <c r="AA14" i="36"/>
  <c r="AE14" i="36"/>
  <c r="Y14" i="36"/>
  <c r="W14" i="36"/>
  <c r="U14" i="36"/>
  <c r="S14" i="36"/>
  <c r="Y16" i="36"/>
  <c r="O17" i="51"/>
  <c r="Y6" i="3"/>
  <c r="S8" i="3"/>
  <c r="U16" i="3"/>
  <c r="AD24" i="3"/>
  <c r="AA12" i="4"/>
  <c r="W16" i="4"/>
  <c r="R24" i="4"/>
  <c r="AA8" i="5"/>
  <c r="AE12" i="5"/>
  <c r="Q16" i="5"/>
  <c r="AC16" i="5" s="1"/>
  <c r="S12" i="6"/>
  <c r="AC14" i="6"/>
  <c r="AA16" i="6"/>
  <c r="Z24" i="6"/>
  <c r="S8" i="7"/>
  <c r="AC10" i="7"/>
  <c r="U16" i="7"/>
  <c r="AC16" i="7"/>
  <c r="AD24" i="7"/>
  <c r="AC6" i="8"/>
  <c r="U14" i="8"/>
  <c r="R24" i="8"/>
  <c r="AA8" i="9"/>
  <c r="U10" i="9"/>
  <c r="Q16" i="9"/>
  <c r="Y16" i="9" s="1"/>
  <c r="R18" i="10"/>
  <c r="R26" i="10" s="1"/>
  <c r="T24" i="10"/>
  <c r="AC8" i="11"/>
  <c r="X24" i="11"/>
  <c r="U12" i="12"/>
  <c r="AB24" i="12"/>
  <c r="U8" i="13"/>
  <c r="AD18" i="13"/>
  <c r="AD26" i="13" s="1"/>
  <c r="Y8" i="14"/>
  <c r="AC12" i="14"/>
  <c r="R18" i="14"/>
  <c r="R26" i="14" s="1"/>
  <c r="T24" i="14"/>
  <c r="AC8" i="15"/>
  <c r="X24" i="15"/>
  <c r="U12" i="16"/>
  <c r="AB24" i="16"/>
  <c r="U8" i="17"/>
  <c r="AD18" i="17"/>
  <c r="AD26" i="17" s="1"/>
  <c r="AC12" i="18"/>
  <c r="R18" i="18"/>
  <c r="R26" i="18" s="1"/>
  <c r="T24" i="18"/>
  <c r="AC8" i="19"/>
  <c r="X24" i="19"/>
  <c r="U12" i="20"/>
  <c r="AB24" i="20"/>
  <c r="U8" i="21"/>
  <c r="Y12" i="21"/>
  <c r="S14" i="21"/>
  <c r="T24" i="21"/>
  <c r="AA8" i="22"/>
  <c r="S14" i="24"/>
  <c r="AE14" i="24"/>
  <c r="AC14" i="24"/>
  <c r="AA14" i="24"/>
  <c r="Y14" i="24"/>
  <c r="U14" i="24"/>
  <c r="R24" i="25"/>
  <c r="S6" i="26"/>
  <c r="AE6" i="26"/>
  <c r="AC6" i="26"/>
  <c r="AA6" i="26"/>
  <c r="Y6" i="26"/>
  <c r="U6" i="26"/>
  <c r="AD18" i="27"/>
  <c r="AD26" i="27" s="1"/>
  <c r="Z18" i="28"/>
  <c r="Z26" i="28" s="1"/>
  <c r="AA12" i="29"/>
  <c r="I16" i="31"/>
  <c r="V18" i="31"/>
  <c r="V26" i="31" s="1"/>
  <c r="V24" i="31"/>
  <c r="S14" i="32"/>
  <c r="AE14" i="32"/>
  <c r="AC14" i="32"/>
  <c r="AA14" i="32"/>
  <c r="Y14" i="32"/>
  <c r="U14" i="32"/>
  <c r="AB18" i="33"/>
  <c r="AB26" i="33" s="1"/>
  <c r="T18" i="34"/>
  <c r="T26" i="34" s="1"/>
  <c r="T24" i="34"/>
  <c r="Y10" i="36"/>
  <c r="W10" i="36"/>
  <c r="S10" i="36"/>
  <c r="AE10" i="36"/>
  <c r="AC10" i="36"/>
  <c r="U10" i="36"/>
  <c r="T18" i="38"/>
  <c r="T26" i="38" s="1"/>
  <c r="T24" i="38"/>
  <c r="U8" i="3"/>
  <c r="AD18" i="3"/>
  <c r="AD26" i="3" s="1"/>
  <c r="AC8" i="5"/>
  <c r="X24" i="5"/>
  <c r="U12" i="6"/>
  <c r="AB24" i="6"/>
  <c r="AE10" i="7"/>
  <c r="W10" i="9"/>
  <c r="U8" i="10"/>
  <c r="Y16" i="10"/>
  <c r="U6" i="11"/>
  <c r="AE8" i="11"/>
  <c r="S12" i="11"/>
  <c r="AA16" i="11"/>
  <c r="S8" i="12"/>
  <c r="W12" i="12"/>
  <c r="AC16" i="12"/>
  <c r="AD24" i="12"/>
  <c r="AC6" i="13"/>
  <c r="W8" i="13"/>
  <c r="AA12" i="13"/>
  <c r="U14" i="13"/>
  <c r="W16" i="13"/>
  <c r="AA8" i="14"/>
  <c r="U10" i="14"/>
  <c r="AE12" i="14"/>
  <c r="Y16" i="14"/>
  <c r="U6" i="15"/>
  <c r="AE8" i="15"/>
  <c r="S12" i="15"/>
  <c r="AA16" i="15"/>
  <c r="S8" i="16"/>
  <c r="W12" i="16"/>
  <c r="AC16" i="16"/>
  <c r="AD24" i="16"/>
  <c r="AC6" i="17"/>
  <c r="W8" i="17"/>
  <c r="AA12" i="17"/>
  <c r="U14" i="17"/>
  <c r="W16" i="17"/>
  <c r="AA8" i="18"/>
  <c r="U10" i="18"/>
  <c r="AE12" i="18"/>
  <c r="Y16" i="18"/>
  <c r="U6" i="19"/>
  <c r="S12" i="19"/>
  <c r="AA16" i="19"/>
  <c r="S8" i="20"/>
  <c r="W12" i="20"/>
  <c r="AC16" i="20"/>
  <c r="AD24" i="20"/>
  <c r="AC6" i="21"/>
  <c r="W8" i="21"/>
  <c r="AA12" i="21"/>
  <c r="U14" i="21"/>
  <c r="W16" i="21"/>
  <c r="AE16" i="21"/>
  <c r="X24" i="21"/>
  <c r="M16" i="22"/>
  <c r="O17" i="22"/>
  <c r="M16" i="23"/>
  <c r="AE16" i="23"/>
  <c r="AD24" i="23"/>
  <c r="X18" i="23"/>
  <c r="X26" i="23" s="1"/>
  <c r="W14" i="24"/>
  <c r="X18" i="24"/>
  <c r="X26" i="24" s="1"/>
  <c r="X24" i="24"/>
  <c r="Y16" i="24"/>
  <c r="AC12" i="25"/>
  <c r="Y12" i="25"/>
  <c r="W12" i="25"/>
  <c r="U12" i="25"/>
  <c r="S12" i="25"/>
  <c r="AE12" i="25"/>
  <c r="W6" i="26"/>
  <c r="O17" i="26"/>
  <c r="V18" i="27"/>
  <c r="V26" i="27" s="1"/>
  <c r="V24" i="27"/>
  <c r="W16" i="27"/>
  <c r="O17" i="29"/>
  <c r="Z18" i="29"/>
  <c r="Z26" i="29" s="1"/>
  <c r="Z24" i="29"/>
  <c r="AB18" i="30"/>
  <c r="AB26" i="30" s="1"/>
  <c r="AC16" i="30"/>
  <c r="W14" i="32"/>
  <c r="X18" i="32"/>
  <c r="X26" i="32" s="1"/>
  <c r="X24" i="32"/>
  <c r="Q16" i="33"/>
  <c r="Y16" i="33" s="1"/>
  <c r="V18" i="34"/>
  <c r="V26" i="34" s="1"/>
  <c r="I16" i="35"/>
  <c r="AA10" i="36"/>
  <c r="U16" i="45"/>
  <c r="Y16" i="45"/>
  <c r="V24" i="4"/>
  <c r="X18" i="5"/>
  <c r="X26" i="5" s="1"/>
  <c r="W12" i="6"/>
  <c r="AD24" i="6"/>
  <c r="Q16" i="8"/>
  <c r="Y16" i="8" s="1"/>
  <c r="AB24" i="11"/>
  <c r="AD18" i="12"/>
  <c r="AD26" i="12" s="1"/>
  <c r="AB24" i="15"/>
  <c r="AD18" i="16"/>
  <c r="AD26" i="16" s="1"/>
  <c r="AB24" i="19"/>
  <c r="AD18" i="20"/>
  <c r="AD26" i="20" s="1"/>
  <c r="S6" i="22"/>
  <c r="AE6" i="22"/>
  <c r="AC6" i="22"/>
  <c r="AA6" i="22"/>
  <c r="Y6" i="22"/>
  <c r="U6" i="22"/>
  <c r="I16" i="28"/>
  <c r="S10" i="29"/>
  <c r="AE10" i="29"/>
  <c r="AC10" i="29"/>
  <c r="AA10" i="29"/>
  <c r="Y10" i="29"/>
  <c r="U10" i="29"/>
  <c r="AE16" i="30"/>
  <c r="S14" i="34"/>
  <c r="AE14" i="34"/>
  <c r="AC14" i="34"/>
  <c r="AA14" i="34"/>
  <c r="Y14" i="34"/>
  <c r="U14" i="34"/>
  <c r="V18" i="42"/>
  <c r="V26" i="42" s="1"/>
  <c r="T18" i="42"/>
  <c r="T26" i="42" s="1"/>
  <c r="T24" i="42"/>
  <c r="AA16" i="10"/>
  <c r="AA16" i="14"/>
  <c r="AC16" i="15"/>
  <c r="AA16" i="18"/>
  <c r="AC16" i="19"/>
  <c r="V18" i="21"/>
  <c r="V26" i="21" s="1"/>
  <c r="AB24" i="21"/>
  <c r="W6" i="22"/>
  <c r="AB18" i="22"/>
  <c r="AB26" i="22" s="1"/>
  <c r="AC16" i="22"/>
  <c r="I16" i="25"/>
  <c r="O17" i="25"/>
  <c r="AB18" i="26"/>
  <c r="AB26" i="26" s="1"/>
  <c r="I16" i="27"/>
  <c r="S16" i="28"/>
  <c r="W10" i="29"/>
  <c r="AC8" i="30"/>
  <c r="Y8" i="30"/>
  <c r="W8" i="30"/>
  <c r="U8" i="30"/>
  <c r="S8" i="30"/>
  <c r="AE8" i="30"/>
  <c r="M16" i="31"/>
  <c r="I16" i="32"/>
  <c r="AC8" i="33"/>
  <c r="Y8" i="33"/>
  <c r="W8" i="33"/>
  <c r="U8" i="33"/>
  <c r="S8" i="33"/>
  <c r="AE8" i="33"/>
  <c r="V18" i="33"/>
  <c r="V26" i="33" s="1"/>
  <c r="T24" i="33"/>
  <c r="W14" i="34"/>
  <c r="Z18" i="35"/>
  <c r="Z26" i="35" s="1"/>
  <c r="Z24" i="35"/>
  <c r="AE16" i="36"/>
  <c r="AA12" i="37"/>
  <c r="Y12" i="37"/>
  <c r="W12" i="37"/>
  <c r="U12" i="37"/>
  <c r="S12" i="37"/>
  <c r="AC12" i="37"/>
  <c r="AE12" i="37"/>
  <c r="O17" i="55"/>
  <c r="Y10" i="22"/>
  <c r="S12" i="22"/>
  <c r="AC14" i="22"/>
  <c r="S16" i="22"/>
  <c r="AA16" i="22"/>
  <c r="X18" i="22"/>
  <c r="X26" i="22" s="1"/>
  <c r="S8" i="23"/>
  <c r="W12" i="23"/>
  <c r="U16" i="23"/>
  <c r="AC16" i="23"/>
  <c r="AB18" i="23"/>
  <c r="AB26" i="23" s="1"/>
  <c r="W16" i="24"/>
  <c r="AE16" i="24"/>
  <c r="R24" i="24"/>
  <c r="Q16" i="25"/>
  <c r="Y16" i="25"/>
  <c r="S12" i="26"/>
  <c r="AA16" i="26"/>
  <c r="S8" i="27"/>
  <c r="U16" i="27"/>
  <c r="AC16" i="27"/>
  <c r="AB18" i="27"/>
  <c r="AB26" i="27" s="1"/>
  <c r="W16" i="28"/>
  <c r="AE16" i="28"/>
  <c r="Q16" i="29"/>
  <c r="U16" i="29" s="1"/>
  <c r="Y16" i="29"/>
  <c r="S12" i="30"/>
  <c r="S16" i="30"/>
  <c r="AA16" i="30"/>
  <c r="S8" i="31"/>
  <c r="AB18" i="31"/>
  <c r="AB26" i="31" s="1"/>
  <c r="W16" i="32"/>
  <c r="S12" i="33"/>
  <c r="S16" i="33"/>
  <c r="S6" i="35"/>
  <c r="Q16" i="35"/>
  <c r="U16" i="35" s="1"/>
  <c r="X18" i="36"/>
  <c r="X26" i="36" s="1"/>
  <c r="X24" i="36"/>
  <c r="Z18" i="36"/>
  <c r="Z26" i="36" s="1"/>
  <c r="AC6" i="37"/>
  <c r="AA6" i="37"/>
  <c r="Y6" i="37"/>
  <c r="W6" i="37"/>
  <c r="U6" i="37"/>
  <c r="AE6" i="37"/>
  <c r="X18" i="37"/>
  <c r="X26" i="37" s="1"/>
  <c r="X24" i="37"/>
  <c r="X18" i="39"/>
  <c r="X26" i="39" s="1"/>
  <c r="X24" i="39"/>
  <c r="AC8" i="40"/>
  <c r="AA8" i="40"/>
  <c r="Y8" i="40"/>
  <c r="W8" i="40"/>
  <c r="U8" i="40"/>
  <c r="S8" i="40"/>
  <c r="AE8" i="40"/>
  <c r="W12" i="22"/>
  <c r="AD24" i="22"/>
  <c r="AC6" i="23"/>
  <c r="W8" i="23"/>
  <c r="AA12" i="23"/>
  <c r="U14" i="23"/>
  <c r="R24" i="23"/>
  <c r="AA8" i="24"/>
  <c r="U10" i="24"/>
  <c r="AE12" i="24"/>
  <c r="V24" i="24"/>
  <c r="U6" i="25"/>
  <c r="AE8" i="25"/>
  <c r="AC10" i="26"/>
  <c r="W12" i="26"/>
  <c r="AD24" i="26"/>
  <c r="AC6" i="27"/>
  <c r="W8" i="27"/>
  <c r="AA12" i="27"/>
  <c r="U14" i="27"/>
  <c r="R24" i="27"/>
  <c r="AA8" i="28"/>
  <c r="U10" i="28"/>
  <c r="AE12" i="28"/>
  <c r="V24" i="28"/>
  <c r="U6" i="29"/>
  <c r="AE8" i="29"/>
  <c r="AC14" i="29"/>
  <c r="AC10" i="30"/>
  <c r="W12" i="30"/>
  <c r="AD24" i="30"/>
  <c r="AC6" i="31"/>
  <c r="W8" i="31"/>
  <c r="U14" i="31"/>
  <c r="U10" i="32"/>
  <c r="AE12" i="32"/>
  <c r="Q16" i="32"/>
  <c r="Y16" i="32" s="1"/>
  <c r="T18" i="32"/>
  <c r="T26" i="32" s="1"/>
  <c r="V24" i="32"/>
  <c r="AC10" i="33"/>
  <c r="W12" i="33"/>
  <c r="AD24" i="33"/>
  <c r="U10" i="34"/>
  <c r="AE12" i="34"/>
  <c r="R18" i="34"/>
  <c r="R26" i="34" s="1"/>
  <c r="W6" i="35"/>
  <c r="U12" i="35"/>
  <c r="AE14" i="35"/>
  <c r="Z18" i="37"/>
  <c r="Z26" i="37" s="1"/>
  <c r="V18" i="38"/>
  <c r="V26" i="38" s="1"/>
  <c r="T18" i="40"/>
  <c r="T26" i="40" s="1"/>
  <c r="T24" i="40"/>
  <c r="Z18" i="41"/>
  <c r="Z26" i="41" s="1"/>
  <c r="Y12" i="22"/>
  <c r="AD18" i="22"/>
  <c r="AD26" i="22" s="1"/>
  <c r="AE6" i="23"/>
  <c r="Y8" i="23"/>
  <c r="AC12" i="23"/>
  <c r="W14" i="23"/>
  <c r="T24" i="23"/>
  <c r="AC8" i="24"/>
  <c r="W10" i="24"/>
  <c r="W6" i="25"/>
  <c r="AB24" i="25"/>
  <c r="Y12" i="26"/>
  <c r="AD18" i="26"/>
  <c r="AD26" i="26" s="1"/>
  <c r="Y8" i="27"/>
  <c r="AC12" i="27"/>
  <c r="W14" i="27"/>
  <c r="T24" i="27"/>
  <c r="AC8" i="28"/>
  <c r="W10" i="28"/>
  <c r="W6" i="29"/>
  <c r="AB24" i="29"/>
  <c r="Y12" i="30"/>
  <c r="AD18" i="30"/>
  <c r="AD26" i="30" s="1"/>
  <c r="Y8" i="31"/>
  <c r="W14" i="31"/>
  <c r="T24" i="31"/>
  <c r="W10" i="32"/>
  <c r="Y12" i="33"/>
  <c r="AD18" i="33"/>
  <c r="AD26" i="33" s="1"/>
  <c r="W10" i="34"/>
  <c r="Q16" i="34"/>
  <c r="V24" i="34"/>
  <c r="Y6" i="35"/>
  <c r="W12" i="35"/>
  <c r="AB24" i="35"/>
  <c r="S16" i="36"/>
  <c r="O17" i="42"/>
  <c r="AE8" i="43"/>
  <c r="AC8" i="43"/>
  <c r="AA8" i="43"/>
  <c r="Y8" i="43"/>
  <c r="W8" i="43"/>
  <c r="U8" i="43"/>
  <c r="S8" i="43"/>
  <c r="T18" i="43"/>
  <c r="T26" i="43" s="1"/>
  <c r="T24" i="43"/>
  <c r="R24" i="44"/>
  <c r="R18" i="44"/>
  <c r="R26" i="44" s="1"/>
  <c r="AC8" i="46"/>
  <c r="Y8" i="46"/>
  <c r="W8" i="46"/>
  <c r="U8" i="46"/>
  <c r="AE8" i="46"/>
  <c r="AA8" i="46"/>
  <c r="S8" i="46"/>
  <c r="O17" i="65"/>
  <c r="AA12" i="22"/>
  <c r="W16" i="22"/>
  <c r="R24" i="22"/>
  <c r="AA8" i="23"/>
  <c r="AE12" i="23"/>
  <c r="Y16" i="23"/>
  <c r="Y10" i="24"/>
  <c r="S12" i="24"/>
  <c r="AA16" i="24"/>
  <c r="Z24" i="24"/>
  <c r="Y6" i="25"/>
  <c r="S8" i="25"/>
  <c r="AC16" i="25"/>
  <c r="AD24" i="25"/>
  <c r="AA12" i="26"/>
  <c r="R24" i="26"/>
  <c r="AA8" i="27"/>
  <c r="Y14" i="27"/>
  <c r="Y16" i="27"/>
  <c r="Y10" i="28"/>
  <c r="S12" i="28"/>
  <c r="AA16" i="28"/>
  <c r="Z24" i="28"/>
  <c r="Y6" i="29"/>
  <c r="S8" i="29"/>
  <c r="AC16" i="29"/>
  <c r="AA12" i="30"/>
  <c r="R24" i="30"/>
  <c r="AA8" i="31"/>
  <c r="Y14" i="31"/>
  <c r="Q16" i="31"/>
  <c r="Y16" i="31" s="1"/>
  <c r="Y10" i="32"/>
  <c r="S12" i="32"/>
  <c r="AA16" i="32"/>
  <c r="Z24" i="32"/>
  <c r="AA12" i="33"/>
  <c r="R24" i="33"/>
  <c r="U6" i="34"/>
  <c r="Y10" i="34"/>
  <c r="S12" i="34"/>
  <c r="X24" i="34"/>
  <c r="AA6" i="35"/>
  <c r="U8" i="35"/>
  <c r="Y12" i="35"/>
  <c r="S14" i="35"/>
  <c r="AC16" i="35"/>
  <c r="U6" i="36"/>
  <c r="S6" i="36"/>
  <c r="Q16" i="37"/>
  <c r="AA16" i="37" s="1"/>
  <c r="AA6" i="29"/>
  <c r="AA10" i="34"/>
  <c r="AA16" i="34"/>
  <c r="W6" i="36"/>
  <c r="AE8" i="36"/>
  <c r="AC8" i="36"/>
  <c r="S16" i="37"/>
  <c r="AB18" i="38"/>
  <c r="AB26" i="38" s="1"/>
  <c r="I16" i="42"/>
  <c r="X18" i="84"/>
  <c r="X26" i="84" s="1"/>
  <c r="X24" i="84"/>
  <c r="AE12" i="81"/>
  <c r="AC12" i="81"/>
  <c r="AA12" i="81"/>
  <c r="Y12" i="81"/>
  <c r="W12" i="81"/>
  <c r="U12" i="81"/>
  <c r="S12" i="81"/>
  <c r="AC8" i="38"/>
  <c r="AA8" i="38"/>
  <c r="Y8" i="38"/>
  <c r="W8" i="38"/>
  <c r="U8" i="38"/>
  <c r="S8" i="38"/>
  <c r="AE8" i="38"/>
  <c r="O17" i="40"/>
  <c r="AD18" i="40"/>
  <c r="AD26" i="40" s="1"/>
  <c r="W8" i="44"/>
  <c r="U8" i="44"/>
  <c r="AE8" i="44"/>
  <c r="AC8" i="44"/>
  <c r="AA8" i="44"/>
  <c r="Y8" i="44"/>
  <c r="S8" i="44"/>
  <c r="O17" i="49"/>
  <c r="O17" i="61"/>
  <c r="AD24" i="74"/>
  <c r="AD18" i="74"/>
  <c r="AD26" i="74" s="1"/>
  <c r="Y8" i="37"/>
  <c r="W14" i="37"/>
  <c r="R24" i="37"/>
  <c r="Y10" i="38"/>
  <c r="AC14" i="38"/>
  <c r="X18" i="38"/>
  <c r="X26" i="38" s="1"/>
  <c r="AC6" i="39"/>
  <c r="W8" i="39"/>
  <c r="AA12" i="39"/>
  <c r="Y10" i="40"/>
  <c r="AC14" i="40"/>
  <c r="X18" i="40"/>
  <c r="X26" i="40" s="1"/>
  <c r="AC6" i="41"/>
  <c r="W8" i="41"/>
  <c r="AA12" i="41"/>
  <c r="U6" i="43"/>
  <c r="S6" i="43"/>
  <c r="AD18" i="43"/>
  <c r="AD26" i="43" s="1"/>
  <c r="AC6" i="44"/>
  <c r="AA6" i="44"/>
  <c r="Q16" i="44"/>
  <c r="Y16" i="44" s="1"/>
  <c r="X18" i="44"/>
  <c r="X26" i="44" s="1"/>
  <c r="AE10" i="47"/>
  <c r="AA10" i="47"/>
  <c r="Y10" i="47"/>
  <c r="W10" i="47"/>
  <c r="S10" i="47"/>
  <c r="S14" i="47"/>
  <c r="AE14" i="47"/>
  <c r="AC14" i="47"/>
  <c r="AA14" i="47"/>
  <c r="W14" i="47"/>
  <c r="AA14" i="48"/>
  <c r="Y14" i="48"/>
  <c r="W14" i="48"/>
  <c r="U14" i="48"/>
  <c r="S14" i="48"/>
  <c r="AE14" i="48"/>
  <c r="AE10" i="49"/>
  <c r="AC10" i="49"/>
  <c r="AA10" i="49"/>
  <c r="Y10" i="49"/>
  <c r="W10" i="49"/>
  <c r="U10" i="49"/>
  <c r="S10" i="49"/>
  <c r="AE10" i="51"/>
  <c r="AC10" i="51"/>
  <c r="AA10" i="51"/>
  <c r="Y10" i="51"/>
  <c r="W10" i="51"/>
  <c r="U10" i="51"/>
  <c r="S10" i="51"/>
  <c r="I16" i="54"/>
  <c r="AE10" i="55"/>
  <c r="AC10" i="55"/>
  <c r="AA10" i="55"/>
  <c r="Y10" i="55"/>
  <c r="W10" i="55"/>
  <c r="U10" i="55"/>
  <c r="S10" i="55"/>
  <c r="AE10" i="61"/>
  <c r="AC10" i="61"/>
  <c r="AA10" i="61"/>
  <c r="Y10" i="61"/>
  <c r="W10" i="61"/>
  <c r="U10" i="61"/>
  <c r="S10" i="61"/>
  <c r="AE10" i="65"/>
  <c r="AC10" i="65"/>
  <c r="AA10" i="65"/>
  <c r="Y10" i="65"/>
  <c r="W10" i="65"/>
  <c r="U10" i="65"/>
  <c r="S10" i="65"/>
  <c r="AE10" i="67"/>
  <c r="AC10" i="67"/>
  <c r="AA10" i="67"/>
  <c r="Y10" i="67"/>
  <c r="W10" i="67"/>
  <c r="U10" i="67"/>
  <c r="S10" i="67"/>
  <c r="V18" i="116"/>
  <c r="V26" i="116" s="1"/>
  <c r="V24" i="116"/>
  <c r="W16" i="116"/>
  <c r="Q16" i="39"/>
  <c r="U16" i="39" s="1"/>
  <c r="Q16" i="41"/>
  <c r="Y10" i="43"/>
  <c r="W10" i="43"/>
  <c r="AB18" i="44"/>
  <c r="AB26" i="44" s="1"/>
  <c r="U6" i="45"/>
  <c r="S6" i="45"/>
  <c r="S16" i="45"/>
  <c r="AD18" i="45"/>
  <c r="AD26" i="45" s="1"/>
  <c r="S6" i="46"/>
  <c r="AE6" i="46"/>
  <c r="AC6" i="46"/>
  <c r="AA6" i="46"/>
  <c r="Q16" i="46"/>
  <c r="AA6" i="47"/>
  <c r="W6" i="47"/>
  <c r="U6" i="47"/>
  <c r="S6" i="47"/>
  <c r="AE6" i="47"/>
  <c r="AE10" i="59"/>
  <c r="AC10" i="59"/>
  <c r="AA10" i="59"/>
  <c r="Y10" i="59"/>
  <c r="W10" i="59"/>
  <c r="U10" i="59"/>
  <c r="S10" i="59"/>
  <c r="O17" i="63"/>
  <c r="O17" i="67"/>
  <c r="M16" i="68"/>
  <c r="AC16" i="68"/>
  <c r="AD24" i="72"/>
  <c r="AD18" i="72"/>
  <c r="AD26" i="72" s="1"/>
  <c r="V18" i="37"/>
  <c r="V26" i="37" s="1"/>
  <c r="AE10" i="38"/>
  <c r="S14" i="38"/>
  <c r="S6" i="39"/>
  <c r="V18" i="39"/>
  <c r="V26" i="39" s="1"/>
  <c r="AE10" i="40"/>
  <c r="S14" i="40"/>
  <c r="S6" i="41"/>
  <c r="AC8" i="41"/>
  <c r="V18" i="41"/>
  <c r="V26" i="41" s="1"/>
  <c r="AA12" i="42"/>
  <c r="Y12" i="42"/>
  <c r="X24" i="42"/>
  <c r="AA6" i="43"/>
  <c r="S10" i="43"/>
  <c r="V18" i="43"/>
  <c r="V26" i="43" s="1"/>
  <c r="V24" i="43"/>
  <c r="AC16" i="44"/>
  <c r="T24" i="44"/>
  <c r="W6" i="45"/>
  <c r="AE8" i="45"/>
  <c r="AC8" i="45"/>
  <c r="AC16" i="45"/>
  <c r="U6" i="46"/>
  <c r="AA14" i="46"/>
  <c r="W14" i="46"/>
  <c r="U14" i="46"/>
  <c r="S14" i="46"/>
  <c r="AE14" i="46"/>
  <c r="Y6" i="47"/>
  <c r="O17" i="47"/>
  <c r="AE10" i="57"/>
  <c r="AC10" i="57"/>
  <c r="AA10" i="57"/>
  <c r="Y10" i="57"/>
  <c r="W10" i="57"/>
  <c r="U10" i="57"/>
  <c r="S10" i="57"/>
  <c r="O17" i="59"/>
  <c r="AD18" i="68"/>
  <c r="AD26" i="68" s="1"/>
  <c r="AD24" i="68"/>
  <c r="AE16" i="68"/>
  <c r="W16" i="70"/>
  <c r="AE16" i="70"/>
  <c r="Y16" i="75"/>
  <c r="X18" i="75"/>
  <c r="X26" i="75" s="1"/>
  <c r="X24" i="75"/>
  <c r="V18" i="76"/>
  <c r="V26" i="76" s="1"/>
  <c r="V24" i="76"/>
  <c r="R18" i="79"/>
  <c r="R26" i="79" s="1"/>
  <c r="R24" i="79"/>
  <c r="Z24" i="37"/>
  <c r="U14" i="38"/>
  <c r="U6" i="39"/>
  <c r="U14" i="40"/>
  <c r="U6" i="41"/>
  <c r="U14" i="42"/>
  <c r="S14" i="42"/>
  <c r="U10" i="43"/>
  <c r="AE16" i="44"/>
  <c r="Y6" i="45"/>
  <c r="Y10" i="45"/>
  <c r="W10" i="45"/>
  <c r="W6" i="46"/>
  <c r="AC6" i="47"/>
  <c r="O17" i="57"/>
  <c r="AB18" i="85"/>
  <c r="AB26" i="85" s="1"/>
  <c r="AB24" i="85"/>
  <c r="S8" i="37"/>
  <c r="AB24" i="37"/>
  <c r="S10" i="38"/>
  <c r="W14" i="38"/>
  <c r="W6" i="39"/>
  <c r="U12" i="39"/>
  <c r="AB24" i="39"/>
  <c r="S10" i="40"/>
  <c r="W14" i="40"/>
  <c r="W6" i="41"/>
  <c r="AB24" i="41"/>
  <c r="W14" i="42"/>
  <c r="AA10" i="43"/>
  <c r="AC14" i="43"/>
  <c r="AA14" i="43"/>
  <c r="X18" i="43"/>
  <c r="X26" i="43" s="1"/>
  <c r="X24" i="43"/>
  <c r="AA12" i="44"/>
  <c r="Y12" i="44"/>
  <c r="W16" i="44"/>
  <c r="AA6" i="45"/>
  <c r="S10" i="45"/>
  <c r="AE16" i="45"/>
  <c r="V24" i="45"/>
  <c r="Y6" i="46"/>
  <c r="AE10" i="53"/>
  <c r="AC10" i="53"/>
  <c r="AA10" i="53"/>
  <c r="Y10" i="53"/>
  <c r="W10" i="53"/>
  <c r="U10" i="53"/>
  <c r="S10" i="53"/>
  <c r="I16" i="62"/>
  <c r="I16" i="66"/>
  <c r="U16" i="70"/>
  <c r="Z18" i="77"/>
  <c r="Z26" i="77" s="1"/>
  <c r="AA16" i="77"/>
  <c r="U8" i="37"/>
  <c r="S14" i="37"/>
  <c r="AC16" i="37"/>
  <c r="AD24" i="37"/>
  <c r="U10" i="38"/>
  <c r="Y14" i="38"/>
  <c r="Q16" i="38"/>
  <c r="U16" i="38" s="1"/>
  <c r="V24" i="38"/>
  <c r="Y6" i="39"/>
  <c r="S8" i="39"/>
  <c r="AC10" i="39"/>
  <c r="W12" i="39"/>
  <c r="AC16" i="39"/>
  <c r="U10" i="40"/>
  <c r="Y14" i="40"/>
  <c r="Q16" i="40"/>
  <c r="Y16" i="40"/>
  <c r="V24" i="40"/>
  <c r="Y6" i="41"/>
  <c r="S8" i="41"/>
  <c r="AC10" i="41"/>
  <c r="W12" i="41"/>
  <c r="AC16" i="41"/>
  <c r="AC6" i="42"/>
  <c r="AA6" i="42"/>
  <c r="W12" i="42"/>
  <c r="Y14" i="42"/>
  <c r="Q16" i="42"/>
  <c r="AE16" i="42" s="1"/>
  <c r="AC10" i="43"/>
  <c r="S14" i="43"/>
  <c r="Z18" i="43"/>
  <c r="Z26" i="43" s="1"/>
  <c r="S12" i="44"/>
  <c r="U14" i="44"/>
  <c r="S14" i="44"/>
  <c r="T18" i="44"/>
  <c r="T26" i="44" s="1"/>
  <c r="AC6" i="45"/>
  <c r="W8" i="45"/>
  <c r="U10" i="45"/>
  <c r="W16" i="45"/>
  <c r="O17" i="46"/>
  <c r="AE16" i="46"/>
  <c r="O17" i="53"/>
  <c r="I16" i="64"/>
  <c r="Y10" i="68"/>
  <c r="W10" i="68"/>
  <c r="AE10" i="68"/>
  <c r="AC10" i="68"/>
  <c r="AA10" i="68"/>
  <c r="U10" i="68"/>
  <c r="S10" i="68"/>
  <c r="U16" i="68"/>
  <c r="AA8" i="71"/>
  <c r="W8" i="71"/>
  <c r="AE8" i="71"/>
  <c r="AC8" i="71"/>
  <c r="Y8" i="71"/>
  <c r="V18" i="80"/>
  <c r="V26" i="80" s="1"/>
  <c r="V24" i="80"/>
  <c r="AA16" i="36"/>
  <c r="S6" i="42"/>
  <c r="W8" i="42"/>
  <c r="U8" i="42"/>
  <c r="AC12" i="42"/>
  <c r="AA14" i="42"/>
  <c r="AA16" i="42"/>
  <c r="AE10" i="43"/>
  <c r="U14" i="43"/>
  <c r="Q16" i="43"/>
  <c r="U16" i="43" s="1"/>
  <c r="U12" i="44"/>
  <c r="W14" i="44"/>
  <c r="AE6" i="45"/>
  <c r="Y8" i="45"/>
  <c r="AA10" i="45"/>
  <c r="AC14" i="45"/>
  <c r="AA14" i="45"/>
  <c r="X18" i="45"/>
  <c r="X26" i="45" s="1"/>
  <c r="X24" i="45"/>
  <c r="W16" i="46"/>
  <c r="Q16" i="47"/>
  <c r="I16" i="60"/>
  <c r="AE16" i="66"/>
  <c r="R24" i="69"/>
  <c r="T18" i="69"/>
  <c r="T26" i="69" s="1"/>
  <c r="R18" i="69"/>
  <c r="R26" i="69" s="1"/>
  <c r="AD24" i="78"/>
  <c r="AD18" i="78"/>
  <c r="AD26" i="78" s="1"/>
  <c r="W6" i="48"/>
  <c r="AE6" i="49"/>
  <c r="W14" i="49"/>
  <c r="W6" i="50"/>
  <c r="U12" i="50"/>
  <c r="AE14" i="50"/>
  <c r="AE6" i="51"/>
  <c r="Y8" i="51"/>
  <c r="W14" i="51"/>
  <c r="W6" i="52"/>
  <c r="U12" i="52"/>
  <c r="AE14" i="52"/>
  <c r="AE6" i="53"/>
  <c r="Y8" i="53"/>
  <c r="W14" i="53"/>
  <c r="W6" i="54"/>
  <c r="U12" i="54"/>
  <c r="AE14" i="54"/>
  <c r="AE6" i="55"/>
  <c r="Y8" i="55"/>
  <c r="W14" i="55"/>
  <c r="W6" i="56"/>
  <c r="U12" i="56"/>
  <c r="AE14" i="56"/>
  <c r="AE6" i="57"/>
  <c r="Y8" i="57"/>
  <c r="W14" i="57"/>
  <c r="W6" i="58"/>
  <c r="U12" i="58"/>
  <c r="AE14" i="58"/>
  <c r="AE6" i="59"/>
  <c r="Y8" i="59"/>
  <c r="W14" i="59"/>
  <c r="W6" i="60"/>
  <c r="U12" i="60"/>
  <c r="AE14" i="60"/>
  <c r="AE6" i="61"/>
  <c r="Y8" i="61"/>
  <c r="W14" i="61"/>
  <c r="W6" i="62"/>
  <c r="AE14" i="62"/>
  <c r="AE6" i="63"/>
  <c r="Y8" i="63"/>
  <c r="W14" i="63"/>
  <c r="W6" i="64"/>
  <c r="AE14" i="64"/>
  <c r="Z18" i="64"/>
  <c r="Z26" i="64" s="1"/>
  <c r="AE6" i="65"/>
  <c r="Y8" i="65"/>
  <c r="W14" i="65"/>
  <c r="W6" i="66"/>
  <c r="AE14" i="66"/>
  <c r="Z18" i="66"/>
  <c r="Z26" i="66" s="1"/>
  <c r="AE6" i="67"/>
  <c r="Y8" i="67"/>
  <c r="W14" i="67"/>
  <c r="AA6" i="68"/>
  <c r="V24" i="68"/>
  <c r="W6" i="69"/>
  <c r="AC14" i="69"/>
  <c r="AB18" i="69"/>
  <c r="AB26" i="69" s="1"/>
  <c r="U6" i="70"/>
  <c r="S6" i="70"/>
  <c r="W14" i="70"/>
  <c r="S16" i="70"/>
  <c r="AB18" i="71"/>
  <c r="AB26" i="71" s="1"/>
  <c r="AC16" i="71"/>
  <c r="X24" i="71"/>
  <c r="AE8" i="72"/>
  <c r="AC8" i="72"/>
  <c r="AA8" i="72"/>
  <c r="AC10" i="72"/>
  <c r="Y10" i="72"/>
  <c r="W10" i="72"/>
  <c r="U10" i="72"/>
  <c r="AE12" i="73"/>
  <c r="AA12" i="73"/>
  <c r="Y12" i="73"/>
  <c r="W12" i="73"/>
  <c r="U12" i="73"/>
  <c r="M16" i="74"/>
  <c r="AC10" i="74"/>
  <c r="Y10" i="74"/>
  <c r="W10" i="74"/>
  <c r="U10" i="74"/>
  <c r="S10" i="74"/>
  <c r="Z18" i="75"/>
  <c r="Z26" i="75" s="1"/>
  <c r="Z24" i="81"/>
  <c r="AB18" i="83"/>
  <c r="AB26" i="83" s="1"/>
  <c r="AE10" i="84"/>
  <c r="AC10" i="84"/>
  <c r="AA10" i="84"/>
  <c r="Y10" i="84"/>
  <c r="W10" i="84"/>
  <c r="U10" i="84"/>
  <c r="AC8" i="85"/>
  <c r="AA8" i="85"/>
  <c r="Y8" i="85"/>
  <c r="W8" i="85"/>
  <c r="AD24" i="95"/>
  <c r="AD18" i="95"/>
  <c r="AD26" i="95" s="1"/>
  <c r="Q16" i="49"/>
  <c r="Q16" i="51"/>
  <c r="Q16" i="53"/>
  <c r="S16" i="53" s="1"/>
  <c r="Q16" i="55"/>
  <c r="Q16" i="57"/>
  <c r="Q16" i="59"/>
  <c r="S16" i="59" s="1"/>
  <c r="Q16" i="61"/>
  <c r="S16" i="61" s="1"/>
  <c r="Q16" i="63"/>
  <c r="Q16" i="65"/>
  <c r="S16" i="65" s="1"/>
  <c r="Q16" i="67"/>
  <c r="AC6" i="68"/>
  <c r="W8" i="68"/>
  <c r="W16" i="68"/>
  <c r="AB24" i="68"/>
  <c r="Y6" i="69"/>
  <c r="Y8" i="69"/>
  <c r="T24" i="69"/>
  <c r="W6" i="70"/>
  <c r="AE8" i="70"/>
  <c r="AC8" i="70"/>
  <c r="Y14" i="70"/>
  <c r="AC16" i="70"/>
  <c r="T24" i="70"/>
  <c r="AE16" i="71"/>
  <c r="S10" i="72"/>
  <c r="T18" i="72"/>
  <c r="T26" i="72" s="1"/>
  <c r="I16" i="73"/>
  <c r="S12" i="73"/>
  <c r="AE8" i="74"/>
  <c r="AC8" i="74"/>
  <c r="AA8" i="74"/>
  <c r="Y8" i="74"/>
  <c r="AA10" i="74"/>
  <c r="T18" i="74"/>
  <c r="T26" i="74" s="1"/>
  <c r="T24" i="74"/>
  <c r="AA16" i="75"/>
  <c r="X18" i="76"/>
  <c r="X26" i="76" s="1"/>
  <c r="AB18" i="77"/>
  <c r="AB26" i="77" s="1"/>
  <c r="M16" i="78"/>
  <c r="AC10" i="78"/>
  <c r="AA10" i="78"/>
  <c r="Y10" i="78"/>
  <c r="W10" i="78"/>
  <c r="U10" i="78"/>
  <c r="S10" i="78"/>
  <c r="T18" i="79"/>
  <c r="T26" i="79" s="1"/>
  <c r="X18" i="80"/>
  <c r="X26" i="80" s="1"/>
  <c r="V24" i="86"/>
  <c r="V18" i="86"/>
  <c r="V26" i="86" s="1"/>
  <c r="M16" i="89"/>
  <c r="X18" i="91"/>
  <c r="X26" i="91" s="1"/>
  <c r="X24" i="91"/>
  <c r="Y16" i="92"/>
  <c r="X24" i="92"/>
  <c r="AE16" i="95"/>
  <c r="Z18" i="98"/>
  <c r="Z26" i="98" s="1"/>
  <c r="Z24" i="98"/>
  <c r="AA16" i="98"/>
  <c r="AD18" i="42"/>
  <c r="AD26" i="42" s="1"/>
  <c r="AD18" i="44"/>
  <c r="AD26" i="44" s="1"/>
  <c r="Y12" i="46"/>
  <c r="AD18" i="46"/>
  <c r="AD26" i="46" s="1"/>
  <c r="AC8" i="47"/>
  <c r="X24" i="47"/>
  <c r="AA6" i="48"/>
  <c r="U8" i="48"/>
  <c r="Y12" i="48"/>
  <c r="AD18" i="48"/>
  <c r="AD26" i="48" s="1"/>
  <c r="S6" i="49"/>
  <c r="AC8" i="49"/>
  <c r="AA14" i="49"/>
  <c r="X24" i="49"/>
  <c r="AA6" i="50"/>
  <c r="U8" i="50"/>
  <c r="Y12" i="50"/>
  <c r="S14" i="50"/>
  <c r="AD18" i="50"/>
  <c r="AD26" i="50" s="1"/>
  <c r="S6" i="51"/>
  <c r="AC8" i="51"/>
  <c r="AA14" i="51"/>
  <c r="X24" i="51"/>
  <c r="AA6" i="52"/>
  <c r="U8" i="52"/>
  <c r="Y12" i="52"/>
  <c r="S14" i="52"/>
  <c r="AD18" i="52"/>
  <c r="AD26" i="52" s="1"/>
  <c r="AC8" i="53"/>
  <c r="AA14" i="53"/>
  <c r="X24" i="53"/>
  <c r="AA6" i="54"/>
  <c r="U8" i="54"/>
  <c r="Y12" i="54"/>
  <c r="S14" i="54"/>
  <c r="AD18" i="54"/>
  <c r="AD26" i="54" s="1"/>
  <c r="S6" i="55"/>
  <c r="AC8" i="55"/>
  <c r="AA14" i="55"/>
  <c r="X24" i="55"/>
  <c r="AA6" i="56"/>
  <c r="U8" i="56"/>
  <c r="Y12" i="56"/>
  <c r="S14" i="56"/>
  <c r="AD18" i="56"/>
  <c r="AD26" i="56" s="1"/>
  <c r="S6" i="57"/>
  <c r="AC8" i="57"/>
  <c r="AA14" i="57"/>
  <c r="X24" i="57"/>
  <c r="AA6" i="58"/>
  <c r="Y12" i="58"/>
  <c r="S14" i="58"/>
  <c r="AD18" i="58"/>
  <c r="AD26" i="58" s="1"/>
  <c r="S6" i="59"/>
  <c r="AC8" i="59"/>
  <c r="AA14" i="59"/>
  <c r="X24" i="59"/>
  <c r="AA6" i="60"/>
  <c r="U8" i="60"/>
  <c r="Y12" i="60"/>
  <c r="S14" i="60"/>
  <c r="AD18" i="60"/>
  <c r="AD26" i="60" s="1"/>
  <c r="S6" i="61"/>
  <c r="AC8" i="61"/>
  <c r="AA14" i="61"/>
  <c r="X24" i="61"/>
  <c r="AA6" i="62"/>
  <c r="Y12" i="62"/>
  <c r="S14" i="62"/>
  <c r="AD18" i="62"/>
  <c r="AD26" i="62" s="1"/>
  <c r="AC8" i="63"/>
  <c r="AA14" i="63"/>
  <c r="X24" i="63"/>
  <c r="AA6" i="64"/>
  <c r="Y12" i="64"/>
  <c r="S14" i="64"/>
  <c r="AD18" i="64"/>
  <c r="AD26" i="64" s="1"/>
  <c r="S6" i="65"/>
  <c r="AC8" i="65"/>
  <c r="AA14" i="65"/>
  <c r="X24" i="65"/>
  <c r="AA6" i="66"/>
  <c r="Y12" i="66"/>
  <c r="S14" i="66"/>
  <c r="AD18" i="66"/>
  <c r="AD26" i="66" s="1"/>
  <c r="S6" i="67"/>
  <c r="AC8" i="67"/>
  <c r="AA14" i="67"/>
  <c r="X24" i="67"/>
  <c r="AE6" i="68"/>
  <c r="Y8" i="68"/>
  <c r="AC14" i="68"/>
  <c r="AA14" i="68"/>
  <c r="X18" i="68"/>
  <c r="X26" i="68" s="1"/>
  <c r="X24" i="68"/>
  <c r="AA8" i="69"/>
  <c r="Y6" i="70"/>
  <c r="Y10" i="70"/>
  <c r="W10" i="70"/>
  <c r="AB24" i="70"/>
  <c r="S16" i="71"/>
  <c r="R18" i="71"/>
  <c r="R26" i="71" s="1"/>
  <c r="AB24" i="71"/>
  <c r="AA10" i="72"/>
  <c r="V18" i="72"/>
  <c r="V26" i="72" s="1"/>
  <c r="V24" i="72"/>
  <c r="AC12" i="73"/>
  <c r="Z18" i="73"/>
  <c r="Z26" i="73" s="1"/>
  <c r="AE10" i="74"/>
  <c r="V18" i="74"/>
  <c r="V26" i="74" s="1"/>
  <c r="V24" i="74"/>
  <c r="AB18" i="75"/>
  <c r="AB26" i="75" s="1"/>
  <c r="Z24" i="75"/>
  <c r="M16" i="77"/>
  <c r="I16" i="77"/>
  <c r="R18" i="77"/>
  <c r="R26" i="77" s="1"/>
  <c r="R24" i="77"/>
  <c r="AE16" i="77"/>
  <c r="AE10" i="78"/>
  <c r="V18" i="78"/>
  <c r="V26" i="78" s="1"/>
  <c r="V24" i="78"/>
  <c r="M16" i="81"/>
  <c r="AB18" i="81"/>
  <c r="AB26" i="81" s="1"/>
  <c r="M16" i="82"/>
  <c r="AC10" i="82"/>
  <c r="AA10" i="82"/>
  <c r="Y10" i="82"/>
  <c r="W10" i="82"/>
  <c r="U10" i="82"/>
  <c r="S10" i="82"/>
  <c r="AE16" i="82"/>
  <c r="T18" i="85"/>
  <c r="T26" i="85" s="1"/>
  <c r="T24" i="85"/>
  <c r="Z24" i="87"/>
  <c r="AA16" i="87"/>
  <c r="Z18" i="87"/>
  <c r="Z26" i="87" s="1"/>
  <c r="T24" i="89"/>
  <c r="T18" i="89"/>
  <c r="T26" i="89" s="1"/>
  <c r="AB18" i="90"/>
  <c r="AB26" i="90" s="1"/>
  <c r="AB24" i="90"/>
  <c r="Y16" i="91"/>
  <c r="Z18" i="92"/>
  <c r="Z26" i="92" s="1"/>
  <c r="Z24" i="92"/>
  <c r="AA16" i="92"/>
  <c r="AA16" i="43"/>
  <c r="AA16" i="45"/>
  <c r="AA12" i="46"/>
  <c r="R24" i="46"/>
  <c r="AE8" i="47"/>
  <c r="AA16" i="47"/>
  <c r="X18" i="47"/>
  <c r="X26" i="47" s="1"/>
  <c r="AC6" i="48"/>
  <c r="W8" i="48"/>
  <c r="AA12" i="48"/>
  <c r="R24" i="48"/>
  <c r="U6" i="49"/>
  <c r="AC14" i="49"/>
  <c r="AA16" i="49"/>
  <c r="X18" i="49"/>
  <c r="X26" i="49" s="1"/>
  <c r="AC6" i="50"/>
  <c r="W8" i="50"/>
  <c r="AA12" i="50"/>
  <c r="U14" i="50"/>
  <c r="R24" i="50"/>
  <c r="U6" i="51"/>
  <c r="AC14" i="51"/>
  <c r="AA16" i="51"/>
  <c r="AC6" i="52"/>
  <c r="AA12" i="52"/>
  <c r="U14" i="52"/>
  <c r="R24" i="52"/>
  <c r="U6" i="53"/>
  <c r="AC14" i="53"/>
  <c r="X18" i="53"/>
  <c r="X26" i="53" s="1"/>
  <c r="AC6" i="54"/>
  <c r="AA12" i="54"/>
  <c r="U14" i="54"/>
  <c r="R24" i="54"/>
  <c r="U6" i="55"/>
  <c r="AC14" i="55"/>
  <c r="AA16" i="55"/>
  <c r="AC6" i="56"/>
  <c r="AA12" i="56"/>
  <c r="U14" i="56"/>
  <c r="R24" i="56"/>
  <c r="U6" i="57"/>
  <c r="AE8" i="57"/>
  <c r="AC14" i="57"/>
  <c r="AC6" i="58"/>
  <c r="U14" i="58"/>
  <c r="U6" i="59"/>
  <c r="AE8" i="59"/>
  <c r="AC14" i="59"/>
  <c r="AA16" i="59"/>
  <c r="AC6" i="60"/>
  <c r="U14" i="60"/>
  <c r="U6" i="61"/>
  <c r="AE8" i="61"/>
  <c r="AC14" i="61"/>
  <c r="AA16" i="61"/>
  <c r="AC6" i="62"/>
  <c r="W8" i="62"/>
  <c r="U14" i="62"/>
  <c r="U6" i="63"/>
  <c r="AC14" i="63"/>
  <c r="AA16" i="63"/>
  <c r="AC6" i="64"/>
  <c r="W8" i="64"/>
  <c r="U14" i="64"/>
  <c r="U6" i="65"/>
  <c r="AC14" i="65"/>
  <c r="AA16" i="65"/>
  <c r="AC6" i="66"/>
  <c r="W8" i="66"/>
  <c r="U14" i="66"/>
  <c r="U6" i="67"/>
  <c r="AC14" i="67"/>
  <c r="AC8" i="69"/>
  <c r="AA12" i="69"/>
  <c r="Y12" i="69"/>
  <c r="X24" i="69"/>
  <c r="AA6" i="70"/>
  <c r="V18" i="70"/>
  <c r="V26" i="70" s="1"/>
  <c r="V24" i="70"/>
  <c r="AE12" i="71"/>
  <c r="AA12" i="71"/>
  <c r="Y12" i="71"/>
  <c r="W12" i="71"/>
  <c r="T18" i="71"/>
  <c r="T26" i="71" s="1"/>
  <c r="U16" i="71"/>
  <c r="V18" i="71"/>
  <c r="V26" i="71" s="1"/>
  <c r="W8" i="72"/>
  <c r="AE10" i="72"/>
  <c r="Q16" i="73"/>
  <c r="AA16" i="73" s="1"/>
  <c r="X24" i="73"/>
  <c r="O17" i="74"/>
  <c r="AE16" i="75"/>
  <c r="AE12" i="79"/>
  <c r="AC12" i="79"/>
  <c r="AA12" i="79"/>
  <c r="Y12" i="79"/>
  <c r="W12" i="79"/>
  <c r="U12" i="79"/>
  <c r="Q16" i="81"/>
  <c r="AA16" i="81" s="1"/>
  <c r="R18" i="81"/>
  <c r="R26" i="81" s="1"/>
  <c r="R24" i="81"/>
  <c r="T18" i="83"/>
  <c r="T26" i="83" s="1"/>
  <c r="T24" i="83"/>
  <c r="AE8" i="85"/>
  <c r="O17" i="86"/>
  <c r="AB18" i="87"/>
  <c r="AB26" i="87" s="1"/>
  <c r="AC16" i="87"/>
  <c r="AB24" i="87"/>
  <c r="V18" i="89"/>
  <c r="V26" i="89" s="1"/>
  <c r="V24" i="89"/>
  <c r="T24" i="46"/>
  <c r="AE6" i="48"/>
  <c r="Y8" i="48"/>
  <c r="T24" i="48"/>
  <c r="W6" i="49"/>
  <c r="AE14" i="49"/>
  <c r="AE6" i="50"/>
  <c r="W14" i="50"/>
  <c r="T24" i="50"/>
  <c r="W6" i="51"/>
  <c r="AE14" i="51"/>
  <c r="AE6" i="52"/>
  <c r="W14" i="52"/>
  <c r="W6" i="53"/>
  <c r="AE14" i="53"/>
  <c r="AE6" i="54"/>
  <c r="W14" i="54"/>
  <c r="W6" i="55"/>
  <c r="AE14" i="55"/>
  <c r="AE6" i="56"/>
  <c r="W14" i="56"/>
  <c r="W6" i="57"/>
  <c r="AE14" i="57"/>
  <c r="AE6" i="58"/>
  <c r="W14" i="58"/>
  <c r="W6" i="59"/>
  <c r="AE14" i="59"/>
  <c r="AE6" i="60"/>
  <c r="W14" i="60"/>
  <c r="W6" i="61"/>
  <c r="AE14" i="61"/>
  <c r="AE6" i="62"/>
  <c r="W14" i="62"/>
  <c r="W6" i="63"/>
  <c r="AE14" i="63"/>
  <c r="AE6" i="64"/>
  <c r="W14" i="64"/>
  <c r="W6" i="65"/>
  <c r="AE14" i="65"/>
  <c r="AE6" i="66"/>
  <c r="W14" i="66"/>
  <c r="W6" i="67"/>
  <c r="AE14" i="67"/>
  <c r="AB18" i="68"/>
  <c r="AB26" i="68" s="1"/>
  <c r="U14" i="69"/>
  <c r="S14" i="69"/>
  <c r="W16" i="71"/>
  <c r="X18" i="72"/>
  <c r="X26" i="72" s="1"/>
  <c r="X24" i="72"/>
  <c r="Z24" i="79"/>
  <c r="V18" i="82"/>
  <c r="V26" i="82" s="1"/>
  <c r="V24" i="82"/>
  <c r="AD18" i="82"/>
  <c r="AD26" i="82" s="1"/>
  <c r="V18" i="83"/>
  <c r="V26" i="83" s="1"/>
  <c r="AE12" i="86"/>
  <c r="AC12" i="86"/>
  <c r="AA12" i="86"/>
  <c r="Y12" i="86"/>
  <c r="W12" i="86"/>
  <c r="U12" i="86"/>
  <c r="S12" i="86"/>
  <c r="AD18" i="87"/>
  <c r="AD26" i="87" s="1"/>
  <c r="R24" i="90"/>
  <c r="R18" i="90"/>
  <c r="R26" i="90" s="1"/>
  <c r="Q16" i="48"/>
  <c r="W16" i="48" s="1"/>
  <c r="Y6" i="49"/>
  <c r="Y14" i="50"/>
  <c r="Q16" i="50"/>
  <c r="W16" i="50" s="1"/>
  <c r="Y6" i="51"/>
  <c r="Y14" i="52"/>
  <c r="Q16" i="52"/>
  <c r="AE16" i="52" s="1"/>
  <c r="Y6" i="53"/>
  <c r="Y14" i="54"/>
  <c r="Q16" i="54"/>
  <c r="AE16" i="54" s="1"/>
  <c r="Y6" i="55"/>
  <c r="Y14" i="56"/>
  <c r="Q16" i="56"/>
  <c r="W16" i="56" s="1"/>
  <c r="Y6" i="57"/>
  <c r="Y14" i="58"/>
  <c r="Q16" i="58"/>
  <c r="AE16" i="58" s="1"/>
  <c r="Y6" i="59"/>
  <c r="Y14" i="60"/>
  <c r="Q16" i="60"/>
  <c r="W16" i="60" s="1"/>
  <c r="Y6" i="61"/>
  <c r="Y14" i="62"/>
  <c r="Q16" i="62"/>
  <c r="AE16" i="62" s="1"/>
  <c r="Y6" i="63"/>
  <c r="Y14" i="64"/>
  <c r="Q16" i="64"/>
  <c r="AE16" i="64" s="1"/>
  <c r="Y6" i="65"/>
  <c r="Y14" i="66"/>
  <c r="Q16" i="66"/>
  <c r="Y6" i="67"/>
  <c r="U6" i="68"/>
  <c r="S6" i="68"/>
  <c r="S16" i="68"/>
  <c r="AC6" i="69"/>
  <c r="AA6" i="69"/>
  <c r="AC14" i="70"/>
  <c r="AA14" i="70"/>
  <c r="X18" i="70"/>
  <c r="X26" i="70" s="1"/>
  <c r="X24" i="70"/>
  <c r="Y16" i="71"/>
  <c r="Z18" i="71"/>
  <c r="Z26" i="71" s="1"/>
  <c r="AE16" i="73"/>
  <c r="AD18" i="86"/>
  <c r="AD26" i="86" s="1"/>
  <c r="AD24" i="86"/>
  <c r="T18" i="88"/>
  <c r="T26" i="88" s="1"/>
  <c r="T24" i="88"/>
  <c r="V18" i="88"/>
  <c r="V26" i="88" s="1"/>
  <c r="V18" i="99"/>
  <c r="V26" i="99" s="1"/>
  <c r="V24" i="99"/>
  <c r="O17" i="101"/>
  <c r="W6" i="68"/>
  <c r="AE8" i="68"/>
  <c r="AC8" i="68"/>
  <c r="S6" i="69"/>
  <c r="Y14" i="69"/>
  <c r="Q16" i="69"/>
  <c r="U16" i="69" s="1"/>
  <c r="AA8" i="70"/>
  <c r="S14" i="70"/>
  <c r="Y16" i="70"/>
  <c r="Z18" i="70"/>
  <c r="Z26" i="70" s="1"/>
  <c r="M16" i="71"/>
  <c r="M16" i="72"/>
  <c r="AB18" i="72"/>
  <c r="AB26" i="72" s="1"/>
  <c r="AB24" i="72"/>
  <c r="S16" i="73"/>
  <c r="R18" i="73"/>
  <c r="R26" i="73" s="1"/>
  <c r="AB18" i="74"/>
  <c r="AB26" i="74" s="1"/>
  <c r="AE12" i="75"/>
  <c r="AA12" i="75"/>
  <c r="Y12" i="75"/>
  <c r="W12" i="75"/>
  <c r="U12" i="75"/>
  <c r="W16" i="75"/>
  <c r="M16" i="76"/>
  <c r="AC10" i="76"/>
  <c r="AA10" i="76"/>
  <c r="Y10" i="76"/>
  <c r="W10" i="76"/>
  <c r="U10" i="76"/>
  <c r="S10" i="76"/>
  <c r="AE12" i="77"/>
  <c r="AC12" i="77"/>
  <c r="AA12" i="77"/>
  <c r="Y12" i="77"/>
  <c r="W12" i="77"/>
  <c r="U12" i="77"/>
  <c r="Y16" i="77"/>
  <c r="Q16" i="79"/>
  <c r="AA16" i="79" s="1"/>
  <c r="AB18" i="79"/>
  <c r="AB26" i="79" s="1"/>
  <c r="M16" i="80"/>
  <c r="AC10" i="80"/>
  <c r="AA10" i="80"/>
  <c r="Y10" i="80"/>
  <c r="W10" i="80"/>
  <c r="U10" i="80"/>
  <c r="S10" i="80"/>
  <c r="AE12" i="83"/>
  <c r="Q16" i="83"/>
  <c r="AC16" i="83" s="1"/>
  <c r="AC12" i="83"/>
  <c r="AA12" i="83"/>
  <c r="Y12" i="83"/>
  <c r="W12" i="83"/>
  <c r="U12" i="83"/>
  <c r="I16" i="84"/>
  <c r="Y6" i="87"/>
  <c r="U6" i="87"/>
  <c r="AE6" i="87"/>
  <c r="AC6" i="87"/>
  <c r="AA6" i="87"/>
  <c r="W6" i="87"/>
  <c r="S6" i="87"/>
  <c r="AA16" i="96"/>
  <c r="Z24" i="96"/>
  <c r="W16" i="99"/>
  <c r="AB24" i="73"/>
  <c r="AB24" i="75"/>
  <c r="Y8" i="76"/>
  <c r="T24" i="76"/>
  <c r="AB24" i="77"/>
  <c r="Y8" i="78"/>
  <c r="T24" i="78"/>
  <c r="AB24" i="79"/>
  <c r="Y8" i="80"/>
  <c r="T24" i="80"/>
  <c r="AB24" i="81"/>
  <c r="Y8" i="82"/>
  <c r="T24" i="82"/>
  <c r="Q16" i="84"/>
  <c r="S16" i="84" s="1"/>
  <c r="Q16" i="86"/>
  <c r="S16" i="87"/>
  <c r="Y6" i="89"/>
  <c r="U6" i="89"/>
  <c r="S6" i="89"/>
  <c r="S8" i="89"/>
  <c r="AE8" i="89"/>
  <c r="AC8" i="89"/>
  <c r="AC10" i="89"/>
  <c r="Y10" i="89"/>
  <c r="W10" i="89"/>
  <c r="I16" i="92"/>
  <c r="Q16" i="95"/>
  <c r="V18" i="95"/>
  <c r="V26" i="95" s="1"/>
  <c r="V24" i="95"/>
  <c r="R18" i="96"/>
  <c r="R26" i="96" s="1"/>
  <c r="R24" i="96"/>
  <c r="AE12" i="102"/>
  <c r="AC12" i="102"/>
  <c r="AA12" i="102"/>
  <c r="Y12" i="102"/>
  <c r="W12" i="102"/>
  <c r="U12" i="102"/>
  <c r="AB18" i="102"/>
  <c r="AB26" i="102" s="1"/>
  <c r="Z18" i="102"/>
  <c r="Z26" i="102" s="1"/>
  <c r="Z18" i="106"/>
  <c r="Z26" i="106" s="1"/>
  <c r="Z24" i="106"/>
  <c r="AA16" i="106"/>
  <c r="AC10" i="118"/>
  <c r="AA10" i="118"/>
  <c r="Y10" i="118"/>
  <c r="W10" i="118"/>
  <c r="U10" i="118"/>
  <c r="S10" i="118"/>
  <c r="AE10" i="118"/>
  <c r="V18" i="122"/>
  <c r="V26" i="122" s="1"/>
  <c r="V24" i="122"/>
  <c r="W16" i="122"/>
  <c r="Y6" i="71"/>
  <c r="Y14" i="72"/>
  <c r="Q16" i="72"/>
  <c r="W16" i="72" s="1"/>
  <c r="Y6" i="73"/>
  <c r="U16" i="73"/>
  <c r="AC16" i="73"/>
  <c r="Q16" i="74"/>
  <c r="W16" i="74" s="1"/>
  <c r="U16" i="75"/>
  <c r="AC16" i="75"/>
  <c r="AA8" i="76"/>
  <c r="Q16" i="76"/>
  <c r="AE16" i="76" s="1"/>
  <c r="T18" i="76"/>
  <c r="T26" i="76" s="1"/>
  <c r="U16" i="77"/>
  <c r="AC16" i="77"/>
  <c r="AA8" i="78"/>
  <c r="Q16" i="78"/>
  <c r="W16" i="78" s="1"/>
  <c r="T18" i="78"/>
  <c r="T26" i="78" s="1"/>
  <c r="U16" i="79"/>
  <c r="AC16" i="79"/>
  <c r="AA8" i="80"/>
  <c r="Q16" i="80"/>
  <c r="AE16" i="80" s="1"/>
  <c r="T18" i="80"/>
  <c r="T26" i="80" s="1"/>
  <c r="AA8" i="82"/>
  <c r="Q16" i="82"/>
  <c r="T18" i="82"/>
  <c r="T26" i="82" s="1"/>
  <c r="AD18" i="83"/>
  <c r="AD26" i="83" s="1"/>
  <c r="S6" i="84"/>
  <c r="S14" i="85"/>
  <c r="AD18" i="85"/>
  <c r="AD26" i="85" s="1"/>
  <c r="Y16" i="86"/>
  <c r="U16" i="87"/>
  <c r="AE16" i="87"/>
  <c r="X18" i="88"/>
  <c r="X26" i="88" s="1"/>
  <c r="W6" i="89"/>
  <c r="U8" i="89"/>
  <c r="S10" i="89"/>
  <c r="X18" i="89"/>
  <c r="X26" i="89" s="1"/>
  <c r="X24" i="89"/>
  <c r="Z18" i="89"/>
  <c r="Z26" i="89" s="1"/>
  <c r="U16" i="90"/>
  <c r="M16" i="91"/>
  <c r="AB18" i="91"/>
  <c r="AB26" i="91" s="1"/>
  <c r="AC16" i="91"/>
  <c r="V24" i="91"/>
  <c r="O17" i="94"/>
  <c r="W16" i="95"/>
  <c r="M16" i="96"/>
  <c r="S16" i="96"/>
  <c r="R18" i="98"/>
  <c r="R26" i="98" s="1"/>
  <c r="R24" i="98"/>
  <c r="AA16" i="100"/>
  <c r="Z24" i="100"/>
  <c r="S12" i="102"/>
  <c r="AD18" i="69"/>
  <c r="AD26" i="69" s="1"/>
  <c r="AA6" i="71"/>
  <c r="S14" i="71"/>
  <c r="AD18" i="71"/>
  <c r="AD26" i="71" s="1"/>
  <c r="S6" i="72"/>
  <c r="AA14" i="72"/>
  <c r="AA6" i="73"/>
  <c r="S14" i="73"/>
  <c r="AD18" i="73"/>
  <c r="AD26" i="73" s="1"/>
  <c r="S6" i="74"/>
  <c r="AA14" i="74"/>
  <c r="X24" i="74"/>
  <c r="AA6" i="75"/>
  <c r="S14" i="75"/>
  <c r="AD18" i="75"/>
  <c r="AD26" i="75" s="1"/>
  <c r="S6" i="76"/>
  <c r="AC8" i="76"/>
  <c r="AA14" i="76"/>
  <c r="X24" i="76"/>
  <c r="AA6" i="77"/>
  <c r="U8" i="77"/>
  <c r="S14" i="77"/>
  <c r="AD18" i="77"/>
  <c r="AD26" i="77" s="1"/>
  <c r="S6" i="78"/>
  <c r="AC8" i="78"/>
  <c r="AA14" i="78"/>
  <c r="X24" i="78"/>
  <c r="AA6" i="79"/>
  <c r="S14" i="79"/>
  <c r="AD18" i="79"/>
  <c r="AD26" i="79" s="1"/>
  <c r="S6" i="80"/>
  <c r="AC8" i="80"/>
  <c r="AA14" i="80"/>
  <c r="X24" i="80"/>
  <c r="AA6" i="81"/>
  <c r="S14" i="81"/>
  <c r="AD18" i="81"/>
  <c r="AD26" i="81" s="1"/>
  <c r="S6" i="82"/>
  <c r="AC8" i="82"/>
  <c r="AA14" i="82"/>
  <c r="X24" i="82"/>
  <c r="AA6" i="83"/>
  <c r="S14" i="83"/>
  <c r="R24" i="83"/>
  <c r="U6" i="84"/>
  <c r="S12" i="84"/>
  <c r="AC14" i="84"/>
  <c r="AA16" i="84"/>
  <c r="Z24" i="84"/>
  <c r="AC6" i="85"/>
  <c r="AA12" i="85"/>
  <c r="U14" i="85"/>
  <c r="R24" i="85"/>
  <c r="AC10" i="86"/>
  <c r="S14" i="86"/>
  <c r="X18" i="86"/>
  <c r="X26" i="86" s="1"/>
  <c r="AB24" i="86"/>
  <c r="AC10" i="87"/>
  <c r="Y10" i="87"/>
  <c r="R18" i="87"/>
  <c r="R26" i="87" s="1"/>
  <c r="X24" i="87"/>
  <c r="AA6" i="89"/>
  <c r="W8" i="89"/>
  <c r="U10" i="89"/>
  <c r="AD18" i="89"/>
  <c r="AD26" i="89" s="1"/>
  <c r="AB24" i="91"/>
  <c r="Q16" i="92"/>
  <c r="S16" i="92"/>
  <c r="M16" i="93"/>
  <c r="AE16" i="93"/>
  <c r="AA16" i="94"/>
  <c r="Z24" i="94"/>
  <c r="Q16" i="96"/>
  <c r="M16" i="98"/>
  <c r="S16" i="98"/>
  <c r="I16" i="100"/>
  <c r="R18" i="100"/>
  <c r="R26" i="100" s="1"/>
  <c r="R24" i="100"/>
  <c r="Q16" i="102"/>
  <c r="Y16" i="102" s="1"/>
  <c r="AD24" i="103"/>
  <c r="AD18" i="103"/>
  <c r="AD26" i="103" s="1"/>
  <c r="Y16" i="115"/>
  <c r="AA16" i="68"/>
  <c r="AA16" i="70"/>
  <c r="AC6" i="71"/>
  <c r="U14" i="71"/>
  <c r="AA16" i="72"/>
  <c r="AC6" i="73"/>
  <c r="U14" i="73"/>
  <c r="U6" i="74"/>
  <c r="AC6" i="75"/>
  <c r="U14" i="75"/>
  <c r="U6" i="76"/>
  <c r="AC6" i="77"/>
  <c r="W8" i="77"/>
  <c r="U14" i="77"/>
  <c r="U6" i="78"/>
  <c r="AA16" i="78"/>
  <c r="AC6" i="79"/>
  <c r="W8" i="79"/>
  <c r="U14" i="79"/>
  <c r="U6" i="80"/>
  <c r="AC6" i="81"/>
  <c r="W8" i="81"/>
  <c r="U14" i="81"/>
  <c r="U6" i="82"/>
  <c r="W8" i="83"/>
  <c r="U14" i="83"/>
  <c r="W6" i="84"/>
  <c r="U12" i="84"/>
  <c r="AE14" i="84"/>
  <c r="Z18" i="84"/>
  <c r="Z26" i="84" s="1"/>
  <c r="AE6" i="85"/>
  <c r="W14" i="85"/>
  <c r="AE10" i="86"/>
  <c r="U14" i="86"/>
  <c r="Z18" i="86"/>
  <c r="Z26" i="86" s="1"/>
  <c r="W8" i="87"/>
  <c r="W12" i="87"/>
  <c r="S12" i="87"/>
  <c r="T18" i="87"/>
  <c r="T26" i="87" s="1"/>
  <c r="I16" i="88"/>
  <c r="AB18" i="88"/>
  <c r="AB26" i="88" s="1"/>
  <c r="AC6" i="89"/>
  <c r="Y8" i="89"/>
  <c r="AA10" i="89"/>
  <c r="X18" i="90"/>
  <c r="X26" i="90" s="1"/>
  <c r="U16" i="91"/>
  <c r="T24" i="91"/>
  <c r="Q16" i="93"/>
  <c r="V18" i="93"/>
  <c r="V26" i="93" s="1"/>
  <c r="V24" i="93"/>
  <c r="I16" i="94"/>
  <c r="R18" i="94"/>
  <c r="R26" i="94" s="1"/>
  <c r="R24" i="94"/>
  <c r="AC10" i="97"/>
  <c r="AA10" i="97"/>
  <c r="Y10" i="97"/>
  <c r="W10" i="97"/>
  <c r="U10" i="97"/>
  <c r="S10" i="97"/>
  <c r="Q16" i="98"/>
  <c r="M16" i="100"/>
  <c r="S16" i="100"/>
  <c r="R18" i="102"/>
  <c r="R26" i="102" s="1"/>
  <c r="R24" i="102"/>
  <c r="M16" i="103"/>
  <c r="AE16" i="103"/>
  <c r="AE12" i="109"/>
  <c r="AC12" i="109"/>
  <c r="AA12" i="109"/>
  <c r="Y12" i="109"/>
  <c r="W12" i="109"/>
  <c r="U12" i="109"/>
  <c r="S12" i="109"/>
  <c r="AB24" i="76"/>
  <c r="AB24" i="78"/>
  <c r="AB24" i="80"/>
  <c r="AB24" i="82"/>
  <c r="Y6" i="84"/>
  <c r="W12" i="84"/>
  <c r="Y14" i="85"/>
  <c r="Q16" i="85"/>
  <c r="W16" i="85" s="1"/>
  <c r="V24" i="85"/>
  <c r="W14" i="86"/>
  <c r="AB18" i="86"/>
  <c r="AB26" i="86" s="1"/>
  <c r="Y8" i="87"/>
  <c r="V18" i="87"/>
  <c r="V26" i="87" s="1"/>
  <c r="Y8" i="88"/>
  <c r="AE12" i="88"/>
  <c r="AA12" i="88"/>
  <c r="Y12" i="88"/>
  <c r="Y14" i="88"/>
  <c r="U14" i="88"/>
  <c r="S14" i="88"/>
  <c r="AE6" i="89"/>
  <c r="AA8" i="89"/>
  <c r="AE10" i="89"/>
  <c r="Q16" i="89"/>
  <c r="AE16" i="89" s="1"/>
  <c r="AB18" i="89"/>
  <c r="AB26" i="89" s="1"/>
  <c r="Z18" i="90"/>
  <c r="Z26" i="90" s="1"/>
  <c r="AC10" i="101"/>
  <c r="AA10" i="101"/>
  <c r="Y10" i="101"/>
  <c r="W10" i="101"/>
  <c r="U10" i="101"/>
  <c r="S10" i="101"/>
  <c r="V24" i="103"/>
  <c r="AE16" i="115"/>
  <c r="W16" i="115"/>
  <c r="AC16" i="115"/>
  <c r="U16" i="115"/>
  <c r="T18" i="119"/>
  <c r="T26" i="119" s="1"/>
  <c r="R18" i="119"/>
  <c r="R26" i="119" s="1"/>
  <c r="R24" i="119"/>
  <c r="S16" i="119"/>
  <c r="AC16" i="76"/>
  <c r="AC16" i="78"/>
  <c r="AC16" i="82"/>
  <c r="AA14" i="86"/>
  <c r="AA8" i="87"/>
  <c r="Y16" i="87"/>
  <c r="Q16" i="88"/>
  <c r="AA16" i="88" s="1"/>
  <c r="AC8" i="88"/>
  <c r="S12" i="88"/>
  <c r="W14" i="88"/>
  <c r="X24" i="88"/>
  <c r="I16" i="90"/>
  <c r="W16" i="91"/>
  <c r="Q16" i="94"/>
  <c r="V18" i="97"/>
  <c r="V26" i="97" s="1"/>
  <c r="V24" i="97"/>
  <c r="AE10" i="101"/>
  <c r="V18" i="101"/>
  <c r="V26" i="101" s="1"/>
  <c r="V24" i="101"/>
  <c r="X24" i="104"/>
  <c r="X18" i="104"/>
  <c r="X26" i="104" s="1"/>
  <c r="T18" i="113"/>
  <c r="T26" i="113" s="1"/>
  <c r="R18" i="113"/>
  <c r="R26" i="113" s="1"/>
  <c r="R24" i="113"/>
  <c r="T18" i="111"/>
  <c r="T26" i="111" s="1"/>
  <c r="R18" i="111"/>
  <c r="R26" i="111" s="1"/>
  <c r="R24" i="111"/>
  <c r="AE12" i="115"/>
  <c r="AC12" i="115"/>
  <c r="AA12" i="115"/>
  <c r="Y12" i="115"/>
  <c r="W12" i="115"/>
  <c r="U12" i="115"/>
  <c r="AB18" i="115"/>
  <c r="AB26" i="115" s="1"/>
  <c r="Z18" i="115"/>
  <c r="Z26" i="115" s="1"/>
  <c r="Z24" i="115"/>
  <c r="AB18" i="123"/>
  <c r="AB26" i="123" s="1"/>
  <c r="Z18" i="123"/>
  <c r="Z26" i="123" s="1"/>
  <c r="Z24" i="123"/>
  <c r="AD18" i="124"/>
  <c r="AD26" i="124" s="1"/>
  <c r="AE6" i="125"/>
  <c r="AC6" i="125"/>
  <c r="AA6" i="125"/>
  <c r="Y6" i="125"/>
  <c r="W6" i="125"/>
  <c r="U6" i="125"/>
  <c r="Q16" i="125"/>
  <c r="S6" i="125"/>
  <c r="AA14" i="126"/>
  <c r="S14" i="126"/>
  <c r="AE14" i="126"/>
  <c r="AC14" i="126"/>
  <c r="Y14" i="126"/>
  <c r="W14" i="126"/>
  <c r="U14" i="126"/>
  <c r="S10" i="128"/>
  <c r="AE10" i="128"/>
  <c r="AC10" i="128"/>
  <c r="AA10" i="128"/>
  <c r="Q16" i="128"/>
  <c r="Y10" i="128"/>
  <c r="W10" i="128"/>
  <c r="U10" i="128"/>
  <c r="T24" i="93"/>
  <c r="T24" i="95"/>
  <c r="AE6" i="97"/>
  <c r="Y8" i="97"/>
  <c r="T24" i="97"/>
  <c r="R18" i="99"/>
  <c r="R26" i="99" s="1"/>
  <c r="T24" i="99"/>
  <c r="AE6" i="101"/>
  <c r="Y8" i="101"/>
  <c r="AC12" i="101"/>
  <c r="R18" i="101"/>
  <c r="R26" i="101" s="1"/>
  <c r="T24" i="101"/>
  <c r="AE14" i="102"/>
  <c r="R18" i="103"/>
  <c r="R26" i="103" s="1"/>
  <c r="Z24" i="103"/>
  <c r="Z18" i="104"/>
  <c r="Z26" i="104" s="1"/>
  <c r="Q16" i="106"/>
  <c r="S16" i="106"/>
  <c r="M16" i="107"/>
  <c r="O17" i="108"/>
  <c r="V18" i="108"/>
  <c r="V26" i="108" s="1"/>
  <c r="V24" i="108"/>
  <c r="AE16" i="108"/>
  <c r="T18" i="109"/>
  <c r="T26" i="109" s="1"/>
  <c r="R18" i="109"/>
  <c r="R26" i="109" s="1"/>
  <c r="R24" i="109"/>
  <c r="S16" i="111"/>
  <c r="AC10" i="112"/>
  <c r="AA10" i="112"/>
  <c r="Y10" i="112"/>
  <c r="W10" i="112"/>
  <c r="U10" i="112"/>
  <c r="S10" i="112"/>
  <c r="I16" i="113"/>
  <c r="S12" i="115"/>
  <c r="AA16" i="115"/>
  <c r="I16" i="117"/>
  <c r="X18" i="118"/>
  <c r="X26" i="118" s="1"/>
  <c r="V18" i="118"/>
  <c r="V26" i="118" s="1"/>
  <c r="V24" i="118"/>
  <c r="AA6" i="130"/>
  <c r="Y6" i="130"/>
  <c r="W6" i="130"/>
  <c r="U6" i="130"/>
  <c r="S6" i="130"/>
  <c r="Q16" i="130"/>
  <c r="AE6" i="130"/>
  <c r="AC6" i="130"/>
  <c r="AA8" i="97"/>
  <c r="Q16" i="97"/>
  <c r="T18" i="97"/>
  <c r="T26" i="97" s="1"/>
  <c r="T18" i="99"/>
  <c r="T26" i="99" s="1"/>
  <c r="AA8" i="101"/>
  <c r="Q16" i="101"/>
  <c r="T18" i="101"/>
  <c r="T26" i="101" s="1"/>
  <c r="T18" i="103"/>
  <c r="T26" i="103" s="1"/>
  <c r="AB24" i="103"/>
  <c r="U10" i="104"/>
  <c r="AE10" i="104"/>
  <c r="AA10" i="104"/>
  <c r="AE12" i="104"/>
  <c r="Y12" i="104"/>
  <c r="U12" i="104"/>
  <c r="Y14" i="104"/>
  <c r="S14" i="104"/>
  <c r="AE14" i="104"/>
  <c r="U16" i="105"/>
  <c r="T24" i="105"/>
  <c r="W16" i="108"/>
  <c r="I16" i="109"/>
  <c r="AC10" i="110"/>
  <c r="AA10" i="110"/>
  <c r="Y10" i="110"/>
  <c r="W10" i="110"/>
  <c r="U10" i="110"/>
  <c r="S10" i="110"/>
  <c r="I16" i="111"/>
  <c r="AE10" i="112"/>
  <c r="Q16" i="114"/>
  <c r="I16" i="119"/>
  <c r="AC10" i="120"/>
  <c r="AA10" i="120"/>
  <c r="Y10" i="120"/>
  <c r="W10" i="120"/>
  <c r="U10" i="120"/>
  <c r="S10" i="120"/>
  <c r="O17" i="121"/>
  <c r="Q16" i="123"/>
  <c r="M16" i="124"/>
  <c r="T24" i="127"/>
  <c r="T18" i="127"/>
  <c r="T26" i="127" s="1"/>
  <c r="AD18" i="88"/>
  <c r="AD26" i="88" s="1"/>
  <c r="AD18" i="90"/>
  <c r="AD26" i="90" s="1"/>
  <c r="AD18" i="92"/>
  <c r="AD26" i="92" s="1"/>
  <c r="X24" i="93"/>
  <c r="AD18" i="94"/>
  <c r="AD26" i="94" s="1"/>
  <c r="X24" i="95"/>
  <c r="AD18" i="96"/>
  <c r="AD26" i="96" s="1"/>
  <c r="S6" i="97"/>
  <c r="AC8" i="97"/>
  <c r="X24" i="97"/>
  <c r="AD18" i="98"/>
  <c r="AD26" i="98" s="1"/>
  <c r="X24" i="99"/>
  <c r="AD18" i="100"/>
  <c r="AD26" i="100" s="1"/>
  <c r="S6" i="101"/>
  <c r="AC8" i="101"/>
  <c r="X24" i="101"/>
  <c r="S14" i="102"/>
  <c r="AD18" i="102"/>
  <c r="AD26" i="102" s="1"/>
  <c r="X18" i="103"/>
  <c r="X26" i="103" s="1"/>
  <c r="S10" i="104"/>
  <c r="S12" i="104"/>
  <c r="U14" i="104"/>
  <c r="AE16" i="105"/>
  <c r="T18" i="105"/>
  <c r="T26" i="105" s="1"/>
  <c r="O17" i="107"/>
  <c r="O18" i="107" s="1"/>
  <c r="X18" i="112"/>
  <c r="X26" i="112" s="1"/>
  <c r="V18" i="112"/>
  <c r="V26" i="112" s="1"/>
  <c r="V24" i="112"/>
  <c r="AD18" i="112"/>
  <c r="AD26" i="112" s="1"/>
  <c r="Q16" i="113"/>
  <c r="Y16" i="113" s="1"/>
  <c r="V18" i="114"/>
  <c r="V26" i="114" s="1"/>
  <c r="V24" i="114"/>
  <c r="T18" i="115"/>
  <c r="T26" i="115" s="1"/>
  <c r="R18" i="115"/>
  <c r="R26" i="115" s="1"/>
  <c r="R24" i="115"/>
  <c r="AE16" i="117"/>
  <c r="W16" i="117"/>
  <c r="AC16" i="117"/>
  <c r="U16" i="117"/>
  <c r="AB18" i="117"/>
  <c r="AB26" i="117" s="1"/>
  <c r="Z18" i="117"/>
  <c r="Z26" i="117" s="1"/>
  <c r="Z24" i="117"/>
  <c r="AE10" i="120"/>
  <c r="X18" i="120"/>
  <c r="X26" i="120" s="1"/>
  <c r="V18" i="120"/>
  <c r="V26" i="120" s="1"/>
  <c r="V24" i="120"/>
  <c r="AE12" i="123"/>
  <c r="AC12" i="123"/>
  <c r="AA12" i="123"/>
  <c r="Y12" i="123"/>
  <c r="W12" i="123"/>
  <c r="U12" i="123"/>
  <c r="S12" i="123"/>
  <c r="O18" i="124"/>
  <c r="Q16" i="126"/>
  <c r="AB18" i="131"/>
  <c r="AB26" i="131" s="1"/>
  <c r="AB24" i="131"/>
  <c r="AC16" i="131"/>
  <c r="W16" i="88"/>
  <c r="S12" i="89"/>
  <c r="AA16" i="89"/>
  <c r="W16" i="90"/>
  <c r="AA16" i="91"/>
  <c r="W16" i="92"/>
  <c r="AA16" i="93"/>
  <c r="W16" i="94"/>
  <c r="AA16" i="95"/>
  <c r="W16" i="96"/>
  <c r="U6" i="97"/>
  <c r="S12" i="97"/>
  <c r="AA16" i="97"/>
  <c r="W16" i="98"/>
  <c r="AA16" i="99"/>
  <c r="W16" i="100"/>
  <c r="U6" i="101"/>
  <c r="AE8" i="101"/>
  <c r="S12" i="101"/>
  <c r="AA16" i="101"/>
  <c r="W8" i="102"/>
  <c r="U14" i="102"/>
  <c r="W16" i="102"/>
  <c r="S16" i="103"/>
  <c r="AA16" i="103"/>
  <c r="I16" i="104"/>
  <c r="W10" i="104"/>
  <c r="W12" i="104"/>
  <c r="W14" i="104"/>
  <c r="T18" i="104"/>
  <c r="T26" i="104" s="1"/>
  <c r="O17" i="105"/>
  <c r="W16" i="105"/>
  <c r="AD18" i="108"/>
  <c r="AD26" i="108" s="1"/>
  <c r="Q16" i="109"/>
  <c r="X18" i="110"/>
  <c r="X26" i="110" s="1"/>
  <c r="V18" i="110"/>
  <c r="V26" i="110" s="1"/>
  <c r="V24" i="110"/>
  <c r="AD18" i="110"/>
  <c r="AD26" i="110" s="1"/>
  <c r="AE16" i="111"/>
  <c r="W16" i="111"/>
  <c r="AC16" i="111"/>
  <c r="U16" i="111"/>
  <c r="Y16" i="111"/>
  <c r="AB18" i="113"/>
  <c r="AB26" i="113" s="1"/>
  <c r="Z18" i="113"/>
  <c r="Z26" i="113" s="1"/>
  <c r="Z24" i="113"/>
  <c r="M16" i="114"/>
  <c r="W16" i="114"/>
  <c r="S16" i="115"/>
  <c r="AE12" i="117"/>
  <c r="AC12" i="117"/>
  <c r="AA12" i="117"/>
  <c r="Y12" i="117"/>
  <c r="W12" i="117"/>
  <c r="U12" i="117"/>
  <c r="O17" i="117"/>
  <c r="AA16" i="117"/>
  <c r="Y16" i="119"/>
  <c r="AE16" i="119"/>
  <c r="W16" i="119"/>
  <c r="AC16" i="119"/>
  <c r="U16" i="119"/>
  <c r="AE12" i="119"/>
  <c r="AC12" i="119"/>
  <c r="AA12" i="119"/>
  <c r="Y12" i="119"/>
  <c r="W12" i="119"/>
  <c r="U12" i="119"/>
  <c r="AB18" i="119"/>
  <c r="AB26" i="119" s="1"/>
  <c r="Z18" i="119"/>
  <c r="Z26" i="119" s="1"/>
  <c r="Z24" i="119"/>
  <c r="I16" i="121"/>
  <c r="R18" i="121"/>
  <c r="R26" i="121" s="1"/>
  <c r="R24" i="121"/>
  <c r="T18" i="123"/>
  <c r="T26" i="123" s="1"/>
  <c r="R18" i="123"/>
  <c r="R26" i="123" s="1"/>
  <c r="R24" i="123"/>
  <c r="S16" i="123"/>
  <c r="X18" i="124"/>
  <c r="X26" i="124" s="1"/>
  <c r="V18" i="124"/>
  <c r="V26" i="124" s="1"/>
  <c r="V24" i="124"/>
  <c r="AC6" i="133"/>
  <c r="AA6" i="133"/>
  <c r="Y6" i="133"/>
  <c r="W6" i="133"/>
  <c r="U6" i="133"/>
  <c r="AE6" i="133"/>
  <c r="Q16" i="133"/>
  <c r="Y16" i="133" s="1"/>
  <c r="S6" i="133"/>
  <c r="T18" i="134"/>
  <c r="T26" i="134" s="1"/>
  <c r="T24" i="134"/>
  <c r="V18" i="134"/>
  <c r="V26" i="134" s="1"/>
  <c r="AB24" i="93"/>
  <c r="AB24" i="95"/>
  <c r="AB24" i="97"/>
  <c r="AB24" i="99"/>
  <c r="AB24" i="101"/>
  <c r="O17" i="106"/>
  <c r="Y16" i="109"/>
  <c r="AB18" i="111"/>
  <c r="AB26" i="111" s="1"/>
  <c r="Z18" i="111"/>
  <c r="Z26" i="111" s="1"/>
  <c r="Z24" i="111"/>
  <c r="AE12" i="113"/>
  <c r="AC12" i="113"/>
  <c r="AA12" i="113"/>
  <c r="Y12" i="113"/>
  <c r="W12" i="113"/>
  <c r="U12" i="113"/>
  <c r="O17" i="113"/>
  <c r="AD18" i="120"/>
  <c r="AD26" i="120" s="1"/>
  <c r="O17" i="127"/>
  <c r="O18" i="127" s="1"/>
  <c r="AC16" i="93"/>
  <c r="AC16" i="95"/>
  <c r="AC16" i="97"/>
  <c r="AC16" i="99"/>
  <c r="AC16" i="101"/>
  <c r="AC16" i="103"/>
  <c r="Q16" i="104"/>
  <c r="Y16" i="104" s="1"/>
  <c r="AC10" i="104"/>
  <c r="AC12" i="104"/>
  <c r="AC14" i="104"/>
  <c r="Z24" i="104"/>
  <c r="AD18" i="105"/>
  <c r="AD26" i="105" s="1"/>
  <c r="W16" i="107"/>
  <c r="V18" i="107"/>
  <c r="V26" i="107" s="1"/>
  <c r="AB18" i="109"/>
  <c r="AB26" i="109" s="1"/>
  <c r="Z18" i="109"/>
  <c r="Z26" i="109" s="1"/>
  <c r="Z24" i="109"/>
  <c r="AE12" i="111"/>
  <c r="AC12" i="111"/>
  <c r="AA12" i="111"/>
  <c r="Y12" i="111"/>
  <c r="W12" i="111"/>
  <c r="U12" i="111"/>
  <c r="O17" i="111"/>
  <c r="AA16" i="111"/>
  <c r="S12" i="113"/>
  <c r="O17" i="114"/>
  <c r="Q16" i="116"/>
  <c r="T18" i="117"/>
  <c r="T26" i="117" s="1"/>
  <c r="R18" i="117"/>
  <c r="R26" i="117" s="1"/>
  <c r="R24" i="117"/>
  <c r="Q16" i="121"/>
  <c r="AD24" i="122"/>
  <c r="AE16" i="122"/>
  <c r="AD24" i="124"/>
  <c r="Z18" i="125"/>
  <c r="Z26" i="125" s="1"/>
  <c r="X24" i="126"/>
  <c r="AE24" i="144"/>
  <c r="AF16" i="144"/>
  <c r="X16" i="146"/>
  <c r="W24" i="146"/>
  <c r="W18" i="146"/>
  <c r="W26" i="146" s="1"/>
  <c r="T16" i="150"/>
  <c r="S18" i="150"/>
  <c r="S26" i="150" s="1"/>
  <c r="S24" i="150"/>
  <c r="AC26" i="162"/>
  <c r="AC20" i="162"/>
  <c r="AC28" i="162" s="1"/>
  <c r="AD18" i="162"/>
  <c r="S20" i="164"/>
  <c r="S28" i="164" s="1"/>
  <c r="T18" i="164"/>
  <c r="S26" i="164"/>
  <c r="T24" i="108"/>
  <c r="W6" i="109"/>
  <c r="AA10" i="109"/>
  <c r="AE14" i="109"/>
  <c r="AE6" i="110"/>
  <c r="Y8" i="110"/>
  <c r="W14" i="110"/>
  <c r="T24" i="110"/>
  <c r="W6" i="111"/>
  <c r="AA10" i="111"/>
  <c r="AE14" i="111"/>
  <c r="AE6" i="112"/>
  <c r="Y8" i="112"/>
  <c r="W14" i="112"/>
  <c r="T24" i="112"/>
  <c r="W6" i="113"/>
  <c r="AA10" i="113"/>
  <c r="AE14" i="113"/>
  <c r="T24" i="114"/>
  <c r="W6" i="115"/>
  <c r="AA10" i="115"/>
  <c r="AE14" i="115"/>
  <c r="T24" i="116"/>
  <c r="W6" i="117"/>
  <c r="AA10" i="117"/>
  <c r="AE14" i="117"/>
  <c r="AE6" i="118"/>
  <c r="Y8" i="118"/>
  <c r="W14" i="118"/>
  <c r="W6" i="119"/>
  <c r="AA10" i="119"/>
  <c r="AE14" i="119"/>
  <c r="AE6" i="120"/>
  <c r="Y8" i="120"/>
  <c r="W14" i="120"/>
  <c r="W6" i="123"/>
  <c r="AA10" i="123"/>
  <c r="AE14" i="123"/>
  <c r="AE6" i="124"/>
  <c r="Y8" i="124"/>
  <c r="S10" i="124"/>
  <c r="AE8" i="125"/>
  <c r="Y10" i="125"/>
  <c r="S12" i="125"/>
  <c r="AA14" i="125"/>
  <c r="AB18" i="125"/>
  <c r="AB26" i="125" s="1"/>
  <c r="Y16" i="126"/>
  <c r="M16" i="131"/>
  <c r="V18" i="132"/>
  <c r="V26" i="132" s="1"/>
  <c r="V24" i="132"/>
  <c r="P18" i="139"/>
  <c r="W18" i="144"/>
  <c r="W26" i="144" s="1"/>
  <c r="W24" i="144"/>
  <c r="X16" i="144"/>
  <c r="P18" i="146"/>
  <c r="U18" i="152"/>
  <c r="U26" i="152" s="1"/>
  <c r="U24" i="152"/>
  <c r="V16" i="152"/>
  <c r="Q16" i="110"/>
  <c r="U16" i="110" s="1"/>
  <c r="Q16" i="112"/>
  <c r="AC16" i="112" s="1"/>
  <c r="AC10" i="115"/>
  <c r="AC10" i="117"/>
  <c r="Q16" i="118"/>
  <c r="AC10" i="119"/>
  <c r="Q16" i="120"/>
  <c r="W16" i="120" s="1"/>
  <c r="U10" i="124"/>
  <c r="Q16" i="124"/>
  <c r="AE16" i="124" s="1"/>
  <c r="U12" i="125"/>
  <c r="S6" i="126"/>
  <c r="AA6" i="126"/>
  <c r="U8" i="127"/>
  <c r="AC10" i="127"/>
  <c r="U10" i="127"/>
  <c r="O17" i="128"/>
  <c r="O18" i="128" s="1"/>
  <c r="Z18" i="130"/>
  <c r="Z26" i="130" s="1"/>
  <c r="X18" i="130"/>
  <c r="X26" i="130" s="1"/>
  <c r="X24" i="130"/>
  <c r="T24" i="131"/>
  <c r="U16" i="131"/>
  <c r="T18" i="131"/>
  <c r="T26" i="131" s="1"/>
  <c r="AB18" i="133"/>
  <c r="AB26" i="133" s="1"/>
  <c r="Z18" i="133"/>
  <c r="Z26" i="133" s="1"/>
  <c r="Z24" i="133"/>
  <c r="AA16" i="133"/>
  <c r="P17" i="137"/>
  <c r="P18" i="137" s="1"/>
  <c r="M16" i="147"/>
  <c r="U8" i="104"/>
  <c r="T18" i="107"/>
  <c r="T26" i="107" s="1"/>
  <c r="AA6" i="109"/>
  <c r="AE10" i="109"/>
  <c r="S14" i="109"/>
  <c r="S6" i="110"/>
  <c r="AC8" i="110"/>
  <c r="AA6" i="111"/>
  <c r="AE10" i="111"/>
  <c r="S14" i="111"/>
  <c r="S6" i="112"/>
  <c r="AC8" i="112"/>
  <c r="AA6" i="113"/>
  <c r="AE10" i="113"/>
  <c r="S14" i="113"/>
  <c r="AA6" i="115"/>
  <c r="AE10" i="115"/>
  <c r="S14" i="115"/>
  <c r="AA6" i="117"/>
  <c r="AE10" i="117"/>
  <c r="S14" i="117"/>
  <c r="S6" i="118"/>
  <c r="AC8" i="118"/>
  <c r="AA6" i="119"/>
  <c r="AE10" i="119"/>
  <c r="S14" i="119"/>
  <c r="S6" i="120"/>
  <c r="AA14" i="120"/>
  <c r="AA6" i="123"/>
  <c r="AE10" i="123"/>
  <c r="S14" i="123"/>
  <c r="S6" i="124"/>
  <c r="AC8" i="124"/>
  <c r="W10" i="124"/>
  <c r="T18" i="124"/>
  <c r="T26" i="124" s="1"/>
  <c r="AC10" i="125"/>
  <c r="W12" i="125"/>
  <c r="AE14" i="125"/>
  <c r="AD18" i="125"/>
  <c r="AD26" i="125" s="1"/>
  <c r="T24" i="125"/>
  <c r="U6" i="126"/>
  <c r="AC8" i="126"/>
  <c r="U8" i="126"/>
  <c r="X18" i="126"/>
  <c r="X26" i="126" s="1"/>
  <c r="I16" i="127"/>
  <c r="W8" i="127"/>
  <c r="S10" i="127"/>
  <c r="W12" i="127"/>
  <c r="AE12" i="127"/>
  <c r="Z18" i="127"/>
  <c r="Z26" i="127" s="1"/>
  <c r="X18" i="127"/>
  <c r="X26" i="127" s="1"/>
  <c r="AD18" i="129"/>
  <c r="AD26" i="129" s="1"/>
  <c r="O17" i="131"/>
  <c r="O18" i="131" s="1"/>
  <c r="X18" i="132"/>
  <c r="X26" i="132" s="1"/>
  <c r="AD18" i="134"/>
  <c r="AD26" i="134" s="1"/>
  <c r="AB18" i="134"/>
  <c r="AB26" i="134" s="1"/>
  <c r="AB24" i="134"/>
  <c r="Q16" i="135"/>
  <c r="I16" i="137"/>
  <c r="P18" i="143"/>
  <c r="I16" i="144"/>
  <c r="AE18" i="144"/>
  <c r="AE26" i="144" s="1"/>
  <c r="AC18" i="151"/>
  <c r="AC26" i="151" s="1"/>
  <c r="AC24" i="151"/>
  <c r="AD16" i="151"/>
  <c r="U14" i="109"/>
  <c r="U6" i="110"/>
  <c r="U14" i="111"/>
  <c r="U6" i="112"/>
  <c r="U14" i="113"/>
  <c r="U14" i="117"/>
  <c r="U6" i="118"/>
  <c r="U6" i="120"/>
  <c r="U14" i="123"/>
  <c r="U6" i="124"/>
  <c r="Y10" i="124"/>
  <c r="U8" i="125"/>
  <c r="Y12" i="125"/>
  <c r="V18" i="125"/>
  <c r="V26" i="125" s="1"/>
  <c r="V24" i="125"/>
  <c r="W6" i="126"/>
  <c r="W10" i="126"/>
  <c r="AE10" i="126"/>
  <c r="M16" i="127"/>
  <c r="Y8" i="127"/>
  <c r="W10" i="127"/>
  <c r="T18" i="129"/>
  <c r="T26" i="129" s="1"/>
  <c r="T24" i="129"/>
  <c r="AA10" i="132"/>
  <c r="Y10" i="132"/>
  <c r="W10" i="132"/>
  <c r="U10" i="132"/>
  <c r="S10" i="132"/>
  <c r="AC10" i="132"/>
  <c r="AC8" i="134"/>
  <c r="AA8" i="134"/>
  <c r="Y8" i="134"/>
  <c r="W8" i="134"/>
  <c r="U8" i="134"/>
  <c r="S8" i="134"/>
  <c r="AE8" i="134"/>
  <c r="AA18" i="137"/>
  <c r="AA26" i="137" s="1"/>
  <c r="AA24" i="137"/>
  <c r="AB16" i="137"/>
  <c r="R16" i="149"/>
  <c r="AC18" i="155"/>
  <c r="AC26" i="155" s="1"/>
  <c r="AC24" i="155"/>
  <c r="AD16" i="155"/>
  <c r="AB24" i="105"/>
  <c r="AB24" i="108"/>
  <c r="S10" i="109"/>
  <c r="W14" i="109"/>
  <c r="W6" i="110"/>
  <c r="AB24" i="110"/>
  <c r="S10" i="111"/>
  <c r="W14" i="111"/>
  <c r="W6" i="112"/>
  <c r="AB24" i="112"/>
  <c r="S10" i="113"/>
  <c r="W14" i="113"/>
  <c r="AB24" i="114"/>
  <c r="S10" i="115"/>
  <c r="W14" i="115"/>
  <c r="AB24" i="116"/>
  <c r="S10" i="117"/>
  <c r="W14" i="117"/>
  <c r="W6" i="118"/>
  <c r="AE6" i="119"/>
  <c r="S10" i="119"/>
  <c r="W14" i="119"/>
  <c r="W6" i="120"/>
  <c r="AE6" i="123"/>
  <c r="S10" i="123"/>
  <c r="W14" i="123"/>
  <c r="W6" i="124"/>
  <c r="AA10" i="124"/>
  <c r="W8" i="125"/>
  <c r="AA12" i="125"/>
  <c r="S14" i="125"/>
  <c r="Z24" i="125"/>
  <c r="Y6" i="126"/>
  <c r="S10" i="126"/>
  <c r="U16" i="126"/>
  <c r="AC16" i="126"/>
  <c r="AD18" i="126"/>
  <c r="AD26" i="126" s="1"/>
  <c r="Q16" i="127"/>
  <c r="Y16" i="127" s="1"/>
  <c r="AC8" i="127"/>
  <c r="Y10" i="127"/>
  <c r="AB24" i="127"/>
  <c r="AD18" i="127"/>
  <c r="AD26" i="127" s="1"/>
  <c r="AB18" i="128"/>
  <c r="AB26" i="128" s="1"/>
  <c r="Z18" i="128"/>
  <c r="Z26" i="128" s="1"/>
  <c r="Z24" i="128"/>
  <c r="AC14" i="129"/>
  <c r="AA14" i="129"/>
  <c r="Y14" i="129"/>
  <c r="W14" i="129"/>
  <c r="U14" i="129"/>
  <c r="AE10" i="132"/>
  <c r="O18" i="132"/>
  <c r="S16" i="133"/>
  <c r="R24" i="133"/>
  <c r="T18" i="133"/>
  <c r="T26" i="133" s="1"/>
  <c r="S24" i="137"/>
  <c r="T16" i="137"/>
  <c r="S18" i="137"/>
  <c r="S26" i="137" s="1"/>
  <c r="AC16" i="105"/>
  <c r="AC16" i="107"/>
  <c r="AC16" i="108"/>
  <c r="AC16" i="110"/>
  <c r="AC16" i="114"/>
  <c r="AC16" i="116"/>
  <c r="AC16" i="124"/>
  <c r="AC6" i="126"/>
  <c r="Y8" i="126"/>
  <c r="U10" i="126"/>
  <c r="AE8" i="127"/>
  <c r="AA10" i="127"/>
  <c r="Y12" i="127"/>
  <c r="R24" i="127"/>
  <c r="AE6" i="128"/>
  <c r="AA6" i="128"/>
  <c r="Y6" i="128"/>
  <c r="W6" i="128"/>
  <c r="AC12" i="128"/>
  <c r="Y12" i="128"/>
  <c r="W12" i="128"/>
  <c r="U12" i="128"/>
  <c r="AA16" i="128"/>
  <c r="AE8" i="129"/>
  <c r="AC8" i="129"/>
  <c r="AA8" i="129"/>
  <c r="Y8" i="129"/>
  <c r="W8" i="129"/>
  <c r="S14" i="129"/>
  <c r="V18" i="129"/>
  <c r="V26" i="129" s="1"/>
  <c r="V24" i="129"/>
  <c r="M16" i="130"/>
  <c r="AE10" i="130"/>
  <c r="AC10" i="130"/>
  <c r="AA10" i="130"/>
  <c r="Y10" i="130"/>
  <c r="W10" i="130"/>
  <c r="M16" i="133"/>
  <c r="AA12" i="133"/>
  <c r="Y12" i="133"/>
  <c r="W12" i="133"/>
  <c r="U12" i="133"/>
  <c r="S12" i="133"/>
  <c r="AC12" i="133"/>
  <c r="U16" i="133"/>
  <c r="M16" i="138"/>
  <c r="AC14" i="134"/>
  <c r="R24" i="136"/>
  <c r="U18" i="138"/>
  <c r="U26" i="138" s="1"/>
  <c r="S24" i="141"/>
  <c r="U18" i="142"/>
  <c r="U26" i="142" s="1"/>
  <c r="R16" i="150"/>
  <c r="AA18" i="151"/>
  <c r="AA26" i="151" s="1"/>
  <c r="AB16" i="151"/>
  <c r="AE18" i="152"/>
  <c r="AE26" i="152" s="1"/>
  <c r="AF16" i="152"/>
  <c r="AE24" i="139"/>
  <c r="AE24" i="143"/>
  <c r="S18" i="151"/>
  <c r="S26" i="151" s="1"/>
  <c r="S24" i="151"/>
  <c r="T16" i="151"/>
  <c r="W18" i="152"/>
  <c r="W26" i="152" s="1"/>
  <c r="W24" i="152"/>
  <c r="X16" i="152"/>
  <c r="AE18" i="156"/>
  <c r="AE26" i="156" s="1"/>
  <c r="AF16" i="156"/>
  <c r="AE26" i="160"/>
  <c r="AE20" i="160"/>
  <c r="AE28" i="160" s="1"/>
  <c r="AF18" i="160"/>
  <c r="M18" i="163"/>
  <c r="AE14" i="128"/>
  <c r="AC6" i="129"/>
  <c r="AA12" i="129"/>
  <c r="AC8" i="130"/>
  <c r="AA14" i="130"/>
  <c r="AE6" i="132"/>
  <c r="AC12" i="132"/>
  <c r="W14" i="132"/>
  <c r="R24" i="132"/>
  <c r="AE8" i="133"/>
  <c r="AC14" i="133"/>
  <c r="V18" i="133"/>
  <c r="V26" i="133" s="1"/>
  <c r="X24" i="133"/>
  <c r="AA6" i="134"/>
  <c r="AE10" i="134"/>
  <c r="S14" i="134"/>
  <c r="Y16" i="135"/>
  <c r="R18" i="135"/>
  <c r="R26" i="135" s="1"/>
  <c r="T24" i="135"/>
  <c r="AA16" i="136"/>
  <c r="V18" i="136"/>
  <c r="V26" i="136" s="1"/>
  <c r="X24" i="136"/>
  <c r="V16" i="138"/>
  <c r="AD16" i="138"/>
  <c r="AC24" i="138"/>
  <c r="X16" i="139"/>
  <c r="AF16" i="139"/>
  <c r="Z16" i="140"/>
  <c r="S18" i="140"/>
  <c r="S26" i="140" s="1"/>
  <c r="U24" i="140"/>
  <c r="AB16" i="141"/>
  <c r="W18" i="141"/>
  <c r="W26" i="141" s="1"/>
  <c r="Y24" i="141"/>
  <c r="V16" i="142"/>
  <c r="AD16" i="142"/>
  <c r="AC24" i="142"/>
  <c r="X16" i="143"/>
  <c r="AF16" i="143"/>
  <c r="AC24" i="145"/>
  <c r="AC24" i="147"/>
  <c r="R16" i="151"/>
  <c r="U24" i="151"/>
  <c r="V16" i="151"/>
  <c r="U18" i="151"/>
  <c r="U26" i="151" s="1"/>
  <c r="P17" i="152"/>
  <c r="P18" i="152" s="1"/>
  <c r="U18" i="155"/>
  <c r="U26" i="155" s="1"/>
  <c r="U24" i="155"/>
  <c r="V16" i="155"/>
  <c r="U26" i="162"/>
  <c r="U20" i="162"/>
  <c r="U28" i="162" s="1"/>
  <c r="V18" i="162"/>
  <c r="R18" i="163"/>
  <c r="R18" i="166"/>
  <c r="Y26" i="166"/>
  <c r="Y20" i="166"/>
  <c r="Y28" i="166" s="1"/>
  <c r="Z18" i="166"/>
  <c r="P19" i="170"/>
  <c r="P20" i="170" s="1"/>
  <c r="I18" i="177"/>
  <c r="AC12" i="129"/>
  <c r="R24" i="129"/>
  <c r="AC14" i="130"/>
  <c r="AD24" i="131"/>
  <c r="Y14" i="132"/>
  <c r="Q16" i="132"/>
  <c r="W16" i="132" s="1"/>
  <c r="AC6" i="134"/>
  <c r="U14" i="134"/>
  <c r="T18" i="135"/>
  <c r="T26" i="135" s="1"/>
  <c r="V24" i="135"/>
  <c r="Z24" i="136"/>
  <c r="AE24" i="138"/>
  <c r="S24" i="139"/>
  <c r="U18" i="140"/>
  <c r="U26" i="140" s="1"/>
  <c r="W24" i="140"/>
  <c r="AA24" i="141"/>
  <c r="AE24" i="142"/>
  <c r="S24" i="143"/>
  <c r="R16" i="146"/>
  <c r="R16" i="147"/>
  <c r="Y18" i="153"/>
  <c r="Y26" i="153" s="1"/>
  <c r="Y24" i="153"/>
  <c r="Z16" i="153"/>
  <c r="R16" i="155"/>
  <c r="W18" i="156"/>
  <c r="W26" i="156" s="1"/>
  <c r="W24" i="156"/>
  <c r="X16" i="156"/>
  <c r="W26" i="160"/>
  <c r="W20" i="160"/>
  <c r="W28" i="160" s="1"/>
  <c r="X18" i="160"/>
  <c r="M18" i="171"/>
  <c r="S14" i="128"/>
  <c r="AE12" i="129"/>
  <c r="Q16" i="129"/>
  <c r="AC16" i="129" s="1"/>
  <c r="R18" i="129"/>
  <c r="R26" i="129" s="1"/>
  <c r="AE14" i="130"/>
  <c r="AE16" i="131"/>
  <c r="S6" i="132"/>
  <c r="AA14" i="132"/>
  <c r="S8" i="133"/>
  <c r="AC16" i="133"/>
  <c r="AE6" i="134"/>
  <c r="S10" i="134"/>
  <c r="W14" i="134"/>
  <c r="AA16" i="135"/>
  <c r="X24" i="135"/>
  <c r="AC16" i="136"/>
  <c r="AF16" i="138"/>
  <c r="S18" i="139"/>
  <c r="S26" i="139" s="1"/>
  <c r="U24" i="139"/>
  <c r="AB16" i="140"/>
  <c r="Y24" i="140"/>
  <c r="AD16" i="141"/>
  <c r="AF16" i="142"/>
  <c r="Z16" i="143"/>
  <c r="S18" i="143"/>
  <c r="S26" i="143" s="1"/>
  <c r="U24" i="143"/>
  <c r="T16" i="145"/>
  <c r="AB16" i="145"/>
  <c r="S18" i="146"/>
  <c r="S26" i="146" s="1"/>
  <c r="S24" i="146"/>
  <c r="U18" i="147"/>
  <c r="U26" i="147" s="1"/>
  <c r="U24" i="147"/>
  <c r="AA18" i="154"/>
  <c r="AA26" i="154" s="1"/>
  <c r="AA24" i="154"/>
  <c r="AB16" i="154"/>
  <c r="R24" i="131"/>
  <c r="AC14" i="132"/>
  <c r="AD24" i="133"/>
  <c r="Y14" i="134"/>
  <c r="Q16" i="134"/>
  <c r="U16" i="134" s="1"/>
  <c r="AD24" i="136"/>
  <c r="S24" i="138"/>
  <c r="W24" i="139"/>
  <c r="AE24" i="141"/>
  <c r="S24" i="142"/>
  <c r="W24" i="143"/>
  <c r="I16" i="148"/>
  <c r="Y18" i="150"/>
  <c r="Y26" i="150" s="1"/>
  <c r="Y24" i="150"/>
  <c r="Z16" i="150"/>
  <c r="AE24" i="152"/>
  <c r="I16" i="154"/>
  <c r="P19" i="161"/>
  <c r="P20" i="161" s="1"/>
  <c r="AE16" i="133"/>
  <c r="AC16" i="135"/>
  <c r="AE16" i="136"/>
  <c r="AD16" i="140"/>
  <c r="AF16" i="141"/>
  <c r="P17" i="145"/>
  <c r="P18" i="145" s="1"/>
  <c r="V16" i="145"/>
  <c r="AD16" i="145"/>
  <c r="AE18" i="146"/>
  <c r="AE26" i="146" s="1"/>
  <c r="AF16" i="146"/>
  <c r="U18" i="146"/>
  <c r="U26" i="146" s="1"/>
  <c r="AE24" i="146"/>
  <c r="AA18" i="150"/>
  <c r="AA26" i="150" s="1"/>
  <c r="AA24" i="150"/>
  <c r="AB16" i="150"/>
  <c r="AC24" i="152"/>
  <c r="AD16" i="152"/>
  <c r="T16" i="153"/>
  <c r="S18" i="153"/>
  <c r="S26" i="153" s="1"/>
  <c r="S18" i="154"/>
  <c r="S26" i="154" s="1"/>
  <c r="S24" i="154"/>
  <c r="T16" i="154"/>
  <c r="I16" i="155"/>
  <c r="P20" i="160"/>
  <c r="AA26" i="164"/>
  <c r="AA20" i="164"/>
  <c r="AA28" i="164" s="1"/>
  <c r="AB18" i="164"/>
  <c r="I18" i="165"/>
  <c r="M18" i="176"/>
  <c r="S24" i="148"/>
  <c r="Y20" i="163"/>
  <c r="Y28" i="163" s="1"/>
  <c r="U26" i="164"/>
  <c r="U20" i="165"/>
  <c r="U28" i="165" s="1"/>
  <c r="S20" i="166"/>
  <c r="S28" i="166" s="1"/>
  <c r="M18" i="192"/>
  <c r="M18" i="196"/>
  <c r="M18" i="202"/>
  <c r="M18" i="217"/>
  <c r="AE24" i="155"/>
  <c r="S26" i="166"/>
  <c r="M18" i="177"/>
  <c r="I18" i="191"/>
  <c r="P19" i="209"/>
  <c r="P20" i="209" s="1"/>
  <c r="M18" i="219"/>
  <c r="M18" i="226"/>
  <c r="W24" i="148"/>
  <c r="AA24" i="149"/>
  <c r="AB16" i="153"/>
  <c r="V16" i="154"/>
  <c r="AD16" i="154"/>
  <c r="AC24" i="154"/>
  <c r="X16" i="155"/>
  <c r="AF16" i="155"/>
  <c r="Z16" i="156"/>
  <c r="AE24" i="157"/>
  <c r="S24" i="158"/>
  <c r="U18" i="159"/>
  <c r="U26" i="159" s="1"/>
  <c r="W24" i="159"/>
  <c r="Z18" i="160"/>
  <c r="X18" i="162"/>
  <c r="AF18" i="162"/>
  <c r="AE20" i="162"/>
  <c r="AE28" i="162" s="1"/>
  <c r="AC20" i="163"/>
  <c r="AC28" i="163" s="1"/>
  <c r="AD18" i="164"/>
  <c r="Y20" i="165"/>
  <c r="Y28" i="165" s="1"/>
  <c r="W26" i="165"/>
  <c r="AB18" i="166"/>
  <c r="U20" i="167"/>
  <c r="U28" i="167" s="1"/>
  <c r="S26" i="167"/>
  <c r="M18" i="184"/>
  <c r="M18" i="191"/>
  <c r="P19" i="193"/>
  <c r="P20" i="193" s="1"/>
  <c r="M18" i="200"/>
  <c r="I18" i="205"/>
  <c r="I18" i="208"/>
  <c r="I18" i="211"/>
  <c r="P19" i="214"/>
  <c r="P20" i="214" s="1"/>
  <c r="Z16" i="147"/>
  <c r="S18" i="147"/>
  <c r="S26" i="147" s="1"/>
  <c r="AB16" i="148"/>
  <c r="Y24" i="148"/>
  <c r="AD16" i="149"/>
  <c r="AC24" i="149"/>
  <c r="AA24" i="153"/>
  <c r="AF16" i="157"/>
  <c r="Z16" i="158"/>
  <c r="S18" i="158"/>
  <c r="S26" i="158" s="1"/>
  <c r="U24" i="158"/>
  <c r="AB16" i="159"/>
  <c r="Y24" i="159"/>
  <c r="S20" i="161"/>
  <c r="S28" i="161" s="1"/>
  <c r="AF18" i="163"/>
  <c r="AC20" i="164"/>
  <c r="AC28" i="164" s="1"/>
  <c r="AD18" i="165"/>
  <c r="AA20" i="165"/>
  <c r="AA28" i="165" s="1"/>
  <c r="AB18" i="167"/>
  <c r="W20" i="167"/>
  <c r="W28" i="167" s="1"/>
  <c r="U26" i="167"/>
  <c r="P19" i="180"/>
  <c r="P20" i="180" s="1"/>
  <c r="P19" i="181"/>
  <c r="P20" i="181" s="1"/>
  <c r="P19" i="185"/>
  <c r="P20" i="185" s="1"/>
  <c r="M18" i="194"/>
  <c r="I18" i="197"/>
  <c r="M18" i="199"/>
  <c r="P19" i="204"/>
  <c r="P20" i="204" s="1"/>
  <c r="M18" i="207"/>
  <c r="P19" i="213"/>
  <c r="P20" i="213" s="1"/>
  <c r="W24" i="147"/>
  <c r="AA24" i="148"/>
  <c r="AE24" i="149"/>
  <c r="Y24" i="156"/>
  <c r="S24" i="157"/>
  <c r="W24" i="158"/>
  <c r="AA24" i="159"/>
  <c r="U20" i="161"/>
  <c r="U28" i="161" s="1"/>
  <c r="S26" i="161"/>
  <c r="AC20" i="165"/>
  <c r="AC28" i="165" s="1"/>
  <c r="AA20" i="166"/>
  <c r="AA28" i="166" s="1"/>
  <c r="Y20" i="167"/>
  <c r="Y28" i="167" s="1"/>
  <c r="P19" i="192"/>
  <c r="P20" i="192" s="1"/>
  <c r="AD16" i="148"/>
  <c r="AF16" i="149"/>
  <c r="W24" i="155"/>
  <c r="AD16" i="159"/>
  <c r="Y20" i="160"/>
  <c r="Y28" i="160" s="1"/>
  <c r="S20" i="163"/>
  <c r="S28" i="163" s="1"/>
  <c r="AF18" i="165"/>
  <c r="P19" i="178"/>
  <c r="P20" i="178" s="1"/>
  <c r="I18" i="180"/>
  <c r="P20" i="183"/>
  <c r="I18" i="189"/>
  <c r="M18" i="190"/>
  <c r="M18" i="193"/>
  <c r="P19" i="196"/>
  <c r="P20" i="196" s="1"/>
  <c r="P19" i="202"/>
  <c r="P20" i="202" s="1"/>
  <c r="M18" i="205"/>
  <c r="M18" i="211"/>
  <c r="P19" i="217"/>
  <c r="P20" i="217" s="1"/>
  <c r="M18" i="189"/>
  <c r="M18" i="197"/>
  <c r="I18" i="201"/>
  <c r="M18" i="204"/>
  <c r="M18" i="214"/>
  <c r="I18" i="216"/>
  <c r="M18" i="225"/>
  <c r="I18" i="225"/>
  <c r="I18" i="226"/>
  <c r="M18" i="232"/>
  <c r="M18" i="235"/>
  <c r="I18" i="240"/>
  <c r="M18" i="246"/>
  <c r="P19" i="260"/>
  <c r="P20" i="260" s="1"/>
  <c r="I18" i="220"/>
  <c r="P19" i="274"/>
  <c r="P20" i="274" s="1"/>
  <c r="M18" i="276"/>
  <c r="M18" i="238"/>
  <c r="P19" i="246"/>
  <c r="P20" i="246" s="1"/>
  <c r="P19" i="256"/>
  <c r="P20" i="256" s="1"/>
  <c r="I18" i="266"/>
  <c r="P19" i="226"/>
  <c r="P20" i="226" s="1"/>
  <c r="M18" i="228"/>
  <c r="P19" i="229"/>
  <c r="P20" i="229" s="1"/>
  <c r="P19" i="230"/>
  <c r="P20" i="230" s="1"/>
  <c r="P19" i="242"/>
  <c r="P20" i="242" s="1"/>
  <c r="P19" i="255"/>
  <c r="P20" i="255" s="1"/>
  <c r="P19" i="264"/>
  <c r="P20" i="264" s="1"/>
  <c r="P19" i="222"/>
  <c r="P20" i="222" s="1"/>
  <c r="I18" i="227"/>
  <c r="P19" i="231"/>
  <c r="P20" i="231" s="1"/>
  <c r="P19" i="238"/>
  <c r="P20" i="238" s="1"/>
  <c r="I18" i="249"/>
  <c r="I18" i="252"/>
  <c r="M18" i="253"/>
  <c r="M18" i="260"/>
  <c r="P19" i="263"/>
  <c r="P20" i="263" s="1"/>
  <c r="I18" i="230"/>
  <c r="M18" i="244"/>
  <c r="P19" i="247"/>
  <c r="P20" i="247" s="1"/>
  <c r="I18" i="257"/>
  <c r="M18" i="259"/>
  <c r="I18" i="259"/>
  <c r="M18" i="262"/>
  <c r="P20" i="270"/>
  <c r="M18" i="277"/>
  <c r="P19" i="278"/>
  <c r="P20" i="278" s="1"/>
  <c r="M18" i="229"/>
  <c r="I18" i="234"/>
  <c r="P19" i="234"/>
  <c r="P20" i="234" s="1"/>
  <c r="M18" i="240"/>
  <c r="M18" i="243"/>
  <c r="I18" i="248"/>
  <c r="P19" i="250"/>
  <c r="P20" i="250" s="1"/>
  <c r="I18" i="260"/>
  <c r="M18" i="267"/>
  <c r="M18" i="271"/>
  <c r="P19" i="279"/>
  <c r="P20" i="279" s="1"/>
  <c r="P19" i="284"/>
  <c r="P20" i="284" s="1"/>
  <c r="I18" i="282"/>
  <c r="I18" i="280"/>
  <c r="P19" i="283"/>
  <c r="P20" i="283" s="1"/>
  <c r="I18" i="279"/>
  <c r="P19" i="282"/>
  <c r="P20" i="282" s="1"/>
  <c r="M18" i="292"/>
  <c r="I18" i="264"/>
  <c r="M18" i="266"/>
  <c r="M18" i="270"/>
  <c r="P19" i="281"/>
  <c r="P20" i="281" s="1"/>
  <c r="P19" i="287"/>
  <c r="P20" i="287" s="1"/>
  <c r="P19" i="280"/>
  <c r="P20" i="280" s="1"/>
  <c r="M18" i="315"/>
  <c r="P20" i="322"/>
  <c r="P19" i="317"/>
  <c r="P20" i="317" s="1"/>
  <c r="M18" i="319"/>
  <c r="M18" i="324"/>
  <c r="M18" i="326"/>
  <c r="M18" i="328"/>
  <c r="M18" i="330"/>
  <c r="M18" i="332"/>
  <c r="M18" i="334"/>
  <c r="I18" i="330"/>
  <c r="I18" i="332"/>
  <c r="P19" i="316"/>
  <c r="P20" i="316" s="1"/>
  <c r="M18" i="317"/>
  <c r="P19" i="321"/>
  <c r="P20" i="321" s="1"/>
  <c r="I18" i="321"/>
  <c r="M18" i="323"/>
  <c r="M18" i="325"/>
  <c r="M18" i="327"/>
  <c r="M18" i="329"/>
  <c r="M18" i="331"/>
  <c r="M18" i="333"/>
  <c r="I18" i="316"/>
  <c r="M18" i="321"/>
  <c r="M18" i="316"/>
  <c r="P19" i="319"/>
  <c r="P20" i="319" s="1"/>
  <c r="I18" i="361"/>
  <c r="I18" i="366"/>
  <c r="I18" i="367"/>
  <c r="M18" i="372"/>
  <c r="M18" i="373"/>
  <c r="I18" i="375"/>
  <c r="M18" i="365"/>
  <c r="M18" i="366"/>
  <c r="I18" i="368"/>
  <c r="P19" i="362"/>
  <c r="P20" i="362" s="1"/>
  <c r="M18" i="360"/>
  <c r="I18" i="370"/>
  <c r="P19" i="361"/>
  <c r="P20" i="361" s="1"/>
  <c r="P20" i="367"/>
  <c r="M18" i="405"/>
  <c r="M18" i="409"/>
  <c r="P20" i="418"/>
  <c r="P20" i="421"/>
  <c r="P19" i="422"/>
  <c r="P20" i="422" s="1"/>
  <c r="I18" i="430"/>
  <c r="I18" i="431"/>
  <c r="P19" i="410"/>
  <c r="P20" i="410" s="1"/>
  <c r="M18" i="414"/>
  <c r="M18" i="423"/>
  <c r="P19" i="409"/>
  <c r="P20" i="409" s="1"/>
  <c r="I18" i="419"/>
  <c r="I18" i="422"/>
  <c r="P20" i="424"/>
  <c r="I18" i="425"/>
  <c r="M18" i="428"/>
  <c r="P19" i="462"/>
  <c r="P20" i="462" s="1"/>
  <c r="M18" i="402"/>
  <c r="I18" i="406"/>
  <c r="P19" i="438"/>
  <c r="P20" i="438" s="1"/>
  <c r="P19" i="440"/>
  <c r="P20" i="440" s="1"/>
  <c r="P19" i="452"/>
  <c r="P20" i="452" s="1"/>
  <c r="I18" i="476"/>
  <c r="P19" i="485"/>
  <c r="P20" i="485" s="1"/>
  <c r="M18" i="495"/>
  <c r="P19" i="497"/>
  <c r="P20" i="497" s="1"/>
  <c r="P19" i="468"/>
  <c r="P20" i="468" s="1"/>
  <c r="P19" i="470"/>
  <c r="P20" i="470" s="1"/>
  <c r="I18" i="496"/>
  <c r="M18" i="502"/>
  <c r="P19" i="504"/>
  <c r="P20" i="504" s="1"/>
  <c r="M18" i="435"/>
  <c r="M18" i="447"/>
  <c r="I18" i="448"/>
  <c r="M18" i="451"/>
  <c r="I18" i="454"/>
  <c r="M18" i="462"/>
  <c r="P19" i="486"/>
  <c r="P20" i="486" s="1"/>
  <c r="I18" i="492"/>
  <c r="I18" i="503"/>
  <c r="I18" i="443"/>
  <c r="I18" i="458"/>
  <c r="M18" i="459"/>
  <c r="P20" i="459"/>
  <c r="P19" i="464"/>
  <c r="P20" i="464" s="1"/>
  <c r="P19" i="472"/>
  <c r="P20" i="472" s="1"/>
  <c r="P19" i="477"/>
  <c r="P20" i="477" s="1"/>
  <c r="P19" i="489"/>
  <c r="P20" i="489" s="1"/>
  <c r="I18" i="442"/>
  <c r="M18" i="444"/>
  <c r="M18" i="445"/>
  <c r="P19" i="446"/>
  <c r="P20" i="446" s="1"/>
  <c r="I18" i="456"/>
  <c r="M18" i="468"/>
  <c r="M18" i="470"/>
  <c r="I18" i="471"/>
  <c r="M18" i="475"/>
  <c r="I18" i="488"/>
  <c r="P20" i="492"/>
  <c r="M18" i="436"/>
  <c r="I18" i="438"/>
  <c r="I18" i="440"/>
  <c r="M18" i="441"/>
  <c r="P19" i="443"/>
  <c r="P20" i="443" s="1"/>
  <c r="P19" i="448"/>
  <c r="P20" i="448" s="1"/>
  <c r="I18" i="452"/>
  <c r="M18" i="453"/>
  <c r="P19" i="454"/>
  <c r="P20" i="454" s="1"/>
  <c r="M18" i="455"/>
  <c r="P19" i="457"/>
  <c r="P20" i="457" s="1"/>
  <c r="I18" i="462"/>
  <c r="P19" i="463"/>
  <c r="P20" i="463" s="1"/>
  <c r="P19" i="465"/>
  <c r="P20" i="465" s="1"/>
  <c r="P19" i="478"/>
  <c r="P20" i="478" s="1"/>
  <c r="P19" i="493"/>
  <c r="P20" i="493" s="1"/>
  <c r="M18" i="439"/>
  <c r="P19" i="442"/>
  <c r="P20" i="442" s="1"/>
  <c r="P19" i="456"/>
  <c r="P20" i="456" s="1"/>
  <c r="P19" i="458"/>
  <c r="P20" i="458" s="1"/>
  <c r="P19" i="460"/>
  <c r="P20" i="460" s="1"/>
  <c r="M18" i="461"/>
  <c r="M18" i="466"/>
  <c r="P19" i="467"/>
  <c r="P20" i="467" s="1"/>
  <c r="P19" i="471"/>
  <c r="P20" i="471" s="1"/>
  <c r="M18" i="479"/>
  <c r="P19" i="481"/>
  <c r="P20" i="481" s="1"/>
  <c r="P19" i="488"/>
  <c r="P20" i="488" s="1"/>
  <c r="M18" i="491"/>
  <c r="P20" i="495"/>
  <c r="AA16" i="74" l="1"/>
  <c r="W16" i="83"/>
  <c r="Y16" i="76"/>
  <c r="U16" i="89"/>
  <c r="Y16" i="81"/>
  <c r="AC16" i="26"/>
  <c r="AA16" i="5"/>
  <c r="Y16" i="5"/>
  <c r="AC16" i="3"/>
  <c r="AE16" i="74"/>
  <c r="AC16" i="28"/>
  <c r="AA16" i="17"/>
  <c r="S16" i="17"/>
  <c r="AC16" i="18"/>
  <c r="U16" i="18"/>
  <c r="S16" i="129"/>
  <c r="AC16" i="89"/>
  <c r="AA16" i="80"/>
  <c r="S16" i="80"/>
  <c r="S16" i="81"/>
  <c r="Y16" i="79"/>
  <c r="W16" i="69"/>
  <c r="AA16" i="53"/>
  <c r="Y16" i="19"/>
  <c r="U16" i="26"/>
  <c r="AE16" i="26"/>
  <c r="Y16" i="7"/>
  <c r="U16" i="15"/>
  <c r="Y16" i="17"/>
  <c r="AC16" i="81"/>
  <c r="W16" i="81"/>
  <c r="S16" i="32"/>
  <c r="Y16" i="2"/>
  <c r="S16" i="24"/>
  <c r="AA16" i="76"/>
  <c r="U16" i="81"/>
  <c r="U16" i="83"/>
  <c r="AE16" i="72"/>
  <c r="W16" i="26"/>
  <c r="S16" i="127"/>
  <c r="AC16" i="127"/>
  <c r="S16" i="89"/>
  <c r="AE16" i="102"/>
  <c r="Y16" i="74"/>
  <c r="AC16" i="11"/>
  <c r="Y16" i="3"/>
  <c r="Y16" i="129"/>
  <c r="AC16" i="80"/>
  <c r="S16" i="26"/>
  <c r="AC16" i="125"/>
  <c r="Y16" i="125"/>
  <c r="AC16" i="57"/>
  <c r="U16" i="57"/>
  <c r="Y16" i="57"/>
  <c r="AE16" i="57"/>
  <c r="W16" i="57"/>
  <c r="U16" i="129"/>
  <c r="AC16" i="134"/>
  <c r="U16" i="125"/>
  <c r="AC16" i="118"/>
  <c r="U16" i="118"/>
  <c r="AA16" i="118"/>
  <c r="S16" i="118"/>
  <c r="Y16" i="118"/>
  <c r="AE16" i="118"/>
  <c r="W16" i="127"/>
  <c r="U16" i="127"/>
  <c r="AE16" i="110"/>
  <c r="Y16" i="101"/>
  <c r="W16" i="101"/>
  <c r="U16" i="101"/>
  <c r="S16" i="101"/>
  <c r="AA16" i="102"/>
  <c r="AA16" i="82"/>
  <c r="S16" i="82"/>
  <c r="W16" i="82"/>
  <c r="U16" i="76"/>
  <c r="Y16" i="66"/>
  <c r="AC16" i="66"/>
  <c r="U16" i="66"/>
  <c r="AA16" i="66"/>
  <c r="S16" i="66"/>
  <c r="Y16" i="50"/>
  <c r="AC16" i="50"/>
  <c r="U16" i="50"/>
  <c r="S16" i="50"/>
  <c r="AA16" i="50"/>
  <c r="Y16" i="73"/>
  <c r="AC16" i="59"/>
  <c r="U16" i="59"/>
  <c r="Y16" i="59"/>
  <c r="AE16" i="59"/>
  <c r="W16" i="59"/>
  <c r="AE16" i="85"/>
  <c r="S16" i="74"/>
  <c r="Y16" i="47"/>
  <c r="W16" i="47"/>
  <c r="AE16" i="47"/>
  <c r="U16" i="47"/>
  <c r="AC16" i="47"/>
  <c r="W16" i="58"/>
  <c r="W16" i="64"/>
  <c r="U16" i="46"/>
  <c r="AC16" i="46"/>
  <c r="S16" i="46"/>
  <c r="AA16" i="46"/>
  <c r="Y16" i="46"/>
  <c r="AE16" i="60"/>
  <c r="AA16" i="31"/>
  <c r="S16" i="31"/>
  <c r="AA16" i="33"/>
  <c r="W16" i="25"/>
  <c r="AE16" i="25"/>
  <c r="AA16" i="35"/>
  <c r="U16" i="42"/>
  <c r="AE16" i="33"/>
  <c r="AA16" i="29"/>
  <c r="AC16" i="33"/>
  <c r="W16" i="31"/>
  <c r="W16" i="8"/>
  <c r="AE16" i="11"/>
  <c r="W16" i="11"/>
  <c r="W16" i="33"/>
  <c r="AA16" i="25"/>
  <c r="U16" i="9"/>
  <c r="U16" i="5"/>
  <c r="AA16" i="2"/>
  <c r="U16" i="2"/>
  <c r="AA16" i="125"/>
  <c r="Y16" i="123"/>
  <c r="AE16" i="123"/>
  <c r="W16" i="123"/>
  <c r="AC16" i="123"/>
  <c r="U16" i="123"/>
  <c r="AA16" i="123"/>
  <c r="S16" i="113"/>
  <c r="S16" i="76"/>
  <c r="Y16" i="54"/>
  <c r="AC16" i="54"/>
  <c r="U16" i="54"/>
  <c r="AA16" i="54"/>
  <c r="S16" i="54"/>
  <c r="AE16" i="88"/>
  <c r="AA16" i="57"/>
  <c r="AC16" i="88"/>
  <c r="AE16" i="83"/>
  <c r="U16" i="74"/>
  <c r="AC16" i="55"/>
  <c r="U16" i="55"/>
  <c r="Y16" i="55"/>
  <c r="W16" i="55"/>
  <c r="AE16" i="55"/>
  <c r="AE16" i="78"/>
  <c r="AE16" i="40"/>
  <c r="W16" i="40"/>
  <c r="AA16" i="40"/>
  <c r="S16" i="40"/>
  <c r="AE16" i="56"/>
  <c r="W16" i="62"/>
  <c r="AE16" i="50"/>
  <c r="Y16" i="34"/>
  <c r="W16" i="34"/>
  <c r="AE16" i="34"/>
  <c r="AE16" i="19"/>
  <c r="W16" i="19"/>
  <c r="AE16" i="3"/>
  <c r="U16" i="11"/>
  <c r="W16" i="5"/>
  <c r="U16" i="8"/>
  <c r="S16" i="15"/>
  <c r="AA16" i="112"/>
  <c r="S16" i="112"/>
  <c r="Y16" i="112"/>
  <c r="W16" i="112"/>
  <c r="S16" i="125"/>
  <c r="AA16" i="126"/>
  <c r="S16" i="126"/>
  <c r="W16" i="126"/>
  <c r="AE16" i="126"/>
  <c r="W16" i="118"/>
  <c r="S16" i="88"/>
  <c r="Y16" i="85"/>
  <c r="AA16" i="85"/>
  <c r="S16" i="85"/>
  <c r="Y16" i="78"/>
  <c r="S16" i="86"/>
  <c r="AA16" i="86"/>
  <c r="U16" i="86"/>
  <c r="AC16" i="72"/>
  <c r="Y16" i="69"/>
  <c r="AA16" i="69"/>
  <c r="Y16" i="64"/>
  <c r="AC16" i="64"/>
  <c r="U16" i="64"/>
  <c r="AA16" i="64"/>
  <c r="S16" i="64"/>
  <c r="Y16" i="48"/>
  <c r="AC16" i="48"/>
  <c r="S16" i="48"/>
  <c r="AA16" i="48"/>
  <c r="U16" i="48"/>
  <c r="W16" i="79"/>
  <c r="AC16" i="53"/>
  <c r="U16" i="53"/>
  <c r="Y16" i="53"/>
  <c r="W16" i="53"/>
  <c r="AE16" i="53"/>
  <c r="W16" i="43"/>
  <c r="AC16" i="43"/>
  <c r="Y16" i="43"/>
  <c r="Y16" i="38"/>
  <c r="S16" i="79"/>
  <c r="U16" i="44"/>
  <c r="AA16" i="44"/>
  <c r="U16" i="40"/>
  <c r="U16" i="32"/>
  <c r="AC16" i="32"/>
  <c r="AE16" i="32"/>
  <c r="S16" i="35"/>
  <c r="U16" i="10"/>
  <c r="AC16" i="10"/>
  <c r="Y16" i="60"/>
  <c r="AC16" i="60"/>
  <c r="U16" i="60"/>
  <c r="AA16" i="60"/>
  <c r="S16" i="60"/>
  <c r="AA16" i="124"/>
  <c r="S16" i="124"/>
  <c r="Y16" i="124"/>
  <c r="AA16" i="110"/>
  <c r="S16" i="110"/>
  <c r="Y16" i="110"/>
  <c r="W16" i="110"/>
  <c r="U16" i="124"/>
  <c r="Y16" i="97"/>
  <c r="AE16" i="97"/>
  <c r="W16" i="97"/>
  <c r="AC16" i="128"/>
  <c r="U16" i="128"/>
  <c r="Y16" i="128"/>
  <c r="W16" i="128"/>
  <c r="AE16" i="128"/>
  <c r="S16" i="128"/>
  <c r="S16" i="97"/>
  <c r="AC16" i="84"/>
  <c r="U16" i="84"/>
  <c r="W16" i="84"/>
  <c r="AE16" i="84"/>
  <c r="Y16" i="83"/>
  <c r="S16" i="83"/>
  <c r="AA16" i="83"/>
  <c r="Y16" i="58"/>
  <c r="AC16" i="58"/>
  <c r="U16" i="58"/>
  <c r="AA16" i="58"/>
  <c r="S16" i="58"/>
  <c r="U16" i="82"/>
  <c r="U16" i="72"/>
  <c r="AC16" i="67"/>
  <c r="U16" i="67"/>
  <c r="AA16" i="67"/>
  <c r="S16" i="67"/>
  <c r="Y16" i="67"/>
  <c r="W16" i="67"/>
  <c r="AE16" i="67"/>
  <c r="AC16" i="51"/>
  <c r="U16" i="51"/>
  <c r="Y16" i="51"/>
  <c r="W16" i="51"/>
  <c r="AE16" i="51"/>
  <c r="AE16" i="38"/>
  <c r="W16" i="38"/>
  <c r="AA16" i="38"/>
  <c r="S16" i="38"/>
  <c r="S16" i="55"/>
  <c r="W16" i="42"/>
  <c r="AC16" i="38"/>
  <c r="U16" i="33"/>
  <c r="AA16" i="9"/>
  <c r="S16" i="9"/>
  <c r="W16" i="15"/>
  <c r="AE16" i="15"/>
  <c r="AC16" i="40"/>
  <c r="W16" i="3"/>
  <c r="AC16" i="2"/>
  <c r="AC16" i="130"/>
  <c r="U16" i="130"/>
  <c r="AA16" i="130"/>
  <c r="S16" i="130"/>
  <c r="AE16" i="130"/>
  <c r="W16" i="130"/>
  <c r="Y16" i="134"/>
  <c r="AE16" i="134"/>
  <c r="W16" i="134"/>
  <c r="AA16" i="134"/>
  <c r="S16" i="134"/>
  <c r="W16" i="125"/>
  <c r="W16" i="124"/>
  <c r="U16" i="112"/>
  <c r="Y16" i="89"/>
  <c r="Y16" i="80"/>
  <c r="U16" i="88"/>
  <c r="AE16" i="86"/>
  <c r="Y16" i="52"/>
  <c r="AC16" i="52"/>
  <c r="U16" i="52"/>
  <c r="S16" i="52"/>
  <c r="AA16" i="52"/>
  <c r="Y16" i="72"/>
  <c r="AE16" i="81"/>
  <c r="AE16" i="69"/>
  <c r="U16" i="78"/>
  <c r="AC16" i="65"/>
  <c r="U16" i="65"/>
  <c r="Y16" i="65"/>
  <c r="W16" i="65"/>
  <c r="AE16" i="65"/>
  <c r="AC16" i="49"/>
  <c r="U16" i="49"/>
  <c r="Y16" i="49"/>
  <c r="W16" i="49"/>
  <c r="AE16" i="49"/>
  <c r="S16" i="72"/>
  <c r="S16" i="69"/>
  <c r="W16" i="80"/>
  <c r="AC16" i="85"/>
  <c r="W16" i="54"/>
  <c r="AA16" i="41"/>
  <c r="S16" i="41"/>
  <c r="AE16" i="41"/>
  <c r="W16" i="41"/>
  <c r="U16" i="41"/>
  <c r="AE16" i="37"/>
  <c r="W16" i="37"/>
  <c r="Y16" i="37"/>
  <c r="Y16" i="35"/>
  <c r="W16" i="29"/>
  <c r="AE16" i="29"/>
  <c r="S16" i="25"/>
  <c r="S16" i="29"/>
  <c r="AE16" i="7"/>
  <c r="W16" i="7"/>
  <c r="S16" i="11"/>
  <c r="AA16" i="3"/>
  <c r="S16" i="5"/>
  <c r="AE16" i="2"/>
  <c r="W16" i="129"/>
  <c r="AA16" i="127"/>
  <c r="AE16" i="127"/>
  <c r="Y16" i="130"/>
  <c r="AE16" i="125"/>
  <c r="AC16" i="120"/>
  <c r="U16" i="120"/>
  <c r="AA16" i="120"/>
  <c r="S16" i="120"/>
  <c r="Y16" i="120"/>
  <c r="AE16" i="109"/>
  <c r="W16" i="109"/>
  <c r="AC16" i="109"/>
  <c r="U16" i="109"/>
  <c r="AA16" i="109"/>
  <c r="AE16" i="113"/>
  <c r="W16" i="113"/>
  <c r="AC16" i="113"/>
  <c r="U16" i="113"/>
  <c r="AA16" i="113"/>
  <c r="W16" i="133"/>
  <c r="AC16" i="102"/>
  <c r="U16" i="102"/>
  <c r="S16" i="102"/>
  <c r="Y16" i="88"/>
  <c r="AC16" i="74"/>
  <c r="Y16" i="62"/>
  <c r="AC16" i="62"/>
  <c r="U16" i="62"/>
  <c r="AA16" i="62"/>
  <c r="S16" i="62"/>
  <c r="U16" i="85"/>
  <c r="AC16" i="63"/>
  <c r="U16" i="63"/>
  <c r="Y16" i="63"/>
  <c r="W16" i="63"/>
  <c r="AE16" i="63"/>
  <c r="S16" i="78"/>
  <c r="W16" i="52"/>
  <c r="S16" i="57"/>
  <c r="S16" i="42"/>
  <c r="AC16" i="42"/>
  <c r="AC16" i="69"/>
  <c r="W16" i="76"/>
  <c r="S16" i="51"/>
  <c r="AA16" i="39"/>
  <c r="S16" i="39"/>
  <c r="AE16" i="39"/>
  <c r="W16" i="39"/>
  <c r="AE16" i="79"/>
  <c r="W16" i="35"/>
  <c r="AE16" i="35"/>
  <c r="AC16" i="31"/>
  <c r="U16" i="37"/>
  <c r="U16" i="25"/>
  <c r="S16" i="34"/>
  <c r="AA16" i="8"/>
  <c r="W16" i="9"/>
  <c r="AC16" i="34"/>
  <c r="AE16" i="5"/>
  <c r="AE16" i="9"/>
  <c r="S16" i="2"/>
  <c r="AA16" i="132"/>
  <c r="S16" i="132"/>
  <c r="Y16" i="132"/>
  <c r="AC16" i="132"/>
  <c r="U16" i="132"/>
  <c r="AE16" i="132"/>
  <c r="AE16" i="129"/>
  <c r="AA16" i="129"/>
  <c r="AE16" i="104"/>
  <c r="U16" i="104"/>
  <c r="AC16" i="104"/>
  <c r="AA16" i="104"/>
  <c r="W16" i="104"/>
  <c r="S16" i="104"/>
  <c r="S16" i="109"/>
  <c r="AE16" i="120"/>
  <c r="AE16" i="112"/>
  <c r="U16" i="97"/>
  <c r="AE16" i="101"/>
  <c r="Y16" i="82"/>
  <c r="U16" i="80"/>
  <c r="Y16" i="56"/>
  <c r="AC16" i="56"/>
  <c r="U16" i="56"/>
  <c r="S16" i="56"/>
  <c r="AA16" i="56"/>
  <c r="AC16" i="86"/>
  <c r="W16" i="89"/>
  <c r="W16" i="86"/>
  <c r="AC16" i="61"/>
  <c r="U16" i="61"/>
  <c r="Y16" i="61"/>
  <c r="W16" i="61"/>
  <c r="AE16" i="61"/>
  <c r="W16" i="73"/>
  <c r="AE16" i="48"/>
  <c r="Y16" i="42"/>
  <c r="S16" i="63"/>
  <c r="S16" i="49"/>
  <c r="AE16" i="43"/>
  <c r="W16" i="66"/>
  <c r="S16" i="47"/>
  <c r="S16" i="43"/>
  <c r="Y16" i="84"/>
  <c r="S16" i="44"/>
  <c r="Y16" i="39"/>
  <c r="U16" i="31"/>
  <c r="U16" i="34"/>
  <c r="Y16" i="41"/>
  <c r="AC16" i="9"/>
  <c r="S16" i="8"/>
  <c r="S16" i="19"/>
  <c r="AC1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C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C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D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D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2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2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2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2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4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4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4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4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5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5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5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6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6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6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6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7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7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7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7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8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8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9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9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9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9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A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B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B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B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B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C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C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C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C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D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D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D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D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E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E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E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E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1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1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C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13" authorId="1" shapeId="0" xr:uid="{00000000-0006-0000-C700-000002000000}">
      <text>
        <r>
          <rPr>
            <sz val="11"/>
            <color theme="1"/>
            <rFont val="Calibri"/>
            <family val="2"/>
            <scheme val="minor"/>
          </rPr>
          <t xml:space="preserve">Marylou Sierra:
HC 9 sides today </t>
        </r>
      </text>
    </comment>
    <comment ref="B14" authorId="0" shapeId="0" xr:uid="{00000000-0006-0000-C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C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C800-000002000000}">
      <text>
        <r>
          <rPr>
            <sz val="11"/>
            <color theme="1"/>
            <rFont val="Calibri"/>
            <family val="2"/>
            <scheme val="minor"/>
          </rPr>
          <t>Marylou Sierra:
Holiday Special Order Per CS</t>
        </r>
      </text>
    </comment>
    <comment ref="C13" authorId="1" shapeId="0" xr:uid="{00000000-0006-0000-C800-000003000000}">
      <text>
        <r>
          <rPr>
            <sz val="11"/>
            <color theme="1"/>
            <rFont val="Calibri"/>
            <family val="2"/>
            <scheme val="minor"/>
          </rPr>
          <t>Marylou Sierra:
HC 9 sides today</t>
        </r>
      </text>
    </comment>
    <comment ref="B14" authorId="0" shapeId="0" xr:uid="{00000000-0006-0000-C8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8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C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C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C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C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5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5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5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6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6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6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7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8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8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8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9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9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9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A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A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A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B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B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B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C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C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C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D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D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D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E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E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E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F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F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F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0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E0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0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1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E1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1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2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E2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2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3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3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3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4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4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4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5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5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5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6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6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6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7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8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8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8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9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9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9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A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A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A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B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B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B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C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C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C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D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D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D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E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E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E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F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F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F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0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0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0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1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1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1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2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2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2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3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3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3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4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4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4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5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5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5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6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6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6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7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8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8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8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9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9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9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A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A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A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B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B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B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C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C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C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D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D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D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E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E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E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F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F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F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2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2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A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A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A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B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B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B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C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C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C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D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D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D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E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E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E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F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F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F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2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2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A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A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A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B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B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B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C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C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C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D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D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D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E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E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E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F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F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F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  <author>msierra</author>
  </authors>
  <commentList>
    <comment ref="B6" authorId="0" shapeId="0" xr:uid="{00000000-0006-0000-2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C8" authorId="2" shapeId="0" xr:uid="{00000000-0006-0000-2201-000003000000}">
      <text>
        <r>
          <rPr>
            <sz val="11"/>
            <color theme="1"/>
            <rFont val="Calibri"/>
            <family val="2"/>
            <scheme val="minor"/>
          </rPr>
          <t>msierra:
Turkey DBL 102543</t>
        </r>
      </text>
    </comment>
    <comment ref="B16" authorId="0" shapeId="0" xr:uid="{00000000-0006-0000-2201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201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A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A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A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B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B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B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C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C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C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D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D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D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E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E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E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F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F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F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2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2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3A01-000004000000}">
      <text>
        <r>
          <rPr>
            <sz val="11"/>
            <color theme="1"/>
            <rFont val="Calibri"/>
            <family val="2"/>
            <scheme val="minor"/>
          </rPr>
          <t xml:space="preserve">msierra:
Monday Ship Totals </t>
        </r>
      </text>
    </comment>
  </commentList>
</comments>
</file>

<file path=xl/comments3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3B01-000004000000}">
      <text>
        <r>
          <rPr>
            <sz val="11"/>
            <color theme="1"/>
            <rFont val="Calibri"/>
            <family val="2"/>
            <scheme val="minor"/>
          </rPr>
          <t xml:space="preserve">msierra:
Monday Ship Totals </t>
        </r>
      </text>
    </comment>
  </commentList>
</comments>
</file>

<file path=xl/comments3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3C01-000004000000}">
      <text>
        <r>
          <rPr>
            <sz val="11"/>
            <color theme="1"/>
            <rFont val="Calibri"/>
            <family val="2"/>
            <scheme val="minor"/>
          </rPr>
          <t xml:space="preserve">msierra:
Monday Ship Totals </t>
        </r>
      </text>
    </comment>
  </commentList>
</comments>
</file>

<file path=xl/comments3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4001-000004000000}">
      <text>
        <r>
          <rPr>
            <sz val="11"/>
            <color theme="1"/>
            <rFont val="Calibri"/>
            <family val="2"/>
            <scheme val="minor"/>
          </rPr>
          <t xml:space="preserve">msierra:
Double WM Sat/Sun Ship </t>
        </r>
      </text>
    </comment>
  </commentList>
</comments>
</file>

<file path=xl/comments3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F10" authorId="1" shapeId="0" xr:uid="{00000000-0006-0000-4301-000004000000}">
      <text>
        <r>
          <rPr>
            <sz val="11"/>
            <color theme="1"/>
            <rFont val="Calibri"/>
            <family val="2"/>
            <scheme val="minor"/>
          </rPr>
          <t>msierra:
1260 BBQ HC
PRODUCED TODAY</t>
        </r>
      </text>
    </comment>
  </commentList>
</comments>
</file>

<file path=xl/comments3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9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9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9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9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9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9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2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2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2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2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2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2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3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3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3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3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3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3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4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4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4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4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4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4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5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5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5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5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5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5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6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6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6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6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6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6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7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7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7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7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7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7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8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8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8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8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8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8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9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9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9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9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9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9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A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A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A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A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A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A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B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B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B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B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B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B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C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C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C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C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C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C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D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D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D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D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D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D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E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E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E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E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E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E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F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F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F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F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F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F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0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0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0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0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0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0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1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1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1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1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1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1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2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2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2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2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2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2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3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3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3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3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3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3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4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4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4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4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4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4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5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5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5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5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5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5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6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6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6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6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6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6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7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7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7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7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7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7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8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8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8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8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8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8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9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9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9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9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9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9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A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A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A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A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A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A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B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B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B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B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B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B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C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C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C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C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C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C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D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D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D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D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D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D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E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E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E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E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E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E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F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F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F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F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F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F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0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0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0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0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0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0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1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1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1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1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1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1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2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2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2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2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2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2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3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3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3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3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3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3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4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4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4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4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4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4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5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5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5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5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5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5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6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6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6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6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6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6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7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7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7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7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7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7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C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C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C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C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C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C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D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D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D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D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D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D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E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E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E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E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E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E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O6" authorId="0" shapeId="0" xr:uid="{00000000-0006-0000-CC01-000002000000}">
      <text>
        <r>
          <rPr>
            <sz val="11"/>
            <color theme="1"/>
            <rFont val="Calibri"/>
            <family val="2"/>
            <scheme val="minor"/>
          </rPr>
          <t>msierra:
currently in kronos kit line is in room 1. Sunday kits will be moved to room 2 in kronos -10 EE's</t>
        </r>
      </text>
    </comment>
    <comment ref="B7" authorId="0" shapeId="0" xr:uid="{00000000-0006-0000-CC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C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O8" authorId="0" shapeId="0" xr:uid="{00000000-0006-0000-CC01-000005000000}">
      <text>
        <r>
          <rPr>
            <sz val="11"/>
            <color theme="1"/>
            <rFont val="Calibri"/>
            <family val="2"/>
            <scheme val="minor"/>
          </rPr>
          <t>msierra:
currently in kronos kit line is not in room 2 until Sunday. +10 EE's</t>
        </r>
      </text>
    </comment>
    <comment ref="B9" authorId="0" shapeId="0" xr:uid="{00000000-0006-0000-CC01-000006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C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C01-000008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C01-000009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C01-00000A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O6" authorId="0" shapeId="0" xr:uid="{00000000-0006-0000-CD01-000002000000}">
      <text>
        <r>
          <rPr>
            <sz val="11"/>
            <color theme="1"/>
            <rFont val="Calibri"/>
            <family val="2"/>
            <scheme val="minor"/>
          </rPr>
          <t>msierra:
currently in kronos kit line is in room 1. Sunday kits will be moved to room 2 in kronos -10 EE's</t>
        </r>
      </text>
    </comment>
    <comment ref="B7" authorId="0" shapeId="0" xr:uid="{00000000-0006-0000-CD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D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O8" authorId="0" shapeId="0" xr:uid="{00000000-0006-0000-CD01-000005000000}">
      <text>
        <r>
          <rPr>
            <sz val="11"/>
            <color theme="1"/>
            <rFont val="Calibri"/>
            <family val="2"/>
            <scheme val="minor"/>
          </rPr>
          <t>msierra:
currently in kronos kit line is not in room 2 until Sunday. +10 EE's</t>
        </r>
      </text>
    </comment>
    <comment ref="B9" authorId="0" shapeId="0" xr:uid="{00000000-0006-0000-CD01-000006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D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D01-000008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D01-000009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D01-00000A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O6" authorId="0" shapeId="0" xr:uid="{00000000-0006-0000-CE01-000002000000}">
      <text>
        <r>
          <rPr>
            <sz val="11"/>
            <color theme="1"/>
            <rFont val="Calibri"/>
            <family val="2"/>
            <scheme val="minor"/>
          </rPr>
          <t>msierra:
currently in kronos kit line is in room 1. Sunday kits will be moved to room 2 in kronos -10 EE's</t>
        </r>
      </text>
    </comment>
    <comment ref="B7" authorId="0" shapeId="0" xr:uid="{00000000-0006-0000-CE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E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O8" authorId="0" shapeId="0" xr:uid="{00000000-0006-0000-CE01-000005000000}">
      <text>
        <r>
          <rPr>
            <sz val="11"/>
            <color theme="1"/>
            <rFont val="Calibri"/>
            <family val="2"/>
            <scheme val="minor"/>
          </rPr>
          <t>msierra:
currently in kronos kit line is not in room 2 until Sunday. +10 EE's</t>
        </r>
      </text>
    </comment>
    <comment ref="B9" authorId="0" shapeId="0" xr:uid="{00000000-0006-0000-CE01-000006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E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E01-000008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E01-000009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E01-00000A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C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C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C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C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C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C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D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D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D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D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D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D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E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E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E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E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E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E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C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C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C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C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C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C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D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D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D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D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D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D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E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E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E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E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E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E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sharedStrings.xml><?xml version="1.0" encoding="utf-8"?>
<sst xmlns="http://schemas.openxmlformats.org/spreadsheetml/2006/main" count="47435" uniqueCount="159">
  <si>
    <t>Production Date</t>
  </si>
  <si>
    <t>Ship Date</t>
  </si>
  <si>
    <t>FORECAST</t>
  </si>
  <si>
    <t>Actual</t>
  </si>
  <si>
    <t>ORDERED TOTALS</t>
  </si>
  <si>
    <t>Order</t>
  </si>
  <si>
    <t>Finished Good Pounds</t>
  </si>
  <si>
    <t>Prep Pounds</t>
  </si>
  <si>
    <t>Total Pounds</t>
  </si>
  <si>
    <t>Scheduled FTEs</t>
  </si>
  <si>
    <t>Actual FTEs</t>
  </si>
  <si>
    <t>Adjustments</t>
  </si>
  <si>
    <t>Adjusted Actual</t>
  </si>
  <si>
    <t>12PM</t>
  </si>
  <si>
    <t>Remaining</t>
  </si>
  <si>
    <t>2PM</t>
  </si>
  <si>
    <t>4PM</t>
  </si>
  <si>
    <t>6PM</t>
  </si>
  <si>
    <t>8PM</t>
  </si>
  <si>
    <t>10PM</t>
  </si>
  <si>
    <t>EOD</t>
  </si>
  <si>
    <t>QT</t>
  </si>
  <si>
    <t xml:space="preserve">Room 1 </t>
  </si>
  <si>
    <t>SMITH'S</t>
  </si>
  <si>
    <t>Rm 1 Extra</t>
  </si>
  <si>
    <t>Absent</t>
  </si>
  <si>
    <t>SPROUTS AZ</t>
  </si>
  <si>
    <t>Room 2</t>
  </si>
  <si>
    <t>SPROUTS CO</t>
  </si>
  <si>
    <t>Rm 2 Extra</t>
  </si>
  <si>
    <t>WM DC</t>
  </si>
  <si>
    <t>Room 3</t>
  </si>
  <si>
    <t>WM LV</t>
  </si>
  <si>
    <t>Rm 3 Extra</t>
  </si>
  <si>
    <t>WM TUC</t>
  </si>
  <si>
    <t>Room 4</t>
  </si>
  <si>
    <t>WM PHX</t>
  </si>
  <si>
    <t>Rm 4 Extra</t>
  </si>
  <si>
    <t>ALBSFWY PHX</t>
  </si>
  <si>
    <t>Room 5</t>
  </si>
  <si>
    <t>KING SOOPERS</t>
  </si>
  <si>
    <t>Rm 5 Extra</t>
  </si>
  <si>
    <t>FRY'S</t>
  </si>
  <si>
    <t>CANTEEN AZ</t>
  </si>
  <si>
    <t>Total Extra</t>
  </si>
  <si>
    <t>CANTEEN TUC</t>
  </si>
  <si>
    <t>Unit/Hr</t>
  </si>
  <si>
    <t>RALPHS</t>
  </si>
  <si>
    <t xml:space="preserve">DILLONS </t>
  </si>
  <si>
    <t>Day Prior</t>
  </si>
  <si>
    <t>SBUX PHX</t>
  </si>
  <si>
    <t>SBUX LV B</t>
  </si>
  <si>
    <t>SBUX LV</t>
  </si>
  <si>
    <t>Difference</t>
  </si>
  <si>
    <t>VAR</t>
  </si>
  <si>
    <t>ALBSWY</t>
  </si>
  <si>
    <t>KROGER</t>
  </si>
  <si>
    <t>WALMART</t>
  </si>
  <si>
    <t>CANTEEN</t>
  </si>
  <si>
    <t>STARBUCKS</t>
  </si>
  <si>
    <t>SPROUTS</t>
  </si>
  <si>
    <t>Target UPH</t>
  </si>
  <si>
    <t>Total</t>
  </si>
  <si>
    <t>UPH</t>
  </si>
  <si>
    <t>Room 1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</si>
  <si>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</si>
  <si>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</si>
  <si>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</si>
  <si>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</si>
  <si>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</si>
  <si>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</si>
  <si>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</si>
  <si>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</si>
  <si>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Line 9</t>
  </si>
  <si>
    <t>di</t>
  </si>
  <si>
    <t xml:space="preserve"> </t>
  </si>
  <si>
    <t>.</t>
  </si>
  <si>
    <t>ACTUAL</t>
  </si>
  <si>
    <t>Target FTEs</t>
  </si>
  <si>
    <t>Room 6</t>
  </si>
  <si>
    <t>Rm 6 Extra</t>
  </si>
  <si>
    <t xml:space="preserve">Scheduled </t>
  </si>
  <si>
    <t xml:space="preserve">Target </t>
  </si>
  <si>
    <t xml:space="preserve">1 unscheduled </t>
  </si>
  <si>
    <t>4 unscheduled</t>
  </si>
  <si>
    <t>2 unscheduled</t>
  </si>
  <si>
    <t xml:space="preserve">ing </t>
  </si>
  <si>
    <t>new hires not entered</t>
  </si>
  <si>
    <t>Entry Error- 1 needs to go to Room 3</t>
  </si>
  <si>
    <t xml:space="preserve">                                                      -  </t>
  </si>
  <si>
    <t>1 EE working that has PTO for today</t>
  </si>
  <si>
    <t>HC updated @8:06am</t>
  </si>
  <si>
    <t>HC as of 8:15AM</t>
  </si>
  <si>
    <t>HC as of 8:13AM</t>
  </si>
  <si>
    <t xml:space="preserve">Add On Approved </t>
  </si>
  <si>
    <t>HC as of 8:14AM</t>
  </si>
  <si>
    <t>HC as of 8:21AM</t>
  </si>
  <si>
    <t>HC as of 8:19AM</t>
  </si>
  <si>
    <t>HC as of 8:17AM</t>
  </si>
  <si>
    <t>HC as of 8:33AM</t>
  </si>
  <si>
    <t>HC as of 8:04AM</t>
  </si>
  <si>
    <t>HC as of 8:20AM</t>
  </si>
  <si>
    <t>HC as of 8:26AM</t>
  </si>
  <si>
    <t>SYSCO</t>
  </si>
  <si>
    <t>HC as of 8:16AM</t>
  </si>
  <si>
    <t xml:space="preserve">102433- Turkey </t>
  </si>
  <si>
    <t>HC updated 8:20AM</t>
  </si>
  <si>
    <t>Updated HC 8:24</t>
  </si>
  <si>
    <t>Internet Issues, received FP and ALB very late in the day</t>
  </si>
  <si>
    <t>ssrs</t>
  </si>
  <si>
    <t>paper</t>
  </si>
  <si>
    <t>Updated 8:25</t>
  </si>
  <si>
    <t>Updated 8:28</t>
  </si>
  <si>
    <t>Updated 8:30</t>
  </si>
  <si>
    <t>Updated 8:21</t>
  </si>
  <si>
    <t>Updated 8:27</t>
  </si>
  <si>
    <t>Updated 8:23</t>
  </si>
  <si>
    <t>Updated 8:36</t>
  </si>
  <si>
    <t>Updated 8:26a</t>
  </si>
  <si>
    <t>Updated 8:15AM</t>
  </si>
  <si>
    <t>Updated 8:25AM</t>
  </si>
  <si>
    <t>Double WM</t>
  </si>
  <si>
    <t>Final HC Report Ran at 12:18PM</t>
  </si>
  <si>
    <t>Mon SSRS</t>
  </si>
  <si>
    <t>Remove Sun WM</t>
  </si>
  <si>
    <t>FRI SSRS</t>
  </si>
  <si>
    <t>No Caesar/Chef</t>
  </si>
  <si>
    <t>Add on</t>
  </si>
  <si>
    <t>PHX SUNS</t>
  </si>
  <si>
    <t>DOUBLE WM</t>
  </si>
  <si>
    <t>Remove Sun Orders</t>
  </si>
  <si>
    <t>Minus Chef/Caesar</t>
  </si>
  <si>
    <t>K&amp;G</t>
  </si>
  <si>
    <t xml:space="preserve">K&amp;G and HC new items were not added to the FC </t>
  </si>
  <si>
    <t xml:space="preserve">Totals changed for rooms 1 3 and 4. </t>
  </si>
  <si>
    <t>CAESAR/COBB</t>
  </si>
  <si>
    <t>NO CAESAR/COBB</t>
  </si>
  <si>
    <t>K&amp;K Sat's Only</t>
  </si>
  <si>
    <t>Target EE Hours</t>
  </si>
  <si>
    <t>Target UMPHR</t>
  </si>
  <si>
    <t>8:23AM</t>
  </si>
  <si>
    <t xml:space="preserve">*Today I moved Sprouts Celery sticks &amp; Carrot/Celery sticks to room 3 </t>
  </si>
  <si>
    <t>12:54PM</t>
  </si>
  <si>
    <t>TFSW</t>
  </si>
  <si>
    <t>KRG</t>
  </si>
  <si>
    <t>KRG HC</t>
  </si>
  <si>
    <t>WM</t>
  </si>
  <si>
    <t>SBUX</t>
  </si>
  <si>
    <t>8:30AM</t>
  </si>
  <si>
    <t>8:12AM</t>
  </si>
  <si>
    <t xml:space="preserve">                      -  </t>
  </si>
  <si>
    <t xml:space="preserve">                    -  </t>
  </si>
  <si>
    <t>Kronos</t>
  </si>
  <si>
    <t>Kronos (Clocked-in)</t>
  </si>
  <si>
    <t>Schedule</t>
  </si>
  <si>
    <t>Scheduled</t>
  </si>
  <si>
    <t>TARGET HC</t>
  </si>
  <si>
    <t>Total Abs</t>
  </si>
  <si>
    <t>Total Abs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</si>
</sst>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F400]h:mm:ss\ AM/P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trike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542222357860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43" fontId="1" fillId="0" borderId="0"/>
    <xf numFmtId="44" fontId="1" fillId="0" borderId="0"/>
    <xf numFmtId="0" fontId="7" fillId="0" borderId="0"/>
    <xf numFmtId="0" fontId="8" fillId="0" borderId="0"/>
    <xf numFmtId="43" fontId="8" fillId="0" borderId="0"/>
    <xf numFmtId="43" fontId="9" fillId="0" borderId="0"/>
    <xf numFmtId="0" fontId="7" fillId="0" borderId="0"/>
    <xf numFmtId="0" fontId="9" fillId="0" borderId="0"/>
    <xf numFmtId="0" fontId="7" fillId="0" borderId="0"/>
    <xf numFmtId="9" fontId="1" fillId="0" borderId="0"/>
  </cellStyleXfs>
  <cellXfs count="224">
    <xf numFmtId="0" fontId="0" fillId="0" borderId="0" xfId="0"/>
    <xf numFmtId="0" fontId="0" fillId="0" borderId="0" xfId="0" applyAlignment="1">
      <alignment horizontal="center"/>
    </xf>
    <xf numFmtId="14" fontId="0" fillId="2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8" xfId="0" applyFont="1" applyBorder="1"/>
    <xf numFmtId="164" fontId="0" fillId="5" borderId="9" xfId="1" applyNumberFormat="1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3" fontId="4" fillId="7" borderId="12" xfId="1" applyNumberFormat="1" applyFont="1" applyFill="1" applyBorder="1" applyAlignment="1">
      <alignment horizontal="center" vertical="center"/>
    </xf>
    <xf numFmtId="164" fontId="0" fillId="0" borderId="12" xfId="1" applyNumberFormat="1" applyFont="1" applyBorder="1" applyAlignment="1">
      <alignment vertical="center"/>
    </xf>
    <xf numFmtId="164" fontId="0" fillId="5" borderId="15" xfId="1" applyNumberFormat="1" applyFont="1" applyFill="1" applyBorder="1" applyAlignment="1">
      <alignment horizontal="center"/>
    </xf>
    <xf numFmtId="164" fontId="0" fillId="0" borderId="14" xfId="1" applyNumberFormat="1" applyFont="1" applyBorder="1" applyAlignment="1">
      <alignment vertical="center"/>
    </xf>
    <xf numFmtId="3" fontId="4" fillId="7" borderId="17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 applyAlignment="1">
      <alignment vertical="center"/>
    </xf>
    <xf numFmtId="164" fontId="3" fillId="5" borderId="12" xfId="1" applyNumberFormat="1" applyFont="1" applyFill="1" applyBorder="1" applyAlignment="1">
      <alignment horizontal="center"/>
    </xf>
    <xf numFmtId="164" fontId="0" fillId="0" borderId="18" xfId="1" applyNumberFormat="1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10" xfId="0" applyFont="1" applyBorder="1"/>
    <xf numFmtId="0" fontId="0" fillId="0" borderId="10" xfId="0" applyBorder="1" applyAlignment="1">
      <alignment horizontal="center" vertical="center"/>
    </xf>
    <xf numFmtId="164" fontId="3" fillId="5" borderId="15" xfId="1" applyNumberFormat="1" applyFont="1" applyFill="1" applyBorder="1" applyAlignment="1">
      <alignment horizontal="center"/>
    </xf>
    <xf numFmtId="3" fontId="0" fillId="0" borderId="15" xfId="1" applyNumberFormat="1" applyFont="1" applyBorder="1" applyAlignment="1">
      <alignment horizontal="center" vertical="center"/>
    </xf>
    <xf numFmtId="164" fontId="1" fillId="0" borderId="20" xfId="1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15" xfId="1" applyNumberFormat="1" applyFont="1" applyBorder="1" applyAlignment="1">
      <alignment horizontal="center"/>
    </xf>
    <xf numFmtId="164" fontId="4" fillId="0" borderId="23" xfId="1" applyNumberFormat="1" applyFont="1" applyBorder="1" applyAlignment="1">
      <alignment horizontal="center"/>
    </xf>
    <xf numFmtId="164" fontId="1" fillId="0" borderId="24" xfId="1" applyNumberFormat="1" applyBorder="1" applyAlignment="1">
      <alignment horizontal="center"/>
    </xf>
    <xf numFmtId="164" fontId="4" fillId="0" borderId="25" xfId="1" applyNumberFormat="1" applyFont="1" applyBorder="1" applyAlignment="1">
      <alignment horizontal="center"/>
    </xf>
    <xf numFmtId="0" fontId="6" fillId="0" borderId="29" xfId="0" applyFont="1" applyBorder="1"/>
    <xf numFmtId="0" fontId="6" fillId="0" borderId="30" xfId="0" applyFont="1" applyBorder="1"/>
    <xf numFmtId="164" fontId="6" fillId="0" borderId="31" xfId="1" applyNumberFormat="1" applyFont="1" applyBorder="1" applyAlignment="1">
      <alignment horizontal="center"/>
    </xf>
    <xf numFmtId="164" fontId="4" fillId="0" borderId="29" xfId="1" applyNumberFormat="1" applyFont="1" applyBorder="1" applyAlignment="1">
      <alignment horizontal="center"/>
    </xf>
    <xf numFmtId="164" fontId="4" fillId="0" borderId="30" xfId="1" applyNumberFormat="1" applyFont="1" applyBorder="1" applyAlignment="1">
      <alignment horizontal="center"/>
    </xf>
    <xf numFmtId="0" fontId="4" fillId="0" borderId="11" xfId="0" applyFont="1" applyBorder="1"/>
    <xf numFmtId="164" fontId="0" fillId="5" borderId="14" xfId="1" applyNumberFormat="1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164" fontId="2" fillId="8" borderId="32" xfId="1" applyNumberFormat="1" applyFont="1" applyFill="1" applyBorder="1" applyAlignment="1">
      <alignment horizontal="center"/>
    </xf>
    <xf numFmtId="164" fontId="2" fillId="8" borderId="33" xfId="1" applyNumberFormat="1" applyFont="1" applyFill="1" applyBorder="1" applyAlignment="1">
      <alignment horizontal="center"/>
    </xf>
    <xf numFmtId="164" fontId="2" fillId="8" borderId="34" xfId="1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164" fontId="0" fillId="5" borderId="35" xfId="1" applyNumberFormat="1" applyFont="1" applyFill="1" applyBorder="1" applyAlignment="1">
      <alignment horizontal="center"/>
    </xf>
    <xf numFmtId="0" fontId="4" fillId="6" borderId="36" xfId="0" applyFont="1" applyFill="1" applyBorder="1" applyAlignment="1">
      <alignment vertical="center"/>
    </xf>
    <xf numFmtId="0" fontId="4" fillId="6" borderId="37" xfId="0" applyFont="1" applyFill="1" applyBorder="1" applyAlignment="1">
      <alignment vertical="center"/>
    </xf>
    <xf numFmtId="164" fontId="0" fillId="0" borderId="0" xfId="0" applyNumberFormat="1" applyAlignment="1">
      <alignment horizontal="center"/>
    </xf>
    <xf numFmtId="0" fontId="4" fillId="6" borderId="38" xfId="0" applyFont="1" applyFill="1" applyBorder="1" applyAlignment="1">
      <alignment vertical="center"/>
    </xf>
    <xf numFmtId="164" fontId="2" fillId="8" borderId="20" xfId="1" applyNumberFormat="1" applyFont="1" applyFill="1" applyBorder="1" applyAlignment="1">
      <alignment horizontal="center"/>
    </xf>
    <xf numFmtId="164" fontId="2" fillId="8" borderId="28" xfId="1" applyNumberFormat="1" applyFont="1" applyFill="1" applyBorder="1" applyAlignment="1">
      <alignment horizontal="center"/>
    </xf>
    <xf numFmtId="0" fontId="4" fillId="0" borderId="21" xfId="0" applyFont="1" applyBorder="1"/>
    <xf numFmtId="164" fontId="0" fillId="5" borderId="28" xfId="1" applyNumberFormat="1" applyFont="1" applyFill="1" applyBorder="1" applyAlignment="1">
      <alignment horizontal="center"/>
    </xf>
    <xf numFmtId="0" fontId="4" fillId="0" borderId="36" xfId="0" applyFont="1" applyBorder="1" applyAlignment="1">
      <alignment vertical="center"/>
    </xf>
    <xf numFmtId="164" fontId="4" fillId="0" borderId="6" xfId="1" applyNumberFormat="1" applyFont="1" applyBorder="1" applyAlignment="1">
      <alignment horizontal="center"/>
    </xf>
    <xf numFmtId="164" fontId="4" fillId="0" borderId="4" xfId="1" applyNumberFormat="1" applyFont="1" applyBorder="1" applyAlignment="1">
      <alignment horizontal="center"/>
    </xf>
    <xf numFmtId="0" fontId="4" fillId="0" borderId="37" xfId="0" applyFont="1" applyBorder="1" applyAlignment="1">
      <alignment vertical="center"/>
    </xf>
    <xf numFmtId="164" fontId="6" fillId="0" borderId="22" xfId="1" applyNumberFormat="1" applyFont="1" applyBorder="1" applyAlignment="1">
      <alignment horizontal="center"/>
    </xf>
    <xf numFmtId="164" fontId="6" fillId="0" borderId="15" xfId="1" applyNumberFormat="1" applyFont="1" applyBorder="1" applyAlignment="1">
      <alignment horizontal="center"/>
    </xf>
    <xf numFmtId="164" fontId="6" fillId="0" borderId="9" xfId="1" applyNumberFormat="1" applyFont="1" applyBorder="1" applyAlignment="1">
      <alignment horizontal="center"/>
    </xf>
    <xf numFmtId="0" fontId="4" fillId="0" borderId="38" xfId="0" applyFont="1" applyBorder="1" applyAlignment="1">
      <alignment vertical="center"/>
    </xf>
    <xf numFmtId="164" fontId="4" fillId="0" borderId="20" xfId="1" applyNumberFormat="1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8" xfId="0" applyFont="1" applyBorder="1" applyAlignment="1">
      <alignment horizontal="center"/>
    </xf>
    <xf numFmtId="3" fontId="1" fillId="5" borderId="15" xfId="1" applyNumberFormat="1" applyFill="1" applyBorder="1" applyAlignment="1">
      <alignment horizontal="center" vertical="center"/>
    </xf>
    <xf numFmtId="164" fontId="0" fillId="0" borderId="15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4" fillId="0" borderId="21" xfId="0" applyFont="1" applyBorder="1" applyAlignment="1">
      <alignment horizontal="center"/>
    </xf>
    <xf numFmtId="3" fontId="1" fillId="5" borderId="20" xfId="1" applyNumberForma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7" borderId="26" xfId="1" applyNumberFormat="1" applyFont="1" applyFill="1" applyBorder="1" applyAlignment="1">
      <alignment horizontal="center" vertical="center"/>
    </xf>
    <xf numFmtId="164" fontId="0" fillId="7" borderId="27" xfId="1" applyNumberFormat="1" applyFont="1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37" fontId="1" fillId="5" borderId="13" xfId="2" applyNumberFormat="1" applyFill="1" applyBorder="1" applyAlignment="1">
      <alignment horizontal="center" vertical="center"/>
    </xf>
    <xf numFmtId="37" fontId="3" fillId="7" borderId="15" xfId="2" applyNumberFormat="1" applyFont="1" applyFill="1" applyBorder="1" applyAlignment="1">
      <alignment horizontal="right" vertical="center" indent="1"/>
    </xf>
    <xf numFmtId="37" fontId="1" fillId="5" borderId="15" xfId="2" applyNumberFormat="1" applyFill="1" applyBorder="1" applyAlignment="1">
      <alignment horizontal="center" vertical="center"/>
    </xf>
    <xf numFmtId="37" fontId="0" fillId="5" borderId="15" xfId="2" applyNumberFormat="1" applyFont="1" applyFill="1" applyBorder="1" applyAlignment="1">
      <alignment horizontal="center" vertical="center"/>
    </xf>
    <xf numFmtId="37" fontId="3" fillId="7" borderId="20" xfId="2" applyNumberFormat="1" applyFont="1" applyFill="1" applyBorder="1" applyAlignment="1">
      <alignment horizontal="right" vertical="center" indent="1"/>
    </xf>
    <xf numFmtId="37" fontId="3" fillId="7" borderId="15" xfId="2" applyNumberFormat="1" applyFont="1" applyFill="1" applyBorder="1" applyAlignment="1">
      <alignment horizontal="left" vertical="center"/>
    </xf>
    <xf numFmtId="3" fontId="3" fillId="0" borderId="20" xfId="1" applyNumberFormat="1" applyFont="1" applyBorder="1" applyAlignment="1">
      <alignment horizontal="left" vertical="center"/>
    </xf>
    <xf numFmtId="164" fontId="3" fillId="5" borderId="15" xfId="1" applyNumberFormat="1" applyFont="1" applyFill="1" applyBorder="1" applyAlignment="1">
      <alignment vertical="center"/>
    </xf>
    <xf numFmtId="164" fontId="3" fillId="7" borderId="15" xfId="1" applyNumberFormat="1" applyFont="1" applyFill="1" applyBorder="1" applyAlignment="1">
      <alignment vertical="center"/>
    </xf>
    <xf numFmtId="0" fontId="0" fillId="9" borderId="40" xfId="0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9" borderId="45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0" fontId="4" fillId="0" borderId="43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164" fontId="4" fillId="0" borderId="36" xfId="0" applyNumberFormat="1" applyFont="1" applyBorder="1" applyAlignment="1">
      <alignment horizontal="center"/>
    </xf>
    <xf numFmtId="3" fontId="0" fillId="9" borderId="46" xfId="0" applyNumberFormat="1" applyFill="1" applyBorder="1" applyAlignment="1">
      <alignment horizontal="center" vertical="center"/>
    </xf>
    <xf numFmtId="3" fontId="0" fillId="9" borderId="44" xfId="0" applyNumberFormat="1" applyFill="1" applyBorder="1" applyAlignment="1">
      <alignment horizontal="center" vertical="center"/>
    </xf>
    <xf numFmtId="3" fontId="0" fillId="0" borderId="39" xfId="0" applyNumberFormat="1" applyBorder="1" applyAlignment="1">
      <alignment horizontal="center" vertical="center"/>
    </xf>
    <xf numFmtId="3" fontId="0" fillId="0" borderId="35" xfId="0" applyNumberFormat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0" fillId="9" borderId="35" xfId="0" applyNumberFormat="1" applyFill="1" applyBorder="1" applyAlignment="1">
      <alignment horizontal="center" vertical="center"/>
    </xf>
    <xf numFmtId="3" fontId="0" fillId="9" borderId="47" xfId="0" applyNumberFormat="1" applyFill="1" applyBorder="1" applyAlignment="1">
      <alignment horizontal="center" vertical="center"/>
    </xf>
    <xf numFmtId="3" fontId="0" fillId="9" borderId="48" xfId="0" applyNumberFormat="1" applyFill="1" applyBorder="1" applyAlignment="1">
      <alignment horizontal="center" vertical="center"/>
    </xf>
    <xf numFmtId="3" fontId="0" fillId="0" borderId="46" xfId="0" applyNumberFormat="1" applyBorder="1" applyAlignment="1">
      <alignment horizontal="center" vertical="center"/>
    </xf>
    <xf numFmtId="3" fontId="0" fillId="0" borderId="44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4" fillId="0" borderId="23" xfId="0" applyFont="1" applyBorder="1" applyAlignment="1">
      <alignment horizontal="center"/>
    </xf>
    <xf numFmtId="3" fontId="0" fillId="5" borderId="12" xfId="1" applyNumberFormat="1" applyFont="1" applyFill="1" applyBorder="1" applyAlignment="1">
      <alignment vertical="center"/>
    </xf>
    <xf numFmtId="3" fontId="0" fillId="5" borderId="17" xfId="1" applyNumberFormat="1" applyFont="1" applyFill="1" applyBorder="1" applyAlignment="1">
      <alignment vertical="center"/>
    </xf>
    <xf numFmtId="3" fontId="4" fillId="5" borderId="11" xfId="1" applyNumberFormat="1" applyFont="1" applyFill="1" applyBorder="1" applyAlignment="1">
      <alignment vertical="center"/>
    </xf>
    <xf numFmtId="3" fontId="4" fillId="5" borderId="16" xfId="1" applyNumberFormat="1" applyFont="1" applyFill="1" applyBorder="1" applyAlignment="1">
      <alignment vertical="center"/>
    </xf>
    <xf numFmtId="3" fontId="0" fillId="5" borderId="20" xfId="1" applyNumberFormat="1" applyFont="1" applyFill="1" applyBorder="1" applyAlignment="1">
      <alignment horizontal="center" vertical="center"/>
    </xf>
    <xf numFmtId="3" fontId="0" fillId="5" borderId="15" xfId="1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0" fontId="10" fillId="0" borderId="8" xfId="0" applyFont="1" applyBorder="1"/>
    <xf numFmtId="9" fontId="3" fillId="0" borderId="0" xfId="10" applyFont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center" vertical="center" wrapText="1"/>
    </xf>
    <xf numFmtId="9" fontId="0" fillId="0" borderId="0" xfId="10" applyFont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3" fontId="0" fillId="7" borderId="15" xfId="1" applyNumberFormat="1" applyFont="1" applyFill="1" applyBorder="1" applyAlignment="1">
      <alignment horizontal="center" vertical="center"/>
    </xf>
    <xf numFmtId="164" fontId="1" fillId="7" borderId="20" xfId="1" applyNumberFormat="1" applyFill="1" applyBorder="1" applyAlignment="1">
      <alignment horizontal="center" vertical="center"/>
    </xf>
    <xf numFmtId="164" fontId="0" fillId="7" borderId="20" xfId="1" applyNumberFormat="1" applyFont="1" applyFill="1" applyBorder="1" applyAlignment="1">
      <alignment horizontal="center" vertical="center"/>
    </xf>
    <xf numFmtId="3" fontId="3" fillId="7" borderId="20" xfId="1" applyNumberFormat="1" applyFont="1" applyFill="1" applyBorder="1" applyAlignment="1">
      <alignment horizontal="left" vertical="center"/>
    </xf>
    <xf numFmtId="9" fontId="3" fillId="7" borderId="0" xfId="10" applyFont="1" applyFill="1" applyAlignment="1">
      <alignment horizontal="center"/>
    </xf>
    <xf numFmtId="0" fontId="0" fillId="7" borderId="10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 wrapText="1"/>
    </xf>
    <xf numFmtId="37" fontId="1" fillId="5" borderId="50" xfId="2" applyNumberFormat="1" applyFill="1" applyBorder="1" applyAlignment="1">
      <alignment horizontal="center" vertical="center"/>
    </xf>
    <xf numFmtId="37" fontId="3" fillId="7" borderId="9" xfId="2" applyNumberFormat="1" applyFont="1" applyFill="1" applyBorder="1" applyAlignment="1">
      <alignment horizontal="left" vertical="center"/>
    </xf>
    <xf numFmtId="37" fontId="1" fillId="5" borderId="9" xfId="2" applyNumberFormat="1" applyFill="1" applyBorder="1" applyAlignment="1">
      <alignment horizontal="center" vertical="center"/>
    </xf>
    <xf numFmtId="37" fontId="0" fillId="5" borderId="9" xfId="2" applyNumberFormat="1" applyFont="1" applyFill="1" applyBorder="1" applyAlignment="1">
      <alignment horizontal="center" vertical="center"/>
    </xf>
    <xf numFmtId="37" fontId="3" fillId="7" borderId="33" xfId="2" applyNumberFormat="1" applyFont="1" applyFill="1" applyBorder="1" applyAlignment="1">
      <alignment horizontal="right" vertical="center" indent="1"/>
    </xf>
    <xf numFmtId="3" fontId="3" fillId="7" borderId="48" xfId="1" applyNumberFormat="1" applyFont="1" applyFill="1" applyBorder="1" applyAlignment="1">
      <alignment horizontal="left" vertical="center"/>
    </xf>
    <xf numFmtId="3" fontId="0" fillId="7" borderId="38" xfId="1" applyNumberFormat="1" applyFont="1" applyFill="1" applyBorder="1" applyAlignment="1">
      <alignment horizontal="center" vertical="center"/>
    </xf>
    <xf numFmtId="3" fontId="0" fillId="7" borderId="33" xfId="1" applyNumberFormat="1" applyFont="1" applyFill="1" applyBorder="1" applyAlignment="1">
      <alignment horizontal="center" vertical="center"/>
    </xf>
    <xf numFmtId="164" fontId="1" fillId="7" borderId="33" xfId="1" applyNumberForma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3" fontId="4" fillId="7" borderId="14" xfId="1" applyNumberFormat="1" applyFont="1" applyFill="1" applyBorder="1" applyAlignment="1">
      <alignment horizontal="center" vertical="center"/>
    </xf>
    <xf numFmtId="3" fontId="4" fillId="7" borderId="18" xfId="1" applyNumberFormat="1" applyFont="1" applyFill="1" applyBorder="1" applyAlignment="1">
      <alignment horizontal="center" vertical="center"/>
    </xf>
    <xf numFmtId="3" fontId="4" fillId="5" borderId="38" xfId="1" applyNumberFormat="1" applyFont="1" applyFill="1" applyBorder="1" applyAlignment="1">
      <alignment vertical="center"/>
    </xf>
    <xf numFmtId="3" fontId="0" fillId="5" borderId="33" xfId="1" applyNumberFormat="1" applyFont="1" applyFill="1" applyBorder="1" applyAlignment="1">
      <alignment vertical="center"/>
    </xf>
    <xf numFmtId="3" fontId="4" fillId="7" borderId="48" xfId="1" applyNumberFormat="1" applyFont="1" applyFill="1" applyBorder="1" applyAlignment="1">
      <alignment horizontal="center" vertical="center"/>
    </xf>
    <xf numFmtId="164" fontId="0" fillId="7" borderId="33" xfId="1" applyNumberFormat="1" applyFont="1" applyFill="1" applyBorder="1" applyAlignment="1">
      <alignment horizontal="center" vertical="center"/>
    </xf>
    <xf numFmtId="3" fontId="0" fillId="7" borderId="48" xfId="1" applyNumberFormat="1" applyFont="1" applyFill="1" applyBorder="1" applyAlignment="1">
      <alignment horizontal="center" vertical="center"/>
    </xf>
    <xf numFmtId="3" fontId="4" fillId="7" borderId="33" xfId="1" applyNumberFormat="1" applyFont="1" applyFill="1" applyBorder="1" applyAlignment="1">
      <alignment horizontal="center" vertical="center"/>
    </xf>
    <xf numFmtId="37" fontId="3" fillId="7" borderId="28" xfId="2" applyNumberFormat="1" applyFont="1" applyFill="1" applyBorder="1" applyAlignment="1">
      <alignment horizontal="left" vertical="center"/>
    </xf>
    <xf numFmtId="0" fontId="0" fillId="10" borderId="10" xfId="0" applyFill="1" applyBorder="1" applyAlignment="1">
      <alignment horizontal="center" vertical="center"/>
    </xf>
    <xf numFmtId="3" fontId="4" fillId="7" borderId="51" xfId="1" applyNumberFormat="1" applyFont="1" applyFill="1" applyBorder="1" applyAlignment="1">
      <alignment horizontal="center" vertical="center"/>
    </xf>
    <xf numFmtId="3" fontId="4" fillId="7" borderId="52" xfId="1" applyNumberFormat="1" applyFont="1" applyFill="1" applyBorder="1" applyAlignment="1">
      <alignment horizontal="center" vertical="center"/>
    </xf>
    <xf numFmtId="3" fontId="4" fillId="7" borderId="47" xfId="1" applyNumberFormat="1" applyFont="1" applyFill="1" applyBorder="1" applyAlignment="1">
      <alignment horizontal="center" vertical="center"/>
    </xf>
    <xf numFmtId="18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/>
    </xf>
    <xf numFmtId="18" fontId="0" fillId="0" borderId="23" xfId="0" applyNumberFormat="1" applyBorder="1" applyAlignment="1">
      <alignment horizontal="center" vertical="center"/>
    </xf>
    <xf numFmtId="0" fontId="4" fillId="0" borderId="38" xfId="0" applyFont="1" applyBorder="1"/>
    <xf numFmtId="164" fontId="0" fillId="5" borderId="48" xfId="1" applyNumberFormat="1" applyFont="1" applyFill="1" applyBorder="1" applyAlignment="1">
      <alignment horizontal="center"/>
    </xf>
    <xf numFmtId="0" fontId="4" fillId="0" borderId="38" xfId="0" applyFont="1" applyBorder="1" applyAlignment="1">
      <alignment horizontal="center"/>
    </xf>
    <xf numFmtId="3" fontId="0" fillId="5" borderId="33" xfId="1" applyNumberFormat="1" applyFont="1" applyFill="1" applyBorder="1" applyAlignment="1">
      <alignment horizontal="center" vertical="center"/>
    </xf>
    <xf numFmtId="164" fontId="0" fillId="0" borderId="48" xfId="0" applyNumberFormat="1" applyBorder="1" applyAlignment="1">
      <alignment horizontal="center"/>
    </xf>
    <xf numFmtId="0" fontId="0" fillId="11" borderId="0" xfId="0" applyFill="1" applyAlignment="1">
      <alignment horizontal="center"/>
    </xf>
    <xf numFmtId="0" fontId="4" fillId="4" borderId="53" xfId="0" applyFont="1" applyFill="1" applyBorder="1" applyAlignment="1">
      <alignment horizontal="center" vertical="center" wrapText="1"/>
    </xf>
    <xf numFmtId="164" fontId="0" fillId="7" borderId="47" xfId="1" applyNumberFormat="1" applyFont="1" applyFill="1" applyBorder="1" applyAlignment="1">
      <alignment horizontal="center" vertical="center"/>
    </xf>
    <xf numFmtId="18" fontId="0" fillId="0" borderId="31" xfId="0" applyNumberFormat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37" fontId="0" fillId="5" borderId="8" xfId="2" applyNumberFormat="1" applyFont="1" applyFill="1" applyBorder="1" applyAlignment="1">
      <alignment horizontal="center" vertical="center"/>
    </xf>
    <xf numFmtId="37" fontId="3" fillId="7" borderId="8" xfId="2" applyNumberFormat="1" applyFont="1" applyFill="1" applyBorder="1" applyAlignment="1">
      <alignment horizontal="right" vertical="center" indent="1"/>
    </xf>
    <xf numFmtId="165" fontId="0" fillId="5" borderId="12" xfId="1" applyNumberFormat="1" applyFont="1" applyFill="1" applyBorder="1" applyAlignment="1">
      <alignment vertical="center"/>
    </xf>
    <xf numFmtId="1" fontId="0" fillId="5" borderId="12" xfId="1" applyNumberFormat="1" applyFont="1" applyFill="1" applyBorder="1" applyAlignment="1">
      <alignment horizontal="center" vertical="center"/>
    </xf>
    <xf numFmtId="3" fontId="0" fillId="7" borderId="0" xfId="1" applyNumberFormat="1" applyFont="1" applyFill="1" applyAlignment="1">
      <alignment horizontal="center" vertical="center"/>
    </xf>
    <xf numFmtId="3" fontId="3" fillId="7" borderId="0" xfId="1" applyNumberFormat="1" applyFont="1" applyFill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0" xfId="0" applyFill="1" applyAlignment="1">
      <alignment horizontal="center" vertical="center" wrapText="1"/>
    </xf>
    <xf numFmtId="1" fontId="0" fillId="5" borderId="13" xfId="1" applyNumberFormat="1" applyFont="1" applyFill="1" applyBorder="1" applyAlignment="1">
      <alignment horizontal="center" vertical="center"/>
    </xf>
    <xf numFmtId="3" fontId="0" fillId="5" borderId="56" xfId="1" applyNumberFormat="1" applyFont="1" applyFill="1" applyBorder="1" applyAlignment="1">
      <alignment vertical="center"/>
    </xf>
    <xf numFmtId="3" fontId="0" fillId="5" borderId="13" xfId="1" applyNumberFormat="1" applyFont="1" applyFill="1" applyBorder="1" applyAlignment="1">
      <alignment vertical="center"/>
    </xf>
    <xf numFmtId="165" fontId="0" fillId="5" borderId="13" xfId="1" applyNumberFormat="1" applyFont="1" applyFill="1" applyBorder="1" applyAlignment="1">
      <alignment vertical="center"/>
    </xf>
    <xf numFmtId="3" fontId="0" fillId="5" borderId="57" xfId="1" applyNumberFormat="1" applyFont="1" applyFill="1" applyBorder="1" applyAlignment="1">
      <alignment vertical="center"/>
    </xf>
    <xf numFmtId="0" fontId="0" fillId="3" borderId="36" xfId="0" applyFill="1" applyBorder="1" applyAlignment="1">
      <alignment horizontal="center" vertical="center" wrapText="1"/>
    </xf>
    <xf numFmtId="0" fontId="0" fillId="4" borderId="44" xfId="0" applyFill="1" applyBorder="1" applyAlignment="1">
      <alignment horizontal="center" vertical="center" wrapText="1"/>
    </xf>
    <xf numFmtId="0" fontId="0" fillId="12" borderId="58" xfId="0" applyFill="1" applyBorder="1" applyAlignment="1">
      <alignment horizontal="center" vertical="center" wrapText="1"/>
    </xf>
    <xf numFmtId="0" fontId="0" fillId="3" borderId="58" xfId="0" applyFill="1" applyBorder="1" applyAlignment="1">
      <alignment horizontal="center" vertical="center" wrapText="1"/>
    </xf>
    <xf numFmtId="37" fontId="0" fillId="5" borderId="3" xfId="2" applyNumberFormat="1" applyFont="1" applyFill="1" applyBorder="1" applyAlignment="1">
      <alignment horizontal="center" vertical="center"/>
    </xf>
    <xf numFmtId="37" fontId="0" fillId="5" borderId="6" xfId="2" applyNumberFormat="1" applyFont="1" applyFill="1" applyBorder="1" applyAlignment="1">
      <alignment horizontal="center" vertical="center"/>
    </xf>
    <xf numFmtId="37" fontId="0" fillId="5" borderId="4" xfId="2" applyNumberFormat="1" applyFont="1" applyFill="1" applyBorder="1" applyAlignment="1">
      <alignment horizontal="center" vertical="center"/>
    </xf>
    <xf numFmtId="3" fontId="0" fillId="7" borderId="21" xfId="1" applyNumberFormat="1" applyFont="1" applyFill="1" applyBorder="1" applyAlignment="1">
      <alignment horizontal="center" vertical="center"/>
    </xf>
    <xf numFmtId="3" fontId="0" fillId="7" borderId="28" xfId="1" applyNumberFormat="1" applyFont="1" applyFill="1" applyBorder="1" applyAlignment="1">
      <alignment horizontal="center" vertical="center"/>
    </xf>
    <xf numFmtId="37" fontId="3" fillId="7" borderId="47" xfId="2" applyNumberFormat="1" applyFont="1" applyFill="1" applyBorder="1" applyAlignment="1">
      <alignment horizontal="right" vertical="center" indent="1"/>
    </xf>
    <xf numFmtId="3" fontId="0" fillId="7" borderId="12" xfId="1" applyNumberFormat="1" applyFont="1" applyFill="1" applyBorder="1" applyAlignment="1">
      <alignment horizontal="center" vertical="center"/>
    </xf>
    <xf numFmtId="9" fontId="3" fillId="12" borderId="26" xfId="10" applyFont="1" applyFill="1" applyBorder="1" applyAlignment="1">
      <alignment horizontal="center"/>
    </xf>
    <xf numFmtId="9" fontId="3" fillId="12" borderId="59" xfId="10" applyFont="1" applyFill="1" applyBorder="1" applyAlignment="1">
      <alignment horizontal="center"/>
    </xf>
    <xf numFmtId="37" fontId="3" fillId="7" borderId="1" xfId="2" applyNumberFormat="1" applyFont="1" applyFill="1" applyBorder="1" applyAlignment="1">
      <alignment horizontal="right" vertical="center" indent="1"/>
    </xf>
    <xf numFmtId="3" fontId="3" fillId="7" borderId="31" xfId="1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41" xfId="0" applyBorder="1"/>
    <xf numFmtId="0" fontId="0" fillId="0" borderId="42" xfId="0" applyBorder="1"/>
    <xf numFmtId="0" fontId="0" fillId="3" borderId="23" xfId="0" applyFill="1" applyBorder="1" applyAlignment="1">
      <alignment horizontal="center" vertical="center"/>
    </xf>
    <xf numFmtId="0" fontId="0" fillId="0" borderId="2" xfId="0" applyBorder="1"/>
    <xf numFmtId="0" fontId="0" fillId="0" borderId="31" xfId="0" applyBorder="1"/>
    <xf numFmtId="0" fontId="0" fillId="4" borderId="26" xfId="0" applyFill="1" applyBorder="1" applyAlignment="1">
      <alignment horizontal="center" vertical="center"/>
    </xf>
    <xf numFmtId="0" fontId="0" fillId="0" borderId="27" xfId="0" applyBorder="1"/>
    <xf numFmtId="0" fontId="5" fillId="0" borderId="60" xfId="0" applyFont="1" applyBorder="1" applyAlignment="1">
      <alignment horizontal="center" vertical="center"/>
    </xf>
    <xf numFmtId="0" fontId="0" fillId="0" borderId="49" xfId="0" applyBorder="1"/>
    <xf numFmtId="0" fontId="0" fillId="4" borderId="23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</cellXfs>
  <cellStyles count="11">
    <cellStyle name="Comma" xfId="1" builtinId="3"/>
    <cellStyle name="Comma 2" xfId="5" xr:uid="{00000000-0005-0000-0000-000005000000}"/>
    <cellStyle name="Comma 2 2" xfId="6" xr:uid="{00000000-0005-0000-0000-000006000000}"/>
    <cellStyle name="Currency" xfId="2" builtinId="4"/>
    <cellStyle name="Normal" xfId="0" builtinId="0"/>
    <cellStyle name="Normal 2" xfId="4" xr:uid="{00000000-0005-0000-0000-000004000000}"/>
    <cellStyle name="Normal 3" xfId="9" xr:uid="{00000000-0005-0000-0000-000009000000}"/>
    <cellStyle name="Normal 3 2" xfId="7" xr:uid="{00000000-0005-0000-0000-000007000000}"/>
    <cellStyle name="Normal 5" xfId="3" xr:uid="{00000000-0005-0000-0000-000003000000}"/>
    <cellStyle name="Normal 5 2" xfId="8" xr:uid="{00000000-0005-0000-0000-000008000000}"/>
    <cellStyle name="Percent" xfId="10" builtinId="5"/>
  </cellStyles>
  <dxfs count="2004"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theme" Target="theme/theme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sharedStrings" Target="sharedStrings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styles" Target="styles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calcChain" Target="calcChain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aylorfarms1com-my.sharepoint.com/Users/dleitch/AppData/Local/Microsoft/Windows/Temporary%20Internet%20Files/Content.Outlook/E3EI6FIB/Productions%20by%20Room%202015-01-01%20Thursday%20Part%201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 by location"/>
      <sheetName val="order totals"/>
      <sheetName val="staff totals"/>
      <sheetName val="labels"/>
      <sheetName val="batch"/>
      <sheetName val="porter"/>
      <sheetName val="PART 2"/>
      <sheetName val="SSRS Dump"/>
      <sheetName val="ProductionBOM_ProdPoolList-TPJ "/>
      <sheetName val="FG by Daily"/>
      <sheetName val="ALL SUBS"/>
      <sheetName val="BOMExplosionLev1"/>
      <sheetName val="BOMListing FG Only"/>
      <sheetName val="BOMListing SUB KCMP Only"/>
      <sheetName val="Customer"/>
      <sheetName val="Data Table"/>
      <sheetName val="Master"/>
      <sheetName val="RAF Dump 9-2019"/>
      <sheetName val="Order Dump"/>
      <sheetName val="KIP S$"/>
      <sheetName val="Item Master"/>
      <sheetName val="WK 34"/>
      <sheetName val="WK 35"/>
      <sheetName val="WK 36"/>
      <sheetName val="WK 37"/>
      <sheetName val="WK 38"/>
      <sheetName val="WK 39"/>
      <sheetName val="WK 40 "/>
      <sheetName val="WK 41"/>
      <sheetName val="WK 42 "/>
      <sheetName val="WK 43"/>
      <sheetName val="WK 44"/>
      <sheetName val="WK 45"/>
      <sheetName val="WK 46"/>
      <sheetName val="WK 47"/>
      <sheetName val="WK 48"/>
      <sheetName val="WK 49"/>
      <sheetName val="WK 50"/>
      <sheetName val="WK 51"/>
      <sheetName val="Shipped Dump"/>
      <sheetName val="Putaway"/>
      <sheetName val="Reported"/>
      <sheetName val="All Summery wk 07"/>
      <sheetName val="2020 WK 10"/>
      <sheetName val="Sunday "/>
      <sheetName val="Monday"/>
      <sheetName val="Tuesday "/>
      <sheetName val="Wednesday "/>
      <sheetName val="Thursday"/>
      <sheetName val="Friday"/>
      <sheetName val="Saturday"/>
      <sheetName val="Ordered"/>
      <sheetName val="Shipped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0.xml"/><Relationship Id="rId1" Type="http://schemas.openxmlformats.org/officeDocument/2006/relationships/vmlDrawing" Target="../drawings/vmlDrawing220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1.xml"/><Relationship Id="rId1" Type="http://schemas.openxmlformats.org/officeDocument/2006/relationships/vmlDrawing" Target="../drawings/vmlDrawing221.vml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2.xml"/><Relationship Id="rId1" Type="http://schemas.openxmlformats.org/officeDocument/2006/relationships/vmlDrawing" Target="../drawings/vmlDrawing222.vm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3.xml"/><Relationship Id="rId1" Type="http://schemas.openxmlformats.org/officeDocument/2006/relationships/vmlDrawing" Target="../drawings/vmlDrawing223.vm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4.xml"/><Relationship Id="rId1" Type="http://schemas.openxmlformats.org/officeDocument/2006/relationships/vmlDrawing" Target="../drawings/vmlDrawing224.v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5.xml"/><Relationship Id="rId1" Type="http://schemas.openxmlformats.org/officeDocument/2006/relationships/vmlDrawing" Target="../drawings/vmlDrawing225.vm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6.xml"/><Relationship Id="rId1" Type="http://schemas.openxmlformats.org/officeDocument/2006/relationships/vmlDrawing" Target="../drawings/vmlDrawing226.vml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7.xml"/><Relationship Id="rId1" Type="http://schemas.openxmlformats.org/officeDocument/2006/relationships/vmlDrawing" Target="../drawings/vmlDrawing227.vm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8.xml"/><Relationship Id="rId1" Type="http://schemas.openxmlformats.org/officeDocument/2006/relationships/vmlDrawing" Target="../drawings/vmlDrawing228.vml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9.xml"/><Relationship Id="rId1" Type="http://schemas.openxmlformats.org/officeDocument/2006/relationships/vmlDrawing" Target="../drawings/vmlDrawing229.vml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0.xml"/><Relationship Id="rId1" Type="http://schemas.openxmlformats.org/officeDocument/2006/relationships/vmlDrawing" Target="../drawings/vmlDrawing230.vml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1.xml"/><Relationship Id="rId1" Type="http://schemas.openxmlformats.org/officeDocument/2006/relationships/vmlDrawing" Target="../drawings/vmlDrawing231.vml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2.xml"/><Relationship Id="rId1" Type="http://schemas.openxmlformats.org/officeDocument/2006/relationships/vmlDrawing" Target="../drawings/vmlDrawing232.vml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3.xml"/><Relationship Id="rId1" Type="http://schemas.openxmlformats.org/officeDocument/2006/relationships/vmlDrawing" Target="../drawings/vmlDrawing233.vml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4.xml"/><Relationship Id="rId1" Type="http://schemas.openxmlformats.org/officeDocument/2006/relationships/vmlDrawing" Target="../drawings/vmlDrawing234.vml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5.xml"/><Relationship Id="rId1" Type="http://schemas.openxmlformats.org/officeDocument/2006/relationships/vmlDrawing" Target="../drawings/vmlDrawing235.vml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6.xml"/><Relationship Id="rId1" Type="http://schemas.openxmlformats.org/officeDocument/2006/relationships/vmlDrawing" Target="../drawings/vmlDrawing236.vm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7.xml"/><Relationship Id="rId1" Type="http://schemas.openxmlformats.org/officeDocument/2006/relationships/vmlDrawing" Target="../drawings/vmlDrawing237.vml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8.xml"/><Relationship Id="rId1" Type="http://schemas.openxmlformats.org/officeDocument/2006/relationships/vmlDrawing" Target="../drawings/vmlDrawing238.vml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9.xml"/><Relationship Id="rId1" Type="http://schemas.openxmlformats.org/officeDocument/2006/relationships/vmlDrawing" Target="../drawings/vmlDrawing239.vml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0.xml"/><Relationship Id="rId1" Type="http://schemas.openxmlformats.org/officeDocument/2006/relationships/vmlDrawing" Target="../drawings/vmlDrawing240.vml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1.xml"/><Relationship Id="rId1" Type="http://schemas.openxmlformats.org/officeDocument/2006/relationships/vmlDrawing" Target="../drawings/vmlDrawing241.vml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2.xml"/><Relationship Id="rId1" Type="http://schemas.openxmlformats.org/officeDocument/2006/relationships/vmlDrawing" Target="../drawings/vmlDrawing242.vm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3.xml"/><Relationship Id="rId1" Type="http://schemas.openxmlformats.org/officeDocument/2006/relationships/vmlDrawing" Target="../drawings/vmlDrawing243.vml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4.xml"/><Relationship Id="rId1" Type="http://schemas.openxmlformats.org/officeDocument/2006/relationships/vmlDrawing" Target="../drawings/vmlDrawing244.vml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5.xml"/><Relationship Id="rId1" Type="http://schemas.openxmlformats.org/officeDocument/2006/relationships/vmlDrawing" Target="../drawings/vmlDrawing245.vml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6.xml"/><Relationship Id="rId1" Type="http://schemas.openxmlformats.org/officeDocument/2006/relationships/vmlDrawing" Target="../drawings/vmlDrawing246.vml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7.xml"/><Relationship Id="rId1" Type="http://schemas.openxmlformats.org/officeDocument/2006/relationships/vmlDrawing" Target="../drawings/vmlDrawing247.vml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8.xml"/><Relationship Id="rId1" Type="http://schemas.openxmlformats.org/officeDocument/2006/relationships/vmlDrawing" Target="../drawings/vmlDrawing248.vml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9.xml"/><Relationship Id="rId1" Type="http://schemas.openxmlformats.org/officeDocument/2006/relationships/vmlDrawing" Target="../drawings/vmlDrawing249.v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0.xml"/><Relationship Id="rId1" Type="http://schemas.openxmlformats.org/officeDocument/2006/relationships/vmlDrawing" Target="../drawings/vmlDrawing250.vml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1.xml"/><Relationship Id="rId1" Type="http://schemas.openxmlformats.org/officeDocument/2006/relationships/vmlDrawing" Target="../drawings/vmlDrawing251.vml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2.xml"/><Relationship Id="rId1" Type="http://schemas.openxmlformats.org/officeDocument/2006/relationships/vmlDrawing" Target="../drawings/vmlDrawing252.vml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3.xml"/><Relationship Id="rId1" Type="http://schemas.openxmlformats.org/officeDocument/2006/relationships/vmlDrawing" Target="../drawings/vmlDrawing253.vml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4.xml"/><Relationship Id="rId1" Type="http://schemas.openxmlformats.org/officeDocument/2006/relationships/vmlDrawing" Target="../drawings/vmlDrawing254.vml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5.xml"/><Relationship Id="rId1" Type="http://schemas.openxmlformats.org/officeDocument/2006/relationships/vmlDrawing" Target="../drawings/vmlDrawing255.vml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6.xml"/><Relationship Id="rId1" Type="http://schemas.openxmlformats.org/officeDocument/2006/relationships/vmlDrawing" Target="../drawings/vmlDrawing256.vml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7.xml"/><Relationship Id="rId1" Type="http://schemas.openxmlformats.org/officeDocument/2006/relationships/vmlDrawing" Target="../drawings/vmlDrawing257.vml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8.xml"/><Relationship Id="rId1" Type="http://schemas.openxmlformats.org/officeDocument/2006/relationships/vmlDrawing" Target="../drawings/vmlDrawing258.vml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9.xml"/><Relationship Id="rId1" Type="http://schemas.openxmlformats.org/officeDocument/2006/relationships/vmlDrawing" Target="../drawings/vmlDrawing259.vml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0.xml"/><Relationship Id="rId1" Type="http://schemas.openxmlformats.org/officeDocument/2006/relationships/vmlDrawing" Target="../drawings/vmlDrawing260.vml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1.xml"/><Relationship Id="rId1" Type="http://schemas.openxmlformats.org/officeDocument/2006/relationships/vmlDrawing" Target="../drawings/vmlDrawing261.vml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2.xml"/><Relationship Id="rId1" Type="http://schemas.openxmlformats.org/officeDocument/2006/relationships/vmlDrawing" Target="../drawings/vmlDrawing262.vml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3.xml"/><Relationship Id="rId1" Type="http://schemas.openxmlformats.org/officeDocument/2006/relationships/vmlDrawing" Target="../drawings/vmlDrawing263.vml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4.xml"/><Relationship Id="rId1" Type="http://schemas.openxmlformats.org/officeDocument/2006/relationships/vmlDrawing" Target="../drawings/vmlDrawing264.vml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5.xml"/><Relationship Id="rId1" Type="http://schemas.openxmlformats.org/officeDocument/2006/relationships/vmlDrawing" Target="../drawings/vmlDrawing265.vml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6.xml"/><Relationship Id="rId1" Type="http://schemas.openxmlformats.org/officeDocument/2006/relationships/vmlDrawing" Target="../drawings/vmlDrawing266.vml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7.xml"/><Relationship Id="rId1" Type="http://schemas.openxmlformats.org/officeDocument/2006/relationships/vmlDrawing" Target="../drawings/vmlDrawing267.vml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8.xml"/><Relationship Id="rId1" Type="http://schemas.openxmlformats.org/officeDocument/2006/relationships/vmlDrawing" Target="../drawings/vmlDrawing268.vml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9.xml"/><Relationship Id="rId1" Type="http://schemas.openxmlformats.org/officeDocument/2006/relationships/vmlDrawing" Target="../drawings/vmlDrawing269.vml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0.xml"/><Relationship Id="rId1" Type="http://schemas.openxmlformats.org/officeDocument/2006/relationships/vmlDrawing" Target="../drawings/vmlDrawing270.vml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1.xml"/><Relationship Id="rId1" Type="http://schemas.openxmlformats.org/officeDocument/2006/relationships/vmlDrawing" Target="../drawings/vmlDrawing271.vml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2.xml"/><Relationship Id="rId1" Type="http://schemas.openxmlformats.org/officeDocument/2006/relationships/vmlDrawing" Target="../drawings/vmlDrawing272.vml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3.xml"/><Relationship Id="rId1" Type="http://schemas.openxmlformats.org/officeDocument/2006/relationships/vmlDrawing" Target="../drawings/vmlDrawing273.vml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4.xml"/><Relationship Id="rId1" Type="http://schemas.openxmlformats.org/officeDocument/2006/relationships/vmlDrawing" Target="../drawings/vmlDrawing274.vml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5.xml"/><Relationship Id="rId1" Type="http://schemas.openxmlformats.org/officeDocument/2006/relationships/vmlDrawing" Target="../drawings/vmlDrawing275.vml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6.xml"/><Relationship Id="rId1" Type="http://schemas.openxmlformats.org/officeDocument/2006/relationships/vmlDrawing" Target="../drawings/vmlDrawing276.vml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7.xml"/><Relationship Id="rId1" Type="http://schemas.openxmlformats.org/officeDocument/2006/relationships/vmlDrawing" Target="../drawings/vmlDrawing277.vml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8.xml"/><Relationship Id="rId1" Type="http://schemas.openxmlformats.org/officeDocument/2006/relationships/vmlDrawing" Target="../drawings/vmlDrawing278.vml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9.xml"/><Relationship Id="rId1" Type="http://schemas.openxmlformats.org/officeDocument/2006/relationships/vmlDrawing" Target="../drawings/vmlDrawing279.v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0.xml"/><Relationship Id="rId1" Type="http://schemas.openxmlformats.org/officeDocument/2006/relationships/vmlDrawing" Target="../drawings/vmlDrawing280.vml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1.xml"/><Relationship Id="rId1" Type="http://schemas.openxmlformats.org/officeDocument/2006/relationships/vmlDrawing" Target="../drawings/vmlDrawing281.vml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2.xml"/><Relationship Id="rId1" Type="http://schemas.openxmlformats.org/officeDocument/2006/relationships/vmlDrawing" Target="../drawings/vmlDrawing282.vml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3.xml"/><Relationship Id="rId1" Type="http://schemas.openxmlformats.org/officeDocument/2006/relationships/vmlDrawing" Target="../drawings/vmlDrawing283.vml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4.xml"/><Relationship Id="rId1" Type="http://schemas.openxmlformats.org/officeDocument/2006/relationships/vmlDrawing" Target="../drawings/vmlDrawing284.vml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5.xml"/><Relationship Id="rId1" Type="http://schemas.openxmlformats.org/officeDocument/2006/relationships/vmlDrawing" Target="../drawings/vmlDrawing285.vml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6.xml"/><Relationship Id="rId1" Type="http://schemas.openxmlformats.org/officeDocument/2006/relationships/vmlDrawing" Target="../drawings/vmlDrawing286.vml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7.xml"/><Relationship Id="rId1" Type="http://schemas.openxmlformats.org/officeDocument/2006/relationships/vmlDrawing" Target="../drawings/vmlDrawing287.vml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8.xml"/><Relationship Id="rId1" Type="http://schemas.openxmlformats.org/officeDocument/2006/relationships/vmlDrawing" Target="../drawings/vmlDrawing288.vml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9.xml"/><Relationship Id="rId1" Type="http://schemas.openxmlformats.org/officeDocument/2006/relationships/vmlDrawing" Target="../drawings/vmlDrawing289.vml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0.xml"/><Relationship Id="rId1" Type="http://schemas.openxmlformats.org/officeDocument/2006/relationships/vmlDrawing" Target="../drawings/vmlDrawing290.vml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1.xml"/><Relationship Id="rId1" Type="http://schemas.openxmlformats.org/officeDocument/2006/relationships/vmlDrawing" Target="../drawings/vmlDrawing291.vml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2.xml"/><Relationship Id="rId1" Type="http://schemas.openxmlformats.org/officeDocument/2006/relationships/vmlDrawing" Target="../drawings/vmlDrawing292.vml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3.xml"/><Relationship Id="rId1" Type="http://schemas.openxmlformats.org/officeDocument/2006/relationships/vmlDrawing" Target="../drawings/vmlDrawing293.vml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4.xml"/><Relationship Id="rId1" Type="http://schemas.openxmlformats.org/officeDocument/2006/relationships/vmlDrawing" Target="../drawings/vmlDrawing294.vml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5.xml"/><Relationship Id="rId1" Type="http://schemas.openxmlformats.org/officeDocument/2006/relationships/vmlDrawing" Target="../drawings/vmlDrawing295.vml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6.xml"/><Relationship Id="rId1" Type="http://schemas.openxmlformats.org/officeDocument/2006/relationships/vmlDrawing" Target="../drawings/vmlDrawing296.vml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7.xml"/><Relationship Id="rId1" Type="http://schemas.openxmlformats.org/officeDocument/2006/relationships/vmlDrawing" Target="../drawings/vmlDrawing297.vml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8.xml"/><Relationship Id="rId1" Type="http://schemas.openxmlformats.org/officeDocument/2006/relationships/vmlDrawing" Target="../drawings/vmlDrawing298.vml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9.xml"/><Relationship Id="rId1" Type="http://schemas.openxmlformats.org/officeDocument/2006/relationships/vmlDrawing" Target="../drawings/vmlDrawing299.vml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0.xml"/><Relationship Id="rId1" Type="http://schemas.openxmlformats.org/officeDocument/2006/relationships/vmlDrawing" Target="../drawings/vmlDrawing300.vml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1.xml"/><Relationship Id="rId1" Type="http://schemas.openxmlformats.org/officeDocument/2006/relationships/vmlDrawing" Target="../drawings/vmlDrawing301.vml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2.xml"/><Relationship Id="rId1" Type="http://schemas.openxmlformats.org/officeDocument/2006/relationships/vmlDrawing" Target="../drawings/vmlDrawing302.vml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3.xml"/><Relationship Id="rId1" Type="http://schemas.openxmlformats.org/officeDocument/2006/relationships/vmlDrawing" Target="../drawings/vmlDrawing303.vml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4.xml"/><Relationship Id="rId1" Type="http://schemas.openxmlformats.org/officeDocument/2006/relationships/vmlDrawing" Target="../drawings/vmlDrawing304.vml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5.xml"/><Relationship Id="rId1" Type="http://schemas.openxmlformats.org/officeDocument/2006/relationships/vmlDrawing" Target="../drawings/vmlDrawing305.vml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6.xml"/><Relationship Id="rId1" Type="http://schemas.openxmlformats.org/officeDocument/2006/relationships/vmlDrawing" Target="../drawings/vmlDrawing306.vml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7.xml"/><Relationship Id="rId1" Type="http://schemas.openxmlformats.org/officeDocument/2006/relationships/vmlDrawing" Target="../drawings/vmlDrawing307.vml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8.xml"/><Relationship Id="rId1" Type="http://schemas.openxmlformats.org/officeDocument/2006/relationships/vmlDrawing" Target="../drawings/vmlDrawing308.vml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9.xml"/><Relationship Id="rId1" Type="http://schemas.openxmlformats.org/officeDocument/2006/relationships/vmlDrawing" Target="../drawings/vmlDrawing309.vml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0.xml"/><Relationship Id="rId1" Type="http://schemas.openxmlformats.org/officeDocument/2006/relationships/vmlDrawing" Target="../drawings/vmlDrawing310.vml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1.xml"/><Relationship Id="rId1" Type="http://schemas.openxmlformats.org/officeDocument/2006/relationships/vmlDrawing" Target="../drawings/vmlDrawing311.vml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2.xml"/><Relationship Id="rId1" Type="http://schemas.openxmlformats.org/officeDocument/2006/relationships/vmlDrawing" Target="../drawings/vmlDrawing312.vml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3.xml"/><Relationship Id="rId1" Type="http://schemas.openxmlformats.org/officeDocument/2006/relationships/vmlDrawing" Target="../drawings/vmlDrawing313.vml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4.xml"/><Relationship Id="rId1" Type="http://schemas.openxmlformats.org/officeDocument/2006/relationships/vmlDrawing" Target="../drawings/vmlDrawing314.vml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5.xml"/><Relationship Id="rId1" Type="http://schemas.openxmlformats.org/officeDocument/2006/relationships/vmlDrawing" Target="../drawings/vmlDrawing315.vml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6.xml"/><Relationship Id="rId1" Type="http://schemas.openxmlformats.org/officeDocument/2006/relationships/vmlDrawing" Target="../drawings/vmlDrawing316.vml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7.xml"/><Relationship Id="rId1" Type="http://schemas.openxmlformats.org/officeDocument/2006/relationships/vmlDrawing" Target="../drawings/vmlDrawing317.v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8.xml"/><Relationship Id="rId1" Type="http://schemas.openxmlformats.org/officeDocument/2006/relationships/vmlDrawing" Target="../drawings/vmlDrawing318.vml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9.xml"/><Relationship Id="rId1" Type="http://schemas.openxmlformats.org/officeDocument/2006/relationships/vmlDrawing" Target="../drawings/vmlDrawing319.vml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0.xml"/><Relationship Id="rId1" Type="http://schemas.openxmlformats.org/officeDocument/2006/relationships/vmlDrawing" Target="../drawings/vmlDrawing320.vml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1.xml"/><Relationship Id="rId1" Type="http://schemas.openxmlformats.org/officeDocument/2006/relationships/vmlDrawing" Target="../drawings/vmlDrawing321.vml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2.xml"/><Relationship Id="rId1" Type="http://schemas.openxmlformats.org/officeDocument/2006/relationships/vmlDrawing" Target="../drawings/vmlDrawing322.vml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3.xml"/><Relationship Id="rId1" Type="http://schemas.openxmlformats.org/officeDocument/2006/relationships/vmlDrawing" Target="../drawings/vmlDrawing323.vml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4.xml"/><Relationship Id="rId1" Type="http://schemas.openxmlformats.org/officeDocument/2006/relationships/vmlDrawing" Target="../drawings/vmlDrawing324.vml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5.xml"/><Relationship Id="rId1" Type="http://schemas.openxmlformats.org/officeDocument/2006/relationships/vmlDrawing" Target="../drawings/vmlDrawing325.vml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6.xml"/><Relationship Id="rId1" Type="http://schemas.openxmlformats.org/officeDocument/2006/relationships/vmlDrawing" Target="../drawings/vmlDrawing326.vml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7.xml"/><Relationship Id="rId1" Type="http://schemas.openxmlformats.org/officeDocument/2006/relationships/vmlDrawing" Target="../drawings/vmlDrawing327.vml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8.xml"/><Relationship Id="rId1" Type="http://schemas.openxmlformats.org/officeDocument/2006/relationships/vmlDrawing" Target="../drawings/vmlDrawing328.vml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9.xml"/><Relationship Id="rId1" Type="http://schemas.openxmlformats.org/officeDocument/2006/relationships/vmlDrawing" Target="../drawings/vmlDrawing329.vml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0.xml"/><Relationship Id="rId1" Type="http://schemas.openxmlformats.org/officeDocument/2006/relationships/vmlDrawing" Target="../drawings/vmlDrawing330.vml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1.xml"/><Relationship Id="rId1" Type="http://schemas.openxmlformats.org/officeDocument/2006/relationships/vmlDrawing" Target="../drawings/vmlDrawing331.vml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2.xml"/><Relationship Id="rId1" Type="http://schemas.openxmlformats.org/officeDocument/2006/relationships/vmlDrawing" Target="../drawings/vmlDrawing332.vml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3.xml"/><Relationship Id="rId1" Type="http://schemas.openxmlformats.org/officeDocument/2006/relationships/vmlDrawing" Target="../drawings/vmlDrawing333.vml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4.xml"/><Relationship Id="rId1" Type="http://schemas.openxmlformats.org/officeDocument/2006/relationships/vmlDrawing" Target="../drawings/vmlDrawing334.vml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5.xml"/><Relationship Id="rId1" Type="http://schemas.openxmlformats.org/officeDocument/2006/relationships/vmlDrawing" Target="../drawings/vmlDrawing335.vml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6.xml"/><Relationship Id="rId1" Type="http://schemas.openxmlformats.org/officeDocument/2006/relationships/vmlDrawing" Target="../drawings/vmlDrawing336.vml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7.xml"/><Relationship Id="rId1" Type="http://schemas.openxmlformats.org/officeDocument/2006/relationships/vmlDrawing" Target="../drawings/vmlDrawing337.vml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8.xml"/><Relationship Id="rId1" Type="http://schemas.openxmlformats.org/officeDocument/2006/relationships/vmlDrawing" Target="../drawings/vmlDrawing338.vml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9.xml"/><Relationship Id="rId1" Type="http://schemas.openxmlformats.org/officeDocument/2006/relationships/vmlDrawing" Target="../drawings/vmlDrawing339.vml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0.xml"/><Relationship Id="rId1" Type="http://schemas.openxmlformats.org/officeDocument/2006/relationships/vmlDrawing" Target="../drawings/vmlDrawing340.vml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1.xml"/><Relationship Id="rId1" Type="http://schemas.openxmlformats.org/officeDocument/2006/relationships/vmlDrawing" Target="../drawings/vmlDrawing341.vml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2.xml"/><Relationship Id="rId1" Type="http://schemas.openxmlformats.org/officeDocument/2006/relationships/vmlDrawing" Target="../drawings/vmlDrawing342.vml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3.xml"/><Relationship Id="rId1" Type="http://schemas.openxmlformats.org/officeDocument/2006/relationships/vmlDrawing" Target="../drawings/vmlDrawing343.vml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4.xml"/><Relationship Id="rId1" Type="http://schemas.openxmlformats.org/officeDocument/2006/relationships/vmlDrawing" Target="../drawings/vmlDrawing344.vml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5.xml"/><Relationship Id="rId1" Type="http://schemas.openxmlformats.org/officeDocument/2006/relationships/vmlDrawing" Target="../drawings/vmlDrawing345.vml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6.xml"/><Relationship Id="rId1" Type="http://schemas.openxmlformats.org/officeDocument/2006/relationships/vmlDrawing" Target="../drawings/vmlDrawing346.vml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7.xml"/><Relationship Id="rId1" Type="http://schemas.openxmlformats.org/officeDocument/2006/relationships/vmlDrawing" Target="../drawings/vmlDrawing347.vml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8.xml"/><Relationship Id="rId1" Type="http://schemas.openxmlformats.org/officeDocument/2006/relationships/vmlDrawing" Target="../drawings/vmlDrawing348.vml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9.xml"/><Relationship Id="rId1" Type="http://schemas.openxmlformats.org/officeDocument/2006/relationships/vmlDrawing" Target="../drawings/vmlDrawing349.vml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0.xml"/><Relationship Id="rId1" Type="http://schemas.openxmlformats.org/officeDocument/2006/relationships/vmlDrawing" Target="../drawings/vmlDrawing350.vml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1.xml"/><Relationship Id="rId1" Type="http://schemas.openxmlformats.org/officeDocument/2006/relationships/vmlDrawing" Target="../drawings/vmlDrawing351.vml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2.xml"/><Relationship Id="rId1" Type="http://schemas.openxmlformats.org/officeDocument/2006/relationships/vmlDrawing" Target="../drawings/vmlDrawing352.vml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3.xml"/><Relationship Id="rId1" Type="http://schemas.openxmlformats.org/officeDocument/2006/relationships/vmlDrawing" Target="../drawings/vmlDrawing353.vml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4.xml"/><Relationship Id="rId1" Type="http://schemas.openxmlformats.org/officeDocument/2006/relationships/vmlDrawing" Target="../drawings/vmlDrawing354.vml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5.xml"/><Relationship Id="rId1" Type="http://schemas.openxmlformats.org/officeDocument/2006/relationships/vmlDrawing" Target="../drawings/vmlDrawing355.vml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6.xml"/><Relationship Id="rId1" Type="http://schemas.openxmlformats.org/officeDocument/2006/relationships/vmlDrawing" Target="../drawings/vmlDrawing356.vml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7.xml"/><Relationship Id="rId1" Type="http://schemas.openxmlformats.org/officeDocument/2006/relationships/vmlDrawing" Target="../drawings/vmlDrawing357.vml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8.xml"/><Relationship Id="rId1" Type="http://schemas.openxmlformats.org/officeDocument/2006/relationships/vmlDrawing" Target="../drawings/vmlDrawing358.vml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9.xml"/><Relationship Id="rId1" Type="http://schemas.openxmlformats.org/officeDocument/2006/relationships/vmlDrawing" Target="../drawings/vmlDrawing359.vml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0.xml"/><Relationship Id="rId1" Type="http://schemas.openxmlformats.org/officeDocument/2006/relationships/vmlDrawing" Target="../drawings/vmlDrawing360.vml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1.xml"/><Relationship Id="rId1" Type="http://schemas.openxmlformats.org/officeDocument/2006/relationships/vmlDrawing" Target="../drawings/vmlDrawing361.vml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2.xml"/><Relationship Id="rId1" Type="http://schemas.openxmlformats.org/officeDocument/2006/relationships/vmlDrawing" Target="../drawings/vmlDrawing362.vml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3.xml"/><Relationship Id="rId1" Type="http://schemas.openxmlformats.org/officeDocument/2006/relationships/vmlDrawing" Target="../drawings/vmlDrawing363.vml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4.xml"/><Relationship Id="rId1" Type="http://schemas.openxmlformats.org/officeDocument/2006/relationships/vmlDrawing" Target="../drawings/vmlDrawing364.vml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5.xml"/><Relationship Id="rId1" Type="http://schemas.openxmlformats.org/officeDocument/2006/relationships/vmlDrawing" Target="../drawings/vmlDrawing365.vml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6.xml"/><Relationship Id="rId1" Type="http://schemas.openxmlformats.org/officeDocument/2006/relationships/vmlDrawing" Target="../drawings/vmlDrawing366.vml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7.xml"/><Relationship Id="rId1" Type="http://schemas.openxmlformats.org/officeDocument/2006/relationships/vmlDrawing" Target="../drawings/vmlDrawing367.vml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8.xml"/><Relationship Id="rId1" Type="http://schemas.openxmlformats.org/officeDocument/2006/relationships/vmlDrawing" Target="../drawings/vmlDrawing368.vml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9.xml"/><Relationship Id="rId1" Type="http://schemas.openxmlformats.org/officeDocument/2006/relationships/vmlDrawing" Target="../drawings/vmlDrawing369.vml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0.xml"/><Relationship Id="rId1" Type="http://schemas.openxmlformats.org/officeDocument/2006/relationships/vmlDrawing" Target="../drawings/vmlDrawing370.vml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1.xml"/><Relationship Id="rId1" Type="http://schemas.openxmlformats.org/officeDocument/2006/relationships/vmlDrawing" Target="../drawings/vmlDrawing371.vml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2.xml"/><Relationship Id="rId1" Type="http://schemas.openxmlformats.org/officeDocument/2006/relationships/vmlDrawing" Target="../drawings/vmlDrawing372.vml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3.xml"/><Relationship Id="rId1" Type="http://schemas.openxmlformats.org/officeDocument/2006/relationships/vmlDrawing" Target="../drawings/vmlDrawing373.vml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4.xml"/><Relationship Id="rId1" Type="http://schemas.openxmlformats.org/officeDocument/2006/relationships/vmlDrawing" Target="../drawings/vmlDrawing374.vml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5.xml"/><Relationship Id="rId1" Type="http://schemas.openxmlformats.org/officeDocument/2006/relationships/vmlDrawing" Target="../drawings/vmlDrawing375.vml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6.xml"/><Relationship Id="rId1" Type="http://schemas.openxmlformats.org/officeDocument/2006/relationships/vmlDrawing" Target="../drawings/vmlDrawing376.vml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7.xml"/><Relationship Id="rId1" Type="http://schemas.openxmlformats.org/officeDocument/2006/relationships/vmlDrawing" Target="../drawings/vmlDrawing377.vml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8.xml"/><Relationship Id="rId1" Type="http://schemas.openxmlformats.org/officeDocument/2006/relationships/vmlDrawing" Target="../drawings/vmlDrawing378.vml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9.xml"/><Relationship Id="rId1" Type="http://schemas.openxmlformats.org/officeDocument/2006/relationships/vmlDrawing" Target="../drawings/vmlDrawing379.vml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0.xml"/><Relationship Id="rId1" Type="http://schemas.openxmlformats.org/officeDocument/2006/relationships/vmlDrawing" Target="../drawings/vmlDrawing380.vml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1.xml"/><Relationship Id="rId1" Type="http://schemas.openxmlformats.org/officeDocument/2006/relationships/vmlDrawing" Target="../drawings/vmlDrawing381.vml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2.xml"/><Relationship Id="rId1" Type="http://schemas.openxmlformats.org/officeDocument/2006/relationships/vmlDrawing" Target="../drawings/vmlDrawing382.vml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3.xml"/><Relationship Id="rId1" Type="http://schemas.openxmlformats.org/officeDocument/2006/relationships/vmlDrawing" Target="../drawings/vmlDrawing383.vml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4.xml"/><Relationship Id="rId1" Type="http://schemas.openxmlformats.org/officeDocument/2006/relationships/vmlDrawing" Target="../drawings/vmlDrawing384.vml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5.xml"/><Relationship Id="rId1" Type="http://schemas.openxmlformats.org/officeDocument/2006/relationships/vmlDrawing" Target="../drawings/vmlDrawing385.vml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6.xml"/><Relationship Id="rId1" Type="http://schemas.openxmlformats.org/officeDocument/2006/relationships/vmlDrawing" Target="../drawings/vmlDrawing386.vml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7.xml"/><Relationship Id="rId1" Type="http://schemas.openxmlformats.org/officeDocument/2006/relationships/vmlDrawing" Target="../drawings/vmlDrawing387.vml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8.xml"/><Relationship Id="rId1" Type="http://schemas.openxmlformats.org/officeDocument/2006/relationships/vmlDrawing" Target="../drawings/vmlDrawing388.vml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9.xml"/><Relationship Id="rId1" Type="http://schemas.openxmlformats.org/officeDocument/2006/relationships/vmlDrawing" Target="../drawings/vmlDrawing389.vml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0.xml"/><Relationship Id="rId1" Type="http://schemas.openxmlformats.org/officeDocument/2006/relationships/vmlDrawing" Target="../drawings/vmlDrawing390.vml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1.xml"/><Relationship Id="rId1" Type="http://schemas.openxmlformats.org/officeDocument/2006/relationships/vmlDrawing" Target="../drawings/vmlDrawing391.vml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2.xml"/><Relationship Id="rId1" Type="http://schemas.openxmlformats.org/officeDocument/2006/relationships/vmlDrawing" Target="../drawings/vmlDrawing392.vml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3.xml"/><Relationship Id="rId1" Type="http://schemas.openxmlformats.org/officeDocument/2006/relationships/vmlDrawing" Target="../drawings/vmlDrawing393.vml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4.xml"/><Relationship Id="rId1" Type="http://schemas.openxmlformats.org/officeDocument/2006/relationships/vmlDrawing" Target="../drawings/vmlDrawing394.vml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5.xml"/><Relationship Id="rId1" Type="http://schemas.openxmlformats.org/officeDocument/2006/relationships/vmlDrawing" Target="../drawings/vmlDrawing395.vml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6.xml"/><Relationship Id="rId1" Type="http://schemas.openxmlformats.org/officeDocument/2006/relationships/vmlDrawing" Target="../drawings/vmlDrawing396.vml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7.xml"/><Relationship Id="rId1" Type="http://schemas.openxmlformats.org/officeDocument/2006/relationships/vmlDrawing" Target="../drawings/vmlDrawing397.vml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8.xml"/><Relationship Id="rId1" Type="http://schemas.openxmlformats.org/officeDocument/2006/relationships/vmlDrawing" Target="../drawings/vmlDrawing398.vml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9.xml"/><Relationship Id="rId1" Type="http://schemas.openxmlformats.org/officeDocument/2006/relationships/vmlDrawing" Target="../drawings/vmlDrawing399.vml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0.xml"/><Relationship Id="rId1" Type="http://schemas.openxmlformats.org/officeDocument/2006/relationships/vmlDrawing" Target="../drawings/vmlDrawing400.vml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1.xml"/><Relationship Id="rId1" Type="http://schemas.openxmlformats.org/officeDocument/2006/relationships/vmlDrawing" Target="../drawings/vmlDrawing401.vml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2.xml"/><Relationship Id="rId1" Type="http://schemas.openxmlformats.org/officeDocument/2006/relationships/vmlDrawing" Target="../drawings/vmlDrawing402.vml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3.xml"/><Relationship Id="rId1" Type="http://schemas.openxmlformats.org/officeDocument/2006/relationships/vmlDrawing" Target="../drawings/vmlDrawing403.vml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4.xml"/><Relationship Id="rId1" Type="http://schemas.openxmlformats.org/officeDocument/2006/relationships/vmlDrawing" Target="../drawings/vmlDrawing404.vml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5.xml"/><Relationship Id="rId1" Type="http://schemas.openxmlformats.org/officeDocument/2006/relationships/vmlDrawing" Target="../drawings/vmlDrawing405.vml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6.xml"/><Relationship Id="rId1" Type="http://schemas.openxmlformats.org/officeDocument/2006/relationships/vmlDrawing" Target="../drawings/vmlDrawing406.vml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7.xml"/><Relationship Id="rId1" Type="http://schemas.openxmlformats.org/officeDocument/2006/relationships/vmlDrawing" Target="../drawings/vmlDrawing407.vml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8.xml"/><Relationship Id="rId1" Type="http://schemas.openxmlformats.org/officeDocument/2006/relationships/vmlDrawing" Target="../drawings/vmlDrawing408.vml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9.xml"/><Relationship Id="rId1" Type="http://schemas.openxmlformats.org/officeDocument/2006/relationships/vmlDrawing" Target="../drawings/vmlDrawing409.vml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0.xml"/><Relationship Id="rId1" Type="http://schemas.openxmlformats.org/officeDocument/2006/relationships/vmlDrawing" Target="../drawings/vmlDrawing410.vml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1.xml"/><Relationship Id="rId1" Type="http://schemas.openxmlformats.org/officeDocument/2006/relationships/vmlDrawing" Target="../drawings/vmlDrawing411.vml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2.xml"/><Relationship Id="rId1" Type="http://schemas.openxmlformats.org/officeDocument/2006/relationships/vmlDrawing" Target="../drawings/vmlDrawing412.vml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3.xml"/><Relationship Id="rId1" Type="http://schemas.openxmlformats.org/officeDocument/2006/relationships/vmlDrawing" Target="../drawings/vmlDrawing413.vml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4.xml"/><Relationship Id="rId1" Type="http://schemas.openxmlformats.org/officeDocument/2006/relationships/vmlDrawing" Target="../drawings/vmlDrawing414.vml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5.xml"/><Relationship Id="rId1" Type="http://schemas.openxmlformats.org/officeDocument/2006/relationships/vmlDrawing" Target="../drawings/vmlDrawing415.vml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6.xml"/><Relationship Id="rId1" Type="http://schemas.openxmlformats.org/officeDocument/2006/relationships/vmlDrawing" Target="../drawings/vmlDrawing416.vml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7.xml"/><Relationship Id="rId1" Type="http://schemas.openxmlformats.org/officeDocument/2006/relationships/vmlDrawing" Target="../drawings/vmlDrawing417.vml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8.xml"/><Relationship Id="rId1" Type="http://schemas.openxmlformats.org/officeDocument/2006/relationships/vmlDrawing" Target="../drawings/vmlDrawing418.vml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9.xml"/><Relationship Id="rId1" Type="http://schemas.openxmlformats.org/officeDocument/2006/relationships/vmlDrawing" Target="../drawings/vmlDrawing419.vml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0.xml"/><Relationship Id="rId1" Type="http://schemas.openxmlformats.org/officeDocument/2006/relationships/vmlDrawing" Target="../drawings/vmlDrawing420.vml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1.xml"/><Relationship Id="rId1" Type="http://schemas.openxmlformats.org/officeDocument/2006/relationships/vmlDrawing" Target="../drawings/vmlDrawing421.vml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2.xml"/><Relationship Id="rId1" Type="http://schemas.openxmlformats.org/officeDocument/2006/relationships/vmlDrawing" Target="../drawings/vmlDrawing422.vml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3.xml"/><Relationship Id="rId1" Type="http://schemas.openxmlformats.org/officeDocument/2006/relationships/vmlDrawing" Target="../drawings/vmlDrawing423.vml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4.xml"/><Relationship Id="rId1" Type="http://schemas.openxmlformats.org/officeDocument/2006/relationships/vmlDrawing" Target="../drawings/vmlDrawing424.vml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5.xml"/><Relationship Id="rId1" Type="http://schemas.openxmlformats.org/officeDocument/2006/relationships/vmlDrawing" Target="../drawings/vmlDrawing425.vml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6.xml"/><Relationship Id="rId1" Type="http://schemas.openxmlformats.org/officeDocument/2006/relationships/vmlDrawing" Target="../drawings/vmlDrawing426.vml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7.xml"/><Relationship Id="rId1" Type="http://schemas.openxmlformats.org/officeDocument/2006/relationships/vmlDrawing" Target="../drawings/vmlDrawing427.vml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8.xml"/><Relationship Id="rId1" Type="http://schemas.openxmlformats.org/officeDocument/2006/relationships/vmlDrawing" Target="../drawings/vmlDrawing428.vml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9.xml"/><Relationship Id="rId1" Type="http://schemas.openxmlformats.org/officeDocument/2006/relationships/vmlDrawing" Target="../drawings/vmlDrawing429.vml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0.xml"/><Relationship Id="rId1" Type="http://schemas.openxmlformats.org/officeDocument/2006/relationships/vmlDrawing" Target="../drawings/vmlDrawing430.vml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1.xml"/><Relationship Id="rId1" Type="http://schemas.openxmlformats.org/officeDocument/2006/relationships/vmlDrawing" Target="../drawings/vmlDrawing431.vml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2.xml"/><Relationship Id="rId1" Type="http://schemas.openxmlformats.org/officeDocument/2006/relationships/vmlDrawing" Target="../drawings/vmlDrawing432.vml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3.xml"/><Relationship Id="rId1" Type="http://schemas.openxmlformats.org/officeDocument/2006/relationships/vmlDrawing" Target="../drawings/vmlDrawing433.vml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4.xml"/><Relationship Id="rId1" Type="http://schemas.openxmlformats.org/officeDocument/2006/relationships/vmlDrawing" Target="../drawings/vmlDrawing434.vml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5.xml"/><Relationship Id="rId1" Type="http://schemas.openxmlformats.org/officeDocument/2006/relationships/vmlDrawing" Target="../drawings/vmlDrawing435.vml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6.xml"/><Relationship Id="rId1" Type="http://schemas.openxmlformats.org/officeDocument/2006/relationships/vmlDrawing" Target="../drawings/vmlDrawing436.vml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7.xml"/><Relationship Id="rId1" Type="http://schemas.openxmlformats.org/officeDocument/2006/relationships/vmlDrawing" Target="../drawings/vmlDrawing437.vml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8.xml"/><Relationship Id="rId1" Type="http://schemas.openxmlformats.org/officeDocument/2006/relationships/vmlDrawing" Target="../drawings/vmlDrawing438.vml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9.xml"/><Relationship Id="rId1" Type="http://schemas.openxmlformats.org/officeDocument/2006/relationships/vmlDrawing" Target="../drawings/vmlDrawing439.vml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0.xml"/><Relationship Id="rId1" Type="http://schemas.openxmlformats.org/officeDocument/2006/relationships/vmlDrawing" Target="../drawings/vmlDrawing440.vml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1.xml"/><Relationship Id="rId1" Type="http://schemas.openxmlformats.org/officeDocument/2006/relationships/vmlDrawing" Target="../drawings/vmlDrawing441.vml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2.xml"/><Relationship Id="rId1" Type="http://schemas.openxmlformats.org/officeDocument/2006/relationships/vmlDrawing" Target="../drawings/vmlDrawing442.vml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3.xml"/><Relationship Id="rId1" Type="http://schemas.openxmlformats.org/officeDocument/2006/relationships/vmlDrawing" Target="../drawings/vmlDrawing443.vml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4.xml"/><Relationship Id="rId1" Type="http://schemas.openxmlformats.org/officeDocument/2006/relationships/vmlDrawing" Target="../drawings/vmlDrawing444.vml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5.xml"/><Relationship Id="rId1" Type="http://schemas.openxmlformats.org/officeDocument/2006/relationships/vmlDrawing" Target="../drawings/vmlDrawing445.vml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6.xml"/><Relationship Id="rId1" Type="http://schemas.openxmlformats.org/officeDocument/2006/relationships/vmlDrawing" Target="../drawings/vmlDrawing446.vml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7.xml"/><Relationship Id="rId1" Type="http://schemas.openxmlformats.org/officeDocument/2006/relationships/vmlDrawing" Target="../drawings/vmlDrawing447.vml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8.xml"/><Relationship Id="rId1" Type="http://schemas.openxmlformats.org/officeDocument/2006/relationships/vmlDrawing" Target="../drawings/vmlDrawing448.vml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9.xml"/><Relationship Id="rId1" Type="http://schemas.openxmlformats.org/officeDocument/2006/relationships/vmlDrawing" Target="../drawings/vmlDrawing449.vml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0.xml"/><Relationship Id="rId1" Type="http://schemas.openxmlformats.org/officeDocument/2006/relationships/vmlDrawing" Target="../drawings/vmlDrawing450.vml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1.xml"/><Relationship Id="rId1" Type="http://schemas.openxmlformats.org/officeDocument/2006/relationships/vmlDrawing" Target="../drawings/vmlDrawing451.vml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2.xml"/><Relationship Id="rId1" Type="http://schemas.openxmlformats.org/officeDocument/2006/relationships/vmlDrawing" Target="../drawings/vmlDrawing452.vml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3.xml"/><Relationship Id="rId1" Type="http://schemas.openxmlformats.org/officeDocument/2006/relationships/vmlDrawing" Target="../drawings/vmlDrawing453.vml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4.xml"/><Relationship Id="rId1" Type="http://schemas.openxmlformats.org/officeDocument/2006/relationships/vmlDrawing" Target="../drawings/vmlDrawing454.vml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5.xml"/><Relationship Id="rId1" Type="http://schemas.openxmlformats.org/officeDocument/2006/relationships/vmlDrawing" Target="../drawings/vmlDrawing455.vml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6.xml"/><Relationship Id="rId1" Type="http://schemas.openxmlformats.org/officeDocument/2006/relationships/vmlDrawing" Target="../drawings/vmlDrawing456.vml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7.xml"/><Relationship Id="rId1" Type="http://schemas.openxmlformats.org/officeDocument/2006/relationships/vmlDrawing" Target="../drawings/vmlDrawing457.vml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8.xml"/><Relationship Id="rId1" Type="http://schemas.openxmlformats.org/officeDocument/2006/relationships/vmlDrawing" Target="../drawings/vmlDrawing458.vml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9.xml"/><Relationship Id="rId1" Type="http://schemas.openxmlformats.org/officeDocument/2006/relationships/vmlDrawing" Target="../drawings/vmlDrawing459.vml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0.xml"/><Relationship Id="rId1" Type="http://schemas.openxmlformats.org/officeDocument/2006/relationships/vmlDrawing" Target="../drawings/vmlDrawing460.v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1.xml"/><Relationship Id="rId1" Type="http://schemas.openxmlformats.org/officeDocument/2006/relationships/vmlDrawing" Target="../drawings/vmlDrawing461.vml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2.xml"/><Relationship Id="rId1" Type="http://schemas.openxmlformats.org/officeDocument/2006/relationships/vmlDrawing" Target="../drawings/vmlDrawing462.vml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3.xml"/><Relationship Id="rId1" Type="http://schemas.openxmlformats.org/officeDocument/2006/relationships/vmlDrawing" Target="../drawings/vmlDrawing463.vml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4.xml"/><Relationship Id="rId1" Type="http://schemas.openxmlformats.org/officeDocument/2006/relationships/vmlDrawing" Target="../drawings/vmlDrawing464.vml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5.xml"/><Relationship Id="rId1" Type="http://schemas.openxmlformats.org/officeDocument/2006/relationships/vmlDrawing" Target="../drawings/vmlDrawing465.vml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6.xml"/><Relationship Id="rId1" Type="http://schemas.openxmlformats.org/officeDocument/2006/relationships/vmlDrawing" Target="../drawings/vmlDrawing466.vml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7.xml"/><Relationship Id="rId1" Type="http://schemas.openxmlformats.org/officeDocument/2006/relationships/vmlDrawing" Target="../drawings/vmlDrawing467.vml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8.xml"/><Relationship Id="rId1" Type="http://schemas.openxmlformats.org/officeDocument/2006/relationships/vmlDrawing" Target="../drawings/vmlDrawing468.vml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9.xml"/><Relationship Id="rId1" Type="http://schemas.openxmlformats.org/officeDocument/2006/relationships/vmlDrawing" Target="../drawings/vmlDrawing469.vml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0.xml"/><Relationship Id="rId1" Type="http://schemas.openxmlformats.org/officeDocument/2006/relationships/vmlDrawing" Target="../drawings/vmlDrawing470.vml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1.xml"/><Relationship Id="rId1" Type="http://schemas.openxmlformats.org/officeDocument/2006/relationships/vmlDrawing" Target="../drawings/vmlDrawing471.vml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2.xml"/><Relationship Id="rId1" Type="http://schemas.openxmlformats.org/officeDocument/2006/relationships/vmlDrawing" Target="../drawings/vmlDrawing472.vml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3.xml"/><Relationship Id="rId1" Type="http://schemas.openxmlformats.org/officeDocument/2006/relationships/vmlDrawing" Target="../drawings/vmlDrawing473.vml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4.xml"/><Relationship Id="rId1" Type="http://schemas.openxmlformats.org/officeDocument/2006/relationships/vmlDrawing" Target="../drawings/vmlDrawing474.vml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5.xml"/><Relationship Id="rId1" Type="http://schemas.openxmlformats.org/officeDocument/2006/relationships/vmlDrawing" Target="../drawings/vmlDrawing475.vml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6.xml"/><Relationship Id="rId1" Type="http://schemas.openxmlformats.org/officeDocument/2006/relationships/vmlDrawing" Target="../drawings/vmlDrawing476.vml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7.xml"/><Relationship Id="rId1" Type="http://schemas.openxmlformats.org/officeDocument/2006/relationships/vmlDrawing" Target="../drawings/vmlDrawing477.vml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8.xml"/><Relationship Id="rId1" Type="http://schemas.openxmlformats.org/officeDocument/2006/relationships/vmlDrawing" Target="../drawings/vmlDrawing478.vml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9.xml"/><Relationship Id="rId1" Type="http://schemas.openxmlformats.org/officeDocument/2006/relationships/vmlDrawing" Target="../drawings/vmlDrawing479.vml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0.xml"/><Relationship Id="rId1" Type="http://schemas.openxmlformats.org/officeDocument/2006/relationships/vmlDrawing" Target="../drawings/vmlDrawing480.vml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1.xml"/><Relationship Id="rId1" Type="http://schemas.openxmlformats.org/officeDocument/2006/relationships/vmlDrawing" Target="../drawings/vmlDrawing481.vml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2.xml"/><Relationship Id="rId1" Type="http://schemas.openxmlformats.org/officeDocument/2006/relationships/vmlDrawing" Target="../drawings/vmlDrawing482.vml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3.xml"/><Relationship Id="rId1" Type="http://schemas.openxmlformats.org/officeDocument/2006/relationships/vmlDrawing" Target="../drawings/vmlDrawing483.vml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4.xml"/><Relationship Id="rId1" Type="http://schemas.openxmlformats.org/officeDocument/2006/relationships/vmlDrawing" Target="../drawings/vmlDrawing484.vml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5.xml"/><Relationship Id="rId1" Type="http://schemas.openxmlformats.org/officeDocument/2006/relationships/vmlDrawing" Target="../drawings/vmlDrawing485.vml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6.xml"/><Relationship Id="rId1" Type="http://schemas.openxmlformats.org/officeDocument/2006/relationships/vmlDrawing" Target="../drawings/vmlDrawing486.vml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7.xml"/><Relationship Id="rId1" Type="http://schemas.openxmlformats.org/officeDocument/2006/relationships/vmlDrawing" Target="../drawings/vmlDrawing487.vml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8.xml"/><Relationship Id="rId1" Type="http://schemas.openxmlformats.org/officeDocument/2006/relationships/vmlDrawing" Target="../drawings/vmlDrawing488.vml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9.xml"/><Relationship Id="rId1" Type="http://schemas.openxmlformats.org/officeDocument/2006/relationships/vmlDrawing" Target="../drawings/vmlDrawing489.vml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0.xml"/><Relationship Id="rId1" Type="http://schemas.openxmlformats.org/officeDocument/2006/relationships/vmlDrawing" Target="../drawings/vmlDrawing490.vml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1.xml"/><Relationship Id="rId1" Type="http://schemas.openxmlformats.org/officeDocument/2006/relationships/vmlDrawing" Target="../drawings/vmlDrawing491.vml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2.xml"/><Relationship Id="rId1" Type="http://schemas.openxmlformats.org/officeDocument/2006/relationships/vmlDrawing" Target="../drawings/vmlDrawing492.vml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3.xml"/><Relationship Id="rId1" Type="http://schemas.openxmlformats.org/officeDocument/2006/relationships/vmlDrawing" Target="../drawings/vmlDrawing493.vml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4.xml"/><Relationship Id="rId1" Type="http://schemas.openxmlformats.org/officeDocument/2006/relationships/vmlDrawing" Target="../drawings/vmlDrawing494.vml"/></Relationships>
</file>

<file path=xl/worksheets/_rels/sheet4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5.xml"/><Relationship Id="rId1" Type="http://schemas.openxmlformats.org/officeDocument/2006/relationships/vmlDrawing" Target="../drawings/vmlDrawing495.vml"/></Relationships>
</file>

<file path=xl/worksheets/_rels/sheet4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6.xml"/><Relationship Id="rId1" Type="http://schemas.openxmlformats.org/officeDocument/2006/relationships/vmlDrawing" Target="../drawings/vmlDrawing496.vml"/></Relationships>
</file>

<file path=xl/worksheets/_rels/sheet4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7.xml"/><Relationship Id="rId1" Type="http://schemas.openxmlformats.org/officeDocument/2006/relationships/vmlDrawing" Target="../drawings/vmlDrawing497.vml"/></Relationships>
</file>

<file path=xl/worksheets/_rels/sheet4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8.xml"/><Relationship Id="rId1" Type="http://schemas.openxmlformats.org/officeDocument/2006/relationships/vmlDrawing" Target="../drawings/vmlDrawing498.vml"/></Relationships>
</file>

<file path=xl/worksheets/_rels/sheet4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9.xml"/><Relationship Id="rId1" Type="http://schemas.openxmlformats.org/officeDocument/2006/relationships/vmlDrawing" Target="../drawings/vmlDrawing499.vml"/></Relationships>
</file>

<file path=xl/worksheets/_rels/sheet5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0.xml"/><Relationship Id="rId1" Type="http://schemas.openxmlformats.org/officeDocument/2006/relationships/vmlDrawing" Target="../drawings/vmlDrawing500.vml"/></Relationships>
</file>

<file path=xl/worksheets/_rels/sheet5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1.xml"/><Relationship Id="rId1" Type="http://schemas.openxmlformats.org/officeDocument/2006/relationships/vmlDrawing" Target="../drawings/vmlDrawing501.vml"/></Relationships>
</file>

<file path=xl/worksheets/_rels/sheet5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2.xml"/><Relationship Id="rId1" Type="http://schemas.openxmlformats.org/officeDocument/2006/relationships/vmlDrawing" Target="../drawings/vmlDrawing502.vml"/></Relationships>
</file>

<file path=xl/worksheets/_rels/sheet5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3.xml"/><Relationship Id="rId1" Type="http://schemas.openxmlformats.org/officeDocument/2006/relationships/vmlDrawing" Target="../drawings/vmlDrawing503.vml"/></Relationships>
</file>

<file path=xl/worksheets/_rels/sheet5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4.xml"/><Relationship Id="rId1" Type="http://schemas.openxmlformats.org/officeDocument/2006/relationships/vmlDrawing" Target="../drawings/vmlDrawing50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  <pageSetUpPr fitToPage="1"/>
  </sheetPr>
  <dimension ref="B1:AQ65"/>
  <sheetViews>
    <sheetView view="pageBreakPreview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44348</v>
      </c>
    </row>
    <row r="3" spans="2:42" ht="18.75" customHeight="1" thickBot="1" x14ac:dyDescent="0.35">
      <c r="B3" t="s">
        <v>1</v>
      </c>
      <c r="C3" s="3">
        <f>C2+1</f>
        <v>44349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3084</v>
      </c>
      <c r="E6" s="18" t="s">
        <v>22</v>
      </c>
      <c r="F6" s="119">
        <v>18858.970250000009</v>
      </c>
      <c r="G6" s="117">
        <v>14913.88787418</v>
      </c>
      <c r="H6" s="117">
        <v>86736.370619468842</v>
      </c>
      <c r="I6" s="19">
        <f>H6+G6</f>
        <v>101650.25849364884</v>
      </c>
      <c r="J6" s="119">
        <v>19477</v>
      </c>
      <c r="K6" s="117">
        <v>16664.550124999991</v>
      </c>
      <c r="L6" s="117">
        <v>12945.71348624</v>
      </c>
      <c r="M6" s="19">
        <f>L6+K6</f>
        <v>29610.263611239992</v>
      </c>
      <c r="N6" s="85"/>
      <c r="O6" s="85"/>
      <c r="P6" s="92"/>
      <c r="Q6" s="20">
        <f>J6-P6</f>
        <v>19477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2321</v>
      </c>
      <c r="E8" s="29" t="s">
        <v>27</v>
      </c>
      <c r="F8" s="119">
        <v>6711.5475000000006</v>
      </c>
      <c r="G8" s="117">
        <v>1537.3857634999999</v>
      </c>
      <c r="H8" s="117">
        <v>40595.35</v>
      </c>
      <c r="I8" s="19">
        <f>H8+G8</f>
        <v>42132.735763500001</v>
      </c>
      <c r="J8" s="119">
        <v>15677</v>
      </c>
      <c r="K8" s="117">
        <v>6741.5895</v>
      </c>
      <c r="L8" s="117">
        <v>1493.1384524</v>
      </c>
      <c r="M8" s="19">
        <f>L8+K8</f>
        <v>8234.7279524000005</v>
      </c>
      <c r="N8" s="87"/>
      <c r="O8" s="87"/>
      <c r="P8" s="92"/>
      <c r="Q8" s="20">
        <f>J8-P8</f>
        <v>15677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1483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2044</v>
      </c>
      <c r="E10" s="18" t="s">
        <v>31</v>
      </c>
      <c r="F10" s="119">
        <v>6981.9192500000008</v>
      </c>
      <c r="G10" s="117">
        <v>1813.1341625</v>
      </c>
      <c r="H10" s="117">
        <v>24949.950762857661</v>
      </c>
      <c r="I10" s="19">
        <f>H10+G10</f>
        <v>26763.08492535766</v>
      </c>
      <c r="J10" s="119">
        <v>12994</v>
      </c>
      <c r="K10" s="117">
        <v>9193.1297500000001</v>
      </c>
      <c r="L10" s="117">
        <v>1647.6545325</v>
      </c>
      <c r="M10" s="19">
        <f>L10+K10</f>
        <v>10840.784282500001</v>
      </c>
      <c r="N10" s="88"/>
      <c r="O10" s="88"/>
      <c r="P10" s="92"/>
      <c r="Q10" s="20">
        <f>J10-P10</f>
        <v>12994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2044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1621</v>
      </c>
      <c r="E12" s="29" t="s">
        <v>35</v>
      </c>
      <c r="F12" s="119">
        <v>14706.8015</v>
      </c>
      <c r="G12" s="117">
        <v>13111.90772506</v>
      </c>
      <c r="H12" s="117">
        <v>43809.407317688951</v>
      </c>
      <c r="I12" s="19">
        <f>H12+G12</f>
        <v>56921.315042748953</v>
      </c>
      <c r="J12" s="119">
        <v>13701</v>
      </c>
      <c r="K12" s="117">
        <v>15300.1625</v>
      </c>
      <c r="L12" s="117">
        <v>12961.082324380001</v>
      </c>
      <c r="M12" s="19">
        <f>L12+K12</f>
        <v>28261.244824380003</v>
      </c>
      <c r="N12" s="88"/>
      <c r="O12" s="88"/>
      <c r="P12" s="92"/>
      <c r="Q12" s="20">
        <f>J12-P12</f>
        <v>13701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4941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10503</v>
      </c>
      <c r="E14" s="18" t="s">
        <v>39</v>
      </c>
      <c r="F14" s="119">
        <v>19432.875</v>
      </c>
      <c r="G14" s="117">
        <v>23959.966464819991</v>
      </c>
      <c r="H14" s="117">
        <v>46453.380000000063</v>
      </c>
      <c r="I14" s="19">
        <f>H14+G14</f>
        <v>70413.346464820061</v>
      </c>
      <c r="J14" s="119">
        <v>23949</v>
      </c>
      <c r="K14" s="117">
        <v>34520.625</v>
      </c>
      <c r="L14" s="117">
        <v>39899.68224573999</v>
      </c>
      <c r="M14" s="19">
        <f>L14+K14</f>
        <v>74420.307245739998</v>
      </c>
      <c r="N14" s="88"/>
      <c r="O14" s="88"/>
      <c r="P14" s="92"/>
      <c r="Q14" s="20">
        <f>J14-P14</f>
        <v>23949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25533</v>
      </c>
      <c r="E16" s="84"/>
      <c r="F16" s="31">
        <f t="shared" ref="F16:N16" si="0">SUM(F6:F15)</f>
        <v>66692.113500000007</v>
      </c>
      <c r="G16" s="31">
        <f t="shared" si="0"/>
        <v>55336.281990059986</v>
      </c>
      <c r="H16" s="31">
        <f t="shared" si="0"/>
        <v>242544.4587000155</v>
      </c>
      <c r="I16" s="32">
        <f t="shared" si="0"/>
        <v>297880.74069007556</v>
      </c>
      <c r="J16" s="33">
        <f t="shared" si="0"/>
        <v>85798</v>
      </c>
      <c r="K16" s="33">
        <f t="shared" si="0"/>
        <v>82420.05687499998</v>
      </c>
      <c r="L16" s="33">
        <f t="shared" si="0"/>
        <v>68947.271041259984</v>
      </c>
      <c r="M16" s="33">
        <f t="shared" si="0"/>
        <v>151367.32791625999</v>
      </c>
      <c r="N16" s="31">
        <f t="shared" si="0"/>
        <v>0</v>
      </c>
      <c r="O16" s="31">
        <f>SUM(O14,O12,O10,O8,O6)</f>
        <v>0</v>
      </c>
      <c r="P16" s="34">
        <f>SUM(P6:P15)</f>
        <v>0</v>
      </c>
      <c r="Q16" s="34">
        <f>SUM(Q6:Q15)</f>
        <v>85798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8987</v>
      </c>
      <c r="S20" s="36"/>
      <c r="T20" s="35">
        <v>12107</v>
      </c>
      <c r="U20" s="36"/>
      <c r="V20" s="35">
        <v>18221</v>
      </c>
      <c r="W20" s="36"/>
      <c r="X20" s="35">
        <v>24235</v>
      </c>
      <c r="Y20" s="36"/>
      <c r="Z20" s="35">
        <v>29985</v>
      </c>
      <c r="AA20" s="36"/>
      <c r="AB20" s="35">
        <v>31007</v>
      </c>
      <c r="AC20" s="37"/>
      <c r="AD20" s="35">
        <v>31007</v>
      </c>
      <c r="AE20" s="37">
        <v>-59145</v>
      </c>
    </row>
    <row r="21" spans="2:43" ht="15" customHeight="1" thickBot="1" x14ac:dyDescent="0.35">
      <c r="B21" s="16" t="s">
        <v>50</v>
      </c>
      <c r="C21" s="17">
        <v>9301</v>
      </c>
      <c r="L21" s="4"/>
      <c r="M21" s="4"/>
      <c r="Q21" s="52"/>
      <c r="R21" s="40">
        <v>1634</v>
      </c>
      <c r="S21" s="41"/>
      <c r="T21" s="40">
        <v>2280</v>
      </c>
      <c r="U21" s="41"/>
      <c r="V21" s="40">
        <v>3162</v>
      </c>
      <c r="W21" s="41"/>
      <c r="X21" s="40">
        <v>3311</v>
      </c>
      <c r="Y21" s="41"/>
      <c r="Z21" s="40">
        <v>4591</v>
      </c>
      <c r="AA21" s="41"/>
      <c r="AB21" s="40">
        <v>4836</v>
      </c>
      <c r="AC21" s="42"/>
      <c r="AD21" s="40">
        <v>4836</v>
      </c>
      <c r="AE21" s="42"/>
    </row>
    <row r="22" spans="2:43" ht="15" customHeight="1" thickBot="1" x14ac:dyDescent="0.35">
      <c r="B22" s="16" t="s">
        <v>51</v>
      </c>
      <c r="C22" s="17">
        <v>1389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4502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L25" s="4"/>
      <c r="M25" s="4"/>
      <c r="Q25" s="62"/>
      <c r="R25" s="63">
        <f>IF(R17&gt;=0,R17-R21,"")</f>
        <v>-1634</v>
      </c>
      <c r="S25" s="64"/>
      <c r="T25" s="63">
        <f>IF(T17&gt;=0,T17-T21,"")</f>
        <v>-2280</v>
      </c>
      <c r="U25" s="64"/>
      <c r="V25" s="63">
        <f>IF(V17&gt;=0,V17-V21,"")</f>
        <v>-3162</v>
      </c>
      <c r="W25" s="64"/>
      <c r="X25" s="63">
        <f>IF(X17&gt;=0,X17-X21,"")</f>
        <v>-3311</v>
      </c>
      <c r="Y25" s="64"/>
      <c r="Z25" s="63">
        <f>IF(Z17&gt;=0,Z17-Z21,"")</f>
        <v>-4591</v>
      </c>
      <c r="AA25" s="64"/>
      <c r="AB25" s="63">
        <f>IF(AB17&gt;=0,AB17-AB21,"")</f>
        <v>-4836</v>
      </c>
      <c r="AC25" s="65"/>
      <c r="AD25" s="63">
        <f>IF(AD17&gt;=0,AD17-AD21,"")</f>
        <v>-4836</v>
      </c>
      <c r="AE25" s="65"/>
    </row>
    <row r="26" spans="2:43" ht="15" customHeight="1" thickBot="1" x14ac:dyDescent="0.35">
      <c r="L26" s="4"/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11455</v>
      </c>
      <c r="D29" s="76">
        <f>C14</f>
        <v>10503</v>
      </c>
      <c r="E29" s="77">
        <f t="shared" ref="E29:E34" si="1">D29-C29</f>
        <v>-952</v>
      </c>
      <c r="M29" s="4"/>
      <c r="O29" s="4"/>
    </row>
    <row r="30" spans="2:43" x14ac:dyDescent="0.3">
      <c r="B30" s="74" t="s">
        <v>56</v>
      </c>
      <c r="C30" s="75">
        <v>27573</v>
      </c>
      <c r="D30" s="76">
        <f>C7+C15+C16+C19+C20</f>
        <v>25533</v>
      </c>
      <c r="E30" s="77">
        <f t="shared" si="1"/>
        <v>-2040</v>
      </c>
      <c r="J30" s="53"/>
      <c r="L30" s="53"/>
      <c r="M30" s="4"/>
      <c r="O30" s="4"/>
    </row>
    <row r="31" spans="2:43" x14ac:dyDescent="0.3">
      <c r="B31" s="74" t="s">
        <v>21</v>
      </c>
      <c r="C31" s="75">
        <v>3084</v>
      </c>
      <c r="D31" s="76">
        <f>C6</f>
        <v>3084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10650</v>
      </c>
      <c r="D32" s="76">
        <f>C10+C11+C12+C13</f>
        <v>10650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15125</v>
      </c>
      <c r="D34" s="76">
        <f>C21+C22+C23</f>
        <v>15192</v>
      </c>
      <c r="E34" s="77">
        <f t="shared" si="1"/>
        <v>67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3804</v>
      </c>
      <c r="D35" s="80">
        <f>SUM(C8+C9)</f>
        <v>3804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2619</v>
      </c>
      <c r="R36" s="104"/>
      <c r="S36" s="104" t="str">
        <f t="shared" ref="S36:S65" si="2">IF(T36&gt;0,(T36-R36)/2,"")</f>
        <v/>
      </c>
      <c r="T36" s="104"/>
      <c r="U36" s="104" t="str">
        <f t="shared" ref="U36:U65" si="3">IF(V36&gt;0,(V36-T36)/2,"")</f>
        <v/>
      </c>
      <c r="V36" s="104"/>
      <c r="W36" s="104" t="str">
        <f t="shared" ref="W36:W65" si="4">IF(X36&gt;0,(X36-V36)/2,"")</f>
        <v/>
      </c>
      <c r="X36" s="104"/>
      <c r="Y36" s="104" t="str">
        <f t="shared" ref="Y36:Y65" si="5">IF(Z36&gt;0,(Z36-X36)/2,"")</f>
        <v/>
      </c>
      <c r="Z36" s="104"/>
      <c r="AA36" s="104" t="str">
        <f t="shared" ref="AA36:AA65" si="6">IF(AB36&gt;0,(AB36-Z36)/2,"")</f>
        <v/>
      </c>
      <c r="AB36" s="104"/>
      <c r="AC36" s="104" t="str">
        <f t="shared" ref="AC36:AC65" si="7">IF(AD36&gt;0,(AD36-AB36)/2,"")</f>
        <v/>
      </c>
      <c r="AD36" s="104"/>
      <c r="AE36" s="105">
        <f t="shared" ref="AE36:AE65" si="8">AD36-Q36</f>
        <v>-2619</v>
      </c>
    </row>
    <row r="37" spans="2:31" ht="15.6" customHeight="1" x14ac:dyDescent="0.3">
      <c r="N37" s="212"/>
      <c r="O37" s="95" t="s">
        <v>66</v>
      </c>
      <c r="P37" s="106"/>
      <c r="Q37" s="106">
        <v>1453</v>
      </c>
      <c r="R37" s="106"/>
      <c r="S37" s="106" t="str">
        <f t="shared" si="2"/>
        <v/>
      </c>
      <c r="T37" s="106"/>
      <c r="U37" s="106" t="str">
        <f t="shared" si="3"/>
        <v/>
      </c>
      <c r="V37" s="106"/>
      <c r="W37" s="106" t="str">
        <f t="shared" si="4"/>
        <v/>
      </c>
      <c r="X37" s="106"/>
      <c r="Y37" s="106" t="str">
        <f t="shared" si="5"/>
        <v/>
      </c>
      <c r="Z37" s="106"/>
      <c r="AA37" s="106" t="str">
        <f t="shared" si="6"/>
        <v/>
      </c>
      <c r="AB37" s="106"/>
      <c r="AC37" s="106" t="str">
        <f t="shared" si="7"/>
        <v/>
      </c>
      <c r="AD37" s="106"/>
      <c r="AE37" s="107">
        <f t="shared" si="8"/>
        <v>-1453</v>
      </c>
    </row>
    <row r="38" spans="2:31" ht="15.6" customHeight="1" x14ac:dyDescent="0.3">
      <c r="N38" s="212"/>
      <c r="O38" s="94" t="s">
        <v>67</v>
      </c>
      <c r="P38" s="108"/>
      <c r="Q38" s="108">
        <v>2346</v>
      </c>
      <c r="R38" s="108"/>
      <c r="S38" s="108" t="str">
        <f t="shared" si="2"/>
        <v/>
      </c>
      <c r="T38" s="108"/>
      <c r="U38" s="108" t="str">
        <f t="shared" si="3"/>
        <v/>
      </c>
      <c r="V38" s="108"/>
      <c r="W38" s="108" t="str">
        <f t="shared" si="4"/>
        <v/>
      </c>
      <c r="X38" s="108"/>
      <c r="Y38" s="108" t="str">
        <f t="shared" si="5"/>
        <v/>
      </c>
      <c r="Z38" s="108"/>
      <c r="AA38" s="108" t="str">
        <f t="shared" si="6"/>
        <v/>
      </c>
      <c r="AB38" s="108"/>
      <c r="AC38" s="108" t="str">
        <f t="shared" si="7"/>
        <v/>
      </c>
      <c r="AD38" s="108"/>
      <c r="AE38" s="109">
        <f t="shared" si="8"/>
        <v>-2346</v>
      </c>
    </row>
    <row r="39" spans="2:31" ht="15.6" customHeight="1" x14ac:dyDescent="0.3">
      <c r="N39" s="212"/>
      <c r="O39" s="95" t="s">
        <v>68</v>
      </c>
      <c r="P39" s="106"/>
      <c r="Q39" s="106">
        <v>3401</v>
      </c>
      <c r="R39" s="106"/>
      <c r="S39" s="106" t="str">
        <f t="shared" si="2"/>
        <v/>
      </c>
      <c r="T39" s="106"/>
      <c r="U39" s="106" t="str">
        <f t="shared" si="3"/>
        <v/>
      </c>
      <c r="V39" s="106"/>
      <c r="W39" s="106" t="str">
        <f t="shared" si="4"/>
        <v/>
      </c>
      <c r="X39" s="106"/>
      <c r="Y39" s="106" t="str">
        <f t="shared" si="5"/>
        <v/>
      </c>
      <c r="Z39" s="106"/>
      <c r="AA39" s="106" t="str">
        <f t="shared" si="6"/>
        <v/>
      </c>
      <c r="AB39" s="106"/>
      <c r="AC39" s="106" t="str">
        <f t="shared" si="7"/>
        <v/>
      </c>
      <c r="AD39" s="106"/>
      <c r="AE39" s="107">
        <f t="shared" si="8"/>
        <v>-3401</v>
      </c>
    </row>
    <row r="40" spans="2:31" ht="15.6" customHeight="1" x14ac:dyDescent="0.3">
      <c r="N40" s="212"/>
      <c r="O40" s="94" t="s">
        <v>69</v>
      </c>
      <c r="P40" s="108"/>
      <c r="Q40" s="108">
        <v>1990</v>
      </c>
      <c r="R40" s="108"/>
      <c r="S40" s="108" t="str">
        <f t="shared" si="2"/>
        <v/>
      </c>
      <c r="T40" s="108"/>
      <c r="U40" s="108" t="str">
        <f t="shared" si="3"/>
        <v/>
      </c>
      <c r="V40" s="108"/>
      <c r="W40" s="108" t="str">
        <f t="shared" si="4"/>
        <v/>
      </c>
      <c r="X40" s="108"/>
      <c r="Y40" s="108" t="str">
        <f t="shared" si="5"/>
        <v/>
      </c>
      <c r="Z40" s="108"/>
      <c r="AA40" s="108" t="str">
        <f t="shared" si="6"/>
        <v/>
      </c>
      <c r="AB40" s="108"/>
      <c r="AC40" s="108" t="str">
        <f t="shared" si="7"/>
        <v/>
      </c>
      <c r="AD40" s="108"/>
      <c r="AE40" s="109">
        <f t="shared" si="8"/>
        <v>-1990</v>
      </c>
    </row>
    <row r="41" spans="2:31" ht="15.6" customHeight="1" x14ac:dyDescent="0.3">
      <c r="N41" s="212"/>
      <c r="O41" s="95" t="s">
        <v>70</v>
      </c>
      <c r="P41" s="106"/>
      <c r="Q41" s="106">
        <v>3575</v>
      </c>
      <c r="R41" s="106"/>
      <c r="S41" s="106" t="str">
        <f t="shared" si="2"/>
        <v/>
      </c>
      <c r="T41" s="106"/>
      <c r="U41" s="106" t="str">
        <f t="shared" si="3"/>
        <v/>
      </c>
      <c r="V41" s="106"/>
      <c r="W41" s="106" t="str">
        <f t="shared" si="4"/>
        <v/>
      </c>
      <c r="X41" s="106"/>
      <c r="Y41" s="106" t="str">
        <f t="shared" si="5"/>
        <v/>
      </c>
      <c r="Z41" s="106"/>
      <c r="AA41" s="106" t="str">
        <f t="shared" si="6"/>
        <v/>
      </c>
      <c r="AB41" s="106"/>
      <c r="AC41" s="106" t="str">
        <f t="shared" si="7"/>
        <v/>
      </c>
      <c r="AD41" s="106"/>
      <c r="AE41" s="107">
        <f t="shared" si="8"/>
        <v>-3575</v>
      </c>
    </row>
    <row r="42" spans="2:31" ht="15.6" customHeight="1" x14ac:dyDescent="0.3">
      <c r="N42" s="212"/>
      <c r="O42" s="94" t="s">
        <v>71</v>
      </c>
      <c r="P42" s="108"/>
      <c r="Q42" s="108">
        <v>1000</v>
      </c>
      <c r="R42" s="108"/>
      <c r="S42" s="108" t="str">
        <f t="shared" si="2"/>
        <v/>
      </c>
      <c r="T42" s="108"/>
      <c r="U42" s="108" t="str">
        <f t="shared" si="3"/>
        <v/>
      </c>
      <c r="V42" s="108"/>
      <c r="W42" s="108" t="str">
        <f t="shared" si="4"/>
        <v/>
      </c>
      <c r="X42" s="108"/>
      <c r="Y42" s="108" t="str">
        <f t="shared" si="5"/>
        <v/>
      </c>
      <c r="Z42" s="108"/>
      <c r="AA42" s="108" t="str">
        <f t="shared" si="6"/>
        <v/>
      </c>
      <c r="AB42" s="108"/>
      <c r="AC42" s="108" t="str">
        <f t="shared" si="7"/>
        <v/>
      </c>
      <c r="AD42" s="108"/>
      <c r="AE42" s="109">
        <f t="shared" si="8"/>
        <v>-1000</v>
      </c>
    </row>
    <row r="43" spans="2:31" ht="15.6" customHeight="1" x14ac:dyDescent="0.3">
      <c r="N43" s="212"/>
      <c r="O43" s="95" t="s">
        <v>72</v>
      </c>
      <c r="P43" s="106"/>
      <c r="Q43" s="106">
        <v>1641</v>
      </c>
      <c r="R43" s="106"/>
      <c r="S43" s="106" t="str">
        <f t="shared" si="2"/>
        <v/>
      </c>
      <c r="T43" s="106"/>
      <c r="U43" s="106" t="str">
        <f t="shared" si="3"/>
        <v/>
      </c>
      <c r="V43" s="106"/>
      <c r="W43" s="106" t="str">
        <f t="shared" si="4"/>
        <v/>
      </c>
      <c r="X43" s="106"/>
      <c r="Y43" s="106" t="str">
        <f t="shared" si="5"/>
        <v/>
      </c>
      <c r="Z43" s="106"/>
      <c r="AA43" s="106" t="str">
        <f t="shared" si="6"/>
        <v/>
      </c>
      <c r="AB43" s="106"/>
      <c r="AC43" s="106" t="str">
        <f t="shared" si="7"/>
        <v/>
      </c>
      <c r="AD43" s="106"/>
      <c r="AE43" s="107">
        <f t="shared" si="8"/>
        <v>-1641</v>
      </c>
    </row>
    <row r="44" spans="2:31" ht="15.6" customHeight="1" thickBot="1" x14ac:dyDescent="0.35">
      <c r="N44" s="213"/>
      <c r="O44" s="97" t="s">
        <v>73</v>
      </c>
      <c r="P44" s="110"/>
      <c r="Q44" s="110">
        <v>1452</v>
      </c>
      <c r="R44" s="110"/>
      <c r="S44" s="110" t="str">
        <f t="shared" si="2"/>
        <v/>
      </c>
      <c r="T44" s="110"/>
      <c r="U44" s="110" t="str">
        <f t="shared" si="3"/>
        <v/>
      </c>
      <c r="V44" s="110"/>
      <c r="W44" s="110" t="str">
        <f t="shared" si="4"/>
        <v/>
      </c>
      <c r="X44" s="110"/>
      <c r="Y44" s="110" t="str">
        <f t="shared" si="5"/>
        <v/>
      </c>
      <c r="Z44" s="110"/>
      <c r="AA44" s="110" t="str">
        <f t="shared" si="6"/>
        <v/>
      </c>
      <c r="AB44" s="110"/>
      <c r="AC44" s="110" t="str">
        <f t="shared" si="7"/>
        <v/>
      </c>
      <c r="AD44" s="110"/>
      <c r="AE44" s="111">
        <f t="shared" si="8"/>
        <v>-1452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5022</v>
      </c>
      <c r="R45" s="112"/>
      <c r="S45" s="112" t="str">
        <f t="shared" si="2"/>
        <v/>
      </c>
      <c r="T45" s="112"/>
      <c r="U45" s="112" t="str">
        <f t="shared" si="3"/>
        <v/>
      </c>
      <c r="V45" s="112"/>
      <c r="W45" s="112" t="str">
        <f t="shared" si="4"/>
        <v/>
      </c>
      <c r="X45" s="112"/>
      <c r="Y45" s="112" t="str">
        <f t="shared" si="5"/>
        <v/>
      </c>
      <c r="Z45" s="112"/>
      <c r="AA45" s="112" t="str">
        <f t="shared" si="6"/>
        <v/>
      </c>
      <c r="AB45" s="112"/>
      <c r="AC45" s="112" t="str">
        <f t="shared" si="7"/>
        <v/>
      </c>
      <c r="AD45" s="112"/>
      <c r="AE45" s="113">
        <f t="shared" si="8"/>
        <v>-5022</v>
      </c>
    </row>
    <row r="46" spans="2:31" ht="15.6" customHeight="1" x14ac:dyDescent="0.3">
      <c r="N46" s="212"/>
      <c r="O46" s="94" t="s">
        <v>66</v>
      </c>
      <c r="P46" s="108"/>
      <c r="Q46" s="108">
        <v>3754</v>
      </c>
      <c r="R46" s="108"/>
      <c r="S46" s="108" t="str">
        <f t="shared" si="2"/>
        <v/>
      </c>
      <c r="T46" s="108"/>
      <c r="U46" s="108" t="str">
        <f t="shared" si="3"/>
        <v/>
      </c>
      <c r="V46" s="108"/>
      <c r="W46" s="108" t="str">
        <f t="shared" si="4"/>
        <v/>
      </c>
      <c r="X46" s="108"/>
      <c r="Y46" s="108" t="str">
        <f t="shared" si="5"/>
        <v/>
      </c>
      <c r="Z46" s="108"/>
      <c r="AA46" s="108" t="str">
        <f t="shared" si="6"/>
        <v/>
      </c>
      <c r="AB46" s="108"/>
      <c r="AC46" s="108" t="str">
        <f t="shared" si="7"/>
        <v/>
      </c>
      <c r="AD46" s="108"/>
      <c r="AE46" s="109">
        <f t="shared" si="8"/>
        <v>-3754</v>
      </c>
    </row>
    <row r="47" spans="2:31" ht="15.6" customHeight="1" x14ac:dyDescent="0.3">
      <c r="N47" s="212"/>
      <c r="O47" s="95" t="s">
        <v>67</v>
      </c>
      <c r="P47" s="106"/>
      <c r="Q47" s="106">
        <v>2481</v>
      </c>
      <c r="R47" s="106"/>
      <c r="S47" s="106" t="str">
        <f t="shared" si="2"/>
        <v/>
      </c>
      <c r="T47" s="106"/>
      <c r="U47" s="106" t="str">
        <f t="shared" si="3"/>
        <v/>
      </c>
      <c r="V47" s="106"/>
      <c r="W47" s="106" t="str">
        <f t="shared" si="4"/>
        <v/>
      </c>
      <c r="X47" s="106"/>
      <c r="Y47" s="106" t="str">
        <f t="shared" si="5"/>
        <v/>
      </c>
      <c r="Z47" s="106"/>
      <c r="AA47" s="106" t="str">
        <f t="shared" si="6"/>
        <v/>
      </c>
      <c r="AB47" s="106"/>
      <c r="AC47" s="106" t="str">
        <f t="shared" si="7"/>
        <v/>
      </c>
      <c r="AD47" s="106"/>
      <c r="AE47" s="107">
        <f t="shared" si="8"/>
        <v>-2481</v>
      </c>
    </row>
    <row r="48" spans="2:31" ht="15.6" customHeight="1" thickBot="1" x14ac:dyDescent="0.35">
      <c r="N48" s="213"/>
      <c r="O48" s="97" t="s">
        <v>68</v>
      </c>
      <c r="P48" s="110"/>
      <c r="Q48" s="110">
        <v>4420</v>
      </c>
      <c r="R48" s="110"/>
      <c r="S48" s="110" t="str">
        <f t="shared" si="2"/>
        <v/>
      </c>
      <c r="T48" s="110"/>
      <c r="U48" s="110" t="str">
        <f t="shared" si="3"/>
        <v/>
      </c>
      <c r="V48" s="110"/>
      <c r="W48" s="110" t="str">
        <f t="shared" si="4"/>
        <v/>
      </c>
      <c r="X48" s="110"/>
      <c r="Y48" s="110" t="str">
        <f t="shared" si="5"/>
        <v/>
      </c>
      <c r="Z48" s="110"/>
      <c r="AA48" s="110" t="str">
        <f t="shared" si="6"/>
        <v/>
      </c>
      <c r="AB48" s="110"/>
      <c r="AC48" s="110" t="str">
        <f t="shared" si="7"/>
        <v/>
      </c>
      <c r="AD48" s="110"/>
      <c r="AE48" s="111">
        <f t="shared" si="8"/>
        <v>-4420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421</v>
      </c>
      <c r="R49" s="112"/>
      <c r="S49" s="112" t="str">
        <f t="shared" si="2"/>
        <v/>
      </c>
      <c r="T49" s="112"/>
      <c r="U49" s="112" t="str">
        <f t="shared" si="3"/>
        <v/>
      </c>
      <c r="V49" s="112"/>
      <c r="W49" s="112" t="str">
        <f t="shared" si="4"/>
        <v/>
      </c>
      <c r="X49" s="112"/>
      <c r="Y49" s="112" t="str">
        <f t="shared" si="5"/>
        <v/>
      </c>
      <c r="Z49" s="112"/>
      <c r="AA49" s="112" t="str">
        <f t="shared" si="6"/>
        <v/>
      </c>
      <c r="AB49" s="112"/>
      <c r="AC49" s="112" t="str">
        <f t="shared" si="7"/>
        <v/>
      </c>
      <c r="AD49" s="112"/>
      <c r="AE49" s="113">
        <f t="shared" si="8"/>
        <v>-421</v>
      </c>
    </row>
    <row r="50" spans="14:31" ht="15.6" customHeight="1" x14ac:dyDescent="0.3">
      <c r="N50" s="212"/>
      <c r="O50" s="94" t="s">
        <v>66</v>
      </c>
      <c r="P50" s="108"/>
      <c r="Q50" s="108">
        <v>278</v>
      </c>
      <c r="R50" s="108"/>
      <c r="S50" s="108" t="str">
        <f t="shared" si="2"/>
        <v/>
      </c>
      <c r="T50" s="108"/>
      <c r="U50" s="108" t="str">
        <f t="shared" si="3"/>
        <v/>
      </c>
      <c r="V50" s="108"/>
      <c r="W50" s="108" t="str">
        <f t="shared" si="4"/>
        <v/>
      </c>
      <c r="X50" s="108"/>
      <c r="Y50" s="108" t="str">
        <f t="shared" si="5"/>
        <v/>
      </c>
      <c r="Z50" s="108"/>
      <c r="AA50" s="108" t="str">
        <f t="shared" si="6"/>
        <v/>
      </c>
      <c r="AB50" s="108"/>
      <c r="AC50" s="108" t="str">
        <f t="shared" si="7"/>
        <v/>
      </c>
      <c r="AD50" s="108"/>
      <c r="AE50" s="109">
        <f t="shared" si="8"/>
        <v>-278</v>
      </c>
    </row>
    <row r="51" spans="14:31" ht="15.6" customHeight="1" x14ac:dyDescent="0.3">
      <c r="N51" s="212"/>
      <c r="O51" s="95" t="s">
        <v>67</v>
      </c>
      <c r="P51" s="106"/>
      <c r="Q51" s="106">
        <v>3291</v>
      </c>
      <c r="R51" s="106"/>
      <c r="S51" s="106" t="str">
        <f t="shared" si="2"/>
        <v/>
      </c>
      <c r="T51" s="106"/>
      <c r="U51" s="106" t="str">
        <f t="shared" si="3"/>
        <v/>
      </c>
      <c r="V51" s="106"/>
      <c r="W51" s="106" t="str">
        <f t="shared" si="4"/>
        <v/>
      </c>
      <c r="X51" s="106"/>
      <c r="Y51" s="106" t="str">
        <f t="shared" si="5"/>
        <v/>
      </c>
      <c r="Z51" s="106"/>
      <c r="AA51" s="106" t="str">
        <f t="shared" si="6"/>
        <v/>
      </c>
      <c r="AB51" s="106"/>
      <c r="AC51" s="106" t="str">
        <f t="shared" si="7"/>
        <v/>
      </c>
      <c r="AD51" s="106"/>
      <c r="AE51" s="107">
        <f t="shared" si="8"/>
        <v>-3291</v>
      </c>
    </row>
    <row r="52" spans="14:31" ht="15.6" customHeight="1" x14ac:dyDescent="0.3">
      <c r="N52" s="212"/>
      <c r="O52" s="94" t="s">
        <v>68</v>
      </c>
      <c r="P52" s="108"/>
      <c r="Q52" s="108">
        <v>1704</v>
      </c>
      <c r="R52" s="108"/>
      <c r="S52" s="108" t="str">
        <f t="shared" si="2"/>
        <v/>
      </c>
      <c r="T52" s="108"/>
      <c r="U52" s="108" t="str">
        <f t="shared" si="3"/>
        <v/>
      </c>
      <c r="V52" s="108"/>
      <c r="W52" s="108" t="str">
        <f t="shared" si="4"/>
        <v/>
      </c>
      <c r="X52" s="108"/>
      <c r="Y52" s="108" t="str">
        <f t="shared" si="5"/>
        <v/>
      </c>
      <c r="Z52" s="108"/>
      <c r="AA52" s="108" t="str">
        <f t="shared" si="6"/>
        <v/>
      </c>
      <c r="AB52" s="108"/>
      <c r="AC52" s="108" t="str">
        <f t="shared" si="7"/>
        <v/>
      </c>
      <c r="AD52" s="108"/>
      <c r="AE52" s="109">
        <f t="shared" si="8"/>
        <v>-1704</v>
      </c>
    </row>
    <row r="53" spans="14:31" ht="15.6" customHeight="1" x14ac:dyDescent="0.3">
      <c r="N53" s="212"/>
      <c r="O53" s="95" t="s">
        <v>69</v>
      </c>
      <c r="P53" s="106"/>
      <c r="Q53" s="106">
        <v>4673</v>
      </c>
      <c r="R53" s="106"/>
      <c r="S53" s="106" t="str">
        <f t="shared" si="2"/>
        <v/>
      </c>
      <c r="T53" s="106"/>
      <c r="U53" s="106" t="str">
        <f t="shared" si="3"/>
        <v/>
      </c>
      <c r="V53" s="106"/>
      <c r="W53" s="106" t="str">
        <f t="shared" si="4"/>
        <v/>
      </c>
      <c r="X53" s="106"/>
      <c r="Y53" s="106" t="str">
        <f t="shared" si="5"/>
        <v/>
      </c>
      <c r="Z53" s="106"/>
      <c r="AA53" s="106" t="str">
        <f t="shared" si="6"/>
        <v/>
      </c>
      <c r="AB53" s="106"/>
      <c r="AC53" s="106" t="str">
        <f t="shared" si="7"/>
        <v/>
      </c>
      <c r="AD53" s="106"/>
      <c r="AE53" s="107">
        <f t="shared" si="8"/>
        <v>-4673</v>
      </c>
    </row>
    <row r="54" spans="14:31" ht="15.6" customHeight="1" x14ac:dyDescent="0.3">
      <c r="N54" s="212"/>
      <c r="O54" s="94" t="s">
        <v>70</v>
      </c>
      <c r="P54" s="108"/>
      <c r="Q54" s="108">
        <v>1382</v>
      </c>
      <c r="R54" s="108"/>
      <c r="S54" s="108" t="str">
        <f t="shared" si="2"/>
        <v/>
      </c>
      <c r="T54" s="108"/>
      <c r="U54" s="108" t="str">
        <f t="shared" si="3"/>
        <v/>
      </c>
      <c r="V54" s="108"/>
      <c r="W54" s="108" t="str">
        <f t="shared" si="4"/>
        <v/>
      </c>
      <c r="X54" s="108"/>
      <c r="Y54" s="108" t="str">
        <f t="shared" si="5"/>
        <v/>
      </c>
      <c r="Z54" s="108"/>
      <c r="AA54" s="108" t="str">
        <f t="shared" si="6"/>
        <v/>
      </c>
      <c r="AB54" s="108"/>
      <c r="AC54" s="108" t="str">
        <f t="shared" si="7"/>
        <v/>
      </c>
      <c r="AD54" s="108"/>
      <c r="AE54" s="109">
        <f t="shared" si="8"/>
        <v>-1382</v>
      </c>
    </row>
    <row r="55" spans="14:31" ht="15.6" customHeight="1" x14ac:dyDescent="0.3">
      <c r="N55" s="212"/>
      <c r="O55" s="95" t="s">
        <v>71</v>
      </c>
      <c r="P55" s="106"/>
      <c r="Q55" s="106">
        <v>841</v>
      </c>
      <c r="R55" s="106"/>
      <c r="S55" s="106" t="str">
        <f t="shared" si="2"/>
        <v/>
      </c>
      <c r="T55" s="106"/>
      <c r="U55" s="106" t="str">
        <f t="shared" si="3"/>
        <v/>
      </c>
      <c r="V55" s="106"/>
      <c r="W55" s="106" t="str">
        <f t="shared" si="4"/>
        <v/>
      </c>
      <c r="X55" s="106"/>
      <c r="Y55" s="106" t="str">
        <f t="shared" si="5"/>
        <v/>
      </c>
      <c r="Z55" s="106"/>
      <c r="AA55" s="106" t="str">
        <f t="shared" si="6"/>
        <v/>
      </c>
      <c r="AB55" s="106"/>
      <c r="AC55" s="106" t="str">
        <f t="shared" si="7"/>
        <v/>
      </c>
      <c r="AD55" s="106"/>
      <c r="AE55" s="107">
        <f t="shared" si="8"/>
        <v>-841</v>
      </c>
    </row>
    <row r="56" spans="14:31" ht="15.6" customHeight="1" x14ac:dyDescent="0.3">
      <c r="N56" s="212"/>
      <c r="O56" s="94" t="s">
        <v>72</v>
      </c>
      <c r="P56" s="108"/>
      <c r="Q56" s="108">
        <v>389</v>
      </c>
      <c r="R56" s="108"/>
      <c r="S56" s="108" t="str">
        <f t="shared" si="2"/>
        <v/>
      </c>
      <c r="T56" s="108"/>
      <c r="U56" s="108" t="str">
        <f t="shared" si="3"/>
        <v/>
      </c>
      <c r="V56" s="108"/>
      <c r="W56" s="108" t="str">
        <f t="shared" si="4"/>
        <v/>
      </c>
      <c r="X56" s="108"/>
      <c r="Y56" s="108" t="str">
        <f t="shared" si="5"/>
        <v/>
      </c>
      <c r="Z56" s="108"/>
      <c r="AA56" s="108" t="str">
        <f t="shared" si="6"/>
        <v/>
      </c>
      <c r="AB56" s="108"/>
      <c r="AC56" s="108" t="str">
        <f t="shared" si="7"/>
        <v/>
      </c>
      <c r="AD56" s="108"/>
      <c r="AE56" s="109">
        <f t="shared" si="8"/>
        <v>-389</v>
      </c>
    </row>
    <row r="57" spans="14:31" ht="15.6" customHeight="1" thickBot="1" x14ac:dyDescent="0.35">
      <c r="N57" s="213"/>
      <c r="O57" s="99" t="s">
        <v>73</v>
      </c>
      <c r="P57" s="114"/>
      <c r="Q57" s="114">
        <v>15</v>
      </c>
      <c r="R57" s="114"/>
      <c r="S57" s="114" t="str">
        <f t="shared" si="2"/>
        <v/>
      </c>
      <c r="T57" s="114"/>
      <c r="U57" s="114" t="str">
        <f t="shared" si="3"/>
        <v/>
      </c>
      <c r="V57" s="114"/>
      <c r="W57" s="114" t="str">
        <f t="shared" si="4"/>
        <v/>
      </c>
      <c r="X57" s="114"/>
      <c r="Y57" s="114" t="str">
        <f t="shared" si="5"/>
        <v/>
      </c>
      <c r="Z57" s="114"/>
      <c r="AA57" s="114" t="str">
        <f t="shared" si="6"/>
        <v/>
      </c>
      <c r="AB57" s="114"/>
      <c r="AC57" s="114" t="str">
        <f t="shared" si="7"/>
        <v/>
      </c>
      <c r="AD57" s="114"/>
      <c r="AE57" s="115">
        <f t="shared" si="8"/>
        <v>-15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5564</v>
      </c>
      <c r="R58" s="104"/>
      <c r="S58" s="104" t="str">
        <f t="shared" si="2"/>
        <v/>
      </c>
      <c r="T58" s="104"/>
      <c r="U58" s="104" t="str">
        <f t="shared" si="3"/>
        <v/>
      </c>
      <c r="V58" s="104"/>
      <c r="W58" s="104" t="str">
        <f t="shared" si="4"/>
        <v/>
      </c>
      <c r="X58" s="104"/>
      <c r="Y58" s="104" t="str">
        <f t="shared" si="5"/>
        <v/>
      </c>
      <c r="Z58" s="104"/>
      <c r="AA58" s="104" t="str">
        <f t="shared" si="6"/>
        <v/>
      </c>
      <c r="AB58" s="104"/>
      <c r="AC58" s="104" t="str">
        <f t="shared" si="7"/>
        <v/>
      </c>
      <c r="AD58" s="104"/>
      <c r="AE58" s="105">
        <f t="shared" si="8"/>
        <v>-5564</v>
      </c>
    </row>
    <row r="59" spans="14:31" ht="15.6" customHeight="1" x14ac:dyDescent="0.3">
      <c r="N59" s="212"/>
      <c r="O59" s="95" t="s">
        <v>66</v>
      </c>
      <c r="P59" s="106"/>
      <c r="Q59" s="106">
        <v>4397</v>
      </c>
      <c r="R59" s="106"/>
      <c r="S59" s="106" t="str">
        <f t="shared" si="2"/>
        <v/>
      </c>
      <c r="T59" s="106"/>
      <c r="U59" s="106" t="str">
        <f t="shared" si="3"/>
        <v/>
      </c>
      <c r="V59" s="106"/>
      <c r="W59" s="106" t="str">
        <f t="shared" si="4"/>
        <v/>
      </c>
      <c r="X59" s="106"/>
      <c r="Y59" s="106" t="str">
        <f t="shared" si="5"/>
        <v/>
      </c>
      <c r="Z59" s="106"/>
      <c r="AA59" s="106" t="str">
        <f t="shared" si="6"/>
        <v/>
      </c>
      <c r="AB59" s="106"/>
      <c r="AC59" s="106" t="str">
        <f t="shared" si="7"/>
        <v/>
      </c>
      <c r="AD59" s="106"/>
      <c r="AE59" s="107">
        <f t="shared" si="8"/>
        <v>-4397</v>
      </c>
    </row>
    <row r="60" spans="14:31" ht="15.6" customHeight="1" x14ac:dyDescent="0.3">
      <c r="N60" s="212"/>
      <c r="O60" s="94" t="s">
        <v>67</v>
      </c>
      <c r="P60" s="108"/>
      <c r="Q60" s="108">
        <v>3740</v>
      </c>
      <c r="R60" s="108"/>
      <c r="S60" s="108" t="str">
        <f t="shared" si="2"/>
        <v/>
      </c>
      <c r="T60" s="108"/>
      <c r="U60" s="108" t="str">
        <f t="shared" si="3"/>
        <v/>
      </c>
      <c r="V60" s="108"/>
      <c r="W60" s="108" t="str">
        <f t="shared" si="4"/>
        <v/>
      </c>
      <c r="X60" s="108"/>
      <c r="Y60" s="108" t="str">
        <f t="shared" si="5"/>
        <v/>
      </c>
      <c r="Z60" s="108"/>
      <c r="AA60" s="108" t="str">
        <f t="shared" si="6"/>
        <v/>
      </c>
      <c r="AB60" s="108"/>
      <c r="AC60" s="108" t="str">
        <f t="shared" si="7"/>
        <v/>
      </c>
      <c r="AD60" s="108"/>
      <c r="AE60" s="109">
        <f t="shared" si="8"/>
        <v>-3740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/>
      <c r="S61" s="114" t="str">
        <f t="shared" si="2"/>
        <v/>
      </c>
      <c r="T61" s="114"/>
      <c r="U61" s="114" t="str">
        <f t="shared" si="3"/>
        <v/>
      </c>
      <c r="V61" s="114"/>
      <c r="W61" s="114" t="str">
        <f t="shared" si="4"/>
        <v/>
      </c>
      <c r="X61" s="114"/>
      <c r="Y61" s="114" t="str">
        <f t="shared" si="5"/>
        <v/>
      </c>
      <c r="Z61" s="114"/>
      <c r="AA61" s="114" t="str">
        <f t="shared" si="6"/>
        <v/>
      </c>
      <c r="AB61" s="114"/>
      <c r="AC61" s="114" t="str">
        <f t="shared" si="7"/>
        <v/>
      </c>
      <c r="AD61" s="114"/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6370</v>
      </c>
      <c r="R62" s="104"/>
      <c r="S62" s="104" t="str">
        <f t="shared" si="2"/>
        <v/>
      </c>
      <c r="T62" s="104"/>
      <c r="U62" s="104" t="str">
        <f t="shared" si="3"/>
        <v/>
      </c>
      <c r="V62" s="104"/>
      <c r="W62" s="104" t="str">
        <f t="shared" si="4"/>
        <v/>
      </c>
      <c r="X62" s="104"/>
      <c r="Y62" s="104" t="str">
        <f t="shared" si="5"/>
        <v/>
      </c>
      <c r="Z62" s="104"/>
      <c r="AA62" s="104" t="str">
        <f t="shared" si="6"/>
        <v/>
      </c>
      <c r="AB62" s="104"/>
      <c r="AC62" s="104" t="str">
        <f t="shared" si="7"/>
        <v/>
      </c>
      <c r="AD62" s="104"/>
      <c r="AE62" s="105">
        <f t="shared" si="8"/>
        <v>-6370</v>
      </c>
    </row>
    <row r="63" spans="14:31" ht="15.6" customHeight="1" x14ac:dyDescent="0.3">
      <c r="N63" s="212"/>
      <c r="O63" s="95" t="s">
        <v>66</v>
      </c>
      <c r="P63" s="106"/>
      <c r="Q63" s="106">
        <v>8414</v>
      </c>
      <c r="R63" s="106"/>
      <c r="S63" s="106" t="str">
        <f t="shared" si="2"/>
        <v/>
      </c>
      <c r="T63" s="106"/>
      <c r="U63" s="106" t="str">
        <f t="shared" si="3"/>
        <v/>
      </c>
      <c r="V63" s="106"/>
      <c r="W63" s="106" t="str">
        <f t="shared" si="4"/>
        <v/>
      </c>
      <c r="X63" s="106"/>
      <c r="Y63" s="106" t="str">
        <f t="shared" si="5"/>
        <v/>
      </c>
      <c r="Z63" s="106"/>
      <c r="AA63" s="106" t="str">
        <f t="shared" si="6"/>
        <v/>
      </c>
      <c r="AB63" s="106"/>
      <c r="AC63" s="106" t="str">
        <f t="shared" si="7"/>
        <v/>
      </c>
      <c r="AD63" s="106"/>
      <c r="AE63" s="107">
        <f t="shared" si="8"/>
        <v>-8414</v>
      </c>
    </row>
    <row r="64" spans="14:31" ht="15.6" customHeight="1" x14ac:dyDescent="0.3">
      <c r="N64" s="212"/>
      <c r="O64" s="94" t="s">
        <v>67</v>
      </c>
      <c r="P64" s="108"/>
      <c r="Q64" s="108">
        <v>7447</v>
      </c>
      <c r="R64" s="108"/>
      <c r="S64" s="108" t="str">
        <f t="shared" si="2"/>
        <v/>
      </c>
      <c r="T64" s="108"/>
      <c r="U64" s="108" t="str">
        <f t="shared" si="3"/>
        <v/>
      </c>
      <c r="V64" s="108"/>
      <c r="W64" s="108" t="str">
        <f t="shared" si="4"/>
        <v/>
      </c>
      <c r="X64" s="108"/>
      <c r="Y64" s="108" t="str">
        <f t="shared" si="5"/>
        <v/>
      </c>
      <c r="Z64" s="108"/>
      <c r="AA64" s="108" t="str">
        <f t="shared" si="6"/>
        <v/>
      </c>
      <c r="AB64" s="108"/>
      <c r="AC64" s="108" t="str">
        <f t="shared" si="7"/>
        <v/>
      </c>
      <c r="AD64" s="108"/>
      <c r="AE64" s="109">
        <f t="shared" si="8"/>
        <v>-7447</v>
      </c>
    </row>
    <row r="65" spans="14:31" ht="15.6" customHeight="1" thickBot="1" x14ac:dyDescent="0.35">
      <c r="N65" s="213"/>
      <c r="O65" s="99" t="s">
        <v>68</v>
      </c>
      <c r="P65" s="114"/>
      <c r="Q65" s="114">
        <v>1337</v>
      </c>
      <c r="R65" s="114"/>
      <c r="S65" s="114" t="str">
        <f t="shared" si="2"/>
        <v/>
      </c>
      <c r="T65" s="114"/>
      <c r="U65" s="114" t="str">
        <f t="shared" si="3"/>
        <v/>
      </c>
      <c r="V65" s="114"/>
      <c r="W65" s="114" t="str">
        <f t="shared" si="4"/>
        <v/>
      </c>
      <c r="X65" s="114"/>
      <c r="Y65" s="114" t="str">
        <f t="shared" si="5"/>
        <v/>
      </c>
      <c r="Z65" s="114"/>
      <c r="AA65" s="114" t="str">
        <f t="shared" si="6"/>
        <v/>
      </c>
      <c r="AB65" s="114"/>
      <c r="AC65" s="114" t="str">
        <f t="shared" si="7"/>
        <v/>
      </c>
      <c r="AD65" s="114"/>
      <c r="AE65" s="115">
        <f t="shared" si="8"/>
        <v>-1337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2003" priority="11" operator="lessThan">
      <formula>0</formula>
    </cfRule>
    <cfRule type="cellIs" dxfId="2002" priority="12" operator="greaterThan">
      <formula>0</formula>
    </cfRule>
  </conditionalFormatting>
  <conditionalFormatting sqref="R25:AC25">
    <cfRule type="cellIs" dxfId="2001" priority="9" operator="lessThan">
      <formula>0</formula>
    </cfRule>
    <cfRule type="cellIs" dxfId="2000" priority="10" operator="greaterThan">
      <formula>0</formula>
    </cfRule>
  </conditionalFormatting>
  <conditionalFormatting sqref="R26 T26 V26 X26 Z26 AB26">
    <cfRule type="cellIs" dxfId="1999" priority="7" operator="lessThan">
      <formula>0</formula>
    </cfRule>
    <cfRule type="cellIs" dxfId="1998" priority="8" operator="greaterThan">
      <formula>0</formula>
    </cfRule>
  </conditionalFormatting>
  <conditionalFormatting sqref="AD24:AE24">
    <cfRule type="cellIs" dxfId="1997" priority="5" operator="lessThan">
      <formula>0</formula>
    </cfRule>
    <cfRule type="cellIs" dxfId="1996" priority="6" operator="greaterThan">
      <formula>0</formula>
    </cfRule>
  </conditionalFormatting>
  <conditionalFormatting sqref="AD25:AE25">
    <cfRule type="cellIs" dxfId="1995" priority="3" operator="lessThan">
      <formula>0</formula>
    </cfRule>
    <cfRule type="cellIs" dxfId="1994" priority="4" operator="greaterThan">
      <formula>0</formula>
    </cfRule>
  </conditionalFormatting>
  <conditionalFormatting sqref="AD26">
    <cfRule type="cellIs" dxfId="1993" priority="1" operator="lessThan">
      <formula>0</formula>
    </cfRule>
    <cfRule type="cellIs" dxfId="19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 r:id="rId1"/>
  <rowBreaks count="1" manualBreakCount="1">
    <brk id="1" min="1" max="30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44349</v>
      </c>
    </row>
    <row r="3" spans="2:42" ht="18.75" customHeight="1" thickBot="1" x14ac:dyDescent="0.35">
      <c r="B3" t="s">
        <v>1</v>
      </c>
      <c r="C3" s="3">
        <f>C2+1</f>
        <v>44350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21128</v>
      </c>
      <c r="G6" s="117">
        <v>18583.147499999988</v>
      </c>
      <c r="H6" s="117">
        <v>14156.081837379999</v>
      </c>
      <c r="I6" s="19">
        <f>H6+G6</f>
        <v>32739.229337379988</v>
      </c>
      <c r="J6" s="119">
        <v>16586</v>
      </c>
      <c r="K6" s="117">
        <v>15035.5245</v>
      </c>
      <c r="L6" s="117">
        <v>8222.2018929800015</v>
      </c>
      <c r="M6" s="19">
        <f>L6+K6</f>
        <v>23257.726392980003</v>
      </c>
      <c r="N6" s="85"/>
      <c r="O6" s="85"/>
      <c r="P6" s="92"/>
      <c r="Q6" s="20">
        <f>J6-P6</f>
        <v>16586</v>
      </c>
      <c r="R6" s="21">
        <v>1535</v>
      </c>
      <c r="S6" s="20">
        <f>IF(R6&gt;0,(R6-R7-$Q6),"")</f>
        <v>-15051</v>
      </c>
      <c r="T6" s="21">
        <v>1704</v>
      </c>
      <c r="U6" s="20">
        <f>IF(T6&gt;0,(T6-T7-$Q6),"")</f>
        <v>-14882</v>
      </c>
      <c r="V6" s="21">
        <v>8158</v>
      </c>
      <c r="W6" s="20">
        <f>IF(V6&gt;0,(V6-V7-$Q6),"")</f>
        <v>-8484</v>
      </c>
      <c r="X6" s="21">
        <v>10477</v>
      </c>
      <c r="Y6" s="20">
        <f>IF(X6&gt;0,(X6-X7-$Q6),"")</f>
        <v>-6169</v>
      </c>
      <c r="Z6" s="21">
        <v>10477</v>
      </c>
      <c r="AA6" s="20">
        <f>IF(Z6&gt;0,(Z6-Z7-$Q6),"")</f>
        <v>-6169</v>
      </c>
      <c r="AB6" s="21">
        <v>10477</v>
      </c>
      <c r="AC6" s="22">
        <f>IF(AB6&gt;0,(AB6-AB7-$Q6),"")</f>
        <v>-6169</v>
      </c>
      <c r="AD6" s="21">
        <v>10477</v>
      </c>
      <c r="AE6" s="22">
        <f>IF(AD6&gt;0,(AD6-AD7-$Q6),"")</f>
        <v>-6169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56</v>
      </c>
      <c r="W7" s="24"/>
      <c r="X7" s="25">
        <v>60</v>
      </c>
      <c r="Y7" s="24"/>
      <c r="Z7" s="25">
        <v>60</v>
      </c>
      <c r="AA7" s="24"/>
      <c r="AB7" s="25">
        <v>60</v>
      </c>
      <c r="AC7" s="26"/>
      <c r="AD7" s="25">
        <v>60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2174</v>
      </c>
      <c r="E8" s="29" t="s">
        <v>27</v>
      </c>
      <c r="F8" s="119">
        <v>17060</v>
      </c>
      <c r="G8" s="117">
        <v>7312.3374999999996</v>
      </c>
      <c r="H8" s="117">
        <v>1643.6745450000001</v>
      </c>
      <c r="I8" s="19">
        <f>H8+G8</f>
        <v>8956.0120449999995</v>
      </c>
      <c r="J8" s="119">
        <v>16557</v>
      </c>
      <c r="K8" s="117">
        <v>7110.6710000000003</v>
      </c>
      <c r="L8" s="117">
        <v>1585.0694311</v>
      </c>
      <c r="M8" s="19">
        <f>L8+K8</f>
        <v>8695.7404311000009</v>
      </c>
      <c r="N8" s="87"/>
      <c r="O8" s="87"/>
      <c r="P8" s="92"/>
      <c r="Q8" s="20">
        <f>J8-P8</f>
        <v>16557</v>
      </c>
      <c r="R8" s="21">
        <v>1800</v>
      </c>
      <c r="S8" s="20">
        <f>IF(R8&gt;0,(R8-R9-$Q8),"")</f>
        <v>-14757</v>
      </c>
      <c r="T8" s="21">
        <v>1800</v>
      </c>
      <c r="U8" s="20">
        <f>IF(T8&gt;0,(T8-T9-$Q8),"")</f>
        <v>-14757</v>
      </c>
      <c r="V8" s="21">
        <v>5110</v>
      </c>
      <c r="W8" s="20">
        <f>IF(V8&gt;0,(V8-V9-$Q8),"")</f>
        <v>-11447</v>
      </c>
      <c r="X8" s="21">
        <v>7522</v>
      </c>
      <c r="Y8" s="20">
        <f>IF(X8&gt;0,(X8-X9-$Q8),"")</f>
        <v>-9035</v>
      </c>
      <c r="Z8" s="21">
        <v>7873</v>
      </c>
      <c r="AA8" s="20">
        <f>IF(Z8&gt;0,(Z8-Z9-$Q8),"")</f>
        <v>-8684</v>
      </c>
      <c r="AB8" s="21">
        <v>7873</v>
      </c>
      <c r="AC8" s="22">
        <f>IF(AB8&gt;0,(AB8-AB9-$Q8),"")</f>
        <v>-8684</v>
      </c>
      <c r="AD8" s="21">
        <v>7873</v>
      </c>
      <c r="AE8" s="22">
        <f>IF(AD8&gt;0,(AD8-AD9-$Q8),"")</f>
        <v>-8684</v>
      </c>
    </row>
    <row r="9" spans="2:42" x14ac:dyDescent="0.3">
      <c r="B9" s="28" t="s">
        <v>28</v>
      </c>
      <c r="C9" s="17">
        <v>1794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5086</v>
      </c>
      <c r="E10" s="18" t="s">
        <v>31</v>
      </c>
      <c r="F10" s="119">
        <v>8727</v>
      </c>
      <c r="G10" s="117">
        <v>6871.1352499999994</v>
      </c>
      <c r="H10" s="117">
        <v>1803.889625</v>
      </c>
      <c r="I10" s="19">
        <f>H10+G10</f>
        <v>8675.0248749999992</v>
      </c>
      <c r="J10" s="119">
        <v>8127</v>
      </c>
      <c r="K10" s="117">
        <v>6281.0007500000011</v>
      </c>
      <c r="L10" s="117">
        <v>1422.9426249999999</v>
      </c>
      <c r="M10" s="19">
        <f>L10+K10</f>
        <v>7703.9433750000007</v>
      </c>
      <c r="N10" s="88"/>
      <c r="O10" s="88"/>
      <c r="P10" s="92"/>
      <c r="Q10" s="20">
        <f>J10-P10</f>
        <v>8127</v>
      </c>
      <c r="R10" s="21">
        <v>1411</v>
      </c>
      <c r="S10" s="20">
        <f>IF(R10&gt;0,(R10-R11-$Q10),"")</f>
        <v>-7328</v>
      </c>
      <c r="T10" s="21">
        <v>1785</v>
      </c>
      <c r="U10" s="20">
        <f>IF(T10&gt;0,(T10-T11-$Q10),"")</f>
        <v>-7328</v>
      </c>
      <c r="V10" s="21">
        <v>3520</v>
      </c>
      <c r="W10" s="20">
        <f>IF(V10&gt;0,(V10-V11-$Q10),"")</f>
        <v>-6597</v>
      </c>
      <c r="X10" s="21">
        <v>4407</v>
      </c>
      <c r="Y10" s="20">
        <f>IF(X10&gt;0,(X10-X11-$Q10),"")</f>
        <v>-6218</v>
      </c>
      <c r="Z10" s="21">
        <v>6770</v>
      </c>
      <c r="AA10" s="20">
        <f>IF(Z10&gt;0,(Z10-Z11-$Q10),"")</f>
        <v>-3980</v>
      </c>
      <c r="AB10" s="21">
        <v>6770</v>
      </c>
      <c r="AC10" s="22">
        <f>IF(AB10&gt;0,(AB10-AB11-$Q10),"")</f>
        <v>-3980</v>
      </c>
      <c r="AD10" s="21">
        <v>6770</v>
      </c>
      <c r="AE10" s="22">
        <f>IF(AD10&gt;0,(AD10-AD11-$Q10),"")</f>
        <v>-3980</v>
      </c>
    </row>
    <row r="11" spans="2:42" x14ac:dyDescent="0.3">
      <c r="B11" s="16" t="s">
        <v>32</v>
      </c>
      <c r="C11" s="17">
        <v>2043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>
        <v>612</v>
      </c>
      <c r="S11" s="24"/>
      <c r="T11" s="30">
        <v>986</v>
      </c>
      <c r="U11" s="24"/>
      <c r="V11" s="30">
        <v>1990</v>
      </c>
      <c r="W11" s="24"/>
      <c r="X11" s="30">
        <v>2498</v>
      </c>
      <c r="Y11" s="24"/>
      <c r="Z11" s="30">
        <v>2623</v>
      </c>
      <c r="AA11" s="24"/>
      <c r="AB11" s="30">
        <v>2623</v>
      </c>
      <c r="AC11" s="26"/>
      <c r="AD11" s="30">
        <v>2623</v>
      </c>
      <c r="AE11" s="26"/>
    </row>
    <row r="12" spans="2:42" x14ac:dyDescent="0.3">
      <c r="B12" s="16" t="s">
        <v>34</v>
      </c>
      <c r="C12" s="17">
        <v>1653</v>
      </c>
      <c r="E12" s="29" t="s">
        <v>35</v>
      </c>
      <c r="F12" s="119">
        <v>14330</v>
      </c>
      <c r="G12" s="117">
        <v>13931.7065</v>
      </c>
      <c r="H12" s="117">
        <v>13396.983959459991</v>
      </c>
      <c r="I12" s="19">
        <f>H12+G12</f>
        <v>27328.690459459991</v>
      </c>
      <c r="J12" s="119">
        <v>14042</v>
      </c>
      <c r="K12" s="117">
        <v>14164.739750000001</v>
      </c>
      <c r="L12" s="117">
        <v>13361.532853299999</v>
      </c>
      <c r="M12" s="19">
        <f>L12+K12</f>
        <v>27526.2726033</v>
      </c>
      <c r="N12" s="88"/>
      <c r="O12" s="88"/>
      <c r="P12" s="92"/>
      <c r="Q12" s="20">
        <f>J12-P12</f>
        <v>14042</v>
      </c>
      <c r="R12" s="21">
        <v>2270</v>
      </c>
      <c r="S12" s="20">
        <f>IF(R12&gt;0,(R12-R13-$Q12),"")</f>
        <v>-12049</v>
      </c>
      <c r="T12" s="21">
        <v>3460</v>
      </c>
      <c r="U12" s="20">
        <f>IF(T12&gt;0,(T12-T13-$Q12),"")</f>
        <v>-10861</v>
      </c>
      <c r="V12" s="21">
        <v>5496</v>
      </c>
      <c r="W12" s="20">
        <f>IF(V12&gt;0,(V12-V13-$Q12),"")</f>
        <v>-9287</v>
      </c>
      <c r="X12" s="21">
        <v>9092</v>
      </c>
      <c r="Y12" s="20">
        <f>IF(X12&gt;0,(X12-X13-$Q12),"")</f>
        <v>-5742</v>
      </c>
      <c r="Z12" s="21">
        <v>10551</v>
      </c>
      <c r="AA12" s="20">
        <f>IF(Z12&gt;0,(Z12-Z13-$Q12),"")</f>
        <v>-4283</v>
      </c>
      <c r="AB12" s="21">
        <v>10551</v>
      </c>
      <c r="AC12" s="22">
        <f>IF(AB12&gt;0,(AB12-AB13-$Q12),"")</f>
        <v>-4283</v>
      </c>
      <c r="AD12" s="21">
        <v>10551</v>
      </c>
      <c r="AE12" s="22">
        <f>IF(AD12&gt;0,(AD12-AD13-$Q12),"")</f>
        <v>-4283</v>
      </c>
    </row>
    <row r="13" spans="2:42" x14ac:dyDescent="0.3">
      <c r="B13" s="16" t="s">
        <v>36</v>
      </c>
      <c r="C13" s="17">
        <v>4939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>
        <v>277</v>
      </c>
      <c r="S13" s="24"/>
      <c r="T13" s="30">
        <v>279</v>
      </c>
      <c r="U13" s="24"/>
      <c r="V13" s="30">
        <v>741</v>
      </c>
      <c r="W13" s="24"/>
      <c r="X13" s="30">
        <v>792</v>
      </c>
      <c r="Y13" s="24"/>
      <c r="Z13" s="30">
        <v>792</v>
      </c>
      <c r="AA13" s="24"/>
      <c r="AB13" s="30">
        <v>792</v>
      </c>
      <c r="AC13" s="26"/>
      <c r="AD13" s="30">
        <v>792</v>
      </c>
      <c r="AE13" s="26"/>
    </row>
    <row r="14" spans="2:42" x14ac:dyDescent="0.3">
      <c r="B14" s="16" t="s">
        <v>38</v>
      </c>
      <c r="C14" s="17">
        <v>10842</v>
      </c>
      <c r="E14" s="18" t="s">
        <v>39</v>
      </c>
      <c r="F14" s="119">
        <v>20678</v>
      </c>
      <c r="G14" s="117">
        <v>19462.125</v>
      </c>
      <c r="H14" s="117">
        <v>25845.0850044</v>
      </c>
      <c r="I14" s="19">
        <f>H14+G14</f>
        <v>45307.210004399996</v>
      </c>
      <c r="J14" s="119">
        <v>20678</v>
      </c>
      <c r="K14" s="117">
        <v>19462.125</v>
      </c>
      <c r="L14" s="117">
        <v>24657.714687420001</v>
      </c>
      <c r="M14" s="19">
        <f>L14+K14</f>
        <v>44119.839687419997</v>
      </c>
      <c r="N14" s="88"/>
      <c r="O14" s="88"/>
      <c r="P14" s="92"/>
      <c r="Q14" s="20">
        <f>J14-P14</f>
        <v>20678</v>
      </c>
      <c r="R14" s="21">
        <v>0</v>
      </c>
      <c r="S14" s="20" t="str">
        <f>IF(R14&gt;0,(R14-R15-$Q14),"")</f>
        <v/>
      </c>
      <c r="T14" s="21">
        <v>904</v>
      </c>
      <c r="U14" s="20">
        <f>IF(T14&gt;0,(T14-T15-$Q14),"")</f>
        <v>-19774</v>
      </c>
      <c r="V14" s="21">
        <v>1246</v>
      </c>
      <c r="W14" s="20">
        <f>IF(V14&gt;0,(V14-V15-$Q14),"")</f>
        <v>-19432</v>
      </c>
      <c r="X14" s="21">
        <v>2649</v>
      </c>
      <c r="Y14" s="20">
        <f>IF(X14&gt;0,(X14-X15-$Q14),"")</f>
        <v>-18029</v>
      </c>
      <c r="Z14" s="21">
        <v>3899</v>
      </c>
      <c r="AA14" s="20">
        <f>IF(Z14&gt;0,(Z14-Z15-$Q14),"")</f>
        <v>-16779</v>
      </c>
      <c r="AB14" s="21">
        <v>4586</v>
      </c>
      <c r="AC14" s="22">
        <f>IF(AB14&gt;0,(AB14-AB15-$Q14),"")</f>
        <v>-16092</v>
      </c>
      <c r="AD14" s="21">
        <v>4586</v>
      </c>
      <c r="AE14" s="22">
        <f>IF(AD14&gt;0,(AD14-AD15-$Q14),"")</f>
        <v>-16092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>
        <v>0</v>
      </c>
      <c r="AE15" s="26"/>
    </row>
    <row r="16" spans="2:42" ht="15" customHeight="1" thickBot="1" x14ac:dyDescent="0.35">
      <c r="B16" s="28" t="s">
        <v>42</v>
      </c>
      <c r="C16" s="17">
        <v>11410</v>
      </c>
      <c r="E16" s="84"/>
      <c r="F16" s="31">
        <f t="shared" ref="F16:N16" si="0">SUM(F6:F15)</f>
        <v>81923</v>
      </c>
      <c r="G16" s="31">
        <f t="shared" si="0"/>
        <v>66160.451749999978</v>
      </c>
      <c r="H16" s="31">
        <f t="shared" si="0"/>
        <v>56845.714971239991</v>
      </c>
      <c r="I16" s="32">
        <f t="shared" si="0"/>
        <v>123006.16672123998</v>
      </c>
      <c r="J16" s="33">
        <f t="shared" si="0"/>
        <v>75990</v>
      </c>
      <c r="K16" s="33">
        <f t="shared" si="0"/>
        <v>62054.061000000002</v>
      </c>
      <c r="L16" s="33">
        <f t="shared" si="0"/>
        <v>49249.4614898</v>
      </c>
      <c r="M16" s="33">
        <f t="shared" si="0"/>
        <v>111303.5224898</v>
      </c>
      <c r="N16" s="31">
        <f t="shared" si="0"/>
        <v>0</v>
      </c>
      <c r="O16" s="31">
        <f>SUM(O14,O12,O10,O8,O6)</f>
        <v>0</v>
      </c>
      <c r="P16" s="34">
        <f>SUM(P6:P15)</f>
        <v>0</v>
      </c>
      <c r="Q16" s="34">
        <f>SUM(Q6:Q15)</f>
        <v>75990</v>
      </c>
      <c r="R16" s="35">
        <f>R6+R8+R10+R12+R14-R7-R9-R11-R13-R15</f>
        <v>6127</v>
      </c>
      <c r="S16" s="36">
        <f>IF(R16&gt;1,(R16-$Q16),"")</f>
        <v>-69863</v>
      </c>
      <c r="T16" s="35">
        <f>T6+T8+T10+T12+T14-T7-T9-T11-T13-T15</f>
        <v>8388</v>
      </c>
      <c r="U16" s="36">
        <f>IF(T16&gt;1,(T16-$Q16),"")</f>
        <v>-67602</v>
      </c>
      <c r="V16" s="35">
        <f>V6+V8+V10+V12+V14-V7-V9-V11-V13-V15</f>
        <v>20743</v>
      </c>
      <c r="W16" s="36">
        <f>IF(V16&gt;1,(V16-$Q16),"")</f>
        <v>-55247</v>
      </c>
      <c r="X16" s="35">
        <f>X6+X8+X10+X12+X14-X7-X9-X11-X13-X15</f>
        <v>30797</v>
      </c>
      <c r="Y16" s="36">
        <f>IF(X16&gt;1,(X16-$Q16),"")</f>
        <v>-45193</v>
      </c>
      <c r="Z16" s="35">
        <f>Z6+Z8+Z10+Z12+Z14-Z7-Z9-Z11-Z13-Z15</f>
        <v>36095</v>
      </c>
      <c r="AA16" s="36">
        <f>IF(Z16&gt;1,(Z16-$Q16),"")</f>
        <v>-39895</v>
      </c>
      <c r="AB16" s="35">
        <f>AB6+AB8+AB10+AB12+AB14-AB7-AB9-AB11-AB13-AB15</f>
        <v>36782</v>
      </c>
      <c r="AC16" s="37">
        <f>IF(AB16&gt;1,(AB16-$Q16),"")</f>
        <v>-39208</v>
      </c>
      <c r="AD16" s="35">
        <f>AD6+AD8+AD10+AD12+AD14-AD7-AD9-AD11-AD13-AD15</f>
        <v>36782</v>
      </c>
      <c r="AE16" s="37">
        <f>IF(AD16&gt;1,(AD16-$Q16),"")</f>
        <v>-39208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889</v>
      </c>
      <c r="S17" s="41"/>
      <c r="T17" s="40">
        <f>T15+T13+T11+T9+T7</f>
        <v>1265</v>
      </c>
      <c r="U17" s="41"/>
      <c r="V17" s="40">
        <f>V15+V13+V11+V9+V7</f>
        <v>2787</v>
      </c>
      <c r="W17" s="41"/>
      <c r="X17" s="40">
        <f>X15+X13+X11+X9+X7</f>
        <v>3350</v>
      </c>
      <c r="Y17" s="41"/>
      <c r="Z17" s="40">
        <f>Z15+Z13+Z11+Z9+Z7</f>
        <v>3475</v>
      </c>
      <c r="AA17" s="41"/>
      <c r="AB17" s="40">
        <f>AB15+AB13+AB11+AB9+AB7</f>
        <v>3475</v>
      </c>
      <c r="AC17" s="42"/>
      <c r="AD17" s="40">
        <f>AD15+AD13+AD11+AD9+AD7</f>
        <v>3475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3063.5</v>
      </c>
      <c r="S18" s="46"/>
      <c r="T18" s="47">
        <f>IF(T16&gt;0,(T16-R16)/2,"")</f>
        <v>1130.5</v>
      </c>
      <c r="U18" s="46"/>
      <c r="V18" s="47">
        <f>IF(V16&gt;0,(V16-T16)/2,"")</f>
        <v>6177.5</v>
      </c>
      <c r="W18" s="46"/>
      <c r="X18" s="47">
        <f>IF(X16&gt;0,(X16-V16)/2,"")</f>
        <v>5027</v>
      </c>
      <c r="Y18" s="46"/>
      <c r="Z18" s="47">
        <f>IF(Z16&gt;0,(Z16-X16)/2,"")</f>
        <v>2649</v>
      </c>
      <c r="AA18" s="46"/>
      <c r="AB18" s="47">
        <f>IF(AB16&gt;0,(AB16-Z16)/2,"")</f>
        <v>343.5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8987</v>
      </c>
      <c r="S20" s="36"/>
      <c r="T20" s="35">
        <v>12107</v>
      </c>
      <c r="U20" s="36"/>
      <c r="V20" s="35">
        <v>18221</v>
      </c>
      <c r="W20" s="36"/>
      <c r="X20" s="35">
        <v>24235</v>
      </c>
      <c r="Y20" s="36"/>
      <c r="Z20" s="35">
        <v>29985</v>
      </c>
      <c r="AA20" s="36"/>
      <c r="AB20" s="35">
        <v>31007</v>
      </c>
      <c r="AC20" s="37"/>
      <c r="AD20" s="35">
        <v>31007</v>
      </c>
      <c r="AE20" s="37">
        <v>-59145</v>
      </c>
    </row>
    <row r="21" spans="2:43" ht="15" customHeight="1" thickBot="1" x14ac:dyDescent="0.35">
      <c r="B21" s="16" t="s">
        <v>50</v>
      </c>
      <c r="C21" s="17">
        <v>9134</v>
      </c>
      <c r="L21" s="4"/>
      <c r="M21" s="4"/>
      <c r="Q21" s="52"/>
      <c r="R21" s="40">
        <v>1634</v>
      </c>
      <c r="S21" s="41"/>
      <c r="T21" s="40">
        <v>2280</v>
      </c>
      <c r="U21" s="41"/>
      <c r="V21" s="40">
        <v>3162</v>
      </c>
      <c r="W21" s="41"/>
      <c r="X21" s="40">
        <v>3311</v>
      </c>
      <c r="Y21" s="41"/>
      <c r="Z21" s="40">
        <v>4591</v>
      </c>
      <c r="AA21" s="41"/>
      <c r="AB21" s="40">
        <v>4836</v>
      </c>
      <c r="AC21" s="42"/>
      <c r="AD21" s="40">
        <v>4836</v>
      </c>
      <c r="AE21" s="42"/>
    </row>
    <row r="22" spans="2:43" ht="15" customHeight="1" thickBot="1" x14ac:dyDescent="0.35">
      <c r="B22" s="16" t="s">
        <v>51</v>
      </c>
      <c r="C22" s="17">
        <v>2050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4843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-2860</v>
      </c>
      <c r="S24" s="60"/>
      <c r="T24" s="60">
        <f>IF(T16&gt;0,T16-T20,"")</f>
        <v>-3719</v>
      </c>
      <c r="U24" s="60"/>
      <c r="V24" s="60">
        <f>IF(V16&gt;0,V16-V20,"")</f>
        <v>2522</v>
      </c>
      <c r="W24" s="60"/>
      <c r="X24" s="60">
        <f>IF(X16&gt;0,X16-X20,"")</f>
        <v>6562</v>
      </c>
      <c r="Y24" s="60"/>
      <c r="Z24" s="60">
        <f>IF(Z16&gt;0,Z16-Z20,"")</f>
        <v>6110</v>
      </c>
      <c r="AA24" s="60"/>
      <c r="AB24" s="60">
        <f>IF(AB16&gt;0,AB16-AB20,"")</f>
        <v>5775</v>
      </c>
      <c r="AC24" s="61"/>
      <c r="AD24" s="60">
        <f>IF(AD16&gt;0,AD16-AD20,"")</f>
        <v>5775</v>
      </c>
      <c r="AE24" s="61"/>
    </row>
    <row r="25" spans="2:43" x14ac:dyDescent="0.3">
      <c r="L25" s="4"/>
      <c r="M25" s="4"/>
      <c r="Q25" s="62"/>
      <c r="R25" s="63">
        <f>IF(R17&gt;=0,R17-R21,"")</f>
        <v>-745</v>
      </c>
      <c r="S25" s="64"/>
      <c r="T25" s="63">
        <f>IF(T17&gt;=0,T17-T21,"")</f>
        <v>-1015</v>
      </c>
      <c r="U25" s="64"/>
      <c r="V25" s="63">
        <f>IF(V17&gt;=0,V17-V21,"")</f>
        <v>-375</v>
      </c>
      <c r="W25" s="64"/>
      <c r="X25" s="63">
        <f>IF(X17&gt;=0,X17-X21,"")</f>
        <v>39</v>
      </c>
      <c r="Y25" s="64"/>
      <c r="Z25" s="63">
        <f>IF(Z17&gt;=0,Z17-Z21,"")</f>
        <v>-1116</v>
      </c>
      <c r="AA25" s="64"/>
      <c r="AB25" s="63">
        <f>IF(AB17&gt;=0,AB17-AB21,"")</f>
        <v>-1361</v>
      </c>
      <c r="AC25" s="65"/>
      <c r="AD25" s="63">
        <f>IF(AD17&gt;=0,AD17-AD21,"")</f>
        <v>-1361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-1430</v>
      </c>
      <c r="S26" s="55"/>
      <c r="T26" s="67">
        <f>IFERROR(IF(T18&gt;0,T18-T22,""),"")</f>
        <v>-429.5</v>
      </c>
      <c r="U26" s="55"/>
      <c r="V26" s="67">
        <f>IFERROR(IF(V18&gt;0,V18-V22,""),"")</f>
        <v>3120.5</v>
      </c>
      <c r="W26" s="55"/>
      <c r="X26" s="67">
        <f>IFERROR(IF(X18&gt;0,X18-X22,""),"")</f>
        <v>2020</v>
      </c>
      <c r="Y26" s="55"/>
      <c r="Z26" s="67">
        <f>IFERROR(IF(Z18&gt;0,Z18-Z22,""),"")</f>
        <v>-226</v>
      </c>
      <c r="AA26" s="55"/>
      <c r="AB26" s="67">
        <f>IFERROR(IF(AB18&gt;0,AB18-AB22,""),"")</f>
        <v>-167.5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12692</v>
      </c>
      <c r="D29" s="76">
        <f>C14</f>
        <v>10842</v>
      </c>
      <c r="E29" s="77">
        <f t="shared" ref="E29:E34" si="1">D29-C29</f>
        <v>-1850</v>
      </c>
      <c r="M29" s="4"/>
      <c r="O29" s="4"/>
    </row>
    <row r="30" spans="2:43" x14ac:dyDescent="0.3">
      <c r="B30" s="74" t="s">
        <v>56</v>
      </c>
      <c r="C30" s="75">
        <v>26201</v>
      </c>
      <c r="D30" s="76">
        <f>C7+C15+C16+C19+C20</f>
        <v>11410</v>
      </c>
      <c r="E30" s="77">
        <f t="shared" si="1"/>
        <v>-14791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13721</v>
      </c>
      <c r="D32" s="76">
        <f>C10+C11+C12+C13</f>
        <v>13721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16525</v>
      </c>
      <c r="D34" s="76">
        <f>C21+C22+C23</f>
        <v>16027</v>
      </c>
      <c r="E34" s="77">
        <f t="shared" si="1"/>
        <v>-498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3968</v>
      </c>
      <c r="D35" s="80">
        <f>SUM(C8+C9)</f>
        <v>3968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/>
      <c r="R36" s="104">
        <v>0</v>
      </c>
      <c r="S36" s="104">
        <f t="shared" ref="S36:S65" si="2">IF(T36&gt;0,(T36-R36)/2,"")</f>
        <v>84.5</v>
      </c>
      <c r="T36" s="104">
        <v>169</v>
      </c>
      <c r="U36" s="104">
        <f t="shared" ref="U36:U65" si="3">IF(V36&gt;0,(V36-T36)/2,"")</f>
        <v>281.5</v>
      </c>
      <c r="V36" s="104">
        <v>732</v>
      </c>
      <c r="W36" s="104">
        <f t="shared" ref="W36:W65" si="4">IF(X36&gt;0,(X36-V36)/2,"")</f>
        <v>7.5</v>
      </c>
      <c r="X36" s="104">
        <v>747</v>
      </c>
      <c r="Y36" s="104">
        <f t="shared" ref="Y36:Y65" si="5">IF(Z36&gt;0,(Z36-X36)/2,"")</f>
        <v>0</v>
      </c>
      <c r="Z36" s="104">
        <v>747</v>
      </c>
      <c r="AA36" s="104">
        <f t="shared" ref="AA36:AA65" si="6">IF(AB36&gt;0,(AB36-Z36)/2,"")</f>
        <v>0</v>
      </c>
      <c r="AB36" s="104">
        <v>747</v>
      </c>
      <c r="AC36" s="104">
        <f t="shared" ref="AC36:AC65" si="7">IF(AD36&gt;0,(AD36-AB36)/2,"")</f>
        <v>0</v>
      </c>
      <c r="AD36" s="104">
        <v>747</v>
      </c>
      <c r="AE36" s="105">
        <f t="shared" ref="AE36:AE65" si="8">AD36-Q36</f>
        <v>747</v>
      </c>
    </row>
    <row r="37" spans="2:31" ht="15.6" customHeight="1" x14ac:dyDescent="0.3">
      <c r="N37" s="212"/>
      <c r="O37" s="95" t="s">
        <v>66</v>
      </c>
      <c r="P37" s="106"/>
      <c r="Q37" s="106"/>
      <c r="R37" s="106">
        <v>0</v>
      </c>
      <c r="S37" s="106" t="str">
        <f t="shared" si="2"/>
        <v/>
      </c>
      <c r="T37" s="106">
        <v>0</v>
      </c>
      <c r="U37" s="106">
        <f t="shared" si="3"/>
        <v>306</v>
      </c>
      <c r="V37" s="106">
        <v>612</v>
      </c>
      <c r="W37" s="106">
        <f t="shared" si="4"/>
        <v>172</v>
      </c>
      <c r="X37" s="106">
        <v>956</v>
      </c>
      <c r="Y37" s="106">
        <f t="shared" si="5"/>
        <v>0</v>
      </c>
      <c r="Z37" s="106">
        <v>956</v>
      </c>
      <c r="AA37" s="106">
        <f t="shared" si="6"/>
        <v>0</v>
      </c>
      <c r="AB37" s="106">
        <v>956</v>
      </c>
      <c r="AC37" s="106">
        <f t="shared" si="7"/>
        <v>0</v>
      </c>
      <c r="AD37" s="106">
        <v>956</v>
      </c>
      <c r="AE37" s="107">
        <f t="shared" si="8"/>
        <v>956</v>
      </c>
    </row>
    <row r="38" spans="2:31" ht="15.6" customHeight="1" x14ac:dyDescent="0.3">
      <c r="N38" s="212"/>
      <c r="O38" s="94" t="s">
        <v>67</v>
      </c>
      <c r="P38" s="108"/>
      <c r="Q38" s="108"/>
      <c r="R38" s="108">
        <v>0</v>
      </c>
      <c r="S38" s="108" t="str">
        <f t="shared" si="2"/>
        <v/>
      </c>
      <c r="T38" s="108">
        <v>0</v>
      </c>
      <c r="U38" s="108">
        <f t="shared" si="3"/>
        <v>422.5</v>
      </c>
      <c r="V38" s="108">
        <v>845</v>
      </c>
      <c r="W38" s="108">
        <f t="shared" si="4"/>
        <v>0</v>
      </c>
      <c r="X38" s="108">
        <v>845</v>
      </c>
      <c r="Y38" s="108">
        <f t="shared" si="5"/>
        <v>0</v>
      </c>
      <c r="Z38" s="108">
        <v>845</v>
      </c>
      <c r="AA38" s="108">
        <f t="shared" si="6"/>
        <v>0</v>
      </c>
      <c r="AB38" s="108">
        <v>845</v>
      </c>
      <c r="AC38" s="108">
        <f t="shared" si="7"/>
        <v>0</v>
      </c>
      <c r="AD38" s="108">
        <v>845</v>
      </c>
      <c r="AE38" s="109">
        <f t="shared" si="8"/>
        <v>845</v>
      </c>
    </row>
    <row r="39" spans="2:31" ht="15.6" customHeight="1" x14ac:dyDescent="0.3">
      <c r="N39" s="212"/>
      <c r="O39" s="95" t="s">
        <v>68</v>
      </c>
      <c r="P39" s="106"/>
      <c r="Q39" s="106"/>
      <c r="R39" s="106">
        <v>717</v>
      </c>
      <c r="S39" s="106">
        <f t="shared" si="2"/>
        <v>0</v>
      </c>
      <c r="T39" s="106">
        <v>717</v>
      </c>
      <c r="U39" s="106">
        <f t="shared" si="3"/>
        <v>520.5</v>
      </c>
      <c r="V39" s="106">
        <v>1758</v>
      </c>
      <c r="W39" s="106">
        <f t="shared" si="4"/>
        <v>546.5</v>
      </c>
      <c r="X39" s="106">
        <v>2851</v>
      </c>
      <c r="Y39" s="106">
        <f t="shared" si="5"/>
        <v>0</v>
      </c>
      <c r="Z39" s="106">
        <v>2851</v>
      </c>
      <c r="AA39" s="106">
        <f t="shared" si="6"/>
        <v>0</v>
      </c>
      <c r="AB39" s="106">
        <v>2851</v>
      </c>
      <c r="AC39" s="106">
        <f t="shared" si="7"/>
        <v>0</v>
      </c>
      <c r="AD39" s="106">
        <v>2851</v>
      </c>
      <c r="AE39" s="107">
        <f t="shared" si="8"/>
        <v>2851</v>
      </c>
    </row>
    <row r="40" spans="2:31" ht="15.6" customHeight="1" x14ac:dyDescent="0.3">
      <c r="N40" s="212"/>
      <c r="O40" s="94" t="s">
        <v>69</v>
      </c>
      <c r="P40" s="108"/>
      <c r="Q40" s="108"/>
      <c r="R40" s="108">
        <v>0</v>
      </c>
      <c r="S40" s="108" t="str">
        <f t="shared" si="2"/>
        <v/>
      </c>
      <c r="T40" s="108">
        <v>0</v>
      </c>
      <c r="U40" s="108">
        <f t="shared" si="3"/>
        <v>930.5</v>
      </c>
      <c r="V40" s="108">
        <v>1861</v>
      </c>
      <c r="W40" s="108">
        <f t="shared" si="4"/>
        <v>190.5</v>
      </c>
      <c r="X40" s="108">
        <v>2242</v>
      </c>
      <c r="Y40" s="108">
        <f t="shared" si="5"/>
        <v>0</v>
      </c>
      <c r="Z40" s="108">
        <v>2242</v>
      </c>
      <c r="AA40" s="108">
        <f t="shared" si="6"/>
        <v>0</v>
      </c>
      <c r="AB40" s="108">
        <v>2242</v>
      </c>
      <c r="AC40" s="108">
        <f t="shared" si="7"/>
        <v>0</v>
      </c>
      <c r="AD40" s="108">
        <v>2242</v>
      </c>
      <c r="AE40" s="109">
        <f t="shared" si="8"/>
        <v>2242</v>
      </c>
    </row>
    <row r="41" spans="2:31" ht="15.6" customHeight="1" x14ac:dyDescent="0.3">
      <c r="N41" s="212"/>
      <c r="O41" s="95" t="s">
        <v>70</v>
      </c>
      <c r="P41" s="106"/>
      <c r="Q41" s="106"/>
      <c r="R41" s="106">
        <v>0</v>
      </c>
      <c r="S41" s="106" t="str">
        <f t="shared" si="2"/>
        <v/>
      </c>
      <c r="T41" s="106">
        <v>0</v>
      </c>
      <c r="U41" s="106">
        <f t="shared" si="3"/>
        <v>215</v>
      </c>
      <c r="V41" s="106">
        <v>430</v>
      </c>
      <c r="W41" s="106">
        <f t="shared" si="4"/>
        <v>0</v>
      </c>
      <c r="X41" s="106">
        <v>430</v>
      </c>
      <c r="Y41" s="106">
        <f t="shared" si="5"/>
        <v>0</v>
      </c>
      <c r="Z41" s="106">
        <v>430</v>
      </c>
      <c r="AA41" s="106">
        <f t="shared" si="6"/>
        <v>0</v>
      </c>
      <c r="AB41" s="106">
        <v>430</v>
      </c>
      <c r="AC41" s="106">
        <f t="shared" si="7"/>
        <v>0</v>
      </c>
      <c r="AD41" s="106">
        <v>430</v>
      </c>
      <c r="AE41" s="107">
        <f t="shared" si="8"/>
        <v>430</v>
      </c>
    </row>
    <row r="42" spans="2:31" ht="15.6" customHeight="1" x14ac:dyDescent="0.3">
      <c r="N42" s="212"/>
      <c r="O42" s="94" t="s">
        <v>71</v>
      </c>
      <c r="P42" s="108"/>
      <c r="Q42" s="108"/>
      <c r="R42" s="108">
        <v>0</v>
      </c>
      <c r="S42" s="108" t="str">
        <f t="shared" si="2"/>
        <v/>
      </c>
      <c r="T42" s="108">
        <v>0</v>
      </c>
      <c r="U42" s="108">
        <f t="shared" si="3"/>
        <v>129</v>
      </c>
      <c r="V42" s="108">
        <v>258</v>
      </c>
      <c r="W42" s="108">
        <f t="shared" si="4"/>
        <v>0</v>
      </c>
      <c r="X42" s="108">
        <v>258</v>
      </c>
      <c r="Y42" s="108">
        <f t="shared" si="5"/>
        <v>0</v>
      </c>
      <c r="Z42" s="108">
        <v>258</v>
      </c>
      <c r="AA42" s="108">
        <f t="shared" si="6"/>
        <v>0</v>
      </c>
      <c r="AB42" s="108">
        <v>258</v>
      </c>
      <c r="AC42" s="108">
        <f t="shared" si="7"/>
        <v>0</v>
      </c>
      <c r="AD42" s="108">
        <v>258</v>
      </c>
      <c r="AE42" s="109">
        <f t="shared" si="8"/>
        <v>258</v>
      </c>
    </row>
    <row r="43" spans="2:31" ht="15.6" customHeight="1" x14ac:dyDescent="0.3">
      <c r="N43" s="212"/>
      <c r="O43" s="95" t="s">
        <v>72</v>
      </c>
      <c r="P43" s="106"/>
      <c r="Q43" s="106"/>
      <c r="R43" s="106">
        <v>363</v>
      </c>
      <c r="S43" s="106">
        <f t="shared" si="2"/>
        <v>0</v>
      </c>
      <c r="T43" s="106">
        <v>363</v>
      </c>
      <c r="U43" s="106">
        <f t="shared" si="3"/>
        <v>189</v>
      </c>
      <c r="V43" s="106">
        <v>741</v>
      </c>
      <c r="W43" s="106">
        <f t="shared" si="4"/>
        <v>0</v>
      </c>
      <c r="X43" s="106">
        <v>741</v>
      </c>
      <c r="Y43" s="106">
        <f t="shared" si="5"/>
        <v>0</v>
      </c>
      <c r="Z43" s="106">
        <v>741</v>
      </c>
      <c r="AA43" s="106">
        <f t="shared" si="6"/>
        <v>0</v>
      </c>
      <c r="AB43" s="106">
        <v>741</v>
      </c>
      <c r="AC43" s="106">
        <f t="shared" si="7"/>
        <v>0</v>
      </c>
      <c r="AD43" s="106">
        <v>741</v>
      </c>
      <c r="AE43" s="107">
        <f t="shared" si="8"/>
        <v>741</v>
      </c>
    </row>
    <row r="44" spans="2:31" ht="15.6" customHeight="1" thickBot="1" x14ac:dyDescent="0.35">
      <c r="N44" s="213"/>
      <c r="O44" s="97" t="s">
        <v>73</v>
      </c>
      <c r="P44" s="110"/>
      <c r="Q44" s="110"/>
      <c r="R44" s="110">
        <v>455</v>
      </c>
      <c r="S44" s="110">
        <f t="shared" si="2"/>
        <v>0</v>
      </c>
      <c r="T44" s="110">
        <v>455</v>
      </c>
      <c r="U44" s="110">
        <f t="shared" si="3"/>
        <v>233</v>
      </c>
      <c r="V44" s="110">
        <v>921</v>
      </c>
      <c r="W44" s="110">
        <f t="shared" si="4"/>
        <v>243</v>
      </c>
      <c r="X44" s="110">
        <v>1407</v>
      </c>
      <c r="Y44" s="110">
        <f t="shared" si="5"/>
        <v>0</v>
      </c>
      <c r="Z44" s="110">
        <v>1407</v>
      </c>
      <c r="AA44" s="110">
        <f t="shared" si="6"/>
        <v>0</v>
      </c>
      <c r="AB44" s="110">
        <v>1407</v>
      </c>
      <c r="AC44" s="110">
        <f t="shared" si="7"/>
        <v>0</v>
      </c>
      <c r="AD44" s="110">
        <v>1407</v>
      </c>
      <c r="AE44" s="111">
        <f t="shared" si="8"/>
        <v>1407</v>
      </c>
    </row>
    <row r="45" spans="2:31" ht="15.6" customHeight="1" x14ac:dyDescent="0.3">
      <c r="N45" s="211" t="s">
        <v>27</v>
      </c>
      <c r="O45" s="98" t="s">
        <v>65</v>
      </c>
      <c r="P45" s="112"/>
      <c r="Q45" s="112"/>
      <c r="R45" s="112">
        <v>1000</v>
      </c>
      <c r="S45" s="112">
        <f t="shared" si="2"/>
        <v>0</v>
      </c>
      <c r="T45" s="112">
        <v>1000</v>
      </c>
      <c r="U45" s="112">
        <f t="shared" si="3"/>
        <v>634</v>
      </c>
      <c r="V45" s="112">
        <v>2268</v>
      </c>
      <c r="W45" s="112">
        <f t="shared" si="4"/>
        <v>0</v>
      </c>
      <c r="X45" s="112">
        <v>2268</v>
      </c>
      <c r="Y45" s="112">
        <f t="shared" si="5"/>
        <v>0</v>
      </c>
      <c r="Z45" s="112">
        <v>2268</v>
      </c>
      <c r="AA45" s="112">
        <f t="shared" si="6"/>
        <v>0</v>
      </c>
      <c r="AB45" s="112">
        <v>2268</v>
      </c>
      <c r="AC45" s="112">
        <f t="shared" si="7"/>
        <v>0</v>
      </c>
      <c r="AD45" s="112">
        <v>2268</v>
      </c>
      <c r="AE45" s="113">
        <f t="shared" si="8"/>
        <v>2268</v>
      </c>
    </row>
    <row r="46" spans="2:31" ht="15.6" customHeight="1" x14ac:dyDescent="0.3">
      <c r="N46" s="212"/>
      <c r="O46" s="94" t="s">
        <v>66</v>
      </c>
      <c r="P46" s="108"/>
      <c r="Q46" s="108"/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>
        <v>0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/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265</v>
      </c>
      <c r="X47" s="106">
        <v>530</v>
      </c>
      <c r="Y47" s="106">
        <f t="shared" si="5"/>
        <v>175.5</v>
      </c>
      <c r="Z47" s="106">
        <v>881</v>
      </c>
      <c r="AA47" s="106">
        <f t="shared" si="6"/>
        <v>0</v>
      </c>
      <c r="AB47" s="106">
        <v>881</v>
      </c>
      <c r="AC47" s="106">
        <f t="shared" si="7"/>
        <v>0</v>
      </c>
      <c r="AD47" s="106">
        <v>881</v>
      </c>
      <c r="AE47" s="107">
        <f t="shared" si="8"/>
        <v>881</v>
      </c>
    </row>
    <row r="48" spans="2:31" ht="15.6" customHeight="1" thickBot="1" x14ac:dyDescent="0.35">
      <c r="N48" s="213"/>
      <c r="O48" s="97" t="s">
        <v>68</v>
      </c>
      <c r="P48" s="110"/>
      <c r="Q48" s="110"/>
      <c r="R48" s="110">
        <v>800</v>
      </c>
      <c r="S48" s="110">
        <f t="shared" si="2"/>
        <v>0</v>
      </c>
      <c r="T48" s="110">
        <v>800</v>
      </c>
      <c r="U48" s="110">
        <f t="shared" si="3"/>
        <v>1021</v>
      </c>
      <c r="V48" s="110">
        <v>2842</v>
      </c>
      <c r="W48" s="110">
        <f t="shared" si="4"/>
        <v>941</v>
      </c>
      <c r="X48" s="110">
        <v>4724</v>
      </c>
      <c r="Y48" s="110">
        <f t="shared" si="5"/>
        <v>0</v>
      </c>
      <c r="Z48" s="110">
        <v>4724</v>
      </c>
      <c r="AA48" s="110">
        <f t="shared" si="6"/>
        <v>0</v>
      </c>
      <c r="AB48" s="110">
        <v>4724</v>
      </c>
      <c r="AC48" s="110">
        <f t="shared" si="7"/>
        <v>0</v>
      </c>
      <c r="AD48" s="110">
        <v>4724</v>
      </c>
      <c r="AE48" s="111">
        <f t="shared" si="8"/>
        <v>4724</v>
      </c>
    </row>
    <row r="49" spans="14:31" ht="15.6" customHeight="1" x14ac:dyDescent="0.3">
      <c r="N49" s="211" t="s">
        <v>31</v>
      </c>
      <c r="O49" s="98" t="s">
        <v>65</v>
      </c>
      <c r="P49" s="112"/>
      <c r="Q49" s="112"/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>
        <f t="shared" si="4"/>
        <v>85</v>
      </c>
      <c r="X49" s="112">
        <v>170</v>
      </c>
      <c r="Y49" s="112">
        <f t="shared" si="5"/>
        <v>0</v>
      </c>
      <c r="Z49" s="112">
        <v>170</v>
      </c>
      <c r="AA49" s="112">
        <f t="shared" si="6"/>
        <v>0</v>
      </c>
      <c r="AB49" s="112">
        <v>170</v>
      </c>
      <c r="AC49" s="112">
        <f t="shared" si="7"/>
        <v>0</v>
      </c>
      <c r="AD49" s="112">
        <v>170</v>
      </c>
      <c r="AE49" s="113">
        <f t="shared" si="8"/>
        <v>170</v>
      </c>
    </row>
    <row r="50" spans="14:31" ht="15.6" customHeight="1" x14ac:dyDescent="0.3">
      <c r="N50" s="212"/>
      <c r="O50" s="94" t="s">
        <v>66</v>
      </c>
      <c r="P50" s="108"/>
      <c r="Q50" s="108"/>
      <c r="R50" s="108">
        <v>383</v>
      </c>
      <c r="S50" s="108">
        <f t="shared" si="2"/>
        <v>0</v>
      </c>
      <c r="T50" s="108">
        <v>383</v>
      </c>
      <c r="U50" s="108">
        <f t="shared" si="3"/>
        <v>0</v>
      </c>
      <c r="V50" s="108">
        <v>383</v>
      </c>
      <c r="W50" s="108">
        <f t="shared" si="4"/>
        <v>0</v>
      </c>
      <c r="X50" s="108">
        <v>383</v>
      </c>
      <c r="Y50" s="108">
        <f t="shared" si="5"/>
        <v>0</v>
      </c>
      <c r="Z50" s="108">
        <v>383</v>
      </c>
      <c r="AA50" s="108">
        <f t="shared" si="6"/>
        <v>0</v>
      </c>
      <c r="AB50" s="108">
        <v>383</v>
      </c>
      <c r="AC50" s="108">
        <f t="shared" si="7"/>
        <v>0</v>
      </c>
      <c r="AD50" s="108">
        <v>383</v>
      </c>
      <c r="AE50" s="109">
        <f t="shared" si="8"/>
        <v>383</v>
      </c>
    </row>
    <row r="51" spans="14:31" ht="15.6" customHeight="1" x14ac:dyDescent="0.3">
      <c r="N51" s="212"/>
      <c r="O51" s="95" t="s">
        <v>67</v>
      </c>
      <c r="P51" s="106"/>
      <c r="Q51" s="106"/>
      <c r="R51" s="106">
        <v>546</v>
      </c>
      <c r="S51" s="106">
        <f t="shared" si="2"/>
        <v>0</v>
      </c>
      <c r="T51" s="106">
        <v>546</v>
      </c>
      <c r="U51" s="106">
        <f t="shared" si="3"/>
        <v>347</v>
      </c>
      <c r="V51" s="106">
        <v>1240</v>
      </c>
      <c r="W51" s="106">
        <f t="shared" si="4"/>
        <v>0</v>
      </c>
      <c r="X51" s="106">
        <v>1240</v>
      </c>
      <c r="Y51" s="106">
        <f t="shared" si="5"/>
        <v>66.5</v>
      </c>
      <c r="Z51" s="106">
        <v>1373</v>
      </c>
      <c r="AA51" s="106">
        <f t="shared" si="6"/>
        <v>0</v>
      </c>
      <c r="AB51" s="106">
        <v>1373</v>
      </c>
      <c r="AC51" s="106">
        <f t="shared" si="7"/>
        <v>0</v>
      </c>
      <c r="AD51" s="106">
        <v>1373</v>
      </c>
      <c r="AE51" s="107">
        <f t="shared" si="8"/>
        <v>1373</v>
      </c>
    </row>
    <row r="52" spans="14:31" ht="15.6" customHeight="1" x14ac:dyDescent="0.3">
      <c r="N52" s="212"/>
      <c r="O52" s="94" t="s">
        <v>68</v>
      </c>
      <c r="P52" s="108"/>
      <c r="Q52" s="108"/>
      <c r="R52" s="108">
        <v>482</v>
      </c>
      <c r="S52" s="108">
        <f t="shared" si="2"/>
        <v>0</v>
      </c>
      <c r="T52" s="108">
        <v>482</v>
      </c>
      <c r="U52" s="108">
        <f t="shared" si="3"/>
        <v>0</v>
      </c>
      <c r="V52" s="108">
        <v>482</v>
      </c>
      <c r="W52" s="108">
        <f t="shared" si="4"/>
        <v>104.5</v>
      </c>
      <c r="X52" s="108">
        <v>691</v>
      </c>
      <c r="Y52" s="108">
        <f t="shared" si="5"/>
        <v>47.5</v>
      </c>
      <c r="Z52" s="108">
        <v>786</v>
      </c>
      <c r="AA52" s="108">
        <f t="shared" si="6"/>
        <v>0</v>
      </c>
      <c r="AB52" s="108">
        <v>786</v>
      </c>
      <c r="AC52" s="108">
        <f t="shared" si="7"/>
        <v>0</v>
      </c>
      <c r="AD52" s="108">
        <v>786</v>
      </c>
      <c r="AE52" s="109">
        <f t="shared" si="8"/>
        <v>786</v>
      </c>
    </row>
    <row r="53" spans="14:31" ht="15.6" customHeight="1" x14ac:dyDescent="0.3">
      <c r="N53" s="212"/>
      <c r="O53" s="95" t="s">
        <v>69</v>
      </c>
      <c r="P53" s="106"/>
      <c r="Q53" s="106"/>
      <c r="R53" s="106">
        <v>0</v>
      </c>
      <c r="S53" s="106">
        <f t="shared" si="2"/>
        <v>187</v>
      </c>
      <c r="T53" s="106">
        <v>374</v>
      </c>
      <c r="U53" s="106">
        <f t="shared" si="3"/>
        <v>393</v>
      </c>
      <c r="V53" s="106">
        <v>1160</v>
      </c>
      <c r="W53" s="106">
        <f t="shared" si="4"/>
        <v>254</v>
      </c>
      <c r="X53" s="106">
        <v>1668</v>
      </c>
      <c r="Y53" s="106">
        <f t="shared" si="5"/>
        <v>160</v>
      </c>
      <c r="Z53" s="106">
        <v>1988</v>
      </c>
      <c r="AA53" s="106">
        <f t="shared" si="6"/>
        <v>0</v>
      </c>
      <c r="AB53" s="106">
        <v>1988</v>
      </c>
      <c r="AC53" s="106">
        <f t="shared" si="7"/>
        <v>0</v>
      </c>
      <c r="AD53" s="106">
        <v>1988</v>
      </c>
      <c r="AE53" s="107">
        <f t="shared" si="8"/>
        <v>1988</v>
      </c>
    </row>
    <row r="54" spans="14:31" ht="15.6" customHeight="1" x14ac:dyDescent="0.3">
      <c r="N54" s="212"/>
      <c r="O54" s="94" t="s">
        <v>70</v>
      </c>
      <c r="P54" s="108"/>
      <c r="Q54" s="108"/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716</v>
      </c>
      <c r="Z54" s="108">
        <v>1432</v>
      </c>
      <c r="AA54" s="108">
        <f t="shared" si="6"/>
        <v>0</v>
      </c>
      <c r="AB54" s="108">
        <v>1432</v>
      </c>
      <c r="AC54" s="108">
        <f t="shared" si="7"/>
        <v>0</v>
      </c>
      <c r="AD54" s="108">
        <v>1432</v>
      </c>
      <c r="AE54" s="109">
        <f t="shared" si="8"/>
        <v>1432</v>
      </c>
    </row>
    <row r="55" spans="14:31" ht="15.6" customHeight="1" x14ac:dyDescent="0.3">
      <c r="N55" s="212"/>
      <c r="O55" s="95" t="s">
        <v>71</v>
      </c>
      <c r="P55" s="106"/>
      <c r="Q55" s="106"/>
      <c r="R55" s="106">
        <v>0</v>
      </c>
      <c r="S55" s="106" t="str">
        <f t="shared" si="2"/>
        <v/>
      </c>
      <c r="T55" s="106">
        <v>0</v>
      </c>
      <c r="U55" s="106">
        <f t="shared" si="3"/>
        <v>17.5</v>
      </c>
      <c r="V55" s="106">
        <v>35</v>
      </c>
      <c r="W55" s="106">
        <f t="shared" si="4"/>
        <v>0</v>
      </c>
      <c r="X55" s="106">
        <v>35</v>
      </c>
      <c r="Y55" s="106">
        <f t="shared" si="5"/>
        <v>112.5</v>
      </c>
      <c r="Z55" s="106">
        <v>260</v>
      </c>
      <c r="AA55" s="106">
        <f t="shared" si="6"/>
        <v>0</v>
      </c>
      <c r="AB55" s="106">
        <v>260</v>
      </c>
      <c r="AC55" s="106">
        <f t="shared" si="7"/>
        <v>0</v>
      </c>
      <c r="AD55" s="106">
        <v>260</v>
      </c>
      <c r="AE55" s="107">
        <f t="shared" si="8"/>
        <v>260</v>
      </c>
    </row>
    <row r="56" spans="14:31" ht="15.6" customHeight="1" x14ac:dyDescent="0.3">
      <c r="N56" s="212"/>
      <c r="O56" s="94" t="s">
        <v>72</v>
      </c>
      <c r="P56" s="108"/>
      <c r="Q56" s="108"/>
      <c r="R56" s="108">
        <v>0</v>
      </c>
      <c r="S56" s="108" t="str">
        <f t="shared" si="2"/>
        <v/>
      </c>
      <c r="T56" s="108">
        <v>0</v>
      </c>
      <c r="U56" s="108">
        <f t="shared" si="3"/>
        <v>110</v>
      </c>
      <c r="V56" s="108">
        <v>220</v>
      </c>
      <c r="W56" s="108">
        <f t="shared" si="4"/>
        <v>0</v>
      </c>
      <c r="X56" s="108">
        <v>220</v>
      </c>
      <c r="Y56" s="108">
        <f t="shared" si="5"/>
        <v>76</v>
      </c>
      <c r="Z56" s="108">
        <v>372</v>
      </c>
      <c r="AA56" s="108">
        <f t="shared" si="6"/>
        <v>0</v>
      </c>
      <c r="AB56" s="108">
        <v>372</v>
      </c>
      <c r="AC56" s="108">
        <f t="shared" si="7"/>
        <v>0</v>
      </c>
      <c r="AD56" s="108">
        <v>372</v>
      </c>
      <c r="AE56" s="109">
        <f t="shared" si="8"/>
        <v>372</v>
      </c>
    </row>
    <row r="57" spans="14:31" ht="15.6" customHeight="1" thickBot="1" x14ac:dyDescent="0.35">
      <c r="N57" s="213"/>
      <c r="O57" s="99" t="s">
        <v>73</v>
      </c>
      <c r="P57" s="114"/>
      <c r="Q57" s="114"/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3</v>
      </c>
      <c r="Z57" s="114">
        <v>6</v>
      </c>
      <c r="AA57" s="114">
        <f t="shared" si="6"/>
        <v>0</v>
      </c>
      <c r="AB57" s="114">
        <v>6</v>
      </c>
      <c r="AC57" s="114">
        <f t="shared" si="7"/>
        <v>0</v>
      </c>
      <c r="AD57" s="114">
        <v>6</v>
      </c>
      <c r="AE57" s="115">
        <f t="shared" si="8"/>
        <v>6</v>
      </c>
    </row>
    <row r="58" spans="14:31" ht="15.6" customHeight="1" x14ac:dyDescent="0.3">
      <c r="N58" s="211" t="s">
        <v>35</v>
      </c>
      <c r="O58" s="96" t="s">
        <v>65</v>
      </c>
      <c r="P58" s="104"/>
      <c r="Q58" s="104"/>
      <c r="R58" s="104">
        <v>482</v>
      </c>
      <c r="S58" s="104">
        <f t="shared" si="2"/>
        <v>192</v>
      </c>
      <c r="T58" s="104">
        <v>866</v>
      </c>
      <c r="U58" s="104">
        <f t="shared" si="3"/>
        <v>514.5</v>
      </c>
      <c r="V58" s="104">
        <v>1895</v>
      </c>
      <c r="W58" s="104">
        <f t="shared" si="4"/>
        <v>893</v>
      </c>
      <c r="X58" s="104">
        <v>3681</v>
      </c>
      <c r="Y58" s="104">
        <f t="shared" si="5"/>
        <v>185.5</v>
      </c>
      <c r="Z58" s="104">
        <v>4052</v>
      </c>
      <c r="AA58" s="104">
        <f t="shared" si="6"/>
        <v>0</v>
      </c>
      <c r="AB58" s="104">
        <v>4052</v>
      </c>
      <c r="AC58" s="104">
        <f t="shared" si="7"/>
        <v>0</v>
      </c>
      <c r="AD58" s="104">
        <v>4052</v>
      </c>
      <c r="AE58" s="105">
        <f t="shared" si="8"/>
        <v>4052</v>
      </c>
    </row>
    <row r="59" spans="14:31" ht="15.6" customHeight="1" x14ac:dyDescent="0.3">
      <c r="N59" s="212"/>
      <c r="O59" s="95" t="s">
        <v>66</v>
      </c>
      <c r="P59" s="106"/>
      <c r="Q59" s="106"/>
      <c r="R59" s="106">
        <v>1503</v>
      </c>
      <c r="S59" s="106">
        <f t="shared" si="2"/>
        <v>403</v>
      </c>
      <c r="T59" s="106">
        <v>2309</v>
      </c>
      <c r="U59" s="106">
        <f t="shared" si="3"/>
        <v>503.5</v>
      </c>
      <c r="V59" s="106">
        <v>3316</v>
      </c>
      <c r="W59" s="106">
        <f t="shared" si="4"/>
        <v>551.5</v>
      </c>
      <c r="X59" s="106">
        <v>4419</v>
      </c>
      <c r="Y59" s="106">
        <f t="shared" si="5"/>
        <v>0</v>
      </c>
      <c r="Z59" s="106">
        <v>4419</v>
      </c>
      <c r="AA59" s="106">
        <f t="shared" si="6"/>
        <v>0</v>
      </c>
      <c r="AB59" s="106">
        <v>4419</v>
      </c>
      <c r="AC59" s="106">
        <f t="shared" si="7"/>
        <v>0</v>
      </c>
      <c r="AD59" s="106">
        <v>4419</v>
      </c>
      <c r="AE59" s="107">
        <f t="shared" si="8"/>
        <v>4419</v>
      </c>
    </row>
    <row r="60" spans="14:31" ht="15.6" customHeight="1" x14ac:dyDescent="0.3">
      <c r="N60" s="212"/>
      <c r="O60" s="94" t="s">
        <v>67</v>
      </c>
      <c r="P60" s="108"/>
      <c r="Q60" s="108"/>
      <c r="R60" s="108">
        <v>285</v>
      </c>
      <c r="S60" s="108">
        <f t="shared" si="2"/>
        <v>0</v>
      </c>
      <c r="T60" s="108">
        <v>285</v>
      </c>
      <c r="U60" s="108">
        <f t="shared" si="3"/>
        <v>0</v>
      </c>
      <c r="V60" s="108">
        <v>285</v>
      </c>
      <c r="W60" s="108">
        <f t="shared" si="4"/>
        <v>353.5</v>
      </c>
      <c r="X60" s="108">
        <v>992</v>
      </c>
      <c r="Y60" s="108">
        <f t="shared" si="5"/>
        <v>544</v>
      </c>
      <c r="Z60" s="108">
        <v>2080</v>
      </c>
      <c r="AA60" s="108">
        <f t="shared" si="6"/>
        <v>0</v>
      </c>
      <c r="AB60" s="108">
        <v>2080</v>
      </c>
      <c r="AC60" s="108">
        <f t="shared" si="7"/>
        <v>0</v>
      </c>
      <c r="AD60" s="108">
        <v>2080</v>
      </c>
      <c r="AE60" s="109">
        <f t="shared" si="8"/>
        <v>2080</v>
      </c>
    </row>
    <row r="61" spans="14:31" ht="15.6" customHeight="1" thickBot="1" x14ac:dyDescent="0.35">
      <c r="N61" s="213"/>
      <c r="O61" s="99" t="s">
        <v>68</v>
      </c>
      <c r="P61" s="114"/>
      <c r="Q61" s="114"/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/>
      <c r="R62" s="104">
        <v>0</v>
      </c>
      <c r="S62" s="104">
        <f t="shared" si="2"/>
        <v>333</v>
      </c>
      <c r="T62" s="104">
        <v>666</v>
      </c>
      <c r="U62" s="104">
        <f t="shared" si="3"/>
        <v>0</v>
      </c>
      <c r="V62" s="104">
        <v>666</v>
      </c>
      <c r="W62" s="104">
        <f t="shared" si="4"/>
        <v>109</v>
      </c>
      <c r="X62" s="104">
        <v>884</v>
      </c>
      <c r="Y62" s="104">
        <f t="shared" si="5"/>
        <v>199</v>
      </c>
      <c r="Z62" s="104">
        <v>1282</v>
      </c>
      <c r="AA62" s="104">
        <f t="shared" si="6"/>
        <v>307.5</v>
      </c>
      <c r="AB62" s="104">
        <v>1897</v>
      </c>
      <c r="AC62" s="104">
        <f t="shared" si="7"/>
        <v>0</v>
      </c>
      <c r="AD62" s="104">
        <v>1897</v>
      </c>
      <c r="AE62" s="105">
        <f t="shared" si="8"/>
        <v>1897</v>
      </c>
    </row>
    <row r="63" spans="14:31" ht="15.6" customHeight="1" x14ac:dyDescent="0.3">
      <c r="N63" s="212"/>
      <c r="O63" s="95" t="s">
        <v>66</v>
      </c>
      <c r="P63" s="106"/>
      <c r="Q63" s="106"/>
      <c r="R63" s="106">
        <v>0</v>
      </c>
      <c r="S63" s="106">
        <f t="shared" si="2"/>
        <v>48</v>
      </c>
      <c r="T63" s="106">
        <v>96</v>
      </c>
      <c r="U63" s="106">
        <f t="shared" si="3"/>
        <v>0</v>
      </c>
      <c r="V63" s="106">
        <v>96</v>
      </c>
      <c r="W63" s="106">
        <f t="shared" si="4"/>
        <v>320</v>
      </c>
      <c r="X63" s="106">
        <v>736</v>
      </c>
      <c r="Y63" s="106">
        <f t="shared" si="5"/>
        <v>171</v>
      </c>
      <c r="Z63" s="106">
        <v>1078</v>
      </c>
      <c r="AA63" s="106">
        <f t="shared" si="6"/>
        <v>0</v>
      </c>
      <c r="AB63" s="106">
        <v>1078</v>
      </c>
      <c r="AC63" s="106">
        <f t="shared" si="7"/>
        <v>0</v>
      </c>
      <c r="AD63" s="106">
        <v>1078</v>
      </c>
      <c r="AE63" s="107">
        <f t="shared" si="8"/>
        <v>1078</v>
      </c>
    </row>
    <row r="64" spans="14:31" ht="15.6" customHeight="1" x14ac:dyDescent="0.3">
      <c r="N64" s="212"/>
      <c r="O64" s="94" t="s">
        <v>67</v>
      </c>
      <c r="P64" s="108"/>
      <c r="Q64" s="108"/>
      <c r="R64" s="108">
        <v>0</v>
      </c>
      <c r="S64" s="108" t="str">
        <f t="shared" si="2"/>
        <v/>
      </c>
      <c r="T64" s="108">
        <v>0</v>
      </c>
      <c r="U64" s="108">
        <f t="shared" si="3"/>
        <v>78.5</v>
      </c>
      <c r="V64" s="108">
        <v>157</v>
      </c>
      <c r="W64" s="108">
        <f t="shared" si="4"/>
        <v>272.5</v>
      </c>
      <c r="X64" s="108">
        <v>702</v>
      </c>
      <c r="Y64" s="108">
        <f t="shared" si="5"/>
        <v>255</v>
      </c>
      <c r="Z64" s="108">
        <v>1212</v>
      </c>
      <c r="AA64" s="108">
        <f t="shared" si="6"/>
        <v>36</v>
      </c>
      <c r="AB64" s="108">
        <v>1284</v>
      </c>
      <c r="AC64" s="108">
        <f t="shared" si="7"/>
        <v>0</v>
      </c>
      <c r="AD64" s="108">
        <v>1284</v>
      </c>
      <c r="AE64" s="109">
        <f t="shared" si="8"/>
        <v>1284</v>
      </c>
    </row>
    <row r="65" spans="14:31" ht="15.6" customHeight="1" thickBot="1" x14ac:dyDescent="0.35">
      <c r="N65" s="213"/>
      <c r="O65" s="99" t="s">
        <v>68</v>
      </c>
      <c r="P65" s="114"/>
      <c r="Q65" s="114"/>
      <c r="R65" s="114">
        <v>0</v>
      </c>
      <c r="S65" s="114" t="str">
        <f t="shared" si="2"/>
        <v/>
      </c>
      <c r="T65" s="114">
        <v>0</v>
      </c>
      <c r="U65" s="114">
        <f t="shared" si="3"/>
        <v>92.5</v>
      </c>
      <c r="V65" s="114">
        <v>185</v>
      </c>
      <c r="W65" s="114">
        <f t="shared" si="4"/>
        <v>0</v>
      </c>
      <c r="X65" s="114">
        <v>185</v>
      </c>
      <c r="Y65" s="114">
        <f t="shared" si="5"/>
        <v>0</v>
      </c>
      <c r="Z65" s="114">
        <v>185</v>
      </c>
      <c r="AA65" s="114">
        <f t="shared" si="6"/>
        <v>0</v>
      </c>
      <c r="AB65" s="114">
        <v>185</v>
      </c>
      <c r="AC65" s="114">
        <f t="shared" si="7"/>
        <v>0</v>
      </c>
      <c r="AD65" s="114">
        <v>185</v>
      </c>
      <c r="AE65" s="115">
        <f t="shared" si="8"/>
        <v>185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91" priority="11" operator="lessThan">
      <formula>0</formula>
    </cfRule>
    <cfRule type="cellIs" dxfId="1990" priority="12" operator="greaterThan">
      <formula>0</formula>
    </cfRule>
  </conditionalFormatting>
  <conditionalFormatting sqref="R25:AC25">
    <cfRule type="cellIs" dxfId="1989" priority="9" operator="lessThan">
      <formula>0</formula>
    </cfRule>
    <cfRule type="cellIs" dxfId="1988" priority="10" operator="greaterThan">
      <formula>0</formula>
    </cfRule>
  </conditionalFormatting>
  <conditionalFormatting sqref="R26 T26 V26 X26 Z26 AB26">
    <cfRule type="cellIs" dxfId="1987" priority="7" operator="lessThan">
      <formula>0</formula>
    </cfRule>
    <cfRule type="cellIs" dxfId="1986" priority="8" operator="greaterThan">
      <formula>0</formula>
    </cfRule>
  </conditionalFormatting>
  <conditionalFormatting sqref="AD24:AE24">
    <cfRule type="cellIs" dxfId="1985" priority="5" operator="lessThan">
      <formula>0</formula>
    </cfRule>
    <cfRule type="cellIs" dxfId="1984" priority="6" operator="greaterThan">
      <formula>0</formula>
    </cfRule>
  </conditionalFormatting>
  <conditionalFormatting sqref="AD25:AE25">
    <cfRule type="cellIs" dxfId="1983" priority="3" operator="lessThan">
      <formula>0</formula>
    </cfRule>
    <cfRule type="cellIs" dxfId="1982" priority="4" operator="greaterThan">
      <formula>0</formula>
    </cfRule>
  </conditionalFormatting>
  <conditionalFormatting sqref="AD26">
    <cfRule type="cellIs" dxfId="1981" priority="1" operator="lessThan">
      <formula>0</formula>
    </cfRule>
    <cfRule type="cellIs" dxfId="19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1"/>
    <pageSetUpPr fitToPage="1"/>
  </sheetPr>
  <dimension ref="B1:AQ65"/>
  <sheetViews>
    <sheetView topLeftCell="C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44350</v>
      </c>
    </row>
    <row r="3" spans="2:42" ht="18.75" customHeight="1" thickBot="1" x14ac:dyDescent="0.35">
      <c r="B3" t="s">
        <v>1</v>
      </c>
      <c r="C3" s="3">
        <f>C2+1</f>
        <v>44351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/>
      <c r="E6" s="18" t="s">
        <v>22</v>
      </c>
      <c r="F6" s="119">
        <v>22793</v>
      </c>
      <c r="G6" s="117">
        <v>20218.560999999991</v>
      </c>
      <c r="H6" s="117">
        <v>16551.565261439999</v>
      </c>
      <c r="I6" s="19">
        <f>H6+G6</f>
        <v>36770.126261439989</v>
      </c>
      <c r="J6" s="119">
        <v>18294</v>
      </c>
      <c r="K6" s="117">
        <v>16357.11225</v>
      </c>
      <c r="L6" s="117">
        <v>10269.996804300001</v>
      </c>
      <c r="M6" s="19">
        <f>L6+K6</f>
        <v>26627.109054300003</v>
      </c>
      <c r="N6" s="85">
        <v>58</v>
      </c>
      <c r="O6" s="85">
        <v>47</v>
      </c>
      <c r="P6" s="92"/>
      <c r="Q6" s="20">
        <f>J6-P6</f>
        <v>18294</v>
      </c>
      <c r="R6" s="21">
        <v>2618</v>
      </c>
      <c r="S6" s="20">
        <f>IF(R6&gt;0,(R6-R7-$Q6),"")</f>
        <v>-15724</v>
      </c>
      <c r="T6" s="21">
        <v>6550</v>
      </c>
      <c r="U6" s="20">
        <f>IF(T6&gt;0,(T6-T7-$Q6),"")</f>
        <v>-11798</v>
      </c>
      <c r="V6" s="21">
        <v>7009</v>
      </c>
      <c r="W6" s="20">
        <f>IF(V6&gt;0,(V6-V7-$Q6),"")</f>
        <v>-11339</v>
      </c>
      <c r="X6" s="21">
        <v>13460</v>
      </c>
      <c r="Y6" s="20">
        <f>IF(X6&gt;0,(X6-X7-$Q6),"")</f>
        <v>-5529</v>
      </c>
      <c r="Z6" s="21">
        <v>13542</v>
      </c>
      <c r="AA6" s="20">
        <f>IF(Z6&gt;0,(Z6-Z7-$Q6),"")</f>
        <v>-5447</v>
      </c>
      <c r="AB6" s="21">
        <v>13542</v>
      </c>
      <c r="AC6" s="22">
        <f>IF(AB6&gt;0,(AB6-AB7-$Q6),"")</f>
        <v>-5447</v>
      </c>
      <c r="AD6" s="21">
        <v>13542</v>
      </c>
      <c r="AE6" s="22">
        <f>IF(AD6&gt;0,(AD6-AD7-$Q6),"")</f>
        <v>-5447</v>
      </c>
    </row>
    <row r="7" spans="2:42" x14ac:dyDescent="0.3">
      <c r="B7" s="16" t="s">
        <v>23</v>
      </c>
      <c r="C7" s="17">
        <v>2414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48</v>
      </c>
      <c r="S7" s="24"/>
      <c r="T7" s="25">
        <v>54</v>
      </c>
      <c r="U7" s="24"/>
      <c r="V7" s="25">
        <v>54</v>
      </c>
      <c r="W7" s="24"/>
      <c r="X7" s="25">
        <v>695</v>
      </c>
      <c r="Y7" s="24"/>
      <c r="Z7" s="25">
        <v>695</v>
      </c>
      <c r="AA7" s="24"/>
      <c r="AB7" s="25">
        <v>695</v>
      </c>
      <c r="AC7" s="26"/>
      <c r="AD7" s="25">
        <v>695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2131</v>
      </c>
      <c r="E8" s="29" t="s">
        <v>27</v>
      </c>
      <c r="F8" s="119">
        <v>16140</v>
      </c>
      <c r="G8" s="117">
        <v>6876.8899999999994</v>
      </c>
      <c r="H8" s="117">
        <v>1533.4779559999999</v>
      </c>
      <c r="I8" s="19">
        <f>H8+G8</f>
        <v>8410.367956</v>
      </c>
      <c r="J8" s="119">
        <v>16018</v>
      </c>
      <c r="K8" s="117">
        <v>6819.6825000000008</v>
      </c>
      <c r="L8" s="117">
        <v>1493.7016008999999</v>
      </c>
      <c r="M8" s="19">
        <f>L8+K8</f>
        <v>8313.3841009000007</v>
      </c>
      <c r="N8" s="87">
        <v>29</v>
      </c>
      <c r="O8" s="87">
        <v>22</v>
      </c>
      <c r="P8" s="92"/>
      <c r="Q8" s="20">
        <f>J8-P8</f>
        <v>16018</v>
      </c>
      <c r="R8" s="21">
        <v>1800</v>
      </c>
      <c r="S8" s="20">
        <f>IF(R8&gt;0,(R8-R9-$Q8),"")</f>
        <v>-14218</v>
      </c>
      <c r="T8" s="21">
        <v>3619</v>
      </c>
      <c r="U8" s="20">
        <f>IF(T8&gt;0,(T8-T9-$Q8),"")</f>
        <v>-12399</v>
      </c>
      <c r="V8" s="21">
        <v>4253</v>
      </c>
      <c r="W8" s="20">
        <f>IF(V8&gt;0,(V8-V9-$Q8),"")</f>
        <v>-11765</v>
      </c>
      <c r="X8" s="21">
        <v>5213</v>
      </c>
      <c r="Y8" s="20">
        <f>IF(X8&gt;0,(X8-X9-$Q8),"")</f>
        <v>-10805</v>
      </c>
      <c r="Z8" s="21">
        <v>6085</v>
      </c>
      <c r="AA8" s="20">
        <f>IF(Z8&gt;0,(Z8-Z9-$Q8),"")</f>
        <v>-9933</v>
      </c>
      <c r="AB8" s="21">
        <v>6085</v>
      </c>
      <c r="AC8" s="22">
        <f>IF(AB8&gt;0,(AB8-AB9-$Q8),"")</f>
        <v>-9933</v>
      </c>
      <c r="AD8" s="21">
        <v>6085</v>
      </c>
      <c r="AE8" s="22">
        <f>IF(AD8&gt;0,(AD8-AD9-$Q8),"")</f>
        <v>-9933</v>
      </c>
    </row>
    <row r="9" spans="2:42" x14ac:dyDescent="0.3">
      <c r="B9" s="28" t="s">
        <v>28</v>
      </c>
      <c r="C9" s="17">
        <v>1900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3610</v>
      </c>
      <c r="E10" s="18" t="s">
        <v>31</v>
      </c>
      <c r="F10" s="119">
        <v>19122</v>
      </c>
      <c r="G10" s="117">
        <v>14978.305499999989</v>
      </c>
      <c r="H10" s="117">
        <v>1962.29034</v>
      </c>
      <c r="I10" s="19">
        <f>H10+G10</f>
        <v>16940.595839999991</v>
      </c>
      <c r="J10" s="119">
        <v>18477</v>
      </c>
      <c r="K10" s="117">
        <v>14200.958500000001</v>
      </c>
      <c r="L10" s="117">
        <v>1555.5281749999999</v>
      </c>
      <c r="M10" s="19">
        <f>L10+K10</f>
        <v>15756.486675</v>
      </c>
      <c r="N10" s="88">
        <v>48</v>
      </c>
      <c r="O10" s="88">
        <v>40</v>
      </c>
      <c r="P10" s="92"/>
      <c r="Q10" s="20">
        <f>J10-P10</f>
        <v>18477</v>
      </c>
      <c r="R10" s="21">
        <v>3796</v>
      </c>
      <c r="S10" s="20">
        <f>IF(R10&gt;0,(R10-R11-$Q10),"")</f>
        <v>-15332</v>
      </c>
      <c r="T10" s="21">
        <v>5024</v>
      </c>
      <c r="U10" s="20">
        <f>IF(T10&gt;0,(T10-T11-$Q10),"")</f>
        <v>-14826</v>
      </c>
      <c r="V10" s="21">
        <v>8664</v>
      </c>
      <c r="W10" s="20">
        <f>IF(V10&gt;0,(V10-V11-$Q10),"")</f>
        <v>-11763</v>
      </c>
      <c r="X10" s="21">
        <v>10885</v>
      </c>
      <c r="Y10" s="20">
        <f>IF(X10&gt;0,(X10-X11-$Q10),"")</f>
        <v>-10090</v>
      </c>
      <c r="Z10" s="21">
        <v>13469</v>
      </c>
      <c r="AA10" s="20">
        <f>IF(Z10&gt;0,(Z10-Z11-$Q10),"")</f>
        <v>-7651</v>
      </c>
      <c r="AB10" s="21">
        <v>14254</v>
      </c>
      <c r="AC10" s="22">
        <f>IF(AB10&gt;0,(AB10-AB11-$Q10),"")</f>
        <v>-6866</v>
      </c>
      <c r="AD10" s="21">
        <v>14254</v>
      </c>
      <c r="AE10" s="22">
        <f>IF(AD10&gt;0,(AD10-AD11-$Q10),"")</f>
        <v>-6866</v>
      </c>
    </row>
    <row r="11" spans="2:42" x14ac:dyDescent="0.3">
      <c r="B11" s="16" t="s">
        <v>32</v>
      </c>
      <c r="C11" s="17">
        <v>2077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651</v>
      </c>
      <c r="S11" s="24"/>
      <c r="T11" s="30">
        <v>1373</v>
      </c>
      <c r="U11" s="24"/>
      <c r="V11" s="30">
        <v>1950</v>
      </c>
      <c r="W11" s="24"/>
      <c r="X11" s="30">
        <v>2498</v>
      </c>
      <c r="Y11" s="24"/>
      <c r="Z11" s="30">
        <v>2643</v>
      </c>
      <c r="AA11" s="24"/>
      <c r="AB11" s="30">
        <v>2643</v>
      </c>
      <c r="AC11" s="26"/>
      <c r="AD11" s="30">
        <v>2643</v>
      </c>
      <c r="AE11" s="26"/>
    </row>
    <row r="12" spans="2:42" x14ac:dyDescent="0.3">
      <c r="B12" s="16" t="s">
        <v>34</v>
      </c>
      <c r="C12" s="17">
        <v>1656</v>
      </c>
      <c r="E12" s="29" t="s">
        <v>35</v>
      </c>
      <c r="F12" s="119">
        <v>14792</v>
      </c>
      <c r="G12" s="117">
        <v>15051.520500000001</v>
      </c>
      <c r="H12" s="117">
        <v>15082.39755718</v>
      </c>
      <c r="I12" s="19">
        <f>H12+G12</f>
        <v>30133.918057180003</v>
      </c>
      <c r="J12" s="119">
        <v>14856</v>
      </c>
      <c r="K12" s="117">
        <v>15497.162249999999</v>
      </c>
      <c r="L12" s="117">
        <v>15211.28658806</v>
      </c>
      <c r="M12" s="19">
        <f>L12+K12</f>
        <v>30708.448838060001</v>
      </c>
      <c r="N12" s="88">
        <v>39</v>
      </c>
      <c r="O12" s="88">
        <v>33</v>
      </c>
      <c r="P12" s="92"/>
      <c r="Q12" s="20">
        <f>J12-P12</f>
        <v>14856</v>
      </c>
      <c r="R12" s="21">
        <v>2147</v>
      </c>
      <c r="S12" s="20">
        <f>IF(R12&gt;0,(R12-R13-$Q12),"")</f>
        <v>-12835</v>
      </c>
      <c r="T12" s="21">
        <v>4323</v>
      </c>
      <c r="U12" s="20">
        <f>IF(T12&gt;0,(T12-T13-$Q12),"")</f>
        <v>-10659</v>
      </c>
      <c r="V12" s="21">
        <v>5663</v>
      </c>
      <c r="W12" s="20">
        <f>IF(V12&gt;0,(V12-V13-$Q12),"")</f>
        <v>-9319</v>
      </c>
      <c r="X12" s="21">
        <v>7047</v>
      </c>
      <c r="Y12" s="20">
        <f>IF(X12&gt;0,(X12-X13-$Q12),"")</f>
        <v>-7935</v>
      </c>
      <c r="Z12" s="21">
        <v>7047</v>
      </c>
      <c r="AA12" s="20">
        <f>IF(Z12&gt;0,(Z12-Z13-$Q12),"")</f>
        <v>-7935</v>
      </c>
      <c r="AB12" s="21">
        <v>7047</v>
      </c>
      <c r="AC12" s="22">
        <f>IF(AB12&gt;0,(AB12-AB13-$Q12),"")</f>
        <v>-7935</v>
      </c>
      <c r="AD12" s="21">
        <v>7047</v>
      </c>
      <c r="AE12" s="22">
        <f>IF(AD12&gt;0,(AD12-AD13-$Q12),"")</f>
        <v>-7935</v>
      </c>
    </row>
    <row r="13" spans="2:42" x14ac:dyDescent="0.3">
      <c r="B13" s="16" t="s">
        <v>36</v>
      </c>
      <c r="C13" s="17">
        <v>5014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126</v>
      </c>
      <c r="S13" s="24"/>
      <c r="T13" s="30">
        <v>126</v>
      </c>
      <c r="U13" s="24"/>
      <c r="V13" s="30">
        <v>126</v>
      </c>
      <c r="W13" s="24"/>
      <c r="X13" s="30">
        <v>126</v>
      </c>
      <c r="Y13" s="24"/>
      <c r="Z13" s="30">
        <v>126</v>
      </c>
      <c r="AA13" s="24"/>
      <c r="AB13" s="30">
        <v>126</v>
      </c>
      <c r="AC13" s="26"/>
      <c r="AD13" s="30">
        <v>126</v>
      </c>
      <c r="AE13" s="26"/>
    </row>
    <row r="14" spans="2:42" x14ac:dyDescent="0.3">
      <c r="B14" s="16" t="s">
        <v>38</v>
      </c>
      <c r="C14" s="17">
        <v>8458</v>
      </c>
      <c r="E14" s="18" t="s">
        <v>39</v>
      </c>
      <c r="F14" s="119">
        <v>16068</v>
      </c>
      <c r="G14" s="117">
        <v>17786.6875</v>
      </c>
      <c r="H14" s="117">
        <v>24578.878967159999</v>
      </c>
      <c r="I14" s="19">
        <f>H14+G14</f>
        <v>42365.566467159995</v>
      </c>
      <c r="J14" s="119">
        <v>16287</v>
      </c>
      <c r="K14" s="117">
        <v>18119.9375</v>
      </c>
      <c r="L14" s="117">
        <v>23537.288618360009</v>
      </c>
      <c r="M14" s="19">
        <f>L14+K14</f>
        <v>41657.226118360006</v>
      </c>
      <c r="N14" s="88">
        <v>60</v>
      </c>
      <c r="O14" s="88">
        <v>51</v>
      </c>
      <c r="P14" s="92"/>
      <c r="Q14" s="20">
        <f>J14-P14</f>
        <v>16287</v>
      </c>
      <c r="R14" s="21">
        <v>321</v>
      </c>
      <c r="S14" s="20">
        <f>IF(R14&gt;0,(R14-R15-$Q14),"")</f>
        <v>-15966</v>
      </c>
      <c r="T14" s="21">
        <v>1396</v>
      </c>
      <c r="U14" s="20">
        <f>IF(T14&gt;0,(T14-T15-$Q14),"")</f>
        <v>-14891</v>
      </c>
      <c r="V14" s="21">
        <v>1681</v>
      </c>
      <c r="W14" s="20">
        <f>IF(V14&gt;0,(V14-V15-$Q14),"")</f>
        <v>-14606</v>
      </c>
      <c r="X14" s="21">
        <v>1810</v>
      </c>
      <c r="Y14" s="20">
        <f>IF(X14&gt;0,(X14-X15-$Q14),"")</f>
        <v>-14477</v>
      </c>
      <c r="Z14" s="21">
        <v>3387</v>
      </c>
      <c r="AA14" s="20">
        <f>IF(Z14&gt;0,(Z14-Z15-$Q14),"")</f>
        <v>-12900</v>
      </c>
      <c r="AB14" s="21">
        <v>3387</v>
      </c>
      <c r="AC14" s="22">
        <f>IF(AB14&gt;0,(AB14-AB15-$Q14),"")</f>
        <v>-12900</v>
      </c>
      <c r="AD14" s="21">
        <v>3387</v>
      </c>
      <c r="AE14" s="22">
        <f>IF(AD14&gt;0,(AD14-AD15-$Q14),"")</f>
        <v>-12900</v>
      </c>
    </row>
    <row r="15" spans="2:42" ht="15" customHeight="1" thickBot="1" x14ac:dyDescent="0.35">
      <c r="B15" s="16" t="s">
        <v>40</v>
      </c>
      <c r="C15" s="17">
        <v>2623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>
        <v>0</v>
      </c>
      <c r="AE15" s="26"/>
    </row>
    <row r="16" spans="2:42" ht="15" customHeight="1" thickBot="1" x14ac:dyDescent="0.35">
      <c r="B16" s="28" t="s">
        <v>42</v>
      </c>
      <c r="C16" s="17">
        <v>12603</v>
      </c>
      <c r="E16" s="84"/>
      <c r="F16" s="31">
        <f t="shared" ref="F16:N16" si="0">SUM(F6:F15)</f>
        <v>88915</v>
      </c>
      <c r="G16" s="31">
        <f t="shared" si="0"/>
        <v>74911.964499999973</v>
      </c>
      <c r="H16" s="31">
        <f t="shared" si="0"/>
        <v>59708.610081779989</v>
      </c>
      <c r="I16" s="32">
        <f t="shared" si="0"/>
        <v>134620.57458178001</v>
      </c>
      <c r="J16" s="33">
        <f t="shared" si="0"/>
        <v>83932</v>
      </c>
      <c r="K16" s="33">
        <f t="shared" si="0"/>
        <v>70994.853000000003</v>
      </c>
      <c r="L16" s="33">
        <f t="shared" si="0"/>
        <v>52067.80178662001</v>
      </c>
      <c r="M16" s="33">
        <f t="shared" si="0"/>
        <v>123062.65478662001</v>
      </c>
      <c r="N16" s="31">
        <f t="shared" si="0"/>
        <v>234</v>
      </c>
      <c r="O16" s="31">
        <f>SUM(O14,O12,O10,O8,O6)</f>
        <v>193</v>
      </c>
      <c r="P16" s="34">
        <f>SUM(P6:P15)</f>
        <v>0</v>
      </c>
      <c r="Q16" s="34">
        <f>SUM(Q6:Q15)</f>
        <v>83932</v>
      </c>
      <c r="R16" s="35">
        <f>R6+R8+R10+R12+R14-R7-R9-R11-R13-R15</f>
        <v>9857</v>
      </c>
      <c r="S16" s="36">
        <f>IF(R16&gt;1,(R16-$Q16),"")</f>
        <v>-74075</v>
      </c>
      <c r="T16" s="35">
        <f>T6+T8+T10+T12+T14-T7-T9-T11-T13-T15</f>
        <v>19359</v>
      </c>
      <c r="U16" s="36">
        <f>IF(T16&gt;1,(T16-$Q16),"")</f>
        <v>-64573</v>
      </c>
      <c r="V16" s="35">
        <f>V6+V8+V10+V12+V14-V7-V9-V11-V13-V15</f>
        <v>25140</v>
      </c>
      <c r="W16" s="36">
        <f>IF(V16&gt;1,(V16-$Q16),"")</f>
        <v>-58792</v>
      </c>
      <c r="X16" s="35">
        <f>X6+X8+X10+X12+X14-X7-X9-X11-X13-X15</f>
        <v>35096</v>
      </c>
      <c r="Y16" s="36">
        <f>IF(X16&gt;1,(X16-$Q16),"")</f>
        <v>-48836</v>
      </c>
      <c r="Z16" s="35">
        <f>Z6+Z8+Z10+Z12+Z14-Z7-Z9-Z11-Z13-Z15</f>
        <v>40066</v>
      </c>
      <c r="AA16" s="36">
        <f>IF(Z16&gt;1,(Z16-$Q16),"")</f>
        <v>-43866</v>
      </c>
      <c r="AB16" s="35">
        <f>AB6+AB8+AB10+AB12+AB14-AB7-AB9-AB11-AB13-AB15</f>
        <v>40851</v>
      </c>
      <c r="AC16" s="37">
        <f>IF(AB16&gt;1,(AB16-$Q16),"")</f>
        <v>-43081</v>
      </c>
      <c r="AD16" s="35">
        <f>AD6+AD8+AD10+AD12+AD14-AD7-AD9-AD11-AD13-AD15</f>
        <v>40851</v>
      </c>
      <c r="AE16" s="37">
        <f>IF(AD16&gt;1,(AD16-$Q16),"")</f>
        <v>-43081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825</v>
      </c>
      <c r="S17" s="41"/>
      <c r="T17" s="40">
        <f>T15+T13+T11+T9+T7</f>
        <v>1553</v>
      </c>
      <c r="U17" s="41"/>
      <c r="V17" s="40">
        <f>V15+V13+V11+V9+V7</f>
        <v>2130</v>
      </c>
      <c r="W17" s="41"/>
      <c r="X17" s="40">
        <f>X15+X13+X11+X9+X7</f>
        <v>3319</v>
      </c>
      <c r="Y17" s="41"/>
      <c r="Z17" s="40">
        <f>Z15+Z13+Z11+Z9+Z7</f>
        <v>3464</v>
      </c>
      <c r="AA17" s="41"/>
      <c r="AB17" s="40">
        <f>AB15+AB13+AB11+AB9+AB7</f>
        <v>3464</v>
      </c>
      <c r="AC17" s="42"/>
      <c r="AD17" s="40">
        <f>AD15+AD13+AD11+AD9+AD7</f>
        <v>3464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4928.5</v>
      </c>
      <c r="S18" s="46"/>
      <c r="T18" s="47">
        <f>IF(T16&gt;0,(T16-R16)/2,"")</f>
        <v>4751</v>
      </c>
      <c r="U18" s="46"/>
      <c r="V18" s="47">
        <f>IF(V16&gt;0,(V16-T16)/2,"")</f>
        <v>2890.5</v>
      </c>
      <c r="W18" s="46"/>
      <c r="X18" s="47">
        <f>IF(X16&gt;0,(X16-V16)/2,"")</f>
        <v>4978</v>
      </c>
      <c r="Y18" s="46"/>
      <c r="Z18" s="47">
        <f>IF(Z16&gt;0,(Z16-X16)/2,"")</f>
        <v>2485</v>
      </c>
      <c r="AA18" s="46"/>
      <c r="AB18" s="47">
        <f>IF(AB16&gt;0,(AB16-Z16)/2,"")</f>
        <v>392.5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1198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550</v>
      </c>
      <c r="L20" s="4"/>
      <c r="M20" s="4"/>
      <c r="Q20" s="51" t="s">
        <v>49</v>
      </c>
      <c r="R20" s="35">
        <v>8987</v>
      </c>
      <c r="S20" s="36"/>
      <c r="T20" s="35">
        <v>12107</v>
      </c>
      <c r="U20" s="36"/>
      <c r="V20" s="35">
        <v>18221</v>
      </c>
      <c r="W20" s="36"/>
      <c r="X20" s="35">
        <v>24235</v>
      </c>
      <c r="Y20" s="36"/>
      <c r="Z20" s="35">
        <v>29985</v>
      </c>
      <c r="AA20" s="36"/>
      <c r="AB20" s="35">
        <v>31007</v>
      </c>
      <c r="AC20" s="37"/>
      <c r="AD20" s="35">
        <v>31007</v>
      </c>
      <c r="AE20" s="37">
        <v>-59145</v>
      </c>
    </row>
    <row r="21" spans="2:43" ht="15" customHeight="1" thickBot="1" x14ac:dyDescent="0.35">
      <c r="B21" s="16" t="s">
        <v>50</v>
      </c>
      <c r="C21" s="17">
        <v>9133</v>
      </c>
      <c r="L21" s="4"/>
      <c r="M21" s="4"/>
      <c r="Q21" s="52"/>
      <c r="R21" s="40">
        <v>1634</v>
      </c>
      <c r="S21" s="41"/>
      <c r="T21" s="40">
        <v>2280</v>
      </c>
      <c r="U21" s="41"/>
      <c r="V21" s="40">
        <v>3162</v>
      </c>
      <c r="W21" s="41"/>
      <c r="X21" s="40">
        <v>3311</v>
      </c>
      <c r="Y21" s="41"/>
      <c r="Z21" s="40">
        <v>4591</v>
      </c>
      <c r="AA21" s="41"/>
      <c r="AB21" s="40">
        <v>4836</v>
      </c>
      <c r="AC21" s="42"/>
      <c r="AD21" s="40">
        <v>4836</v>
      </c>
      <c r="AE21" s="42"/>
    </row>
    <row r="22" spans="2:43" ht="15" customHeight="1" thickBot="1" x14ac:dyDescent="0.35">
      <c r="B22" s="16" t="s">
        <v>51</v>
      </c>
      <c r="C22" s="17">
        <v>1817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4541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870</v>
      </c>
      <c r="S24" s="60"/>
      <c r="T24" s="60">
        <f>IF(T16&gt;0,T16-T20,"")</f>
        <v>7252</v>
      </c>
      <c r="U24" s="60"/>
      <c r="V24" s="60">
        <f>IF(V16&gt;0,V16-V20,"")</f>
        <v>6919</v>
      </c>
      <c r="W24" s="60"/>
      <c r="X24" s="60">
        <f>IF(X16&gt;0,X16-X20,"")</f>
        <v>10861</v>
      </c>
      <c r="Y24" s="60"/>
      <c r="Z24" s="60">
        <f>IF(Z16&gt;0,Z16-Z20,"")</f>
        <v>10081</v>
      </c>
      <c r="AA24" s="60"/>
      <c r="AB24" s="60">
        <f>IF(AB16&gt;0,AB16-AB20,"")</f>
        <v>9844</v>
      </c>
      <c r="AC24" s="61"/>
      <c r="AD24" s="60">
        <f>IF(AD16&gt;0,AD16-AD20,"")</f>
        <v>9844</v>
      </c>
      <c r="AE24" s="61"/>
    </row>
    <row r="25" spans="2:43" x14ac:dyDescent="0.3">
      <c r="L25" s="4"/>
      <c r="M25" s="4"/>
      <c r="Q25" s="62"/>
      <c r="R25" s="63">
        <f>IF(R17&gt;=0,R17-R21,"")</f>
        <v>-809</v>
      </c>
      <c r="S25" s="64"/>
      <c r="T25" s="63">
        <f>IF(T17&gt;=0,T17-T21,"")</f>
        <v>-727</v>
      </c>
      <c r="U25" s="64"/>
      <c r="V25" s="63">
        <f>IF(V17&gt;=0,V17-V21,"")</f>
        <v>-1032</v>
      </c>
      <c r="W25" s="64"/>
      <c r="X25" s="63">
        <f>IF(X17&gt;=0,X17-X21,"")</f>
        <v>8</v>
      </c>
      <c r="Y25" s="64"/>
      <c r="Z25" s="63">
        <f>IF(Z17&gt;=0,Z17-Z21,"")</f>
        <v>-1127</v>
      </c>
      <c r="AA25" s="64"/>
      <c r="AB25" s="63">
        <f>IF(AB17&gt;=0,AB17-AB21,"")</f>
        <v>-1372</v>
      </c>
      <c r="AC25" s="65"/>
      <c r="AD25" s="63">
        <f>IF(AD17&gt;=0,AD17-AD21,"")</f>
        <v>-1372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435</v>
      </c>
      <c r="S26" s="55"/>
      <c r="T26" s="67">
        <f>IFERROR(IF(T18&gt;0,T18-T22,""),"")</f>
        <v>3191</v>
      </c>
      <c r="U26" s="55"/>
      <c r="V26" s="67">
        <f>IFERROR(IF(V18&gt;0,V18-V22,""),"")</f>
        <v>-166.5</v>
      </c>
      <c r="W26" s="55"/>
      <c r="X26" s="67">
        <f>IFERROR(IF(X18&gt;0,X18-X22,""),"")</f>
        <v>1971</v>
      </c>
      <c r="Y26" s="55"/>
      <c r="Z26" s="67">
        <f>IFERROR(IF(Z18&gt;0,Z18-Z22,""),"")</f>
        <v>-390</v>
      </c>
      <c r="AA26" s="55"/>
      <c r="AB26" s="67">
        <f>IFERROR(IF(AB18&gt;0,AB18-AB22,""),"")</f>
        <v>-118.5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13353</v>
      </c>
      <c r="D29" s="76">
        <f>C14</f>
        <v>8458</v>
      </c>
      <c r="E29" s="77">
        <f t="shared" ref="E29:E34" si="1">D29-C29</f>
        <v>-4895</v>
      </c>
      <c r="M29" s="4"/>
      <c r="O29" s="4"/>
    </row>
    <row r="30" spans="2:43" x14ac:dyDescent="0.3">
      <c r="B30" s="74" t="s">
        <v>56</v>
      </c>
      <c r="C30" s="75">
        <v>33390</v>
      </c>
      <c r="D30" s="76">
        <f>C7+C15+C16+C19+C20</f>
        <v>19388</v>
      </c>
      <c r="E30" s="77">
        <f t="shared" si="1"/>
        <v>-14002</v>
      </c>
      <c r="J30" s="53"/>
      <c r="L30" s="53"/>
      <c r="M30" s="4"/>
      <c r="O30" s="4"/>
    </row>
    <row r="31" spans="2:43" x14ac:dyDescent="0.3">
      <c r="B31" s="74" t="s">
        <v>21</v>
      </c>
      <c r="C31" s="75">
        <v>5492</v>
      </c>
      <c r="D31" s="76">
        <f>C6</f>
        <v>0</v>
      </c>
      <c r="E31" s="77">
        <f t="shared" si="1"/>
        <v>-5492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12357</v>
      </c>
      <c r="D32" s="76">
        <f>C10+C11+C12+C13</f>
        <v>12357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15600</v>
      </c>
      <c r="D34" s="76">
        <f>C21+C22+C23</f>
        <v>15491</v>
      </c>
      <c r="E34" s="77">
        <f t="shared" si="1"/>
        <v>-109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4031</v>
      </c>
      <c r="D35" s="80">
        <f>SUM(C8+C9)</f>
        <v>4031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/>
      <c r="R36" s="104">
        <v>0</v>
      </c>
      <c r="S36" s="104">
        <f t="shared" ref="S36:S65" si="2">IF(T36&gt;0,(T36-R36)/2,"")</f>
        <v>690.5</v>
      </c>
      <c r="T36" s="104">
        <v>1381</v>
      </c>
      <c r="U36" s="104">
        <f t="shared" ref="U36:U65" si="3">IF(V36&gt;0,(V36-T36)/2,"")</f>
        <v>0</v>
      </c>
      <c r="V36" s="104">
        <v>1381</v>
      </c>
      <c r="W36" s="104">
        <f t="shared" ref="W36:W65" si="4">IF(X36&gt;0,(X36-V36)/2,"")</f>
        <v>281.5</v>
      </c>
      <c r="X36" s="104">
        <v>1944</v>
      </c>
      <c r="Y36" s="104">
        <f t="shared" ref="Y36:Y65" si="5">IF(Z36&gt;0,(Z36-X36)/2,"")</f>
        <v>0</v>
      </c>
      <c r="Z36" s="104">
        <v>1944</v>
      </c>
      <c r="AA36" s="104">
        <f t="shared" ref="AA36:AA65" si="6">IF(AB36&gt;0,(AB36-Z36)/2,"")</f>
        <v>0</v>
      </c>
      <c r="AB36" s="104">
        <v>1944</v>
      </c>
      <c r="AC36" s="104">
        <f t="shared" ref="AC36:AC65" si="7">IF(AD36&gt;0,(AD36-AB36)/2,"")</f>
        <v>0</v>
      </c>
      <c r="AD36" s="104">
        <v>1944</v>
      </c>
      <c r="AE36" s="105">
        <f t="shared" ref="AE36:AE65" si="8">AD36-Q36</f>
        <v>1944</v>
      </c>
    </row>
    <row r="37" spans="2:31" ht="15.6" customHeight="1" x14ac:dyDescent="0.3">
      <c r="N37" s="212"/>
      <c r="O37" s="95" t="s">
        <v>66</v>
      </c>
      <c r="P37" s="106"/>
      <c r="Q37" s="106"/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274.5</v>
      </c>
      <c r="X37" s="106">
        <v>549</v>
      </c>
      <c r="Y37" s="106">
        <f t="shared" si="5"/>
        <v>0</v>
      </c>
      <c r="Z37" s="106">
        <v>549</v>
      </c>
      <c r="AA37" s="106">
        <f t="shared" si="6"/>
        <v>0</v>
      </c>
      <c r="AB37" s="106">
        <v>549</v>
      </c>
      <c r="AC37" s="106">
        <f t="shared" si="7"/>
        <v>0</v>
      </c>
      <c r="AD37" s="106">
        <v>549</v>
      </c>
      <c r="AE37" s="107">
        <f t="shared" si="8"/>
        <v>549</v>
      </c>
    </row>
    <row r="38" spans="2:31" ht="15.6" customHeight="1" x14ac:dyDescent="0.3">
      <c r="N38" s="212"/>
      <c r="O38" s="94" t="s">
        <v>67</v>
      </c>
      <c r="P38" s="108"/>
      <c r="Q38" s="108"/>
      <c r="R38" s="108">
        <v>776</v>
      </c>
      <c r="S38" s="108">
        <f t="shared" si="2"/>
        <v>267.5</v>
      </c>
      <c r="T38" s="108">
        <v>1311</v>
      </c>
      <c r="U38" s="108">
        <f t="shared" si="3"/>
        <v>0</v>
      </c>
      <c r="V38" s="108">
        <v>1311</v>
      </c>
      <c r="W38" s="108">
        <f t="shared" si="4"/>
        <v>565</v>
      </c>
      <c r="X38" s="108">
        <v>2441</v>
      </c>
      <c r="Y38" s="108">
        <f t="shared" si="5"/>
        <v>0</v>
      </c>
      <c r="Z38" s="108">
        <v>2441</v>
      </c>
      <c r="AA38" s="108">
        <f t="shared" si="6"/>
        <v>0</v>
      </c>
      <c r="AB38" s="108">
        <v>2441</v>
      </c>
      <c r="AC38" s="108">
        <f t="shared" si="7"/>
        <v>0</v>
      </c>
      <c r="AD38" s="108">
        <v>2441</v>
      </c>
      <c r="AE38" s="109">
        <f t="shared" si="8"/>
        <v>2441</v>
      </c>
    </row>
    <row r="39" spans="2:31" ht="15.6" customHeight="1" x14ac:dyDescent="0.3">
      <c r="N39" s="212"/>
      <c r="O39" s="95" t="s">
        <v>68</v>
      </c>
      <c r="P39" s="106"/>
      <c r="Q39" s="106"/>
      <c r="R39" s="106">
        <v>764</v>
      </c>
      <c r="S39" s="106">
        <f t="shared" si="2"/>
        <v>324.5</v>
      </c>
      <c r="T39" s="106">
        <v>1413</v>
      </c>
      <c r="U39" s="106">
        <f t="shared" si="3"/>
        <v>229.5</v>
      </c>
      <c r="V39" s="106">
        <v>1872</v>
      </c>
      <c r="W39" s="106">
        <f t="shared" si="4"/>
        <v>570.5</v>
      </c>
      <c r="X39" s="106">
        <v>3013</v>
      </c>
      <c r="Y39" s="106">
        <f t="shared" si="5"/>
        <v>0</v>
      </c>
      <c r="Z39" s="106">
        <v>3013</v>
      </c>
      <c r="AA39" s="106">
        <f t="shared" si="6"/>
        <v>0</v>
      </c>
      <c r="AB39" s="106">
        <v>3013</v>
      </c>
      <c r="AC39" s="106">
        <f t="shared" si="7"/>
        <v>0</v>
      </c>
      <c r="AD39" s="106">
        <v>3013</v>
      </c>
      <c r="AE39" s="107">
        <f t="shared" si="8"/>
        <v>3013</v>
      </c>
    </row>
    <row r="40" spans="2:31" ht="15.6" customHeight="1" x14ac:dyDescent="0.3">
      <c r="N40" s="212"/>
      <c r="O40" s="94" t="s">
        <v>69</v>
      </c>
      <c r="P40" s="108"/>
      <c r="Q40" s="108"/>
      <c r="R40" s="108">
        <v>0</v>
      </c>
      <c r="S40" s="108">
        <f t="shared" si="2"/>
        <v>365</v>
      </c>
      <c r="T40" s="108">
        <v>730</v>
      </c>
      <c r="U40" s="108">
        <f t="shared" si="3"/>
        <v>0</v>
      </c>
      <c r="V40" s="108">
        <v>730</v>
      </c>
      <c r="W40" s="108">
        <f t="shared" si="4"/>
        <v>952.5</v>
      </c>
      <c r="X40" s="108">
        <v>2635</v>
      </c>
      <c r="Y40" s="108">
        <f t="shared" si="5"/>
        <v>0</v>
      </c>
      <c r="Z40" s="108">
        <v>2635</v>
      </c>
      <c r="AA40" s="108">
        <f t="shared" si="6"/>
        <v>0</v>
      </c>
      <c r="AB40" s="108">
        <v>2635</v>
      </c>
      <c r="AC40" s="108">
        <f t="shared" si="7"/>
        <v>0</v>
      </c>
      <c r="AD40" s="108">
        <v>2635</v>
      </c>
      <c r="AE40" s="109">
        <f t="shared" si="8"/>
        <v>2635</v>
      </c>
    </row>
    <row r="41" spans="2:31" ht="15.6" customHeight="1" x14ac:dyDescent="0.3">
      <c r="N41" s="212"/>
      <c r="O41" s="95" t="s">
        <v>70</v>
      </c>
      <c r="P41" s="106"/>
      <c r="Q41" s="106"/>
      <c r="R41" s="106">
        <v>300</v>
      </c>
      <c r="S41" s="106">
        <f t="shared" si="2"/>
        <v>0</v>
      </c>
      <c r="T41" s="106">
        <v>300</v>
      </c>
      <c r="U41" s="106">
        <f t="shared" si="3"/>
        <v>0</v>
      </c>
      <c r="V41" s="106">
        <v>300</v>
      </c>
      <c r="W41" s="106">
        <f t="shared" si="4"/>
        <v>0</v>
      </c>
      <c r="X41" s="106">
        <v>300</v>
      </c>
      <c r="Y41" s="106">
        <f t="shared" si="5"/>
        <v>0</v>
      </c>
      <c r="Z41" s="106">
        <v>300</v>
      </c>
      <c r="AA41" s="106">
        <f t="shared" si="6"/>
        <v>0</v>
      </c>
      <c r="AB41" s="106">
        <v>300</v>
      </c>
      <c r="AC41" s="106">
        <f t="shared" si="7"/>
        <v>0</v>
      </c>
      <c r="AD41" s="106">
        <v>300</v>
      </c>
      <c r="AE41" s="107">
        <f t="shared" si="8"/>
        <v>300</v>
      </c>
    </row>
    <row r="42" spans="2:31" ht="15.6" customHeight="1" x14ac:dyDescent="0.3">
      <c r="N42" s="212"/>
      <c r="O42" s="94" t="s">
        <v>71</v>
      </c>
      <c r="P42" s="108"/>
      <c r="Q42" s="108"/>
      <c r="R42" s="108">
        <v>260</v>
      </c>
      <c r="S42" s="108">
        <f t="shared" si="2"/>
        <v>135.5</v>
      </c>
      <c r="T42" s="108">
        <v>531</v>
      </c>
      <c r="U42" s="108">
        <f t="shared" si="3"/>
        <v>0</v>
      </c>
      <c r="V42" s="108">
        <v>531</v>
      </c>
      <c r="W42" s="108">
        <f t="shared" si="4"/>
        <v>144.5</v>
      </c>
      <c r="X42" s="108">
        <v>820</v>
      </c>
      <c r="Y42" s="108">
        <f t="shared" si="5"/>
        <v>0</v>
      </c>
      <c r="Z42" s="108">
        <v>820</v>
      </c>
      <c r="AA42" s="108">
        <f t="shared" si="6"/>
        <v>0</v>
      </c>
      <c r="AB42" s="108">
        <v>820</v>
      </c>
      <c r="AC42" s="108">
        <f t="shared" si="7"/>
        <v>0</v>
      </c>
      <c r="AD42" s="108">
        <v>820</v>
      </c>
      <c r="AE42" s="109">
        <f t="shared" si="8"/>
        <v>820</v>
      </c>
    </row>
    <row r="43" spans="2:31" ht="15.6" customHeight="1" x14ac:dyDescent="0.3">
      <c r="N43" s="212"/>
      <c r="O43" s="95" t="s">
        <v>72</v>
      </c>
      <c r="P43" s="106"/>
      <c r="Q43" s="106"/>
      <c r="R43" s="106">
        <v>0</v>
      </c>
      <c r="S43" s="106">
        <f t="shared" si="2"/>
        <v>183</v>
      </c>
      <c r="T43" s="106">
        <v>366</v>
      </c>
      <c r="U43" s="106">
        <f t="shared" si="3"/>
        <v>0</v>
      </c>
      <c r="V43" s="106">
        <v>366</v>
      </c>
      <c r="W43" s="106">
        <f t="shared" si="4"/>
        <v>202.5</v>
      </c>
      <c r="X43" s="106">
        <v>771</v>
      </c>
      <c r="Y43" s="106">
        <f t="shared" si="5"/>
        <v>0</v>
      </c>
      <c r="Z43" s="106">
        <v>771</v>
      </c>
      <c r="AA43" s="106">
        <f t="shared" si="6"/>
        <v>0</v>
      </c>
      <c r="AB43" s="106">
        <v>771</v>
      </c>
      <c r="AC43" s="106">
        <f t="shared" si="7"/>
        <v>0</v>
      </c>
      <c r="AD43" s="106">
        <v>771</v>
      </c>
      <c r="AE43" s="107">
        <f t="shared" si="8"/>
        <v>771</v>
      </c>
    </row>
    <row r="44" spans="2:31" ht="15.6" customHeight="1" thickBot="1" x14ac:dyDescent="0.35">
      <c r="N44" s="213"/>
      <c r="O44" s="97" t="s">
        <v>73</v>
      </c>
      <c r="P44" s="110"/>
      <c r="Q44" s="110"/>
      <c r="R44" s="110">
        <v>518</v>
      </c>
      <c r="S44" s="110">
        <f t="shared" si="2"/>
        <v>0</v>
      </c>
      <c r="T44" s="110">
        <v>518</v>
      </c>
      <c r="U44" s="110">
        <f t="shared" si="3"/>
        <v>0</v>
      </c>
      <c r="V44" s="110">
        <v>518</v>
      </c>
      <c r="W44" s="110">
        <f t="shared" si="4"/>
        <v>234.5</v>
      </c>
      <c r="X44" s="110">
        <v>987</v>
      </c>
      <c r="Y44" s="110">
        <f t="shared" si="5"/>
        <v>41</v>
      </c>
      <c r="Z44" s="110">
        <v>1069</v>
      </c>
      <c r="AA44" s="110">
        <f t="shared" si="6"/>
        <v>0</v>
      </c>
      <c r="AB44" s="110">
        <v>1069</v>
      </c>
      <c r="AC44" s="110">
        <f t="shared" si="7"/>
        <v>0</v>
      </c>
      <c r="AD44" s="110">
        <v>1069</v>
      </c>
      <c r="AE44" s="111">
        <f t="shared" si="8"/>
        <v>1069</v>
      </c>
    </row>
    <row r="45" spans="2:31" ht="15.6" customHeight="1" x14ac:dyDescent="0.3">
      <c r="N45" s="211" t="s">
        <v>27</v>
      </c>
      <c r="O45" s="98" t="s">
        <v>65</v>
      </c>
      <c r="P45" s="112"/>
      <c r="Q45" s="112"/>
      <c r="R45" s="112">
        <v>1000</v>
      </c>
      <c r="S45" s="112">
        <f t="shared" si="2"/>
        <v>520</v>
      </c>
      <c r="T45" s="112">
        <v>2040</v>
      </c>
      <c r="U45" s="112">
        <f t="shared" si="3"/>
        <v>0</v>
      </c>
      <c r="V45" s="112">
        <v>2040</v>
      </c>
      <c r="W45" s="112">
        <f t="shared" si="4"/>
        <v>0</v>
      </c>
      <c r="X45" s="112">
        <v>2040</v>
      </c>
      <c r="Y45" s="112">
        <f t="shared" si="5"/>
        <v>0</v>
      </c>
      <c r="Z45" s="112">
        <v>2040</v>
      </c>
      <c r="AA45" s="112">
        <f t="shared" si="6"/>
        <v>0</v>
      </c>
      <c r="AB45" s="112">
        <v>2040</v>
      </c>
      <c r="AC45" s="112">
        <f t="shared" si="7"/>
        <v>0</v>
      </c>
      <c r="AD45" s="112">
        <v>2040</v>
      </c>
      <c r="AE45" s="113">
        <f t="shared" si="8"/>
        <v>2040</v>
      </c>
    </row>
    <row r="46" spans="2:31" ht="15.6" customHeight="1" x14ac:dyDescent="0.3">
      <c r="N46" s="212"/>
      <c r="O46" s="94" t="s">
        <v>66</v>
      </c>
      <c r="P46" s="108"/>
      <c r="Q46" s="108"/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>
        <v>0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/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 t="str">
        <f t="shared" si="4"/>
        <v/>
      </c>
      <c r="X47" s="106">
        <v>0</v>
      </c>
      <c r="Y47" s="106">
        <f t="shared" si="5"/>
        <v>436</v>
      </c>
      <c r="Z47" s="106">
        <v>872</v>
      </c>
      <c r="AA47" s="106">
        <f t="shared" si="6"/>
        <v>0</v>
      </c>
      <c r="AB47" s="106">
        <v>872</v>
      </c>
      <c r="AC47" s="106">
        <f t="shared" si="7"/>
        <v>0</v>
      </c>
      <c r="AD47" s="106">
        <v>872</v>
      </c>
      <c r="AE47" s="107">
        <f t="shared" si="8"/>
        <v>872</v>
      </c>
    </row>
    <row r="48" spans="2:31" ht="15.6" customHeight="1" thickBot="1" x14ac:dyDescent="0.35">
      <c r="N48" s="213"/>
      <c r="O48" s="97" t="s">
        <v>68</v>
      </c>
      <c r="P48" s="110"/>
      <c r="Q48" s="110"/>
      <c r="R48" s="110">
        <v>800</v>
      </c>
      <c r="S48" s="110">
        <f t="shared" si="2"/>
        <v>389.5</v>
      </c>
      <c r="T48" s="110">
        <v>1579</v>
      </c>
      <c r="U48" s="110">
        <f t="shared" si="3"/>
        <v>317</v>
      </c>
      <c r="V48" s="110">
        <v>2213</v>
      </c>
      <c r="W48" s="110">
        <f t="shared" si="4"/>
        <v>480</v>
      </c>
      <c r="X48" s="110">
        <v>3173</v>
      </c>
      <c r="Y48" s="110">
        <f t="shared" si="5"/>
        <v>0</v>
      </c>
      <c r="Z48" s="110">
        <v>3173</v>
      </c>
      <c r="AA48" s="110">
        <f t="shared" si="6"/>
        <v>0</v>
      </c>
      <c r="AB48" s="110">
        <v>3173</v>
      </c>
      <c r="AC48" s="110">
        <f t="shared" si="7"/>
        <v>0</v>
      </c>
      <c r="AD48" s="110">
        <v>3173</v>
      </c>
      <c r="AE48" s="111">
        <f t="shared" si="8"/>
        <v>3173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/>
      <c r="R49" s="112">
        <v>0</v>
      </c>
      <c r="S49" s="112">
        <f t="shared" si="2"/>
        <v>3</v>
      </c>
      <c r="T49" s="112">
        <v>6</v>
      </c>
      <c r="U49" s="112">
        <f t="shared" si="3"/>
        <v>0</v>
      </c>
      <c r="V49" s="112">
        <v>6</v>
      </c>
      <c r="W49" s="112">
        <f t="shared" si="4"/>
        <v>0</v>
      </c>
      <c r="X49" s="112">
        <v>6</v>
      </c>
      <c r="Y49" s="112">
        <f t="shared" si="5"/>
        <v>75.5</v>
      </c>
      <c r="Z49" s="112">
        <v>157</v>
      </c>
      <c r="AA49" s="112">
        <f t="shared" si="6"/>
        <v>103</v>
      </c>
      <c r="AB49" s="112">
        <v>363</v>
      </c>
      <c r="AC49" s="112">
        <f t="shared" si="7"/>
        <v>0</v>
      </c>
      <c r="AD49" s="112">
        <v>363</v>
      </c>
      <c r="AE49" s="113">
        <f t="shared" si="8"/>
        <v>363</v>
      </c>
    </row>
    <row r="50" spans="14:31" ht="15.6" customHeight="1" x14ac:dyDescent="0.3">
      <c r="N50" s="212"/>
      <c r="O50" s="94" t="s">
        <v>66</v>
      </c>
      <c r="P50" s="108"/>
      <c r="Q50" s="108"/>
      <c r="R50" s="108">
        <v>1302</v>
      </c>
      <c r="S50" s="108">
        <f t="shared" si="2"/>
        <v>58.5</v>
      </c>
      <c r="T50" s="108">
        <v>1419</v>
      </c>
      <c r="U50" s="108">
        <f t="shared" si="3"/>
        <v>478.5</v>
      </c>
      <c r="V50" s="108">
        <v>2376</v>
      </c>
      <c r="W50" s="108">
        <f t="shared" si="4"/>
        <v>315</v>
      </c>
      <c r="X50" s="108">
        <v>3006</v>
      </c>
      <c r="Y50" s="108">
        <f t="shared" si="5"/>
        <v>237.5</v>
      </c>
      <c r="Z50" s="108">
        <v>3481</v>
      </c>
      <c r="AA50" s="108">
        <f t="shared" si="6"/>
        <v>67.5</v>
      </c>
      <c r="AB50" s="108">
        <v>3616</v>
      </c>
      <c r="AC50" s="108">
        <f t="shared" si="7"/>
        <v>0</v>
      </c>
      <c r="AD50" s="108">
        <v>3616</v>
      </c>
      <c r="AE50" s="109">
        <f t="shared" si="8"/>
        <v>3616</v>
      </c>
    </row>
    <row r="51" spans="14:31" ht="15.6" customHeight="1" x14ac:dyDescent="0.3">
      <c r="N51" s="212"/>
      <c r="O51" s="95" t="s">
        <v>67</v>
      </c>
      <c r="P51" s="106"/>
      <c r="Q51" s="106"/>
      <c r="R51" s="106">
        <v>641</v>
      </c>
      <c r="S51" s="106">
        <f t="shared" si="2"/>
        <v>0</v>
      </c>
      <c r="T51" s="106">
        <v>641</v>
      </c>
      <c r="U51" s="106">
        <f t="shared" si="3"/>
        <v>333.5</v>
      </c>
      <c r="V51" s="106">
        <v>1308</v>
      </c>
      <c r="W51" s="106">
        <f t="shared" si="4"/>
        <v>0</v>
      </c>
      <c r="X51" s="106">
        <v>1308</v>
      </c>
      <c r="Y51" s="106">
        <f t="shared" si="5"/>
        <v>0</v>
      </c>
      <c r="Z51" s="106">
        <v>1308</v>
      </c>
      <c r="AA51" s="106">
        <f t="shared" si="6"/>
        <v>0</v>
      </c>
      <c r="AB51" s="106">
        <v>1308</v>
      </c>
      <c r="AC51" s="106">
        <f t="shared" si="7"/>
        <v>0</v>
      </c>
      <c r="AD51" s="106">
        <v>1308</v>
      </c>
      <c r="AE51" s="107">
        <f t="shared" si="8"/>
        <v>1308</v>
      </c>
    </row>
    <row r="52" spans="14:31" ht="15.6" customHeight="1" x14ac:dyDescent="0.3">
      <c r="N52" s="212"/>
      <c r="O52" s="94" t="s">
        <v>68</v>
      </c>
      <c r="P52" s="108"/>
      <c r="Q52" s="108"/>
      <c r="R52" s="108">
        <v>495</v>
      </c>
      <c r="S52" s="108">
        <f t="shared" si="2"/>
        <v>15</v>
      </c>
      <c r="T52" s="108">
        <v>525</v>
      </c>
      <c r="U52" s="108">
        <f t="shared" si="3"/>
        <v>0</v>
      </c>
      <c r="V52" s="108">
        <v>525</v>
      </c>
      <c r="W52" s="108">
        <f t="shared" si="4"/>
        <v>55</v>
      </c>
      <c r="X52" s="108">
        <v>635</v>
      </c>
      <c r="Y52" s="108">
        <f t="shared" si="5"/>
        <v>126</v>
      </c>
      <c r="Z52" s="108">
        <v>887</v>
      </c>
      <c r="AA52" s="108">
        <f t="shared" si="6"/>
        <v>0</v>
      </c>
      <c r="AB52" s="108">
        <v>887</v>
      </c>
      <c r="AC52" s="108">
        <f t="shared" si="7"/>
        <v>0</v>
      </c>
      <c r="AD52" s="108">
        <v>887</v>
      </c>
      <c r="AE52" s="109">
        <f t="shared" si="8"/>
        <v>887</v>
      </c>
    </row>
    <row r="53" spans="14:31" ht="15.6" customHeight="1" x14ac:dyDescent="0.3">
      <c r="N53" s="212"/>
      <c r="O53" s="95" t="s">
        <v>69</v>
      </c>
      <c r="P53" s="106"/>
      <c r="Q53" s="106"/>
      <c r="R53" s="106">
        <v>158</v>
      </c>
      <c r="S53" s="106">
        <f t="shared" si="2"/>
        <v>506.5</v>
      </c>
      <c r="T53" s="106">
        <v>1171</v>
      </c>
      <c r="U53" s="106">
        <f t="shared" si="3"/>
        <v>250.5</v>
      </c>
      <c r="V53" s="106">
        <v>1672</v>
      </c>
      <c r="W53" s="106">
        <f t="shared" si="4"/>
        <v>274</v>
      </c>
      <c r="X53" s="106">
        <v>2220</v>
      </c>
      <c r="Y53" s="106">
        <f t="shared" si="5"/>
        <v>11.5</v>
      </c>
      <c r="Z53" s="106">
        <v>2243</v>
      </c>
      <c r="AA53" s="106">
        <f t="shared" si="6"/>
        <v>0</v>
      </c>
      <c r="AB53" s="106">
        <v>2243</v>
      </c>
      <c r="AC53" s="106">
        <f t="shared" si="7"/>
        <v>0</v>
      </c>
      <c r="AD53" s="106">
        <v>2243</v>
      </c>
      <c r="AE53" s="107">
        <f t="shared" si="8"/>
        <v>2243</v>
      </c>
    </row>
    <row r="54" spans="14:31" ht="15.6" customHeight="1" x14ac:dyDescent="0.3">
      <c r="N54" s="212"/>
      <c r="O54" s="94" t="s">
        <v>70</v>
      </c>
      <c r="P54" s="108"/>
      <c r="Q54" s="108"/>
      <c r="R54" s="108">
        <v>0</v>
      </c>
      <c r="S54" s="108" t="str">
        <f t="shared" si="2"/>
        <v/>
      </c>
      <c r="T54" s="108">
        <v>0</v>
      </c>
      <c r="U54" s="108">
        <f t="shared" si="3"/>
        <v>198</v>
      </c>
      <c r="V54" s="108">
        <v>396</v>
      </c>
      <c r="W54" s="108">
        <f t="shared" si="4"/>
        <v>133</v>
      </c>
      <c r="X54" s="108">
        <v>662</v>
      </c>
      <c r="Y54" s="108">
        <f t="shared" si="5"/>
        <v>324</v>
      </c>
      <c r="Z54" s="108">
        <v>1310</v>
      </c>
      <c r="AA54" s="108">
        <f t="shared" si="6"/>
        <v>0</v>
      </c>
      <c r="AB54" s="108">
        <v>1310</v>
      </c>
      <c r="AC54" s="108">
        <f t="shared" si="7"/>
        <v>0</v>
      </c>
      <c r="AD54" s="108">
        <v>1310</v>
      </c>
      <c r="AE54" s="109">
        <f t="shared" si="8"/>
        <v>1310</v>
      </c>
    </row>
    <row r="55" spans="14:31" ht="15.6" customHeight="1" x14ac:dyDescent="0.3">
      <c r="N55" s="212"/>
      <c r="O55" s="95" t="s">
        <v>71</v>
      </c>
      <c r="P55" s="106"/>
      <c r="Q55" s="106"/>
      <c r="R55" s="106">
        <v>0</v>
      </c>
      <c r="S55" s="106">
        <f t="shared" si="2"/>
        <v>3.5</v>
      </c>
      <c r="T55" s="106">
        <v>7</v>
      </c>
      <c r="U55" s="106">
        <f t="shared" si="3"/>
        <v>0</v>
      </c>
      <c r="V55" s="106">
        <v>7</v>
      </c>
      <c r="W55" s="106">
        <f t="shared" si="4"/>
        <v>330</v>
      </c>
      <c r="X55" s="106">
        <v>667</v>
      </c>
      <c r="Y55" s="106">
        <f t="shared" si="5"/>
        <v>425.5</v>
      </c>
      <c r="Z55" s="106">
        <v>1518</v>
      </c>
      <c r="AA55" s="106">
        <f t="shared" si="6"/>
        <v>134</v>
      </c>
      <c r="AB55" s="106">
        <v>1786</v>
      </c>
      <c r="AC55" s="106">
        <f t="shared" si="7"/>
        <v>0</v>
      </c>
      <c r="AD55" s="106">
        <v>1786</v>
      </c>
      <c r="AE55" s="107">
        <f t="shared" si="8"/>
        <v>1786</v>
      </c>
    </row>
    <row r="56" spans="14:31" ht="15.6" customHeight="1" x14ac:dyDescent="0.3">
      <c r="N56" s="212"/>
      <c r="O56" s="94" t="s">
        <v>72</v>
      </c>
      <c r="P56" s="108"/>
      <c r="Q56" s="108"/>
      <c r="R56" s="108">
        <v>1200</v>
      </c>
      <c r="S56" s="108">
        <f t="shared" si="2"/>
        <v>27.5</v>
      </c>
      <c r="T56" s="108">
        <v>1255</v>
      </c>
      <c r="U56" s="108">
        <f t="shared" si="3"/>
        <v>559.5</v>
      </c>
      <c r="V56" s="108">
        <v>2374</v>
      </c>
      <c r="W56" s="108">
        <f t="shared" si="4"/>
        <v>3.5</v>
      </c>
      <c r="X56" s="108">
        <v>2381</v>
      </c>
      <c r="Y56" s="108">
        <f t="shared" si="5"/>
        <v>92</v>
      </c>
      <c r="Z56" s="108">
        <v>2565</v>
      </c>
      <c r="AA56" s="108">
        <f t="shared" si="6"/>
        <v>88</v>
      </c>
      <c r="AB56" s="108">
        <v>2741</v>
      </c>
      <c r="AC56" s="108">
        <f t="shared" si="7"/>
        <v>0</v>
      </c>
      <c r="AD56" s="108">
        <v>2741</v>
      </c>
      <c r="AE56" s="109">
        <f t="shared" si="8"/>
        <v>2741</v>
      </c>
    </row>
    <row r="57" spans="14:31" ht="15.6" customHeight="1" thickBot="1" x14ac:dyDescent="0.35">
      <c r="N57" s="213"/>
      <c r="O57" s="99" t="s">
        <v>73</v>
      </c>
      <c r="P57" s="114"/>
      <c r="Q57" s="114"/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/>
      <c r="R58" s="104">
        <v>1123</v>
      </c>
      <c r="S58" s="104">
        <f t="shared" si="2"/>
        <v>509.5</v>
      </c>
      <c r="T58" s="104">
        <v>2142</v>
      </c>
      <c r="U58" s="104">
        <f t="shared" si="3"/>
        <v>18</v>
      </c>
      <c r="V58" s="104">
        <v>2178</v>
      </c>
      <c r="W58" s="104">
        <f t="shared" si="4"/>
        <v>56.5</v>
      </c>
      <c r="X58" s="104">
        <v>2291</v>
      </c>
      <c r="Y58" s="104">
        <f t="shared" si="5"/>
        <v>0</v>
      </c>
      <c r="Z58" s="104">
        <v>2291</v>
      </c>
      <c r="AA58" s="104">
        <f t="shared" si="6"/>
        <v>0</v>
      </c>
      <c r="AB58" s="104">
        <v>2291</v>
      </c>
      <c r="AC58" s="104">
        <f t="shared" si="7"/>
        <v>0</v>
      </c>
      <c r="AD58" s="104">
        <v>2291</v>
      </c>
      <c r="AE58" s="105">
        <f t="shared" si="8"/>
        <v>2291</v>
      </c>
    </row>
    <row r="59" spans="14:31" ht="15.6" customHeight="1" x14ac:dyDescent="0.3">
      <c r="N59" s="212"/>
      <c r="O59" s="95" t="s">
        <v>66</v>
      </c>
      <c r="P59" s="106"/>
      <c r="Q59" s="106"/>
      <c r="R59" s="106">
        <v>830</v>
      </c>
      <c r="S59" s="106">
        <f t="shared" si="2"/>
        <v>578.5</v>
      </c>
      <c r="T59" s="106">
        <v>1987</v>
      </c>
      <c r="U59" s="106">
        <f t="shared" si="3"/>
        <v>325</v>
      </c>
      <c r="V59" s="106">
        <v>2637</v>
      </c>
      <c r="W59" s="106">
        <f t="shared" si="4"/>
        <v>386</v>
      </c>
      <c r="X59" s="106">
        <v>3409</v>
      </c>
      <c r="Y59" s="106">
        <f t="shared" si="5"/>
        <v>0</v>
      </c>
      <c r="Z59" s="106">
        <v>3409</v>
      </c>
      <c r="AA59" s="106">
        <f t="shared" si="6"/>
        <v>0</v>
      </c>
      <c r="AB59" s="106">
        <v>3409</v>
      </c>
      <c r="AC59" s="106">
        <f t="shared" si="7"/>
        <v>0</v>
      </c>
      <c r="AD59" s="106">
        <v>3409</v>
      </c>
      <c r="AE59" s="107">
        <f t="shared" si="8"/>
        <v>3409</v>
      </c>
    </row>
    <row r="60" spans="14:31" ht="15.6" customHeight="1" x14ac:dyDescent="0.3">
      <c r="N60" s="212"/>
      <c r="O60" s="94" t="s">
        <v>67</v>
      </c>
      <c r="P60" s="108"/>
      <c r="Q60" s="108"/>
      <c r="R60" s="108">
        <v>194</v>
      </c>
      <c r="S60" s="108">
        <f t="shared" si="2"/>
        <v>0</v>
      </c>
      <c r="T60" s="108">
        <v>194</v>
      </c>
      <c r="U60" s="108">
        <f t="shared" si="3"/>
        <v>327</v>
      </c>
      <c r="V60" s="108">
        <v>848</v>
      </c>
      <c r="W60" s="108">
        <f t="shared" si="4"/>
        <v>249.5</v>
      </c>
      <c r="X60" s="108">
        <v>1347</v>
      </c>
      <c r="Y60" s="108">
        <f t="shared" si="5"/>
        <v>0</v>
      </c>
      <c r="Z60" s="108">
        <v>1347</v>
      </c>
      <c r="AA60" s="108">
        <f t="shared" si="6"/>
        <v>0</v>
      </c>
      <c r="AB60" s="108">
        <v>1347</v>
      </c>
      <c r="AC60" s="108">
        <f t="shared" si="7"/>
        <v>0</v>
      </c>
      <c r="AD60" s="108">
        <v>1347</v>
      </c>
      <c r="AE60" s="109">
        <f t="shared" si="8"/>
        <v>1347</v>
      </c>
    </row>
    <row r="61" spans="14:31" ht="15.6" customHeight="1" thickBot="1" x14ac:dyDescent="0.35">
      <c r="N61" s="213"/>
      <c r="O61" s="99" t="s">
        <v>68</v>
      </c>
      <c r="P61" s="114"/>
      <c r="Q61" s="114"/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/>
      <c r="R62" s="104">
        <v>273</v>
      </c>
      <c r="S62" s="104">
        <f t="shared" si="2"/>
        <v>40.5</v>
      </c>
      <c r="T62" s="104">
        <v>354</v>
      </c>
      <c r="U62" s="104">
        <f t="shared" si="3"/>
        <v>0</v>
      </c>
      <c r="V62" s="104">
        <v>354</v>
      </c>
      <c r="W62" s="104">
        <f t="shared" si="4"/>
        <v>0</v>
      </c>
      <c r="X62" s="104">
        <v>354</v>
      </c>
      <c r="Y62" s="104">
        <f t="shared" si="5"/>
        <v>341</v>
      </c>
      <c r="Z62" s="104">
        <v>1036</v>
      </c>
      <c r="AA62" s="104">
        <f t="shared" si="6"/>
        <v>0</v>
      </c>
      <c r="AB62" s="104">
        <v>1036</v>
      </c>
      <c r="AC62" s="104">
        <f t="shared" si="7"/>
        <v>0</v>
      </c>
      <c r="AD62" s="104">
        <v>1036</v>
      </c>
      <c r="AE62" s="105">
        <f t="shared" si="8"/>
        <v>1036</v>
      </c>
    </row>
    <row r="63" spans="14:31" ht="15.6" customHeight="1" x14ac:dyDescent="0.3">
      <c r="N63" s="212"/>
      <c r="O63" s="95" t="s">
        <v>66</v>
      </c>
      <c r="P63" s="106"/>
      <c r="Q63" s="106"/>
      <c r="R63" s="106">
        <v>0</v>
      </c>
      <c r="S63" s="106">
        <f t="shared" si="2"/>
        <v>135</v>
      </c>
      <c r="T63" s="106">
        <v>270</v>
      </c>
      <c r="U63" s="106">
        <f t="shared" si="3"/>
        <v>84</v>
      </c>
      <c r="V63" s="106">
        <v>438</v>
      </c>
      <c r="W63" s="106">
        <f t="shared" si="4"/>
        <v>64.5</v>
      </c>
      <c r="X63" s="106">
        <v>567</v>
      </c>
      <c r="Y63" s="106">
        <f t="shared" si="5"/>
        <v>350.5</v>
      </c>
      <c r="Z63" s="106">
        <v>1268</v>
      </c>
      <c r="AA63" s="106">
        <f t="shared" si="6"/>
        <v>0</v>
      </c>
      <c r="AB63" s="106">
        <v>1268</v>
      </c>
      <c r="AC63" s="106">
        <f t="shared" si="7"/>
        <v>0</v>
      </c>
      <c r="AD63" s="106">
        <v>1268</v>
      </c>
      <c r="AE63" s="107">
        <f t="shared" si="8"/>
        <v>1268</v>
      </c>
    </row>
    <row r="64" spans="14:31" ht="15.6" customHeight="1" x14ac:dyDescent="0.3">
      <c r="N64" s="212"/>
      <c r="O64" s="94" t="s">
        <v>67</v>
      </c>
      <c r="P64" s="108"/>
      <c r="Q64" s="108"/>
      <c r="R64" s="108">
        <v>48</v>
      </c>
      <c r="S64" s="108">
        <f t="shared" si="2"/>
        <v>215.5</v>
      </c>
      <c r="T64" s="108">
        <v>479</v>
      </c>
      <c r="U64" s="108">
        <f t="shared" si="3"/>
        <v>58.5</v>
      </c>
      <c r="V64" s="108">
        <v>596</v>
      </c>
      <c r="W64" s="108">
        <f t="shared" si="4"/>
        <v>0</v>
      </c>
      <c r="X64" s="108">
        <v>596</v>
      </c>
      <c r="Y64" s="108">
        <f t="shared" si="5"/>
        <v>97</v>
      </c>
      <c r="Z64" s="108">
        <v>790</v>
      </c>
      <c r="AA64" s="108">
        <f t="shared" si="6"/>
        <v>0</v>
      </c>
      <c r="AB64" s="108">
        <v>790</v>
      </c>
      <c r="AC64" s="108">
        <f t="shared" si="7"/>
        <v>0</v>
      </c>
      <c r="AD64" s="108">
        <v>790</v>
      </c>
      <c r="AE64" s="109">
        <f t="shared" si="8"/>
        <v>790</v>
      </c>
    </row>
    <row r="65" spans="14:31" ht="15.6" customHeight="1" thickBot="1" x14ac:dyDescent="0.35">
      <c r="N65" s="213"/>
      <c r="O65" s="99" t="s">
        <v>68</v>
      </c>
      <c r="P65" s="114"/>
      <c r="Q65" s="114"/>
      <c r="R65" s="114">
        <v>0</v>
      </c>
      <c r="S65" s="114">
        <f t="shared" si="2"/>
        <v>89</v>
      </c>
      <c r="T65" s="114">
        <v>178</v>
      </c>
      <c r="U65" s="114">
        <f t="shared" si="3"/>
        <v>0</v>
      </c>
      <c r="V65" s="114">
        <v>178</v>
      </c>
      <c r="W65" s="114">
        <f t="shared" si="4"/>
        <v>0</v>
      </c>
      <c r="X65" s="114">
        <v>178</v>
      </c>
      <c r="Y65" s="114">
        <f t="shared" si="5"/>
        <v>0</v>
      </c>
      <c r="Z65" s="114">
        <v>178</v>
      </c>
      <c r="AA65" s="114">
        <f t="shared" si="6"/>
        <v>0</v>
      </c>
      <c r="AB65" s="114">
        <v>178</v>
      </c>
      <c r="AC65" s="114">
        <f t="shared" si="7"/>
        <v>0</v>
      </c>
      <c r="AD65" s="114">
        <v>178</v>
      </c>
      <c r="AE65" s="115">
        <f t="shared" si="8"/>
        <v>178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79" priority="11" operator="lessThan">
      <formula>0</formula>
    </cfRule>
    <cfRule type="cellIs" dxfId="1978" priority="12" operator="greaterThan">
      <formula>0</formula>
    </cfRule>
  </conditionalFormatting>
  <conditionalFormatting sqref="R25:AC25">
    <cfRule type="cellIs" dxfId="1977" priority="9" operator="lessThan">
      <formula>0</formula>
    </cfRule>
    <cfRule type="cellIs" dxfId="1976" priority="10" operator="greaterThan">
      <formula>0</formula>
    </cfRule>
  </conditionalFormatting>
  <conditionalFormatting sqref="R26 T26 V26 X26 Z26 AB26">
    <cfRule type="cellIs" dxfId="1975" priority="7" operator="lessThan">
      <formula>0</formula>
    </cfRule>
    <cfRule type="cellIs" dxfId="1974" priority="8" operator="greaterThan">
      <formula>0</formula>
    </cfRule>
  </conditionalFormatting>
  <conditionalFormatting sqref="AD24:AE24">
    <cfRule type="cellIs" dxfId="1973" priority="5" operator="lessThan">
      <formula>0</formula>
    </cfRule>
    <cfRule type="cellIs" dxfId="1972" priority="6" operator="greaterThan">
      <formula>0</formula>
    </cfRule>
  </conditionalFormatting>
  <conditionalFormatting sqref="AD25:AE25">
    <cfRule type="cellIs" dxfId="1971" priority="3" operator="lessThan">
      <formula>0</formula>
    </cfRule>
    <cfRule type="cellIs" dxfId="1970" priority="4" operator="greaterThan">
      <formula>0</formula>
    </cfRule>
  </conditionalFormatting>
  <conditionalFormatting sqref="AD26">
    <cfRule type="cellIs" dxfId="1969" priority="1" operator="lessThan">
      <formula>0</formula>
    </cfRule>
    <cfRule type="cellIs" dxfId="19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44351</v>
      </c>
    </row>
    <row r="3" spans="2:42" ht="18.75" customHeight="1" thickBot="1" x14ac:dyDescent="0.35">
      <c r="B3" t="s">
        <v>1</v>
      </c>
      <c r="C3" s="3">
        <f>C2+1</f>
        <v>44352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21314</v>
      </c>
      <c r="G6" s="117">
        <v>18358.106749999999</v>
      </c>
      <c r="H6" s="117">
        <v>14151.58683536</v>
      </c>
      <c r="I6" s="19">
        <f>H6+G6</f>
        <v>32509.693585360001</v>
      </c>
      <c r="J6" s="119">
        <v>17278</v>
      </c>
      <c r="K6" s="117">
        <v>16087.6415</v>
      </c>
      <c r="L6" s="117">
        <v>8695.1184525999997</v>
      </c>
      <c r="M6" s="19">
        <f>L6+K6</f>
        <v>24782.759952599998</v>
      </c>
      <c r="N6" s="85">
        <v>56</v>
      </c>
      <c r="O6" s="85">
        <v>38</v>
      </c>
      <c r="P6" s="92"/>
      <c r="Q6" s="20">
        <f>J6-P6</f>
        <v>17278</v>
      </c>
      <c r="R6" s="21">
        <v>2592</v>
      </c>
      <c r="S6" s="20">
        <f>IF(R6&gt;0,(R6-R7-$Q6),"")</f>
        <v>-14726</v>
      </c>
      <c r="T6" s="21">
        <v>6208</v>
      </c>
      <c r="U6" s="20">
        <f>IF(T6&gt;0,(T6-T7-$Q6),"")</f>
        <v>-11129</v>
      </c>
      <c r="V6" s="21">
        <v>8127</v>
      </c>
      <c r="W6" s="20">
        <f>IF(V6&gt;0,(V6-V7-$Q6),"")</f>
        <v>-9219</v>
      </c>
      <c r="X6" s="21">
        <v>12134</v>
      </c>
      <c r="Y6" s="20">
        <f>IF(X6&gt;0,(X6-X7-$Q6),"")</f>
        <v>-5692</v>
      </c>
      <c r="Z6" s="21">
        <v>12134</v>
      </c>
      <c r="AA6" s="20">
        <f>IF(Z6&gt;0,(Z6-Z7-$Q6),"")</f>
        <v>-5692</v>
      </c>
      <c r="AB6" s="21">
        <v>12134</v>
      </c>
      <c r="AC6" s="22">
        <f>IF(AB6&gt;0,(AB6-AB7-$Q6),"")</f>
        <v>-5692</v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101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40</v>
      </c>
      <c r="S7" s="24"/>
      <c r="T7" s="25">
        <v>59</v>
      </c>
      <c r="U7" s="24"/>
      <c r="V7" s="25">
        <v>68</v>
      </c>
      <c r="W7" s="24"/>
      <c r="X7" s="25">
        <v>548</v>
      </c>
      <c r="Y7" s="24"/>
      <c r="Z7" s="25">
        <v>548</v>
      </c>
      <c r="AA7" s="24"/>
      <c r="AB7" s="25">
        <v>548</v>
      </c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2537</v>
      </c>
      <c r="E8" s="29" t="s">
        <v>27</v>
      </c>
      <c r="F8" s="119">
        <v>13605</v>
      </c>
      <c r="G8" s="117">
        <v>5842.1950000000006</v>
      </c>
      <c r="H8" s="117">
        <v>1300.8530785</v>
      </c>
      <c r="I8" s="19">
        <f>H8+G8</f>
        <v>7143.0480785000009</v>
      </c>
      <c r="J8" s="119">
        <v>12957</v>
      </c>
      <c r="K8" s="117">
        <v>5544.0535</v>
      </c>
      <c r="L8" s="117">
        <v>1247.3536309000001</v>
      </c>
      <c r="M8" s="19">
        <f>L8+K8</f>
        <v>6791.4071309000001</v>
      </c>
      <c r="N8" s="87">
        <v>27</v>
      </c>
      <c r="O8" s="87">
        <v>17</v>
      </c>
      <c r="P8" s="92"/>
      <c r="Q8" s="20">
        <f>J8-P8</f>
        <v>12957</v>
      </c>
      <c r="R8" s="21">
        <v>1800</v>
      </c>
      <c r="S8" s="20">
        <f>IF(R8&gt;0,(R8-R9-$Q8),"")</f>
        <v>-11157</v>
      </c>
      <c r="T8" s="21">
        <v>4029</v>
      </c>
      <c r="U8" s="20">
        <f>IF(T8&gt;0,(T8-T9-$Q8),"")</f>
        <v>-8983</v>
      </c>
      <c r="V8" s="21">
        <v>4562</v>
      </c>
      <c r="W8" s="20">
        <f>IF(V8&gt;0,(V8-V9-$Q8),"")</f>
        <v>-8450</v>
      </c>
      <c r="X8" s="21">
        <v>6122</v>
      </c>
      <c r="Y8" s="20">
        <f>IF(X8&gt;0,(X8-X9-$Q8),"")</f>
        <v>-6890</v>
      </c>
      <c r="Z8" s="21">
        <v>6122</v>
      </c>
      <c r="AA8" s="20">
        <f>IF(Z8&gt;0,(Z8-Z9-$Q8),"")</f>
        <v>-6890</v>
      </c>
      <c r="AB8" s="21">
        <v>6122</v>
      </c>
      <c r="AC8" s="22">
        <f>IF(AB8&gt;0,(AB8-AB9-$Q8),"")</f>
        <v>-6890</v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1625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55</v>
      </c>
      <c r="U9" s="24"/>
      <c r="V9" s="30">
        <v>55</v>
      </c>
      <c r="W9" s="24"/>
      <c r="X9" s="30">
        <v>55</v>
      </c>
      <c r="Y9" s="24"/>
      <c r="Z9" s="30">
        <v>55</v>
      </c>
      <c r="AA9" s="24"/>
      <c r="AB9" s="30">
        <v>55</v>
      </c>
      <c r="AC9" s="26"/>
      <c r="AD9" s="30"/>
      <c r="AE9" s="26"/>
    </row>
    <row r="10" spans="2:42" x14ac:dyDescent="0.3">
      <c r="B10" s="16" t="s">
        <v>30</v>
      </c>
      <c r="C10" s="17">
        <v>3314</v>
      </c>
      <c r="E10" s="18" t="s">
        <v>31</v>
      </c>
      <c r="F10" s="119">
        <v>9342</v>
      </c>
      <c r="G10" s="117">
        <v>7641.4180000000006</v>
      </c>
      <c r="H10" s="117">
        <v>1925.9831624999999</v>
      </c>
      <c r="I10" s="19">
        <f>H10+G10</f>
        <v>9567.4011625000003</v>
      </c>
      <c r="J10" s="119">
        <v>8995</v>
      </c>
      <c r="K10" s="117">
        <v>7231.85</v>
      </c>
      <c r="L10" s="117">
        <v>1594.9267950000001</v>
      </c>
      <c r="M10" s="19">
        <f>L10+K10</f>
        <v>8826.7767949999998</v>
      </c>
      <c r="N10" s="88">
        <v>45</v>
      </c>
      <c r="O10" s="88">
        <v>33</v>
      </c>
      <c r="P10" s="92"/>
      <c r="Q10" s="20">
        <f>J10-P10</f>
        <v>8995</v>
      </c>
      <c r="R10" s="21">
        <v>1647</v>
      </c>
      <c r="S10" s="20">
        <f>IF(R10&gt;0,(R10-R11-$Q10),"")</f>
        <v>-8007</v>
      </c>
      <c r="T10" s="21">
        <v>3134</v>
      </c>
      <c r="U10" s="20">
        <f>IF(T10&gt;0,(T10-T11-$Q10),"")</f>
        <v>-7447</v>
      </c>
      <c r="V10" s="21">
        <v>4663</v>
      </c>
      <c r="W10" s="20">
        <f>IF(V10&gt;0,(V10-V11-$Q10),"")</f>
        <v>-6385</v>
      </c>
      <c r="X10" s="21">
        <v>6955</v>
      </c>
      <c r="Y10" s="20">
        <f>IF(X10&gt;0,(X10-X11-$Q10),"")</f>
        <v>-4701</v>
      </c>
      <c r="Z10" s="21">
        <v>8469</v>
      </c>
      <c r="AA10" s="20">
        <f>IF(Z10&gt;0,(Z10-Z11-$Q10),"")</f>
        <v>-3740</v>
      </c>
      <c r="AB10" s="21">
        <v>8469</v>
      </c>
      <c r="AC10" s="22">
        <f>IF(AB10&gt;0,(AB10-AB11-$Q10),"")</f>
        <v>-3740</v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2099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659</v>
      </c>
      <c r="S11" s="24"/>
      <c r="T11" s="30">
        <v>1586</v>
      </c>
      <c r="U11" s="24"/>
      <c r="V11" s="30">
        <v>2053</v>
      </c>
      <c r="W11" s="24"/>
      <c r="X11" s="30">
        <v>2661</v>
      </c>
      <c r="Y11" s="24"/>
      <c r="Z11" s="30">
        <v>3214</v>
      </c>
      <c r="AA11" s="24"/>
      <c r="AB11" s="30">
        <v>3214</v>
      </c>
      <c r="AC11" s="26"/>
      <c r="AD11" s="30"/>
      <c r="AE11" s="26"/>
    </row>
    <row r="12" spans="2:42" x14ac:dyDescent="0.3">
      <c r="B12" s="16" t="s">
        <v>34</v>
      </c>
      <c r="C12" s="17">
        <v>1610</v>
      </c>
      <c r="E12" s="29" t="s">
        <v>35</v>
      </c>
      <c r="F12" s="119">
        <v>12584</v>
      </c>
      <c r="G12" s="117">
        <v>13211.9085</v>
      </c>
      <c r="H12" s="117">
        <v>12002.55487994</v>
      </c>
      <c r="I12" s="19">
        <f>H12+G12</f>
        <v>25214.46337994</v>
      </c>
      <c r="J12" s="119">
        <v>11028</v>
      </c>
      <c r="K12" s="117">
        <v>11327.06675</v>
      </c>
      <c r="L12" s="117">
        <v>9662.9983648600009</v>
      </c>
      <c r="M12" s="19">
        <f>L12+K12</f>
        <v>20990.065114860001</v>
      </c>
      <c r="N12" s="88">
        <v>44</v>
      </c>
      <c r="O12" s="88">
        <v>37</v>
      </c>
      <c r="P12" s="92"/>
      <c r="Q12" s="20">
        <f>J12-P12</f>
        <v>11028</v>
      </c>
      <c r="R12" s="21">
        <v>1995</v>
      </c>
      <c r="S12" s="20">
        <f>IF(R12&gt;0,(R12-R13-$Q12),"")</f>
        <v>-9033</v>
      </c>
      <c r="T12" s="21">
        <v>4264</v>
      </c>
      <c r="U12" s="20">
        <f>IF(T12&gt;0,(T12-T13-$Q12),"")</f>
        <v>-6764</v>
      </c>
      <c r="V12" s="21">
        <v>8158</v>
      </c>
      <c r="W12" s="20">
        <f>IF(V12&gt;0,(V12-V13-$Q12),"")</f>
        <v>-3096</v>
      </c>
      <c r="X12" s="21">
        <v>9433</v>
      </c>
      <c r="Y12" s="20">
        <f>IF(X12&gt;0,(X12-X13-$Q12),"")</f>
        <v>-1821</v>
      </c>
      <c r="Z12" s="21">
        <v>9433</v>
      </c>
      <c r="AA12" s="20">
        <f>IF(Z12&gt;0,(Z12-Z13-$Q12),"")</f>
        <v>-1821</v>
      </c>
      <c r="AB12" s="21">
        <v>9433</v>
      </c>
      <c r="AC12" s="22">
        <f>IF(AB12&gt;0,(AB12-AB13-$Q12),"")</f>
        <v>-1821</v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4890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0</v>
      </c>
      <c r="S13" s="24"/>
      <c r="T13" s="30">
        <v>0</v>
      </c>
      <c r="U13" s="24"/>
      <c r="V13" s="30">
        <v>226</v>
      </c>
      <c r="W13" s="24"/>
      <c r="X13" s="30">
        <v>226</v>
      </c>
      <c r="Y13" s="24"/>
      <c r="Z13" s="30">
        <v>226</v>
      </c>
      <c r="AA13" s="24"/>
      <c r="AB13" s="30">
        <v>226</v>
      </c>
      <c r="AC13" s="26"/>
      <c r="AD13" s="30"/>
      <c r="AE13" s="26"/>
    </row>
    <row r="14" spans="2:42" x14ac:dyDescent="0.3">
      <c r="B14" s="16" t="s">
        <v>38</v>
      </c>
      <c r="C14" s="17">
        <v>8454</v>
      </c>
      <c r="E14" s="18" t="s">
        <v>39</v>
      </c>
      <c r="F14" s="119">
        <v>17460</v>
      </c>
      <c r="G14" s="117">
        <v>20294.5625</v>
      </c>
      <c r="H14" s="117">
        <v>25819.090943340001</v>
      </c>
      <c r="I14" s="19">
        <f>H14+G14</f>
        <v>46113.653443340001</v>
      </c>
      <c r="J14" s="119">
        <v>17470</v>
      </c>
      <c r="K14" s="117">
        <v>20324.5625</v>
      </c>
      <c r="L14" s="117">
        <v>24963.781631239999</v>
      </c>
      <c r="M14" s="19">
        <f>L14+K14</f>
        <v>45288.344131239995</v>
      </c>
      <c r="N14" s="88">
        <v>67</v>
      </c>
      <c r="O14" s="88">
        <v>53</v>
      </c>
      <c r="P14" s="92"/>
      <c r="Q14" s="20">
        <f>J14-P14</f>
        <v>17470</v>
      </c>
      <c r="R14" s="21">
        <v>0</v>
      </c>
      <c r="S14" s="20" t="str">
        <f>IF(R14&gt;0,(R14-R15-$Q14),"")</f>
        <v/>
      </c>
      <c r="T14" s="21">
        <v>0</v>
      </c>
      <c r="U14" s="20" t="str">
        <f>IF(T14&gt;0,(T14-T15-$Q14),"")</f>
        <v/>
      </c>
      <c r="V14" s="21">
        <v>0</v>
      </c>
      <c r="W14" s="20" t="str">
        <f>IF(V14&gt;0,(V14-V15-$Q14),"")</f>
        <v/>
      </c>
      <c r="X14" s="21">
        <v>0</v>
      </c>
      <c r="Y14" s="20" t="str">
        <f>IF(X14&gt;0,(X14-X15-$Q14),"")</f>
        <v/>
      </c>
      <c r="Z14" s="21">
        <v>0</v>
      </c>
      <c r="AA14" s="20" t="str">
        <f>IF(Z14&gt;0,(Z14-Z15-$Q14),"")</f>
        <v/>
      </c>
      <c r="AB14" s="21">
        <v>0</v>
      </c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10866</v>
      </c>
      <c r="E16" s="84"/>
      <c r="F16" s="31">
        <f t="shared" ref="F16:N16" si="0">SUM(F6:F15)</f>
        <v>74305</v>
      </c>
      <c r="G16" s="31">
        <f t="shared" si="0"/>
        <v>65348.190750000002</v>
      </c>
      <c r="H16" s="31">
        <f t="shared" si="0"/>
        <v>55200.068899639999</v>
      </c>
      <c r="I16" s="32">
        <f t="shared" si="0"/>
        <v>120548.25964964001</v>
      </c>
      <c r="J16" s="33">
        <f t="shared" si="0"/>
        <v>67728</v>
      </c>
      <c r="K16" s="33">
        <f t="shared" si="0"/>
        <v>60515.174249999996</v>
      </c>
      <c r="L16" s="33">
        <f t="shared" si="0"/>
        <v>46164.178874599995</v>
      </c>
      <c r="M16" s="33">
        <f t="shared" si="0"/>
        <v>106679.35312459999</v>
      </c>
      <c r="N16" s="31">
        <f t="shared" si="0"/>
        <v>239</v>
      </c>
      <c r="O16" s="31">
        <f>SUM(O14,O12,O10,O8,O6)</f>
        <v>178</v>
      </c>
      <c r="P16" s="34">
        <f>SUM(P6:P15)</f>
        <v>0</v>
      </c>
      <c r="Q16" s="34">
        <f>SUM(Q6:Q15)</f>
        <v>67728</v>
      </c>
      <c r="R16" s="35">
        <f>R6+R8+R10+R12+R14-R7-R9-R11-R13-R15</f>
        <v>7335</v>
      </c>
      <c r="S16" s="36">
        <f>IF(R16&gt;1,(R16-$Q16),"")</f>
        <v>-60393</v>
      </c>
      <c r="T16" s="35">
        <f>T6+T8+T10+T12+T14-T7-T9-T11-T13-T15</f>
        <v>15935</v>
      </c>
      <c r="U16" s="36">
        <f>IF(T16&gt;1,(T16-$Q16),"")</f>
        <v>-51793</v>
      </c>
      <c r="V16" s="35">
        <f>V6+V8+V10+V12+V14-V7-V9-V11-V13-V15</f>
        <v>23108</v>
      </c>
      <c r="W16" s="36">
        <f>IF(V16&gt;1,(V16-$Q16),"")</f>
        <v>-44620</v>
      </c>
      <c r="X16" s="35">
        <f>X6+X8+X10+X12+X14-X7-X9-X11-X13-X15</f>
        <v>31154</v>
      </c>
      <c r="Y16" s="36">
        <f>IF(X16&gt;1,(X16-$Q16),"")</f>
        <v>-36574</v>
      </c>
      <c r="Z16" s="35">
        <f>Z6+Z8+Z10+Z12+Z14-Z7-Z9-Z11-Z13-Z15</f>
        <v>32115</v>
      </c>
      <c r="AA16" s="36">
        <f>IF(Z16&gt;1,(Z16-$Q16),"")</f>
        <v>-35613</v>
      </c>
      <c r="AB16" s="35">
        <f>AB6+AB8+AB10+AB12+AB14-AB7-AB9-AB11-AB13-AB15</f>
        <v>32115</v>
      </c>
      <c r="AC16" s="37">
        <f>IF(AB16&gt;1,(AB16-$Q16),"")</f>
        <v>-35613</v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699</v>
      </c>
      <c r="S17" s="41"/>
      <c r="T17" s="40">
        <f>T15+T13+T11+T9+T7</f>
        <v>1700</v>
      </c>
      <c r="U17" s="41"/>
      <c r="V17" s="40">
        <f>V15+V13+V11+V9+V7</f>
        <v>2402</v>
      </c>
      <c r="W17" s="41"/>
      <c r="X17" s="40">
        <f>X15+X13+X11+X9+X7</f>
        <v>3490</v>
      </c>
      <c r="Y17" s="41"/>
      <c r="Z17" s="40">
        <f>Z15+Z13+Z11+Z9+Z7</f>
        <v>4043</v>
      </c>
      <c r="AA17" s="41"/>
      <c r="AB17" s="40">
        <f>AB15+AB13+AB11+AB9+AB7</f>
        <v>4043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3667.5</v>
      </c>
      <c r="S18" s="46"/>
      <c r="T18" s="47">
        <f>IF(T16&gt;0,(T16-R16)/2,"")</f>
        <v>4300</v>
      </c>
      <c r="U18" s="46"/>
      <c r="V18" s="47">
        <f>IF(V16&gt;0,(V16-T16)/2,"")</f>
        <v>3586.5</v>
      </c>
      <c r="W18" s="46"/>
      <c r="X18" s="47">
        <f>IF(X16&gt;0,(X16-V16)/2,"")</f>
        <v>4023</v>
      </c>
      <c r="Y18" s="46"/>
      <c r="Z18" s="47">
        <f>IF(Z16&gt;0,(Z16-X16)/2,"")</f>
        <v>480.5</v>
      </c>
      <c r="AA18" s="46"/>
      <c r="AB18" s="47">
        <f>IF(AB16&gt;0,(AB16-Z16)/2,"")</f>
        <v>0</v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9857</v>
      </c>
      <c r="S20" s="36"/>
      <c r="T20" s="35">
        <v>19359</v>
      </c>
      <c r="U20" s="36"/>
      <c r="V20" s="35">
        <v>25140</v>
      </c>
      <c r="W20" s="36"/>
      <c r="X20" s="35">
        <v>35096</v>
      </c>
      <c r="Y20" s="36"/>
      <c r="Z20" s="35">
        <v>40066</v>
      </c>
      <c r="AA20" s="36"/>
      <c r="AB20" s="35">
        <v>40851</v>
      </c>
      <c r="AC20" s="37"/>
      <c r="AD20" s="35">
        <v>40851</v>
      </c>
      <c r="AE20" s="37"/>
    </row>
    <row r="21" spans="2:43" ht="15" customHeight="1" thickBot="1" x14ac:dyDescent="0.35">
      <c r="B21" s="16" t="s">
        <v>50</v>
      </c>
      <c r="C21" s="17">
        <v>7507</v>
      </c>
      <c r="L21" s="4"/>
      <c r="M21" s="4"/>
      <c r="Q21" s="52"/>
      <c r="R21" s="40">
        <v>825</v>
      </c>
      <c r="S21" s="41"/>
      <c r="T21" s="40">
        <v>1553</v>
      </c>
      <c r="U21" s="41"/>
      <c r="V21" s="40">
        <v>2130</v>
      </c>
      <c r="W21" s="41"/>
      <c r="X21" s="40">
        <v>3319</v>
      </c>
      <c r="Y21" s="41"/>
      <c r="Z21" s="40">
        <v>3464</v>
      </c>
      <c r="AA21" s="41"/>
      <c r="AB21" s="40">
        <v>3464</v>
      </c>
      <c r="AC21" s="42"/>
      <c r="AD21" s="40">
        <v>3464</v>
      </c>
      <c r="AE21" s="42"/>
    </row>
    <row r="22" spans="2:43" ht="15" customHeight="1" thickBot="1" x14ac:dyDescent="0.35">
      <c r="B22" s="16" t="s">
        <v>51</v>
      </c>
      <c r="C22" s="17">
        <v>950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4117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-2522</v>
      </c>
      <c r="S24" s="60"/>
      <c r="T24" s="60">
        <f>IF(T16&gt;0,T16-T20,"")</f>
        <v>-3424</v>
      </c>
      <c r="U24" s="60"/>
      <c r="V24" s="60">
        <f>IF(V16&gt;0,V16-V20,"")</f>
        <v>-2032</v>
      </c>
      <c r="W24" s="60"/>
      <c r="X24" s="60">
        <f>IF(X16&gt;0,X16-X20,"")</f>
        <v>-3942</v>
      </c>
      <c r="Y24" s="60"/>
      <c r="Z24" s="60">
        <f>IF(Z16&gt;0,Z16-Z20,"")</f>
        <v>-7951</v>
      </c>
      <c r="AA24" s="60"/>
      <c r="AB24" s="60">
        <f>IF(AB16&gt;0,AB16-AB20,"")</f>
        <v>-8736</v>
      </c>
      <c r="AC24" s="61"/>
      <c r="AD24" s="60" t="str">
        <f>IF(AD16&gt;0,AD16-AD20,"")</f>
        <v/>
      </c>
      <c r="AE24" s="61"/>
    </row>
    <row r="25" spans="2:43" x14ac:dyDescent="0.3">
      <c r="L25" s="4"/>
      <c r="M25" s="4"/>
      <c r="Q25" s="62"/>
      <c r="R25" s="63">
        <f>IF(R17&gt;=0,R17-R21,"")</f>
        <v>-126</v>
      </c>
      <c r="S25" s="64"/>
      <c r="T25" s="63">
        <f>IF(T17&gt;=0,T17-T21,"")</f>
        <v>147</v>
      </c>
      <c r="U25" s="64"/>
      <c r="V25" s="63">
        <f>IF(V17&gt;=0,V17-V21,"")</f>
        <v>272</v>
      </c>
      <c r="W25" s="64"/>
      <c r="X25" s="63">
        <f>IF(X17&gt;=0,X17-X21,"")</f>
        <v>171</v>
      </c>
      <c r="Y25" s="64"/>
      <c r="Z25" s="63">
        <f>IF(Z17&gt;=0,Z17-Z21,"")</f>
        <v>579</v>
      </c>
      <c r="AA25" s="64"/>
      <c r="AB25" s="63">
        <f>IF(AB17&gt;=0,AB17-AB21,"")</f>
        <v>579</v>
      </c>
      <c r="AC25" s="65"/>
      <c r="AD25" s="63">
        <f>IF(AD17&gt;=0,AD17-AD21,"")</f>
        <v>-3464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-826</v>
      </c>
      <c r="S26" s="55"/>
      <c r="T26" s="67">
        <f>IFERROR(IF(T18&gt;0,T18-T22,""),"")</f>
        <v>2740</v>
      </c>
      <c r="U26" s="55"/>
      <c r="V26" s="67">
        <f>IFERROR(IF(V18&gt;0,V18-V22,""),"")</f>
        <v>529.5</v>
      </c>
      <c r="W26" s="55"/>
      <c r="X26" s="67">
        <f>IFERROR(IF(X18&gt;0,X18-X22,""),"")</f>
        <v>1016</v>
      </c>
      <c r="Y26" s="55"/>
      <c r="Z26" s="67">
        <f>IFERROR(IF(Z18&gt;0,Z18-Z22,""),"")</f>
        <v>-2394.5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12745</v>
      </c>
      <c r="D29" s="76">
        <f>C14</f>
        <v>8454</v>
      </c>
      <c r="E29" s="77">
        <f t="shared" ref="E29:E34" si="1">D29-C29</f>
        <v>-4291</v>
      </c>
      <c r="M29" s="4"/>
      <c r="O29" s="4"/>
    </row>
    <row r="30" spans="2:43" x14ac:dyDescent="0.3">
      <c r="B30" s="74" t="s">
        <v>56</v>
      </c>
      <c r="C30" s="75">
        <v>28839</v>
      </c>
      <c r="D30" s="76">
        <f>C7+C15+C16+C19+C20</f>
        <v>10967</v>
      </c>
      <c r="E30" s="77">
        <f t="shared" si="1"/>
        <v>-17872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11913</v>
      </c>
      <c r="D32" s="76">
        <f>C10+C11+C12+C13</f>
        <v>11913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13205</v>
      </c>
      <c r="D34" s="76">
        <f>C21+C22+C23</f>
        <v>12574</v>
      </c>
      <c r="E34" s="77">
        <f t="shared" si="1"/>
        <v>-631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4162</v>
      </c>
      <c r="D35" s="80">
        <f>SUM(C8+C9)</f>
        <v>4162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/>
      <c r="R36" s="104">
        <v>100</v>
      </c>
      <c r="S36" s="104">
        <f t="shared" ref="S36:S65" si="2">IF(T36&gt;0,(T36-R36)/2,"")</f>
        <v>369.5</v>
      </c>
      <c r="T36" s="104">
        <v>839</v>
      </c>
      <c r="U36" s="104">
        <f t="shared" ref="U36:U65" si="3">IF(V36&gt;0,(V36-T36)/2,"")</f>
        <v>10.5</v>
      </c>
      <c r="V36" s="104">
        <v>860</v>
      </c>
      <c r="W36" s="104">
        <f t="shared" ref="W36:W65" si="4">IF(X36&gt;0,(X36-V36)/2,"")</f>
        <v>0</v>
      </c>
      <c r="X36" s="104">
        <v>860</v>
      </c>
      <c r="Y36" s="104">
        <f t="shared" ref="Y36:Y65" si="5">IF(Z36&gt;0,(Z36-X36)/2,"")</f>
        <v>0</v>
      </c>
      <c r="Z36" s="104">
        <v>860</v>
      </c>
      <c r="AA36" s="104">
        <f t="shared" ref="AA36:AA65" si="6">IF(AB36&gt;0,(AB36-Z36)/2,"")</f>
        <v>0</v>
      </c>
      <c r="AB36" s="104">
        <v>860</v>
      </c>
      <c r="AC36" s="104" t="str">
        <f t="shared" ref="AC36:AC65" si="7">IF(AD36&gt;0,(AD36-AB36)/2,"")</f>
        <v/>
      </c>
      <c r="AD36" s="104"/>
      <c r="AE36" s="105">
        <f t="shared" ref="AE36:AE65" si="8">AD36-Q36</f>
        <v>0</v>
      </c>
    </row>
    <row r="37" spans="2:31" ht="15.6" customHeight="1" x14ac:dyDescent="0.3">
      <c r="N37" s="212"/>
      <c r="O37" s="95" t="s">
        <v>66</v>
      </c>
      <c r="P37" s="106"/>
      <c r="Q37" s="106"/>
      <c r="R37" s="106">
        <v>5</v>
      </c>
      <c r="S37" s="106">
        <f t="shared" si="2"/>
        <v>245</v>
      </c>
      <c r="T37" s="106">
        <v>495</v>
      </c>
      <c r="U37" s="106">
        <f t="shared" si="3"/>
        <v>175</v>
      </c>
      <c r="V37" s="106">
        <v>845</v>
      </c>
      <c r="W37" s="106">
        <f t="shared" si="4"/>
        <v>46</v>
      </c>
      <c r="X37" s="106">
        <v>937</v>
      </c>
      <c r="Y37" s="106">
        <f t="shared" si="5"/>
        <v>0</v>
      </c>
      <c r="Z37" s="106">
        <v>937</v>
      </c>
      <c r="AA37" s="106">
        <f t="shared" si="6"/>
        <v>0</v>
      </c>
      <c r="AB37" s="106">
        <v>937</v>
      </c>
      <c r="AC37" s="106" t="str">
        <f t="shared" si="7"/>
        <v/>
      </c>
      <c r="AD37" s="106"/>
      <c r="AE37" s="107">
        <f t="shared" si="8"/>
        <v>0</v>
      </c>
    </row>
    <row r="38" spans="2:31" ht="15.6" customHeight="1" x14ac:dyDescent="0.3">
      <c r="N38" s="212"/>
      <c r="O38" s="94" t="s">
        <v>67</v>
      </c>
      <c r="P38" s="108"/>
      <c r="Q38" s="108"/>
      <c r="R38" s="108">
        <v>320</v>
      </c>
      <c r="S38" s="108">
        <f t="shared" si="2"/>
        <v>249</v>
      </c>
      <c r="T38" s="108">
        <v>818</v>
      </c>
      <c r="U38" s="108">
        <f t="shared" si="3"/>
        <v>0</v>
      </c>
      <c r="V38" s="108">
        <v>818</v>
      </c>
      <c r="W38" s="108">
        <f t="shared" si="4"/>
        <v>0</v>
      </c>
      <c r="X38" s="108">
        <v>818</v>
      </c>
      <c r="Y38" s="108">
        <f t="shared" si="5"/>
        <v>0</v>
      </c>
      <c r="Z38" s="108">
        <v>818</v>
      </c>
      <c r="AA38" s="108">
        <f t="shared" si="6"/>
        <v>0</v>
      </c>
      <c r="AB38" s="108">
        <v>818</v>
      </c>
      <c r="AC38" s="108" t="str">
        <f t="shared" si="7"/>
        <v/>
      </c>
      <c r="AD38" s="108"/>
      <c r="AE38" s="109">
        <f t="shared" si="8"/>
        <v>0</v>
      </c>
    </row>
    <row r="39" spans="2:31" ht="15.6" customHeight="1" x14ac:dyDescent="0.3">
      <c r="N39" s="212"/>
      <c r="O39" s="95" t="s">
        <v>68</v>
      </c>
      <c r="P39" s="106"/>
      <c r="Q39" s="106"/>
      <c r="R39" s="106">
        <v>724</v>
      </c>
      <c r="S39" s="106">
        <f t="shared" si="2"/>
        <v>158.5</v>
      </c>
      <c r="T39" s="106">
        <v>1041</v>
      </c>
      <c r="U39" s="106">
        <f t="shared" si="3"/>
        <v>153</v>
      </c>
      <c r="V39" s="106">
        <v>1347</v>
      </c>
      <c r="W39" s="106">
        <f t="shared" si="4"/>
        <v>807.5</v>
      </c>
      <c r="X39" s="106">
        <v>2962</v>
      </c>
      <c r="Y39" s="106">
        <f t="shared" si="5"/>
        <v>0</v>
      </c>
      <c r="Z39" s="106">
        <v>2962</v>
      </c>
      <c r="AA39" s="106">
        <f t="shared" si="6"/>
        <v>0</v>
      </c>
      <c r="AB39" s="106">
        <v>2962</v>
      </c>
      <c r="AC39" s="106" t="str">
        <f t="shared" si="7"/>
        <v/>
      </c>
      <c r="AD39" s="106"/>
      <c r="AE39" s="107">
        <f t="shared" si="8"/>
        <v>0</v>
      </c>
    </row>
    <row r="40" spans="2:31" ht="15.6" customHeight="1" x14ac:dyDescent="0.3">
      <c r="N40" s="212"/>
      <c r="O40" s="94" t="s">
        <v>69</v>
      </c>
      <c r="P40" s="108"/>
      <c r="Q40" s="108"/>
      <c r="R40" s="108">
        <v>0</v>
      </c>
      <c r="S40" s="108">
        <f t="shared" si="2"/>
        <v>521.5</v>
      </c>
      <c r="T40" s="108">
        <v>1043</v>
      </c>
      <c r="U40" s="108">
        <f t="shared" si="3"/>
        <v>262</v>
      </c>
      <c r="V40" s="108">
        <v>1567</v>
      </c>
      <c r="W40" s="108">
        <f t="shared" si="4"/>
        <v>677.5</v>
      </c>
      <c r="X40" s="108">
        <v>2922</v>
      </c>
      <c r="Y40" s="108">
        <f t="shared" si="5"/>
        <v>0</v>
      </c>
      <c r="Z40" s="108">
        <v>2922</v>
      </c>
      <c r="AA40" s="108">
        <f t="shared" si="6"/>
        <v>0</v>
      </c>
      <c r="AB40" s="108">
        <v>2922</v>
      </c>
      <c r="AC40" s="108" t="str">
        <f t="shared" si="7"/>
        <v/>
      </c>
      <c r="AD40" s="108"/>
      <c r="AE40" s="109">
        <f t="shared" si="8"/>
        <v>0</v>
      </c>
    </row>
    <row r="41" spans="2:31" ht="15.6" customHeight="1" x14ac:dyDescent="0.3">
      <c r="N41" s="212"/>
      <c r="O41" s="95" t="s">
        <v>70</v>
      </c>
      <c r="P41" s="106"/>
      <c r="Q41" s="106"/>
      <c r="R41" s="106">
        <v>288</v>
      </c>
      <c r="S41" s="106">
        <f t="shared" si="2"/>
        <v>0</v>
      </c>
      <c r="T41" s="106">
        <v>288</v>
      </c>
      <c r="U41" s="106">
        <f t="shared" si="3"/>
        <v>107</v>
      </c>
      <c r="V41" s="106">
        <v>502</v>
      </c>
      <c r="W41" s="106">
        <f t="shared" si="4"/>
        <v>0</v>
      </c>
      <c r="X41" s="106">
        <v>502</v>
      </c>
      <c r="Y41" s="106">
        <f t="shared" si="5"/>
        <v>0</v>
      </c>
      <c r="Z41" s="106">
        <v>502</v>
      </c>
      <c r="AA41" s="106">
        <f t="shared" si="6"/>
        <v>0</v>
      </c>
      <c r="AB41" s="106">
        <v>502</v>
      </c>
      <c r="AC41" s="106" t="str">
        <f t="shared" si="7"/>
        <v/>
      </c>
      <c r="AD41" s="106"/>
      <c r="AE41" s="107">
        <f t="shared" si="8"/>
        <v>0</v>
      </c>
    </row>
    <row r="42" spans="2:31" ht="15.6" customHeight="1" x14ac:dyDescent="0.3">
      <c r="N42" s="212"/>
      <c r="O42" s="94" t="s">
        <v>71</v>
      </c>
      <c r="P42" s="108"/>
      <c r="Q42" s="108"/>
      <c r="R42" s="108">
        <v>250</v>
      </c>
      <c r="S42" s="108">
        <f t="shared" si="2"/>
        <v>264.5</v>
      </c>
      <c r="T42" s="108">
        <v>779</v>
      </c>
      <c r="U42" s="108">
        <f t="shared" si="3"/>
        <v>0</v>
      </c>
      <c r="V42" s="108">
        <v>779</v>
      </c>
      <c r="W42" s="108">
        <f t="shared" si="4"/>
        <v>0</v>
      </c>
      <c r="X42" s="108">
        <v>779</v>
      </c>
      <c r="Y42" s="108">
        <f t="shared" si="5"/>
        <v>0</v>
      </c>
      <c r="Z42" s="108">
        <v>779</v>
      </c>
      <c r="AA42" s="108">
        <f t="shared" si="6"/>
        <v>0</v>
      </c>
      <c r="AB42" s="108">
        <v>779</v>
      </c>
      <c r="AC42" s="108" t="str">
        <f t="shared" si="7"/>
        <v/>
      </c>
      <c r="AD42" s="108"/>
      <c r="AE42" s="109">
        <f t="shared" si="8"/>
        <v>0</v>
      </c>
    </row>
    <row r="43" spans="2:31" ht="15.6" customHeight="1" x14ac:dyDescent="0.3">
      <c r="N43" s="212"/>
      <c r="O43" s="95" t="s">
        <v>72</v>
      </c>
      <c r="P43" s="106"/>
      <c r="Q43" s="106"/>
      <c r="R43" s="106">
        <v>359</v>
      </c>
      <c r="S43" s="106">
        <f t="shared" si="2"/>
        <v>0</v>
      </c>
      <c r="T43" s="106">
        <v>359</v>
      </c>
      <c r="U43" s="106">
        <f t="shared" si="3"/>
        <v>0</v>
      </c>
      <c r="V43" s="106">
        <v>359</v>
      </c>
      <c r="W43" s="106">
        <f t="shared" si="4"/>
        <v>203</v>
      </c>
      <c r="X43" s="106">
        <v>765</v>
      </c>
      <c r="Y43" s="106">
        <f t="shared" si="5"/>
        <v>0</v>
      </c>
      <c r="Z43" s="106">
        <v>765</v>
      </c>
      <c r="AA43" s="106">
        <f t="shared" si="6"/>
        <v>0</v>
      </c>
      <c r="AB43" s="106">
        <v>765</v>
      </c>
      <c r="AC43" s="106" t="str">
        <f t="shared" si="7"/>
        <v/>
      </c>
      <c r="AD43" s="106"/>
      <c r="AE43" s="107">
        <f t="shared" si="8"/>
        <v>0</v>
      </c>
    </row>
    <row r="44" spans="2:31" ht="15.6" customHeight="1" thickBot="1" x14ac:dyDescent="0.35">
      <c r="N44" s="213"/>
      <c r="O44" s="97" t="s">
        <v>73</v>
      </c>
      <c r="P44" s="110"/>
      <c r="Q44" s="110"/>
      <c r="R44" s="110">
        <v>546</v>
      </c>
      <c r="S44" s="110">
        <f t="shared" si="2"/>
        <v>0</v>
      </c>
      <c r="T44" s="110">
        <v>546</v>
      </c>
      <c r="U44" s="110">
        <f t="shared" si="3"/>
        <v>252</v>
      </c>
      <c r="V44" s="110">
        <v>1050</v>
      </c>
      <c r="W44" s="110">
        <f t="shared" si="4"/>
        <v>269.5</v>
      </c>
      <c r="X44" s="110">
        <v>1589</v>
      </c>
      <c r="Y44" s="110">
        <f t="shared" si="5"/>
        <v>0</v>
      </c>
      <c r="Z44" s="110">
        <v>1589</v>
      </c>
      <c r="AA44" s="110">
        <f t="shared" si="6"/>
        <v>0</v>
      </c>
      <c r="AB44" s="110">
        <v>1589</v>
      </c>
      <c r="AC44" s="110" t="str">
        <f t="shared" si="7"/>
        <v/>
      </c>
      <c r="AD44" s="110"/>
      <c r="AE44" s="111">
        <f t="shared" si="8"/>
        <v>0</v>
      </c>
    </row>
    <row r="45" spans="2:31" ht="15.6" customHeight="1" x14ac:dyDescent="0.3">
      <c r="N45" s="211" t="s">
        <v>27</v>
      </c>
      <c r="O45" s="98" t="s">
        <v>65</v>
      </c>
      <c r="P45" s="112"/>
      <c r="Q45" s="112"/>
      <c r="R45" s="112">
        <v>1000</v>
      </c>
      <c r="S45" s="112">
        <f t="shared" si="2"/>
        <v>376.5</v>
      </c>
      <c r="T45" s="112">
        <v>1753</v>
      </c>
      <c r="U45" s="112">
        <f t="shared" si="3"/>
        <v>0</v>
      </c>
      <c r="V45" s="112">
        <v>1753</v>
      </c>
      <c r="W45" s="112">
        <f t="shared" si="4"/>
        <v>0</v>
      </c>
      <c r="X45" s="112">
        <v>1753</v>
      </c>
      <c r="Y45" s="112">
        <f t="shared" si="5"/>
        <v>0</v>
      </c>
      <c r="Z45" s="112">
        <v>1753</v>
      </c>
      <c r="AA45" s="112">
        <f t="shared" si="6"/>
        <v>0</v>
      </c>
      <c r="AB45" s="112">
        <v>1753</v>
      </c>
      <c r="AC45" s="112" t="str">
        <f t="shared" si="7"/>
        <v/>
      </c>
      <c r="AD45" s="112"/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/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/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/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329.5</v>
      </c>
      <c r="X47" s="106">
        <v>659</v>
      </c>
      <c r="Y47" s="106">
        <f t="shared" si="5"/>
        <v>0</v>
      </c>
      <c r="Z47" s="106">
        <v>659</v>
      </c>
      <c r="AA47" s="106">
        <f t="shared" si="6"/>
        <v>0</v>
      </c>
      <c r="AB47" s="106">
        <v>659</v>
      </c>
      <c r="AC47" s="106" t="str">
        <f t="shared" si="7"/>
        <v/>
      </c>
      <c r="AD47" s="106"/>
      <c r="AE47" s="107">
        <f t="shared" si="8"/>
        <v>0</v>
      </c>
    </row>
    <row r="48" spans="2:31" ht="15.6" customHeight="1" thickBot="1" x14ac:dyDescent="0.35">
      <c r="N48" s="213"/>
      <c r="O48" s="97" t="s">
        <v>68</v>
      </c>
      <c r="P48" s="110"/>
      <c r="Q48" s="110"/>
      <c r="R48" s="110">
        <v>800</v>
      </c>
      <c r="S48" s="110">
        <f t="shared" si="2"/>
        <v>738</v>
      </c>
      <c r="T48" s="110">
        <v>2276</v>
      </c>
      <c r="U48" s="110">
        <f t="shared" si="3"/>
        <v>266.5</v>
      </c>
      <c r="V48" s="110">
        <v>2809</v>
      </c>
      <c r="W48" s="110">
        <f t="shared" si="4"/>
        <v>450.5</v>
      </c>
      <c r="X48" s="110">
        <v>3710</v>
      </c>
      <c r="Y48" s="110">
        <f t="shared" si="5"/>
        <v>0</v>
      </c>
      <c r="Z48" s="110">
        <v>3710</v>
      </c>
      <c r="AA48" s="110">
        <f t="shared" si="6"/>
        <v>0</v>
      </c>
      <c r="AB48" s="110">
        <v>3710</v>
      </c>
      <c r="AC48" s="110" t="str">
        <f t="shared" si="7"/>
        <v/>
      </c>
      <c r="AD48" s="110"/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/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 t="str">
        <f t="shared" si="4"/>
        <v/>
      </c>
      <c r="X49" s="112">
        <v>0</v>
      </c>
      <c r="Y49" s="112">
        <f t="shared" si="5"/>
        <v>168</v>
      </c>
      <c r="Z49" s="112">
        <v>336</v>
      </c>
      <c r="AA49" s="112">
        <f t="shared" si="6"/>
        <v>0</v>
      </c>
      <c r="AB49" s="112">
        <v>336</v>
      </c>
      <c r="AC49" s="112" t="str">
        <f t="shared" si="7"/>
        <v/>
      </c>
      <c r="AD49" s="112"/>
      <c r="AE49" s="113">
        <f t="shared" si="8"/>
        <v>0</v>
      </c>
    </row>
    <row r="50" spans="14:31" ht="15.6" customHeight="1" x14ac:dyDescent="0.3">
      <c r="N50" s="212"/>
      <c r="O50" s="94" t="s">
        <v>66</v>
      </c>
      <c r="P50" s="108"/>
      <c r="Q50" s="108"/>
      <c r="R50" s="108">
        <v>183</v>
      </c>
      <c r="S50" s="108">
        <f t="shared" si="2"/>
        <v>80</v>
      </c>
      <c r="T50" s="108">
        <v>343</v>
      </c>
      <c r="U50" s="108">
        <f t="shared" si="3"/>
        <v>0</v>
      </c>
      <c r="V50" s="108">
        <v>343</v>
      </c>
      <c r="W50" s="108">
        <f t="shared" si="4"/>
        <v>0</v>
      </c>
      <c r="X50" s="108">
        <v>343</v>
      </c>
      <c r="Y50" s="108">
        <f t="shared" si="5"/>
        <v>0</v>
      </c>
      <c r="Z50" s="108">
        <v>343</v>
      </c>
      <c r="AA50" s="108">
        <f t="shared" si="6"/>
        <v>0</v>
      </c>
      <c r="AB50" s="108">
        <v>343</v>
      </c>
      <c r="AC50" s="108" t="str">
        <f t="shared" si="7"/>
        <v/>
      </c>
      <c r="AD50" s="108"/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/>
      <c r="R51" s="106">
        <v>699</v>
      </c>
      <c r="S51" s="106">
        <f t="shared" si="2"/>
        <v>160</v>
      </c>
      <c r="T51" s="106">
        <v>1019</v>
      </c>
      <c r="U51" s="106">
        <f t="shared" si="3"/>
        <v>227.5</v>
      </c>
      <c r="V51" s="106">
        <v>1474</v>
      </c>
      <c r="W51" s="106">
        <f t="shared" si="4"/>
        <v>0</v>
      </c>
      <c r="X51" s="106">
        <v>1474</v>
      </c>
      <c r="Y51" s="106">
        <f t="shared" si="5"/>
        <v>117</v>
      </c>
      <c r="Z51" s="106">
        <v>1708</v>
      </c>
      <c r="AA51" s="106">
        <f t="shared" si="6"/>
        <v>0</v>
      </c>
      <c r="AB51" s="106">
        <v>1708</v>
      </c>
      <c r="AC51" s="106" t="str">
        <f t="shared" si="7"/>
        <v/>
      </c>
      <c r="AD51" s="106"/>
      <c r="AE51" s="107">
        <f t="shared" si="8"/>
        <v>0</v>
      </c>
    </row>
    <row r="52" spans="14:31" ht="15.6" customHeight="1" x14ac:dyDescent="0.3">
      <c r="N52" s="212"/>
      <c r="O52" s="94" t="s">
        <v>68</v>
      </c>
      <c r="P52" s="108"/>
      <c r="Q52" s="108"/>
      <c r="R52" s="108">
        <v>450</v>
      </c>
      <c r="S52" s="108">
        <f t="shared" si="2"/>
        <v>0</v>
      </c>
      <c r="T52" s="108">
        <v>450</v>
      </c>
      <c r="U52" s="108">
        <f t="shared" si="3"/>
        <v>148</v>
      </c>
      <c r="V52" s="108">
        <v>746</v>
      </c>
      <c r="W52" s="108">
        <f t="shared" si="4"/>
        <v>80.5</v>
      </c>
      <c r="X52" s="108">
        <v>907</v>
      </c>
      <c r="Y52" s="108">
        <f t="shared" si="5"/>
        <v>74.5</v>
      </c>
      <c r="Z52" s="108">
        <v>1056</v>
      </c>
      <c r="AA52" s="108">
        <f t="shared" si="6"/>
        <v>0</v>
      </c>
      <c r="AB52" s="108">
        <v>1056</v>
      </c>
      <c r="AC52" s="108" t="str">
        <f t="shared" si="7"/>
        <v/>
      </c>
      <c r="AD52" s="108"/>
      <c r="AE52" s="109">
        <f t="shared" si="8"/>
        <v>0</v>
      </c>
    </row>
    <row r="53" spans="14:31" ht="15.6" customHeight="1" x14ac:dyDescent="0.3">
      <c r="N53" s="212"/>
      <c r="O53" s="95" t="s">
        <v>69</v>
      </c>
      <c r="P53" s="106"/>
      <c r="Q53" s="106"/>
      <c r="R53" s="106">
        <v>315</v>
      </c>
      <c r="S53" s="106">
        <f t="shared" si="2"/>
        <v>414</v>
      </c>
      <c r="T53" s="106">
        <v>1143</v>
      </c>
      <c r="U53" s="106">
        <f t="shared" si="3"/>
        <v>212</v>
      </c>
      <c r="V53" s="106">
        <v>1567</v>
      </c>
      <c r="W53" s="106">
        <f t="shared" si="4"/>
        <v>248</v>
      </c>
      <c r="X53" s="106">
        <v>2063</v>
      </c>
      <c r="Y53" s="106">
        <f t="shared" si="5"/>
        <v>55</v>
      </c>
      <c r="Z53" s="106">
        <v>2173</v>
      </c>
      <c r="AA53" s="106">
        <f t="shared" si="6"/>
        <v>0</v>
      </c>
      <c r="AB53" s="106">
        <v>2173</v>
      </c>
      <c r="AC53" s="106" t="str">
        <f t="shared" si="7"/>
        <v/>
      </c>
      <c r="AD53" s="106"/>
      <c r="AE53" s="107">
        <f t="shared" si="8"/>
        <v>0</v>
      </c>
    </row>
    <row r="54" spans="14:31" ht="15.6" customHeight="1" x14ac:dyDescent="0.3">
      <c r="N54" s="212"/>
      <c r="O54" s="94" t="s">
        <v>70</v>
      </c>
      <c r="P54" s="108"/>
      <c r="Q54" s="108"/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464</v>
      </c>
      <c r="X54" s="108">
        <v>928</v>
      </c>
      <c r="Y54" s="108">
        <f t="shared" si="5"/>
        <v>312.5</v>
      </c>
      <c r="Z54" s="108">
        <v>1553</v>
      </c>
      <c r="AA54" s="108">
        <f t="shared" si="6"/>
        <v>0</v>
      </c>
      <c r="AB54" s="108">
        <v>1553</v>
      </c>
      <c r="AC54" s="108" t="str">
        <f t="shared" si="7"/>
        <v/>
      </c>
      <c r="AD54" s="108"/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/>
      <c r="R55" s="106">
        <v>0</v>
      </c>
      <c r="S55" s="106" t="str">
        <f t="shared" si="2"/>
        <v/>
      </c>
      <c r="T55" s="106">
        <v>0</v>
      </c>
      <c r="U55" s="106">
        <f t="shared" si="3"/>
        <v>177</v>
      </c>
      <c r="V55" s="106">
        <v>354</v>
      </c>
      <c r="W55" s="106">
        <f t="shared" si="4"/>
        <v>259.5</v>
      </c>
      <c r="X55" s="106">
        <v>873</v>
      </c>
      <c r="Y55" s="106">
        <f t="shared" si="5"/>
        <v>0</v>
      </c>
      <c r="Z55" s="106">
        <v>873</v>
      </c>
      <c r="AA55" s="106">
        <f t="shared" si="6"/>
        <v>0</v>
      </c>
      <c r="AB55" s="106">
        <v>873</v>
      </c>
      <c r="AC55" s="106" t="str">
        <f t="shared" si="7"/>
        <v/>
      </c>
      <c r="AD55" s="106"/>
      <c r="AE55" s="107">
        <f t="shared" si="8"/>
        <v>0</v>
      </c>
    </row>
    <row r="56" spans="14:31" ht="15.6" customHeight="1" x14ac:dyDescent="0.3">
      <c r="N56" s="212"/>
      <c r="O56" s="94" t="s">
        <v>72</v>
      </c>
      <c r="P56" s="108"/>
      <c r="Q56" s="108"/>
      <c r="R56" s="108">
        <v>0</v>
      </c>
      <c r="S56" s="108">
        <f t="shared" si="2"/>
        <v>89.5</v>
      </c>
      <c r="T56" s="108">
        <v>179</v>
      </c>
      <c r="U56" s="108">
        <f t="shared" si="3"/>
        <v>0</v>
      </c>
      <c r="V56" s="108">
        <v>179</v>
      </c>
      <c r="W56" s="108">
        <f t="shared" si="4"/>
        <v>94</v>
      </c>
      <c r="X56" s="108">
        <v>367</v>
      </c>
      <c r="Y56" s="108">
        <f t="shared" si="5"/>
        <v>30</v>
      </c>
      <c r="Z56" s="108">
        <v>427</v>
      </c>
      <c r="AA56" s="108">
        <f t="shared" si="6"/>
        <v>0</v>
      </c>
      <c r="AB56" s="108">
        <v>427</v>
      </c>
      <c r="AC56" s="108" t="str">
        <f t="shared" si="7"/>
        <v/>
      </c>
      <c r="AD56" s="108"/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/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/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/>
      <c r="R58" s="104">
        <v>369</v>
      </c>
      <c r="S58" s="104">
        <f t="shared" si="2"/>
        <v>688</v>
      </c>
      <c r="T58" s="104">
        <v>1745</v>
      </c>
      <c r="U58" s="104">
        <f t="shared" si="3"/>
        <v>956.5</v>
      </c>
      <c r="V58" s="104">
        <v>3658</v>
      </c>
      <c r="W58" s="104">
        <f t="shared" si="4"/>
        <v>0</v>
      </c>
      <c r="X58" s="104">
        <v>3658</v>
      </c>
      <c r="Y58" s="104">
        <f t="shared" si="5"/>
        <v>0</v>
      </c>
      <c r="Z58" s="104">
        <v>3658</v>
      </c>
      <c r="AA58" s="104">
        <f t="shared" si="6"/>
        <v>0</v>
      </c>
      <c r="AB58" s="104">
        <v>3658</v>
      </c>
      <c r="AC58" s="104" t="str">
        <f t="shared" si="7"/>
        <v/>
      </c>
      <c r="AD58" s="104"/>
      <c r="AE58" s="105">
        <f t="shared" si="8"/>
        <v>0</v>
      </c>
    </row>
    <row r="59" spans="14:31" ht="15.6" customHeight="1" x14ac:dyDescent="0.3">
      <c r="N59" s="212"/>
      <c r="O59" s="95" t="s">
        <v>66</v>
      </c>
      <c r="P59" s="106"/>
      <c r="Q59" s="106"/>
      <c r="R59" s="106">
        <v>1438</v>
      </c>
      <c r="S59" s="106">
        <f t="shared" si="2"/>
        <v>446.5</v>
      </c>
      <c r="T59" s="106">
        <v>2331</v>
      </c>
      <c r="U59" s="106">
        <f t="shared" si="3"/>
        <v>570</v>
      </c>
      <c r="V59" s="106">
        <v>3471</v>
      </c>
      <c r="W59" s="106">
        <f t="shared" si="4"/>
        <v>328.5</v>
      </c>
      <c r="X59" s="106">
        <v>4128</v>
      </c>
      <c r="Y59" s="106">
        <f t="shared" si="5"/>
        <v>0</v>
      </c>
      <c r="Z59" s="106">
        <v>4128</v>
      </c>
      <c r="AA59" s="106">
        <f t="shared" si="6"/>
        <v>0</v>
      </c>
      <c r="AB59" s="106">
        <v>4128</v>
      </c>
      <c r="AC59" s="106" t="str">
        <f t="shared" si="7"/>
        <v/>
      </c>
      <c r="AD59" s="106"/>
      <c r="AE59" s="107">
        <f t="shared" si="8"/>
        <v>0</v>
      </c>
    </row>
    <row r="60" spans="14:31" ht="15.6" customHeight="1" x14ac:dyDescent="0.3">
      <c r="N60" s="212"/>
      <c r="O60" s="94" t="s">
        <v>67</v>
      </c>
      <c r="P60" s="108"/>
      <c r="Q60" s="108"/>
      <c r="R60" s="108">
        <v>188</v>
      </c>
      <c r="S60" s="108">
        <f t="shared" si="2"/>
        <v>0</v>
      </c>
      <c r="T60" s="108">
        <v>188</v>
      </c>
      <c r="U60" s="108">
        <f t="shared" si="3"/>
        <v>420.5</v>
      </c>
      <c r="V60" s="108">
        <v>1029</v>
      </c>
      <c r="W60" s="108">
        <f t="shared" si="4"/>
        <v>309</v>
      </c>
      <c r="X60" s="108">
        <v>1647</v>
      </c>
      <c r="Y60" s="108">
        <f t="shared" si="5"/>
        <v>0</v>
      </c>
      <c r="Z60" s="108">
        <v>1647</v>
      </c>
      <c r="AA60" s="108">
        <f t="shared" si="6"/>
        <v>0</v>
      </c>
      <c r="AB60" s="108">
        <v>1647</v>
      </c>
      <c r="AC60" s="108" t="str">
        <f t="shared" si="7"/>
        <v/>
      </c>
      <c r="AD60" s="108"/>
      <c r="AE60" s="109">
        <f t="shared" si="8"/>
        <v>0</v>
      </c>
    </row>
    <row r="61" spans="14:31" ht="15.6" customHeight="1" thickBot="1" x14ac:dyDescent="0.35">
      <c r="N61" s="213"/>
      <c r="O61" s="99" t="s">
        <v>68</v>
      </c>
      <c r="P61" s="114"/>
      <c r="Q61" s="114"/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/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/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 t="str">
        <f t="shared" si="4"/>
        <v/>
      </c>
      <c r="X62" s="104">
        <v>0</v>
      </c>
      <c r="Y62" s="104" t="str">
        <f t="shared" si="5"/>
        <v/>
      </c>
      <c r="Z62" s="104">
        <v>0</v>
      </c>
      <c r="AA62" s="104" t="str">
        <f t="shared" si="6"/>
        <v/>
      </c>
      <c r="AB62" s="104">
        <v>0</v>
      </c>
      <c r="AC62" s="104" t="str">
        <f t="shared" si="7"/>
        <v/>
      </c>
      <c r="AD62" s="104"/>
      <c r="AE62" s="105">
        <f t="shared" si="8"/>
        <v>0</v>
      </c>
    </row>
    <row r="63" spans="14:31" ht="15.6" customHeight="1" x14ac:dyDescent="0.3">
      <c r="N63" s="212"/>
      <c r="O63" s="95" t="s">
        <v>66</v>
      </c>
      <c r="P63" s="106"/>
      <c r="Q63" s="106"/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 t="str">
        <f t="shared" si="4"/>
        <v/>
      </c>
      <c r="X63" s="106">
        <v>0</v>
      </c>
      <c r="Y63" s="106" t="str">
        <f t="shared" si="5"/>
        <v/>
      </c>
      <c r="Z63" s="106">
        <v>0</v>
      </c>
      <c r="AA63" s="106" t="str">
        <f t="shared" si="6"/>
        <v/>
      </c>
      <c r="AB63" s="106">
        <v>0</v>
      </c>
      <c r="AC63" s="106" t="str">
        <f t="shared" si="7"/>
        <v/>
      </c>
      <c r="AD63" s="106"/>
      <c r="AE63" s="107">
        <f t="shared" si="8"/>
        <v>0</v>
      </c>
    </row>
    <row r="64" spans="14:31" ht="15.6" customHeight="1" x14ac:dyDescent="0.3">
      <c r="N64" s="212"/>
      <c r="O64" s="94" t="s">
        <v>67</v>
      </c>
      <c r="P64" s="108"/>
      <c r="Q64" s="108"/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 t="str">
        <f t="shared" si="4"/>
        <v/>
      </c>
      <c r="X64" s="108">
        <v>0</v>
      </c>
      <c r="Y64" s="108" t="str">
        <f t="shared" si="5"/>
        <v/>
      </c>
      <c r="Z64" s="108">
        <v>0</v>
      </c>
      <c r="AA64" s="108" t="str">
        <f t="shared" si="6"/>
        <v/>
      </c>
      <c r="AB64" s="108">
        <v>0</v>
      </c>
      <c r="AC64" s="108" t="str">
        <f t="shared" si="7"/>
        <v/>
      </c>
      <c r="AD64" s="108"/>
      <c r="AE64" s="109">
        <f t="shared" si="8"/>
        <v>0</v>
      </c>
    </row>
    <row r="65" spans="14:31" ht="15.6" customHeight="1" thickBot="1" x14ac:dyDescent="0.35">
      <c r="N65" s="213"/>
      <c r="O65" s="99" t="s">
        <v>68</v>
      </c>
      <c r="P65" s="114"/>
      <c r="Q65" s="114"/>
      <c r="R65" s="114">
        <v>0</v>
      </c>
      <c r="S65" s="114" t="str">
        <f t="shared" si="2"/>
        <v/>
      </c>
      <c r="T65" s="114">
        <v>0</v>
      </c>
      <c r="U65" s="114" t="str">
        <f t="shared" si="3"/>
        <v/>
      </c>
      <c r="V65" s="114">
        <v>0</v>
      </c>
      <c r="W65" s="114" t="str">
        <f t="shared" si="4"/>
        <v/>
      </c>
      <c r="X65" s="114">
        <v>0</v>
      </c>
      <c r="Y65" s="114" t="str">
        <f t="shared" si="5"/>
        <v/>
      </c>
      <c r="Z65" s="114">
        <v>0</v>
      </c>
      <c r="AA65" s="114" t="str">
        <f t="shared" si="6"/>
        <v/>
      </c>
      <c r="AB65" s="114">
        <v>0</v>
      </c>
      <c r="AC65" s="114" t="str">
        <f t="shared" si="7"/>
        <v/>
      </c>
      <c r="AD65" s="114"/>
      <c r="AE65" s="115">
        <f t="shared" si="8"/>
        <v>0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67" priority="11" operator="lessThan">
      <formula>0</formula>
    </cfRule>
    <cfRule type="cellIs" dxfId="1966" priority="12" operator="greaterThan">
      <formula>0</formula>
    </cfRule>
  </conditionalFormatting>
  <conditionalFormatting sqref="R25:AC25">
    <cfRule type="cellIs" dxfId="1965" priority="9" operator="lessThan">
      <formula>0</formula>
    </cfRule>
    <cfRule type="cellIs" dxfId="1964" priority="10" operator="greaterThan">
      <formula>0</formula>
    </cfRule>
  </conditionalFormatting>
  <conditionalFormatting sqref="R26 T26 V26 X26 Z26 AB26">
    <cfRule type="cellIs" dxfId="1963" priority="7" operator="lessThan">
      <formula>0</formula>
    </cfRule>
    <cfRule type="cellIs" dxfId="1962" priority="8" operator="greaterThan">
      <formula>0</formula>
    </cfRule>
  </conditionalFormatting>
  <conditionalFormatting sqref="AD24:AE24">
    <cfRule type="cellIs" dxfId="1961" priority="5" operator="lessThan">
      <formula>0</formula>
    </cfRule>
    <cfRule type="cellIs" dxfId="1960" priority="6" operator="greaterThan">
      <formula>0</formula>
    </cfRule>
  </conditionalFormatting>
  <conditionalFormatting sqref="AD25:AE25">
    <cfRule type="cellIs" dxfId="1959" priority="3" operator="lessThan">
      <formula>0</formula>
    </cfRule>
    <cfRule type="cellIs" dxfId="1958" priority="4" operator="greaterThan">
      <formula>0</formula>
    </cfRule>
  </conditionalFormatting>
  <conditionalFormatting sqref="AD26">
    <cfRule type="cellIs" dxfId="1957" priority="1" operator="lessThan">
      <formula>0</formula>
    </cfRule>
    <cfRule type="cellIs" dxfId="19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1"/>
    <pageSetUpPr fitToPage="1"/>
  </sheetPr>
  <dimension ref="B1:AQ65"/>
  <sheetViews>
    <sheetView topLeftCell="G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44352</v>
      </c>
    </row>
    <row r="3" spans="2:42" ht="18.75" customHeight="1" thickBot="1" x14ac:dyDescent="0.35">
      <c r="B3" t="s">
        <v>1</v>
      </c>
      <c r="C3" s="3">
        <f>C2+1</f>
        <v>44353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20301</v>
      </c>
      <c r="G6" s="117">
        <v>18202.342124999999</v>
      </c>
      <c r="H6" s="117">
        <v>13878.905454240001</v>
      </c>
      <c r="I6" s="19">
        <f>H6+G6</f>
        <v>32081.24757924</v>
      </c>
      <c r="J6" s="119">
        <v>16455</v>
      </c>
      <c r="K6" s="117">
        <v>15629.90525</v>
      </c>
      <c r="L6" s="117">
        <v>8510.8632795199992</v>
      </c>
      <c r="M6" s="19">
        <f>L6+K6</f>
        <v>24140.768529519999</v>
      </c>
      <c r="N6" s="85">
        <v>70</v>
      </c>
      <c r="O6" s="85">
        <v>43</v>
      </c>
      <c r="P6" s="92"/>
      <c r="Q6" s="20">
        <f>J6-P6</f>
        <v>16455</v>
      </c>
      <c r="R6" s="21">
        <v>2294</v>
      </c>
      <c r="S6" s="20">
        <f>IF(R6&gt;0,(R6-R7-$Q6),"")</f>
        <v>-14176</v>
      </c>
      <c r="T6" s="21">
        <v>4000</v>
      </c>
      <c r="U6" s="20">
        <f>IF(T6&gt;0,(T6-T7-$Q6),"")</f>
        <v>-12474</v>
      </c>
      <c r="V6" s="21">
        <v>10699</v>
      </c>
      <c r="W6" s="20">
        <f>IF(V6&gt;0,(V6-V7-$Q6),"")</f>
        <v>-5809</v>
      </c>
      <c r="X6" s="21">
        <v>13621</v>
      </c>
      <c r="Y6" s="20">
        <f>IF(X6&gt;0,(X6-X7-$Q6),"")</f>
        <v>-3312</v>
      </c>
      <c r="Z6" s="21">
        <v>13621</v>
      </c>
      <c r="AA6" s="20">
        <f>IF(Z6&gt;0,(Z6-Z7-$Q6),"")</f>
        <v>-3312</v>
      </c>
      <c r="AB6" s="21">
        <v>13621</v>
      </c>
      <c r="AC6" s="22">
        <f>IF(AB6&gt;0,(AB6-AB7-$Q6),"")</f>
        <v>-3312</v>
      </c>
      <c r="AD6" s="21">
        <v>13621</v>
      </c>
      <c r="AE6" s="22">
        <f>IF(AD6&gt;0,(AD6-AD7-$Q6),"")</f>
        <v>-3312</v>
      </c>
    </row>
    <row r="7" spans="2:42" x14ac:dyDescent="0.3">
      <c r="B7" s="16" t="s">
        <v>23</v>
      </c>
      <c r="C7" s="17">
        <v>2068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27</v>
      </c>
      <c r="P7" s="93" t="s">
        <v>24</v>
      </c>
      <c r="Q7" s="24"/>
      <c r="R7" s="25">
        <v>15</v>
      </c>
      <c r="S7" s="24"/>
      <c r="T7" s="25">
        <v>19</v>
      </c>
      <c r="U7" s="24"/>
      <c r="V7" s="25">
        <v>53</v>
      </c>
      <c r="W7" s="24"/>
      <c r="X7" s="25">
        <v>478</v>
      </c>
      <c r="Y7" s="24"/>
      <c r="Z7" s="25">
        <v>478</v>
      </c>
      <c r="AA7" s="24"/>
      <c r="AB7" s="25">
        <v>478</v>
      </c>
      <c r="AC7" s="26"/>
      <c r="AD7" s="25">
        <v>478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2873</v>
      </c>
      <c r="E8" s="29" t="s">
        <v>27</v>
      </c>
      <c r="F8" s="119">
        <v>15792</v>
      </c>
      <c r="G8" s="117">
        <v>6788.6370000000006</v>
      </c>
      <c r="H8" s="117">
        <v>1515.2257294999999</v>
      </c>
      <c r="I8" s="19">
        <f>H8+G8</f>
        <v>8303.8627295000006</v>
      </c>
      <c r="J8" s="119">
        <v>15749</v>
      </c>
      <c r="K8" s="117">
        <v>6736.2705000000014</v>
      </c>
      <c r="L8" s="117">
        <v>1511.3830782</v>
      </c>
      <c r="M8" s="19">
        <f>L8+K8</f>
        <v>8247.653578200001</v>
      </c>
      <c r="N8" s="87">
        <v>31</v>
      </c>
      <c r="O8" s="87">
        <v>21</v>
      </c>
      <c r="P8" s="92"/>
      <c r="Q8" s="20">
        <f>J8-P8</f>
        <v>15749</v>
      </c>
      <c r="R8" s="21">
        <v>1800</v>
      </c>
      <c r="S8" s="20">
        <f>IF(R8&gt;0,(R8-R9-$Q8),"")</f>
        <v>-15749</v>
      </c>
      <c r="T8" s="21">
        <v>2622</v>
      </c>
      <c r="U8" s="20">
        <f>IF(T8&gt;0,(T8-T9-$Q8),"")</f>
        <v>-13127</v>
      </c>
      <c r="V8" s="21">
        <v>4649</v>
      </c>
      <c r="W8" s="20">
        <f>IF(V8&gt;0,(V8-V9-$Q8),"")</f>
        <v>-11100</v>
      </c>
      <c r="X8" s="21">
        <v>7655</v>
      </c>
      <c r="Y8" s="20">
        <f>IF(X8&gt;0,(X8-X9-$Q8),"")</f>
        <v>-8575</v>
      </c>
      <c r="Z8" s="21">
        <v>7655</v>
      </c>
      <c r="AA8" s="20">
        <f>IF(Z8&gt;0,(Z8-Z9-$Q8),"")</f>
        <v>-8575</v>
      </c>
      <c r="AB8" s="21">
        <v>7655</v>
      </c>
      <c r="AC8" s="22">
        <f>IF(AB8&gt;0,(AB8-AB9-$Q8),"")</f>
        <v>-8575</v>
      </c>
      <c r="AD8" s="21">
        <v>7655</v>
      </c>
      <c r="AE8" s="22">
        <f>IF(AD8&gt;0,(AD8-AD9-$Q8),"")</f>
        <v>-8575</v>
      </c>
    </row>
    <row r="9" spans="2:42" x14ac:dyDescent="0.3">
      <c r="B9" s="28" t="s">
        <v>28</v>
      </c>
      <c r="C9" s="17">
        <v>1611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1800</v>
      </c>
      <c r="S9" s="24"/>
      <c r="T9" s="30">
        <v>0</v>
      </c>
      <c r="U9" s="24"/>
      <c r="V9" s="30">
        <v>0</v>
      </c>
      <c r="W9" s="24"/>
      <c r="X9" s="30">
        <v>481</v>
      </c>
      <c r="Y9" s="24"/>
      <c r="Z9" s="30">
        <v>481</v>
      </c>
      <c r="AA9" s="24"/>
      <c r="AB9" s="30">
        <v>481</v>
      </c>
      <c r="AC9" s="26"/>
      <c r="AD9" s="30">
        <v>481</v>
      </c>
      <c r="AE9" s="26"/>
    </row>
    <row r="10" spans="2:42" x14ac:dyDescent="0.3">
      <c r="B10" s="16" t="s">
        <v>30</v>
      </c>
      <c r="C10" s="17">
        <v>3562</v>
      </c>
      <c r="E10" s="18" t="s">
        <v>31</v>
      </c>
      <c r="F10" s="119">
        <v>17625</v>
      </c>
      <c r="G10" s="117">
        <v>14288.915999999999</v>
      </c>
      <c r="H10" s="117">
        <v>1723.2735024999999</v>
      </c>
      <c r="I10" s="19">
        <f>H10+G10</f>
        <v>16012.189502499999</v>
      </c>
      <c r="J10" s="119">
        <v>17364</v>
      </c>
      <c r="K10" s="117">
        <v>13994.705</v>
      </c>
      <c r="L10" s="117">
        <v>1329.040125</v>
      </c>
      <c r="M10" s="19">
        <f>L10+K10</f>
        <v>15323.745124999999</v>
      </c>
      <c r="N10" s="88">
        <v>50</v>
      </c>
      <c r="O10" s="88">
        <v>37</v>
      </c>
      <c r="P10" s="92"/>
      <c r="Q10" s="20">
        <f>J10-P10</f>
        <v>17364</v>
      </c>
      <c r="R10" s="21">
        <v>2509</v>
      </c>
      <c r="S10" s="20">
        <f>IF(R10&gt;0,(R10-R11-$Q10),"")</f>
        <v>-15880</v>
      </c>
      <c r="T10" s="21">
        <v>5707</v>
      </c>
      <c r="U10" s="20">
        <f>IF(T10&gt;0,(T10-T11-$Q10),"")</f>
        <v>-13249</v>
      </c>
      <c r="V10" s="21">
        <v>8614</v>
      </c>
      <c r="W10" s="20">
        <f>IF(V10&gt;0,(V10-V11-$Q10),"")</f>
        <v>-10833</v>
      </c>
      <c r="X10" s="21">
        <v>10488</v>
      </c>
      <c r="Y10" s="20">
        <f>IF(X10&gt;0,(X10-X11-$Q10),"")</f>
        <v>-8959</v>
      </c>
      <c r="Z10" s="21">
        <v>13752</v>
      </c>
      <c r="AA10" s="20">
        <f>IF(Z10&gt;0,(Z10-Z11-$Q10),"")</f>
        <v>-5995</v>
      </c>
      <c r="AB10" s="21">
        <v>16512</v>
      </c>
      <c r="AC10" s="22">
        <f>IF(AB10&gt;0,(AB10-AB11-$Q10),"")</f>
        <v>-3885</v>
      </c>
      <c r="AD10" s="21">
        <v>16512</v>
      </c>
      <c r="AE10" s="22">
        <f>IF(AD10&gt;0,(AD10-AD11-$Q10),"")</f>
        <v>-3885</v>
      </c>
    </row>
    <row r="11" spans="2:42" x14ac:dyDescent="0.3">
      <c r="B11" s="16" t="s">
        <v>32</v>
      </c>
      <c r="C11" s="17">
        <v>2077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1025</v>
      </c>
      <c r="S11" s="24"/>
      <c r="T11" s="30">
        <v>1592</v>
      </c>
      <c r="U11" s="24"/>
      <c r="V11" s="30">
        <v>2083</v>
      </c>
      <c r="W11" s="24"/>
      <c r="X11" s="30">
        <v>2083</v>
      </c>
      <c r="Y11" s="24"/>
      <c r="Z11" s="30">
        <v>2383</v>
      </c>
      <c r="AA11" s="24"/>
      <c r="AB11" s="30">
        <v>3033</v>
      </c>
      <c r="AC11" s="26"/>
      <c r="AD11" s="30">
        <v>3033</v>
      </c>
      <c r="AE11" s="26"/>
    </row>
    <row r="12" spans="2:42" x14ac:dyDescent="0.3">
      <c r="B12" s="16" t="s">
        <v>34</v>
      </c>
      <c r="C12" s="17">
        <v>1635</v>
      </c>
      <c r="E12" s="29" t="s">
        <v>35</v>
      </c>
      <c r="F12" s="119">
        <v>10860</v>
      </c>
      <c r="G12" s="117">
        <v>11004.105250000001</v>
      </c>
      <c r="H12" s="117">
        <v>12594.231491160001</v>
      </c>
      <c r="I12" s="19">
        <f>H12+G12</f>
        <v>23598.336741160001</v>
      </c>
      <c r="J12" s="119">
        <v>10312</v>
      </c>
      <c r="K12" s="117">
        <v>10204.755999999999</v>
      </c>
      <c r="L12" s="117">
        <v>11391.913266479991</v>
      </c>
      <c r="M12" s="19">
        <f>L12+K12</f>
        <v>21596.669266479992</v>
      </c>
      <c r="N12" s="88">
        <v>48</v>
      </c>
      <c r="O12" s="88">
        <v>37</v>
      </c>
      <c r="P12" s="92"/>
      <c r="Q12" s="20">
        <f>J12-P12</f>
        <v>10312</v>
      </c>
      <c r="R12" s="21">
        <v>1616</v>
      </c>
      <c r="S12" s="20">
        <f>IF(R12&gt;0,(R12-R13-$Q12),"")</f>
        <v>-8929</v>
      </c>
      <c r="T12" s="21">
        <v>4877</v>
      </c>
      <c r="U12" s="20">
        <f>IF(T12&gt;0,(T12-T13-$Q12),"")</f>
        <v>-7296</v>
      </c>
      <c r="V12" s="21">
        <v>8094</v>
      </c>
      <c r="W12" s="20">
        <f>IF(V12&gt;0,(V12-V13-$Q12),"")</f>
        <v>-4079</v>
      </c>
      <c r="X12" s="21">
        <v>8445</v>
      </c>
      <c r="Y12" s="20">
        <f>IF(X12&gt;0,(X12-X13-$Q12),"")</f>
        <v>-3728</v>
      </c>
      <c r="Z12" s="21">
        <v>8445</v>
      </c>
      <c r="AA12" s="20">
        <f>IF(Z12&gt;0,(Z12-Z13-$Q12),"")</f>
        <v>-3728</v>
      </c>
      <c r="AB12" s="21">
        <v>8445</v>
      </c>
      <c r="AC12" s="22">
        <f>IF(AB12&gt;0,(AB12-AB13-$Q12),"")</f>
        <v>-3728</v>
      </c>
      <c r="AD12" s="21">
        <v>8445</v>
      </c>
      <c r="AE12" s="22">
        <f>IF(AD12&gt;0,(AD12-AD13-$Q12),"")</f>
        <v>-3728</v>
      </c>
    </row>
    <row r="13" spans="2:42" x14ac:dyDescent="0.3">
      <c r="B13" s="16" t="s">
        <v>36</v>
      </c>
      <c r="C13" s="17">
        <v>4965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233</v>
      </c>
      <c r="S13" s="24"/>
      <c r="T13" s="30">
        <v>1861</v>
      </c>
      <c r="U13" s="24"/>
      <c r="V13" s="30">
        <v>1861</v>
      </c>
      <c r="W13" s="24"/>
      <c r="X13" s="30">
        <v>1861</v>
      </c>
      <c r="Y13" s="24"/>
      <c r="Z13" s="30">
        <v>1861</v>
      </c>
      <c r="AA13" s="24"/>
      <c r="AB13" s="30">
        <v>1861</v>
      </c>
      <c r="AC13" s="26"/>
      <c r="AD13" s="30">
        <v>1861</v>
      </c>
      <c r="AE13" s="26"/>
    </row>
    <row r="14" spans="2:42" x14ac:dyDescent="0.3">
      <c r="B14" s="16" t="s">
        <v>38</v>
      </c>
      <c r="C14" s="17">
        <v>9233</v>
      </c>
      <c r="E14" s="18" t="s">
        <v>39</v>
      </c>
      <c r="F14" s="119">
        <v>17436</v>
      </c>
      <c r="G14" s="117">
        <v>20494.75</v>
      </c>
      <c r="H14" s="117">
        <v>27168.222050380009</v>
      </c>
      <c r="I14" s="19">
        <f>H14+G14</f>
        <v>47662.972050380005</v>
      </c>
      <c r="J14" s="119">
        <v>17436</v>
      </c>
      <c r="K14" s="117">
        <v>20494.75</v>
      </c>
      <c r="L14" s="117">
        <v>26256.596012360009</v>
      </c>
      <c r="M14" s="19">
        <f>L14+K14</f>
        <v>46751.346012360009</v>
      </c>
      <c r="N14" s="88">
        <v>77</v>
      </c>
      <c r="O14" s="88">
        <v>54</v>
      </c>
      <c r="P14" s="92"/>
      <c r="Q14" s="20">
        <f>J14-P14</f>
        <v>17436</v>
      </c>
      <c r="R14" s="21">
        <v>0</v>
      </c>
      <c r="S14" s="20" t="str">
        <f>IF(R14&gt;0,(R14-R15-$Q14),"")</f>
        <v/>
      </c>
      <c r="T14" s="21">
        <v>0</v>
      </c>
      <c r="U14" s="20" t="str">
        <f>IF(T14&gt;0,(T14-T15-$Q14),"")</f>
        <v/>
      </c>
      <c r="V14" s="21">
        <v>0</v>
      </c>
      <c r="W14" s="20" t="str">
        <f>IF(V14&gt;0,(V14-V15-$Q14),"")</f>
        <v/>
      </c>
      <c r="X14" s="21">
        <v>0</v>
      </c>
      <c r="Y14" s="20" t="str">
        <f>IF(X14&gt;0,(X14-X15-$Q14),"")</f>
        <v/>
      </c>
      <c r="Z14" s="21">
        <v>0</v>
      </c>
      <c r="AA14" s="20" t="str">
        <f>IF(Z14&gt;0,(Z14-Z15-$Q14),"")</f>
        <v/>
      </c>
      <c r="AB14" s="21">
        <v>0</v>
      </c>
      <c r="AC14" s="22" t="str">
        <f>IF(AB14&gt;0,(AB14-AB15-$Q14),"")</f>
        <v/>
      </c>
      <c r="AD14" s="21">
        <v>0</v>
      </c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2623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>
        <v>0</v>
      </c>
      <c r="AE15" s="26"/>
    </row>
    <row r="16" spans="2:42" ht="15" customHeight="1" thickBot="1" x14ac:dyDescent="0.35">
      <c r="B16" s="28" t="s">
        <v>42</v>
      </c>
      <c r="C16" s="17">
        <v>11563</v>
      </c>
      <c r="E16" s="84"/>
      <c r="F16" s="31">
        <f t="shared" ref="F16:N16" si="0">SUM(F6:F15)</f>
        <v>82014</v>
      </c>
      <c r="G16" s="31">
        <f t="shared" si="0"/>
        <v>70778.750375000003</v>
      </c>
      <c r="H16" s="31">
        <f t="shared" si="0"/>
        <v>56879.858227780009</v>
      </c>
      <c r="I16" s="32">
        <f t="shared" si="0"/>
        <v>127658.60860278</v>
      </c>
      <c r="J16" s="33">
        <f t="shared" si="0"/>
        <v>77316</v>
      </c>
      <c r="K16" s="33">
        <f t="shared" si="0"/>
        <v>67060.386750000005</v>
      </c>
      <c r="L16" s="33">
        <f t="shared" si="0"/>
        <v>48999.795761560003</v>
      </c>
      <c r="M16" s="33">
        <f t="shared" si="0"/>
        <v>116060.18251156001</v>
      </c>
      <c r="N16" s="31">
        <f t="shared" si="0"/>
        <v>276</v>
      </c>
      <c r="O16" s="31">
        <f>SUM(O14,O12,O10,O8,O6)</f>
        <v>192</v>
      </c>
      <c r="P16" s="34">
        <f>SUM(P6:P15)</f>
        <v>0</v>
      </c>
      <c r="Q16" s="34">
        <f>SUM(Q6:Q15)</f>
        <v>77316</v>
      </c>
      <c r="R16" s="35">
        <f>R6+R8+R10+R12+R14-R7-R9-R11-R13-R15</f>
        <v>5146</v>
      </c>
      <c r="S16" s="36">
        <f>IF(R16&gt;1,(R16-$Q16),"")</f>
        <v>-72170</v>
      </c>
      <c r="T16" s="35">
        <f>T6+T8+T10+T12+T14-T7-T9-T11-T13-T15</f>
        <v>13734</v>
      </c>
      <c r="U16" s="36">
        <f>IF(T16&gt;1,(T16-$Q16),"")</f>
        <v>-63582</v>
      </c>
      <c r="V16" s="35">
        <f>V6+V8+V10+V12+V14-V7-V9-V11-V13-V15</f>
        <v>28059</v>
      </c>
      <c r="W16" s="36">
        <f>IF(V16&gt;1,(V16-$Q16),"")</f>
        <v>-49257</v>
      </c>
      <c r="X16" s="35">
        <f>X6+X8+X10+X12+X14-X7-X9-X11-X13-X15</f>
        <v>35306</v>
      </c>
      <c r="Y16" s="36">
        <f>IF(X16&gt;1,(X16-$Q16),"")</f>
        <v>-42010</v>
      </c>
      <c r="Z16" s="35">
        <f>Z6+Z8+Z10+Z12+Z14-Z7-Z9-Z11-Z13-Z15</f>
        <v>38270</v>
      </c>
      <c r="AA16" s="36">
        <f>IF(Z16&gt;1,(Z16-$Q16),"")</f>
        <v>-39046</v>
      </c>
      <c r="AB16" s="35">
        <f>AB6+AB8+AB10+AB12+AB14-AB7-AB9-AB11-AB13-AB15</f>
        <v>40380</v>
      </c>
      <c r="AC16" s="37">
        <f>IF(AB16&gt;1,(AB16-$Q16),"")</f>
        <v>-36936</v>
      </c>
      <c r="AD16" s="35">
        <f>AD6+AD8+AD10+AD12+AD14-AD7-AD9-AD11-AD13-AD15</f>
        <v>40380</v>
      </c>
      <c r="AE16" s="37">
        <f>IF(AD16&gt;1,(AD16-$Q16),"")</f>
        <v>-36936</v>
      </c>
    </row>
    <row r="17" spans="2:43" s="4" customFormat="1" ht="15" customHeight="1" thickBot="1" x14ac:dyDescent="0.3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84</v>
      </c>
      <c r="P17" s="38" t="s">
        <v>44</v>
      </c>
      <c r="Q17" s="39"/>
      <c r="R17" s="40">
        <f>R15+R13+R11+R9+R7</f>
        <v>3073</v>
      </c>
      <c r="S17" s="41"/>
      <c r="T17" s="40">
        <f>T15+T13+T11+T9+T7</f>
        <v>3472</v>
      </c>
      <c r="U17" s="41"/>
      <c r="V17" s="40">
        <f>V15+V13+V11+V9+V7</f>
        <v>3997</v>
      </c>
      <c r="W17" s="41"/>
      <c r="X17" s="40">
        <f>X15+X13+X11+X9+X7</f>
        <v>4903</v>
      </c>
      <c r="Y17" s="41"/>
      <c r="Z17" s="40">
        <f>Z15+Z13+Z11+Z9+Z7</f>
        <v>5203</v>
      </c>
      <c r="AA17" s="41"/>
      <c r="AB17" s="40">
        <f>AB15+AB13+AB11+AB9+AB7</f>
        <v>5853</v>
      </c>
      <c r="AC17" s="42"/>
      <c r="AD17" s="40">
        <f>AD15+AD13+AD11+AD9+AD7</f>
        <v>5853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2573</v>
      </c>
      <c r="S18" s="46"/>
      <c r="T18" s="47">
        <f>IF(T16&gt;0,(T16-R16)/2,"")</f>
        <v>4294</v>
      </c>
      <c r="U18" s="46"/>
      <c r="V18" s="47">
        <f>IF(V16&gt;0,(V16-T16)/2,"")</f>
        <v>7162.5</v>
      </c>
      <c r="W18" s="46"/>
      <c r="X18" s="47">
        <f>IF(X16&gt;0,(X16-V16)/2,"")</f>
        <v>3623.5</v>
      </c>
      <c r="Y18" s="46"/>
      <c r="Z18" s="47">
        <f>IF(Z16&gt;0,(Z16-X16)/2,"")</f>
        <v>1482</v>
      </c>
      <c r="AA18" s="46"/>
      <c r="AB18" s="47">
        <f>IF(AB16&gt;0,(AB16-Z16)/2,"")</f>
        <v>1055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1718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550</v>
      </c>
      <c r="L20" s="4"/>
      <c r="M20" s="4"/>
      <c r="Q20" s="51" t="s">
        <v>49</v>
      </c>
      <c r="R20" s="35">
        <v>7335</v>
      </c>
      <c r="S20" s="36"/>
      <c r="T20" s="35">
        <v>15935</v>
      </c>
      <c r="U20" s="36"/>
      <c r="V20" s="35">
        <v>23108</v>
      </c>
      <c r="W20" s="36"/>
      <c r="X20" s="35">
        <v>31154</v>
      </c>
      <c r="Y20" s="36"/>
      <c r="Z20" s="35">
        <v>32115</v>
      </c>
      <c r="AA20" s="36"/>
      <c r="AB20" s="35">
        <v>32115</v>
      </c>
      <c r="AC20" s="37"/>
      <c r="AD20" s="35">
        <v>0</v>
      </c>
      <c r="AE20" s="37"/>
    </row>
    <row r="21" spans="2:43" ht="15" customHeight="1" thickBot="1" x14ac:dyDescent="0.35">
      <c r="B21" s="16" t="s">
        <v>50</v>
      </c>
      <c r="C21" s="17">
        <v>9292</v>
      </c>
      <c r="L21" s="4"/>
      <c r="M21" s="4"/>
      <c r="Q21" s="52"/>
      <c r="R21" s="40">
        <v>699</v>
      </c>
      <c r="S21" s="41"/>
      <c r="T21" s="40">
        <v>1700</v>
      </c>
      <c r="U21" s="41"/>
      <c r="V21" s="40">
        <v>2402</v>
      </c>
      <c r="W21" s="41"/>
      <c r="X21" s="40">
        <v>3490</v>
      </c>
      <c r="Y21" s="41"/>
      <c r="Z21" s="40">
        <v>4043</v>
      </c>
      <c r="AA21" s="41"/>
      <c r="AB21" s="40">
        <v>4043</v>
      </c>
      <c r="AC21" s="42"/>
      <c r="AD21" s="40">
        <v>0</v>
      </c>
      <c r="AE21" s="42"/>
    </row>
    <row r="22" spans="2:43" ht="15" customHeight="1" thickBot="1" x14ac:dyDescent="0.35">
      <c r="B22" s="16" t="s">
        <v>51</v>
      </c>
      <c r="C22" s="17">
        <v>1538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4438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-2189</v>
      </c>
      <c r="S24" s="60"/>
      <c r="T24" s="60">
        <f>IF(T16&gt;0,T16-T20,"")</f>
        <v>-2201</v>
      </c>
      <c r="U24" s="60"/>
      <c r="V24" s="60">
        <f>IF(V16&gt;0,V16-V20,"")</f>
        <v>4951</v>
      </c>
      <c r="W24" s="60"/>
      <c r="X24" s="60">
        <f>IF(X16&gt;0,X16-X20,"")</f>
        <v>4152</v>
      </c>
      <c r="Y24" s="60"/>
      <c r="Z24" s="60">
        <f>IF(Z16&gt;0,Z16-Z20,"")</f>
        <v>6155</v>
      </c>
      <c r="AA24" s="60"/>
      <c r="AB24" s="60">
        <f>IF(AB16&gt;0,AB16-AB20,"")</f>
        <v>8265</v>
      </c>
      <c r="AC24" s="61"/>
      <c r="AD24" s="60">
        <f>IF(AD16&gt;0,AD16-AD20,"")</f>
        <v>40380</v>
      </c>
      <c r="AE24" s="61"/>
    </row>
    <row r="25" spans="2:43" x14ac:dyDescent="0.3">
      <c r="L25" s="4"/>
      <c r="M25" s="4"/>
      <c r="Q25" s="62"/>
      <c r="R25" s="63">
        <f>IF(R17&gt;=0,R17-R21,"")</f>
        <v>2374</v>
      </c>
      <c r="S25" s="64"/>
      <c r="T25" s="63">
        <f>IF(T17&gt;=0,T17-T21,"")</f>
        <v>1772</v>
      </c>
      <c r="U25" s="64"/>
      <c r="V25" s="63">
        <f>IF(V17&gt;=0,V17-V21,"")</f>
        <v>1595</v>
      </c>
      <c r="W25" s="64"/>
      <c r="X25" s="63">
        <f>IF(X17&gt;=0,X17-X21,"")</f>
        <v>1413</v>
      </c>
      <c r="Y25" s="64"/>
      <c r="Z25" s="63">
        <f>IF(Z17&gt;=0,Z17-Z21,"")</f>
        <v>1160</v>
      </c>
      <c r="AA25" s="64"/>
      <c r="AB25" s="63">
        <f>IF(AB17&gt;=0,AB17-AB21,"")</f>
        <v>1810</v>
      </c>
      <c r="AC25" s="65"/>
      <c r="AD25" s="63">
        <f>IF(AD17&gt;=0,AD17-AD21,"")</f>
        <v>5853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-1920.5</v>
      </c>
      <c r="S26" s="55"/>
      <c r="T26" s="67">
        <f>IFERROR(IF(T18&gt;0,T18-T22,""),"")</f>
        <v>2734</v>
      </c>
      <c r="U26" s="55"/>
      <c r="V26" s="67">
        <f>IFERROR(IF(V18&gt;0,V18-V22,""),"")</f>
        <v>4105.5</v>
      </c>
      <c r="W26" s="55"/>
      <c r="X26" s="67">
        <f>IFERROR(IF(X18&gt;0,X18-X22,""),"")</f>
        <v>616.5</v>
      </c>
      <c r="Y26" s="55"/>
      <c r="Z26" s="67">
        <f>IFERROR(IF(Z18&gt;0,Z18-Z22,""),"")</f>
        <v>-1393</v>
      </c>
      <c r="AA26" s="55"/>
      <c r="AB26" s="67">
        <f>IFERROR(IF(AB18&gt;0,AB18-AB22,""),"")</f>
        <v>544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9958</v>
      </c>
      <c r="D29" s="76">
        <f>C14</f>
        <v>9233</v>
      </c>
      <c r="E29" s="77">
        <f t="shared" ref="E29:E34" si="1">D29-C29</f>
        <v>-725</v>
      </c>
      <c r="M29" s="4"/>
      <c r="O29" s="4"/>
    </row>
    <row r="30" spans="2:43" x14ac:dyDescent="0.3">
      <c r="B30" s="74" t="s">
        <v>56</v>
      </c>
      <c r="C30" s="75">
        <v>35034</v>
      </c>
      <c r="D30" s="76">
        <f>C7+C15+C16+C19+C20</f>
        <v>18522</v>
      </c>
      <c r="E30" s="77">
        <f t="shared" si="1"/>
        <v>-16512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12239</v>
      </c>
      <c r="D32" s="76">
        <f>C10+C11+C12+C13</f>
        <v>12239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15292</v>
      </c>
      <c r="D34" s="76">
        <f>C21+C22+C23</f>
        <v>15268</v>
      </c>
      <c r="E34" s="77">
        <f t="shared" si="1"/>
        <v>-24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4484</v>
      </c>
      <c r="D35" s="80">
        <f>SUM(C8+C9)</f>
        <v>4484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2246</v>
      </c>
      <c r="R36" s="104">
        <v>551</v>
      </c>
      <c r="S36" s="104">
        <f t="shared" ref="S36:S65" si="2">IF(T36&gt;0,(T36-R36)/2,"")</f>
        <v>0</v>
      </c>
      <c r="T36" s="104">
        <v>551</v>
      </c>
      <c r="U36" s="104">
        <f t="shared" ref="U36:U65" si="3">IF(V36&gt;0,(V36-T36)/2,"")</f>
        <v>427.5</v>
      </c>
      <c r="V36" s="104">
        <v>1406</v>
      </c>
      <c r="W36" s="104">
        <f t="shared" ref="W36:W65" si="4">IF(X36&gt;0,(X36-V36)/2,"")</f>
        <v>4.5</v>
      </c>
      <c r="X36" s="104">
        <v>1415</v>
      </c>
      <c r="Y36" s="104">
        <f t="shared" ref="Y36:Y65" si="5">IF(Z36&gt;0,(Z36-X36)/2,"")</f>
        <v>0</v>
      </c>
      <c r="Z36" s="104">
        <v>1415</v>
      </c>
      <c r="AA36" s="104">
        <f t="shared" ref="AA36:AA65" si="6">IF(AB36&gt;0,(AB36-Z36)/2,"")</f>
        <v>0</v>
      </c>
      <c r="AB36" s="104">
        <v>1415</v>
      </c>
      <c r="AC36" s="104">
        <f t="shared" ref="AC36:AC65" si="7">IF(AD36&gt;0,(AD36-AB36)/2,"")</f>
        <v>0</v>
      </c>
      <c r="AD36" s="104">
        <v>1415</v>
      </c>
      <c r="AE36" s="105">
        <f t="shared" ref="AE36:AE65" si="8">AD36-Q36</f>
        <v>-831</v>
      </c>
    </row>
    <row r="37" spans="2:31" ht="15.6" customHeight="1" x14ac:dyDescent="0.3">
      <c r="N37" s="212"/>
      <c r="O37" s="95" t="s">
        <v>66</v>
      </c>
      <c r="P37" s="106"/>
      <c r="Q37" s="106">
        <v>1543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267</v>
      </c>
      <c r="V37" s="106">
        <v>534</v>
      </c>
      <c r="W37" s="106">
        <f t="shared" si="4"/>
        <v>0</v>
      </c>
      <c r="X37" s="106">
        <v>534</v>
      </c>
      <c r="Y37" s="106">
        <f t="shared" si="5"/>
        <v>0</v>
      </c>
      <c r="Z37" s="106">
        <v>534</v>
      </c>
      <c r="AA37" s="106">
        <f t="shared" si="6"/>
        <v>0</v>
      </c>
      <c r="AB37" s="106">
        <v>534</v>
      </c>
      <c r="AC37" s="106">
        <f t="shared" si="7"/>
        <v>0</v>
      </c>
      <c r="AD37" s="106">
        <v>534</v>
      </c>
      <c r="AE37" s="107">
        <f t="shared" si="8"/>
        <v>-1009</v>
      </c>
    </row>
    <row r="38" spans="2:31" ht="15.6" customHeight="1" x14ac:dyDescent="0.3">
      <c r="N38" s="212"/>
      <c r="O38" s="94" t="s">
        <v>67</v>
      </c>
      <c r="P38" s="108"/>
      <c r="Q38" s="108">
        <v>2574</v>
      </c>
      <c r="R38" s="108">
        <v>791</v>
      </c>
      <c r="S38" s="108">
        <f t="shared" si="2"/>
        <v>262.5</v>
      </c>
      <c r="T38" s="108">
        <v>1316</v>
      </c>
      <c r="U38" s="108">
        <f t="shared" si="3"/>
        <v>535</v>
      </c>
      <c r="V38" s="108">
        <v>2386</v>
      </c>
      <c r="W38" s="108">
        <f t="shared" si="4"/>
        <v>312.5</v>
      </c>
      <c r="X38" s="108">
        <v>3011</v>
      </c>
      <c r="Y38" s="108">
        <f t="shared" si="5"/>
        <v>0</v>
      </c>
      <c r="Z38" s="108">
        <v>3011</v>
      </c>
      <c r="AA38" s="108">
        <f t="shared" si="6"/>
        <v>0</v>
      </c>
      <c r="AB38" s="108">
        <v>3011</v>
      </c>
      <c r="AC38" s="108">
        <f t="shared" si="7"/>
        <v>0</v>
      </c>
      <c r="AD38" s="108">
        <v>3011</v>
      </c>
      <c r="AE38" s="109">
        <f t="shared" si="8"/>
        <v>437</v>
      </c>
    </row>
    <row r="39" spans="2:31" ht="15.6" customHeight="1" x14ac:dyDescent="0.3">
      <c r="N39" s="212"/>
      <c r="O39" s="95" t="s">
        <v>68</v>
      </c>
      <c r="P39" s="106"/>
      <c r="Q39" s="106">
        <v>2944</v>
      </c>
      <c r="R39" s="106">
        <v>0</v>
      </c>
      <c r="S39" s="106">
        <f t="shared" si="2"/>
        <v>374.5</v>
      </c>
      <c r="T39" s="106">
        <v>749</v>
      </c>
      <c r="U39" s="106">
        <f t="shared" si="3"/>
        <v>521</v>
      </c>
      <c r="V39" s="106">
        <v>1791</v>
      </c>
      <c r="W39" s="106">
        <f t="shared" si="4"/>
        <v>579</v>
      </c>
      <c r="X39" s="106">
        <v>2949</v>
      </c>
      <c r="Y39" s="106">
        <f t="shared" si="5"/>
        <v>0</v>
      </c>
      <c r="Z39" s="106">
        <v>2949</v>
      </c>
      <c r="AA39" s="106">
        <f t="shared" si="6"/>
        <v>0</v>
      </c>
      <c r="AB39" s="106">
        <v>2949</v>
      </c>
      <c r="AC39" s="106">
        <f t="shared" si="7"/>
        <v>0</v>
      </c>
      <c r="AD39" s="106">
        <v>2949</v>
      </c>
      <c r="AE39" s="107">
        <f t="shared" si="8"/>
        <v>5</v>
      </c>
    </row>
    <row r="40" spans="2:31" ht="15.6" customHeight="1" x14ac:dyDescent="0.3">
      <c r="N40" s="212"/>
      <c r="O40" s="94" t="s">
        <v>69</v>
      </c>
      <c r="P40" s="108"/>
      <c r="Q40" s="108">
        <v>2600</v>
      </c>
      <c r="R40" s="108">
        <v>0</v>
      </c>
      <c r="S40" s="108" t="str">
        <f t="shared" si="2"/>
        <v/>
      </c>
      <c r="T40" s="108">
        <v>0</v>
      </c>
      <c r="U40" s="108">
        <f t="shared" si="3"/>
        <v>748</v>
      </c>
      <c r="V40" s="108">
        <v>1496</v>
      </c>
      <c r="W40" s="108">
        <f t="shared" si="4"/>
        <v>565</v>
      </c>
      <c r="X40" s="108">
        <v>2626</v>
      </c>
      <c r="Y40" s="108">
        <f t="shared" si="5"/>
        <v>0</v>
      </c>
      <c r="Z40" s="108">
        <v>2626</v>
      </c>
      <c r="AA40" s="108">
        <f t="shared" si="6"/>
        <v>0</v>
      </c>
      <c r="AB40" s="108">
        <v>2626</v>
      </c>
      <c r="AC40" s="108">
        <f t="shared" si="7"/>
        <v>0</v>
      </c>
      <c r="AD40" s="108">
        <v>2626</v>
      </c>
      <c r="AE40" s="109">
        <f t="shared" si="8"/>
        <v>26</v>
      </c>
    </row>
    <row r="41" spans="2:31" ht="15.6" customHeight="1" x14ac:dyDescent="0.3">
      <c r="N41" s="212"/>
      <c r="O41" s="95" t="s">
        <v>70</v>
      </c>
      <c r="P41" s="106"/>
      <c r="Q41" s="106">
        <v>569</v>
      </c>
      <c r="R41" s="106">
        <v>0</v>
      </c>
      <c r="S41" s="106">
        <f t="shared" si="2"/>
        <v>80</v>
      </c>
      <c r="T41" s="106">
        <v>160</v>
      </c>
      <c r="U41" s="106">
        <f t="shared" si="3"/>
        <v>81.5</v>
      </c>
      <c r="V41" s="106">
        <v>323</v>
      </c>
      <c r="W41" s="106">
        <f t="shared" si="4"/>
        <v>0</v>
      </c>
      <c r="X41" s="106">
        <v>323</v>
      </c>
      <c r="Y41" s="106">
        <f t="shared" si="5"/>
        <v>0</v>
      </c>
      <c r="Z41" s="106">
        <v>323</v>
      </c>
      <c r="AA41" s="106">
        <f t="shared" si="6"/>
        <v>0</v>
      </c>
      <c r="AB41" s="106">
        <v>323</v>
      </c>
      <c r="AC41" s="106">
        <f t="shared" si="7"/>
        <v>0</v>
      </c>
      <c r="AD41" s="106">
        <v>323</v>
      </c>
      <c r="AE41" s="107">
        <f t="shared" si="8"/>
        <v>-246</v>
      </c>
    </row>
    <row r="42" spans="2:31" ht="15.6" customHeight="1" x14ac:dyDescent="0.3">
      <c r="N42" s="212"/>
      <c r="O42" s="94" t="s">
        <v>71</v>
      </c>
      <c r="P42" s="108"/>
      <c r="Q42" s="108">
        <v>1075</v>
      </c>
      <c r="R42" s="108">
        <v>0</v>
      </c>
      <c r="S42" s="108">
        <f t="shared" si="2"/>
        <v>136</v>
      </c>
      <c r="T42" s="108">
        <v>272</v>
      </c>
      <c r="U42" s="108">
        <f t="shared" si="3"/>
        <v>272.5</v>
      </c>
      <c r="V42" s="108">
        <v>817</v>
      </c>
      <c r="W42" s="108">
        <f t="shared" si="4"/>
        <v>0</v>
      </c>
      <c r="X42" s="108">
        <v>817</v>
      </c>
      <c r="Y42" s="108">
        <f t="shared" si="5"/>
        <v>0</v>
      </c>
      <c r="Z42" s="108">
        <v>817</v>
      </c>
      <c r="AA42" s="108">
        <f t="shared" si="6"/>
        <v>0</v>
      </c>
      <c r="AB42" s="108">
        <v>817</v>
      </c>
      <c r="AC42" s="108">
        <f t="shared" si="7"/>
        <v>0</v>
      </c>
      <c r="AD42" s="108">
        <v>817</v>
      </c>
      <c r="AE42" s="109">
        <f t="shared" si="8"/>
        <v>-258</v>
      </c>
    </row>
    <row r="43" spans="2:31" ht="15.6" customHeight="1" x14ac:dyDescent="0.3">
      <c r="N43" s="212"/>
      <c r="O43" s="95" t="s">
        <v>72</v>
      </c>
      <c r="P43" s="106"/>
      <c r="Q43" s="106">
        <v>1609</v>
      </c>
      <c r="R43" s="106">
        <v>376</v>
      </c>
      <c r="S43" s="106">
        <f t="shared" si="2"/>
        <v>0</v>
      </c>
      <c r="T43" s="106">
        <v>376</v>
      </c>
      <c r="U43" s="106">
        <f t="shared" si="3"/>
        <v>185.5</v>
      </c>
      <c r="V43" s="106">
        <v>747</v>
      </c>
      <c r="W43" s="106">
        <f t="shared" si="4"/>
        <v>0</v>
      </c>
      <c r="X43" s="106">
        <v>747</v>
      </c>
      <c r="Y43" s="106">
        <f t="shared" si="5"/>
        <v>0</v>
      </c>
      <c r="Z43" s="106">
        <v>747</v>
      </c>
      <c r="AA43" s="106">
        <f t="shared" si="6"/>
        <v>0</v>
      </c>
      <c r="AB43" s="106">
        <v>747</v>
      </c>
      <c r="AC43" s="106">
        <f t="shared" si="7"/>
        <v>0</v>
      </c>
      <c r="AD43" s="106">
        <v>747</v>
      </c>
      <c r="AE43" s="107">
        <f t="shared" si="8"/>
        <v>-862</v>
      </c>
    </row>
    <row r="44" spans="2:31" ht="15.6" customHeight="1" thickBot="1" x14ac:dyDescent="0.35">
      <c r="N44" s="213"/>
      <c r="O44" s="97" t="s">
        <v>73</v>
      </c>
      <c r="P44" s="110"/>
      <c r="Q44" s="110">
        <v>1295</v>
      </c>
      <c r="R44" s="110">
        <v>576</v>
      </c>
      <c r="S44" s="110">
        <f t="shared" si="2"/>
        <v>0</v>
      </c>
      <c r="T44" s="110">
        <v>576</v>
      </c>
      <c r="U44" s="110">
        <f t="shared" si="3"/>
        <v>311.5</v>
      </c>
      <c r="V44" s="110">
        <v>1199</v>
      </c>
      <c r="W44" s="110">
        <f t="shared" si="4"/>
        <v>0</v>
      </c>
      <c r="X44" s="110">
        <v>1199</v>
      </c>
      <c r="Y44" s="110">
        <f t="shared" si="5"/>
        <v>0</v>
      </c>
      <c r="Z44" s="110">
        <v>1199</v>
      </c>
      <c r="AA44" s="110">
        <f t="shared" si="6"/>
        <v>0</v>
      </c>
      <c r="AB44" s="110">
        <v>1199</v>
      </c>
      <c r="AC44" s="110">
        <f t="shared" si="7"/>
        <v>0</v>
      </c>
      <c r="AD44" s="110">
        <v>1199</v>
      </c>
      <c r="AE44" s="111">
        <f t="shared" si="8"/>
        <v>-96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5090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536.5</v>
      </c>
      <c r="V45" s="112">
        <v>2073</v>
      </c>
      <c r="W45" s="112">
        <f t="shared" si="4"/>
        <v>0</v>
      </c>
      <c r="X45" s="112">
        <v>2073</v>
      </c>
      <c r="Y45" s="112">
        <f t="shared" si="5"/>
        <v>0</v>
      </c>
      <c r="Z45" s="112">
        <v>2073</v>
      </c>
      <c r="AA45" s="112">
        <f t="shared" si="6"/>
        <v>0</v>
      </c>
      <c r="AB45" s="112">
        <v>2073</v>
      </c>
      <c r="AC45" s="112">
        <f t="shared" si="7"/>
        <v>0</v>
      </c>
      <c r="AD45" s="112">
        <v>2073</v>
      </c>
      <c r="AE45" s="113">
        <f t="shared" si="8"/>
        <v>-3017</v>
      </c>
    </row>
    <row r="46" spans="2:31" ht="15.6" customHeight="1" x14ac:dyDescent="0.3">
      <c r="N46" s="212"/>
      <c r="O46" s="94" t="s">
        <v>66</v>
      </c>
      <c r="P46" s="108"/>
      <c r="Q46" s="108">
        <v>3861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>
        <v>0</v>
      </c>
      <c r="AE46" s="109">
        <f t="shared" si="8"/>
        <v>-3861</v>
      </c>
    </row>
    <row r="47" spans="2:31" ht="15.6" customHeight="1" x14ac:dyDescent="0.3">
      <c r="N47" s="212"/>
      <c r="O47" s="95" t="s">
        <v>67</v>
      </c>
      <c r="P47" s="106"/>
      <c r="Q47" s="106">
        <v>2480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632</v>
      </c>
      <c r="X47" s="106">
        <v>1264</v>
      </c>
      <c r="Y47" s="106">
        <f t="shared" si="5"/>
        <v>0</v>
      </c>
      <c r="Z47" s="106">
        <v>1264</v>
      </c>
      <c r="AA47" s="106">
        <f t="shared" si="6"/>
        <v>0</v>
      </c>
      <c r="AB47" s="106">
        <v>1264</v>
      </c>
      <c r="AC47" s="106">
        <f t="shared" si="7"/>
        <v>0</v>
      </c>
      <c r="AD47" s="106">
        <v>1264</v>
      </c>
      <c r="AE47" s="107">
        <f t="shared" si="8"/>
        <v>-1216</v>
      </c>
    </row>
    <row r="48" spans="2:31" ht="15.6" customHeight="1" thickBot="1" x14ac:dyDescent="0.35">
      <c r="N48" s="213"/>
      <c r="O48" s="97" t="s">
        <v>68</v>
      </c>
      <c r="P48" s="110"/>
      <c r="Q48" s="110">
        <v>4318</v>
      </c>
      <c r="R48" s="110">
        <v>800</v>
      </c>
      <c r="S48" s="110">
        <f t="shared" si="2"/>
        <v>411</v>
      </c>
      <c r="T48" s="110">
        <v>1622</v>
      </c>
      <c r="U48" s="110">
        <f t="shared" si="3"/>
        <v>477</v>
      </c>
      <c r="V48" s="110">
        <v>2576</v>
      </c>
      <c r="W48" s="110">
        <f t="shared" si="4"/>
        <v>871</v>
      </c>
      <c r="X48" s="110">
        <v>4318</v>
      </c>
      <c r="Y48" s="110">
        <f t="shared" si="5"/>
        <v>0</v>
      </c>
      <c r="Z48" s="110">
        <v>4318</v>
      </c>
      <c r="AA48" s="110">
        <f t="shared" si="6"/>
        <v>0</v>
      </c>
      <c r="AB48" s="110">
        <v>4318</v>
      </c>
      <c r="AC48" s="110">
        <f t="shared" si="7"/>
        <v>0</v>
      </c>
      <c r="AD48" s="110">
        <v>4318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2239</v>
      </c>
      <c r="R49" s="112">
        <v>14</v>
      </c>
      <c r="S49" s="112">
        <f t="shared" si="2"/>
        <v>480</v>
      </c>
      <c r="T49" s="112">
        <v>974</v>
      </c>
      <c r="U49" s="112">
        <f t="shared" si="3"/>
        <v>477.5</v>
      </c>
      <c r="V49" s="112">
        <v>1929</v>
      </c>
      <c r="W49" s="112">
        <f t="shared" si="4"/>
        <v>9</v>
      </c>
      <c r="X49" s="112">
        <v>1947</v>
      </c>
      <c r="Y49" s="112">
        <f t="shared" si="5"/>
        <v>64</v>
      </c>
      <c r="Z49" s="112">
        <v>2075</v>
      </c>
      <c r="AA49" s="112">
        <f t="shared" si="6"/>
        <v>0</v>
      </c>
      <c r="AB49" s="112">
        <v>2075</v>
      </c>
      <c r="AC49" s="112">
        <f t="shared" si="7"/>
        <v>0</v>
      </c>
      <c r="AD49" s="112">
        <v>2075</v>
      </c>
      <c r="AE49" s="113">
        <f t="shared" si="8"/>
        <v>-164</v>
      </c>
    </row>
    <row r="50" spans="14:31" ht="15.6" customHeight="1" x14ac:dyDescent="0.3">
      <c r="N50" s="212"/>
      <c r="O50" s="94" t="s">
        <v>66</v>
      </c>
      <c r="P50" s="108"/>
      <c r="Q50" s="108">
        <v>3812</v>
      </c>
      <c r="R50" s="108">
        <v>984</v>
      </c>
      <c r="S50" s="108">
        <f t="shared" si="2"/>
        <v>250.5</v>
      </c>
      <c r="T50" s="108">
        <v>1485</v>
      </c>
      <c r="U50" s="108">
        <f t="shared" si="3"/>
        <v>0</v>
      </c>
      <c r="V50" s="108">
        <v>1485</v>
      </c>
      <c r="W50" s="108">
        <f t="shared" si="4"/>
        <v>502</v>
      </c>
      <c r="X50" s="108">
        <v>2489</v>
      </c>
      <c r="Y50" s="108">
        <f t="shared" si="5"/>
        <v>619</v>
      </c>
      <c r="Z50" s="108">
        <v>3727</v>
      </c>
      <c r="AA50" s="108">
        <f t="shared" si="6"/>
        <v>32.5</v>
      </c>
      <c r="AB50" s="108">
        <v>3792</v>
      </c>
      <c r="AC50" s="108">
        <f t="shared" si="7"/>
        <v>0</v>
      </c>
      <c r="AD50" s="108">
        <v>3792</v>
      </c>
      <c r="AE50" s="109">
        <f t="shared" si="8"/>
        <v>-20</v>
      </c>
    </row>
    <row r="51" spans="14:31" ht="15.6" customHeight="1" x14ac:dyDescent="0.3">
      <c r="N51" s="212"/>
      <c r="O51" s="95" t="s">
        <v>67</v>
      </c>
      <c r="P51" s="106"/>
      <c r="Q51" s="106">
        <v>1644</v>
      </c>
      <c r="R51" s="106">
        <v>601</v>
      </c>
      <c r="S51" s="106">
        <f t="shared" si="2"/>
        <v>283.5</v>
      </c>
      <c r="T51" s="106">
        <v>1168</v>
      </c>
      <c r="U51" s="106">
        <f t="shared" si="3"/>
        <v>110</v>
      </c>
      <c r="V51" s="106">
        <v>1388</v>
      </c>
      <c r="W51" s="106">
        <f t="shared" si="4"/>
        <v>0</v>
      </c>
      <c r="X51" s="106">
        <v>1388</v>
      </c>
      <c r="Y51" s="106">
        <f t="shared" si="5"/>
        <v>0</v>
      </c>
      <c r="Z51" s="106">
        <v>1388</v>
      </c>
      <c r="AA51" s="106">
        <f t="shared" si="6"/>
        <v>69</v>
      </c>
      <c r="AB51" s="106">
        <v>1526</v>
      </c>
      <c r="AC51" s="106">
        <f t="shared" si="7"/>
        <v>0</v>
      </c>
      <c r="AD51" s="106">
        <v>1526</v>
      </c>
      <c r="AE51" s="107">
        <f t="shared" si="8"/>
        <v>-118</v>
      </c>
    </row>
    <row r="52" spans="14:31" ht="15.6" customHeight="1" x14ac:dyDescent="0.3">
      <c r="N52" s="212"/>
      <c r="O52" s="94" t="s">
        <v>68</v>
      </c>
      <c r="P52" s="108"/>
      <c r="Q52" s="108">
        <v>615</v>
      </c>
      <c r="R52" s="108">
        <v>502</v>
      </c>
      <c r="S52" s="108">
        <f t="shared" si="2"/>
        <v>0</v>
      </c>
      <c r="T52" s="108">
        <v>502</v>
      </c>
      <c r="U52" s="108">
        <f t="shared" si="3"/>
        <v>0</v>
      </c>
      <c r="V52" s="108">
        <v>502</v>
      </c>
      <c r="W52" s="108">
        <f t="shared" si="4"/>
        <v>85.5</v>
      </c>
      <c r="X52" s="108">
        <v>673</v>
      </c>
      <c r="Y52" s="108">
        <f t="shared" si="5"/>
        <v>0</v>
      </c>
      <c r="Z52" s="108">
        <v>673</v>
      </c>
      <c r="AA52" s="108">
        <f t="shared" si="6"/>
        <v>42.5</v>
      </c>
      <c r="AB52" s="108">
        <v>758</v>
      </c>
      <c r="AC52" s="108">
        <f t="shared" si="7"/>
        <v>0</v>
      </c>
      <c r="AD52" s="108">
        <v>758</v>
      </c>
      <c r="AE52" s="109">
        <f t="shared" si="8"/>
        <v>143</v>
      </c>
    </row>
    <row r="53" spans="14:31" ht="15.6" customHeight="1" x14ac:dyDescent="0.3">
      <c r="N53" s="212"/>
      <c r="O53" s="95" t="s">
        <v>69</v>
      </c>
      <c r="P53" s="106"/>
      <c r="Q53" s="106">
        <v>3143</v>
      </c>
      <c r="R53" s="106">
        <v>400</v>
      </c>
      <c r="S53" s="106">
        <f t="shared" si="2"/>
        <v>0</v>
      </c>
      <c r="T53" s="106">
        <v>400</v>
      </c>
      <c r="U53" s="106">
        <f t="shared" si="3"/>
        <v>266</v>
      </c>
      <c r="V53" s="106">
        <v>932</v>
      </c>
      <c r="W53" s="106">
        <f t="shared" si="4"/>
        <v>275</v>
      </c>
      <c r="X53" s="106">
        <v>1482</v>
      </c>
      <c r="Y53" s="106">
        <f t="shared" si="5"/>
        <v>238</v>
      </c>
      <c r="Z53" s="106">
        <v>1958</v>
      </c>
      <c r="AA53" s="106">
        <f t="shared" si="6"/>
        <v>256</v>
      </c>
      <c r="AB53" s="106">
        <v>2470</v>
      </c>
      <c r="AC53" s="106">
        <f t="shared" si="7"/>
        <v>0</v>
      </c>
      <c r="AD53" s="106">
        <v>2470</v>
      </c>
      <c r="AE53" s="107">
        <f t="shared" si="8"/>
        <v>-673</v>
      </c>
    </row>
    <row r="54" spans="14:31" ht="15.6" customHeight="1" x14ac:dyDescent="0.3">
      <c r="N54" s="212"/>
      <c r="O54" s="94" t="s">
        <v>70</v>
      </c>
      <c r="P54" s="108"/>
      <c r="Q54" s="108">
        <v>1116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 t="str">
        <f t="shared" si="5"/>
        <v/>
      </c>
      <c r="Z54" s="108">
        <v>0</v>
      </c>
      <c r="AA54" s="108">
        <f t="shared" si="6"/>
        <v>558</v>
      </c>
      <c r="AB54" s="108">
        <v>1116</v>
      </c>
      <c r="AC54" s="108">
        <f t="shared" si="7"/>
        <v>0</v>
      </c>
      <c r="AD54" s="108">
        <v>1116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1782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1.5</v>
      </c>
      <c r="X55" s="106">
        <v>3</v>
      </c>
      <c r="Y55" s="106">
        <f t="shared" si="5"/>
        <v>535</v>
      </c>
      <c r="Z55" s="106">
        <v>1073</v>
      </c>
      <c r="AA55" s="106">
        <f t="shared" si="6"/>
        <v>354.5</v>
      </c>
      <c r="AB55" s="106">
        <v>1782</v>
      </c>
      <c r="AC55" s="106">
        <f t="shared" si="7"/>
        <v>0</v>
      </c>
      <c r="AD55" s="106">
        <v>1782</v>
      </c>
      <c r="AE55" s="107">
        <f t="shared" si="8"/>
        <v>0</v>
      </c>
    </row>
    <row r="56" spans="14:31" ht="15.6" customHeight="1" x14ac:dyDescent="0.3">
      <c r="N56" s="212"/>
      <c r="O56" s="94" t="s">
        <v>72</v>
      </c>
      <c r="P56" s="108"/>
      <c r="Q56" s="108">
        <v>2933</v>
      </c>
      <c r="R56" s="108">
        <v>8</v>
      </c>
      <c r="S56" s="108">
        <f t="shared" si="2"/>
        <v>585</v>
      </c>
      <c r="T56" s="108">
        <v>1178</v>
      </c>
      <c r="U56" s="108">
        <f t="shared" si="3"/>
        <v>600</v>
      </c>
      <c r="V56" s="108">
        <v>2378</v>
      </c>
      <c r="W56" s="108">
        <f t="shared" si="4"/>
        <v>64</v>
      </c>
      <c r="X56" s="108">
        <v>2506</v>
      </c>
      <c r="Y56" s="108">
        <f t="shared" si="5"/>
        <v>176</v>
      </c>
      <c r="Z56" s="108">
        <v>2858</v>
      </c>
      <c r="AA56" s="108">
        <f t="shared" si="6"/>
        <v>37.5</v>
      </c>
      <c r="AB56" s="108">
        <v>2933</v>
      </c>
      <c r="AC56" s="108">
        <f t="shared" si="7"/>
        <v>0</v>
      </c>
      <c r="AD56" s="108">
        <v>2933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>
        <f t="shared" si="6"/>
        <v>30</v>
      </c>
      <c r="AB57" s="114">
        <v>60</v>
      </c>
      <c r="AC57" s="114">
        <f t="shared" si="7"/>
        <v>0</v>
      </c>
      <c r="AD57" s="114">
        <v>60</v>
      </c>
      <c r="AE57" s="115">
        <f t="shared" si="8"/>
        <v>-20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2528</v>
      </c>
      <c r="R58" s="104">
        <v>983</v>
      </c>
      <c r="S58" s="104">
        <f t="shared" si="2"/>
        <v>347.5</v>
      </c>
      <c r="T58" s="104">
        <v>1678</v>
      </c>
      <c r="U58" s="104">
        <f t="shared" si="3"/>
        <v>84.5</v>
      </c>
      <c r="V58" s="104">
        <v>1847</v>
      </c>
      <c r="W58" s="104">
        <f t="shared" si="4"/>
        <v>0</v>
      </c>
      <c r="X58" s="104">
        <v>1847</v>
      </c>
      <c r="Y58" s="104">
        <f t="shared" si="5"/>
        <v>0</v>
      </c>
      <c r="Z58" s="104">
        <v>1847</v>
      </c>
      <c r="AA58" s="104">
        <f t="shared" si="6"/>
        <v>0</v>
      </c>
      <c r="AB58" s="104">
        <v>1847</v>
      </c>
      <c r="AC58" s="104">
        <f t="shared" si="7"/>
        <v>0</v>
      </c>
      <c r="AD58" s="104">
        <v>1847</v>
      </c>
      <c r="AE58" s="105">
        <f t="shared" si="8"/>
        <v>-681</v>
      </c>
    </row>
    <row r="59" spans="14:31" ht="15.6" customHeight="1" x14ac:dyDescent="0.3">
      <c r="N59" s="212"/>
      <c r="O59" s="95" t="s">
        <v>66</v>
      </c>
      <c r="P59" s="106"/>
      <c r="Q59" s="106">
        <v>4302</v>
      </c>
      <c r="R59" s="106">
        <v>187</v>
      </c>
      <c r="S59" s="106">
        <f t="shared" si="2"/>
        <v>860.5</v>
      </c>
      <c r="T59" s="106">
        <v>1908</v>
      </c>
      <c r="U59" s="106">
        <f t="shared" si="3"/>
        <v>1130</v>
      </c>
      <c r="V59" s="106">
        <v>4168</v>
      </c>
      <c r="W59" s="106">
        <f t="shared" si="4"/>
        <v>175.5</v>
      </c>
      <c r="X59" s="106">
        <v>4519</v>
      </c>
      <c r="Y59" s="106">
        <f t="shared" si="5"/>
        <v>0</v>
      </c>
      <c r="Z59" s="106">
        <v>4519</v>
      </c>
      <c r="AA59" s="106">
        <f t="shared" si="6"/>
        <v>0</v>
      </c>
      <c r="AB59" s="106">
        <v>4519</v>
      </c>
      <c r="AC59" s="106">
        <f t="shared" si="7"/>
        <v>0</v>
      </c>
      <c r="AD59" s="106">
        <v>4519</v>
      </c>
      <c r="AE59" s="107">
        <f t="shared" si="8"/>
        <v>217</v>
      </c>
    </row>
    <row r="60" spans="14:31" ht="15.6" customHeight="1" x14ac:dyDescent="0.3">
      <c r="N60" s="212"/>
      <c r="O60" s="94" t="s">
        <v>67</v>
      </c>
      <c r="P60" s="108"/>
      <c r="Q60" s="108">
        <v>3482</v>
      </c>
      <c r="R60" s="108">
        <v>446</v>
      </c>
      <c r="S60" s="108">
        <f t="shared" si="2"/>
        <v>422.5</v>
      </c>
      <c r="T60" s="108">
        <v>1291</v>
      </c>
      <c r="U60" s="108">
        <f t="shared" si="3"/>
        <v>394</v>
      </c>
      <c r="V60" s="108">
        <v>2079</v>
      </c>
      <c r="W60" s="108">
        <f t="shared" si="4"/>
        <v>0</v>
      </c>
      <c r="X60" s="108">
        <v>2079</v>
      </c>
      <c r="Y60" s="108">
        <f t="shared" si="5"/>
        <v>0</v>
      </c>
      <c r="Z60" s="108">
        <v>2079</v>
      </c>
      <c r="AA60" s="108">
        <f t="shared" si="6"/>
        <v>0</v>
      </c>
      <c r="AB60" s="108">
        <v>2079</v>
      </c>
      <c r="AC60" s="108">
        <f t="shared" si="7"/>
        <v>0</v>
      </c>
      <c r="AD60" s="108">
        <v>2079</v>
      </c>
      <c r="AE60" s="109">
        <f t="shared" si="8"/>
        <v>-1403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4201</v>
      </c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 t="str">
        <f t="shared" si="4"/>
        <v/>
      </c>
      <c r="X62" s="104">
        <v>0</v>
      </c>
      <c r="Y62" s="104" t="str">
        <f t="shared" si="5"/>
        <v/>
      </c>
      <c r="Z62" s="104">
        <v>0</v>
      </c>
      <c r="AA62" s="104" t="str">
        <f t="shared" si="6"/>
        <v/>
      </c>
      <c r="AB62" s="104">
        <v>0</v>
      </c>
      <c r="AC62" s="104" t="str">
        <f t="shared" si="7"/>
        <v/>
      </c>
      <c r="AD62" s="104">
        <v>0</v>
      </c>
      <c r="AE62" s="105">
        <f t="shared" si="8"/>
        <v>-4201</v>
      </c>
    </row>
    <row r="63" spans="14:31" ht="15.6" customHeight="1" x14ac:dyDescent="0.3">
      <c r="N63" s="212"/>
      <c r="O63" s="95" t="s">
        <v>66</v>
      </c>
      <c r="P63" s="106"/>
      <c r="Q63" s="106">
        <v>7375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 t="str">
        <f t="shared" si="4"/>
        <v/>
      </c>
      <c r="X63" s="106">
        <v>0</v>
      </c>
      <c r="Y63" s="106" t="str">
        <f t="shared" si="5"/>
        <v/>
      </c>
      <c r="Z63" s="106">
        <v>0</v>
      </c>
      <c r="AA63" s="106" t="str">
        <f t="shared" si="6"/>
        <v/>
      </c>
      <c r="AB63" s="106">
        <v>0</v>
      </c>
      <c r="AC63" s="106" t="str">
        <f t="shared" si="7"/>
        <v/>
      </c>
      <c r="AD63" s="106">
        <v>0</v>
      </c>
      <c r="AE63" s="107">
        <f t="shared" si="8"/>
        <v>-7375</v>
      </c>
    </row>
    <row r="64" spans="14:31" ht="15.6" customHeight="1" x14ac:dyDescent="0.3">
      <c r="N64" s="212"/>
      <c r="O64" s="94" t="s">
        <v>67</v>
      </c>
      <c r="P64" s="108"/>
      <c r="Q64" s="108">
        <v>4868</v>
      </c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 t="str">
        <f t="shared" si="4"/>
        <v/>
      </c>
      <c r="X64" s="108">
        <v>0</v>
      </c>
      <c r="Y64" s="108" t="str">
        <f t="shared" si="5"/>
        <v/>
      </c>
      <c r="Z64" s="108">
        <v>0</v>
      </c>
      <c r="AA64" s="108" t="str">
        <f t="shared" si="6"/>
        <v/>
      </c>
      <c r="AB64" s="108">
        <v>0</v>
      </c>
      <c r="AC64" s="108" t="str">
        <f t="shared" si="7"/>
        <v/>
      </c>
      <c r="AD64" s="108">
        <v>0</v>
      </c>
      <c r="AE64" s="109">
        <f t="shared" si="8"/>
        <v>-4868</v>
      </c>
    </row>
    <row r="65" spans="14:31" ht="15.6" customHeight="1" thickBot="1" x14ac:dyDescent="0.35">
      <c r="N65" s="213"/>
      <c r="O65" s="99" t="s">
        <v>68</v>
      </c>
      <c r="P65" s="114"/>
      <c r="Q65" s="114">
        <v>719</v>
      </c>
      <c r="R65" s="114">
        <v>0</v>
      </c>
      <c r="S65" s="114" t="str">
        <f t="shared" si="2"/>
        <v/>
      </c>
      <c r="T65" s="114">
        <v>0</v>
      </c>
      <c r="U65" s="114" t="str">
        <f t="shared" si="3"/>
        <v/>
      </c>
      <c r="V65" s="114">
        <v>0</v>
      </c>
      <c r="W65" s="114" t="str">
        <f t="shared" si="4"/>
        <v/>
      </c>
      <c r="X65" s="114">
        <v>0</v>
      </c>
      <c r="Y65" s="114" t="str">
        <f t="shared" si="5"/>
        <v/>
      </c>
      <c r="Z65" s="114">
        <v>0</v>
      </c>
      <c r="AA65" s="114" t="str">
        <f t="shared" si="6"/>
        <v/>
      </c>
      <c r="AB65" s="114">
        <v>0</v>
      </c>
      <c r="AC65" s="114" t="str">
        <f t="shared" si="7"/>
        <v/>
      </c>
      <c r="AD65" s="114">
        <v>0</v>
      </c>
      <c r="AE65" s="115">
        <f t="shared" si="8"/>
        <v>-719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55" priority="11" operator="lessThan">
      <formula>0</formula>
    </cfRule>
    <cfRule type="cellIs" dxfId="1954" priority="12" operator="greaterThan">
      <formula>0</formula>
    </cfRule>
  </conditionalFormatting>
  <conditionalFormatting sqref="R25:AC25">
    <cfRule type="cellIs" dxfId="1953" priority="9" operator="lessThan">
      <formula>0</formula>
    </cfRule>
    <cfRule type="cellIs" dxfId="1952" priority="10" operator="greaterThan">
      <formula>0</formula>
    </cfRule>
  </conditionalFormatting>
  <conditionalFormatting sqref="R26 T26 V26 X26 Z26 AB26">
    <cfRule type="cellIs" dxfId="1951" priority="7" operator="lessThan">
      <formula>0</formula>
    </cfRule>
    <cfRule type="cellIs" dxfId="1950" priority="8" operator="greaterThan">
      <formula>0</formula>
    </cfRule>
  </conditionalFormatting>
  <conditionalFormatting sqref="AD24:AE24">
    <cfRule type="cellIs" dxfId="1949" priority="5" operator="lessThan">
      <formula>0</formula>
    </cfRule>
    <cfRule type="cellIs" dxfId="1948" priority="6" operator="greaterThan">
      <formula>0</formula>
    </cfRule>
  </conditionalFormatting>
  <conditionalFormatting sqref="AD25:AE25">
    <cfRule type="cellIs" dxfId="1947" priority="3" operator="lessThan">
      <formula>0</formula>
    </cfRule>
    <cfRule type="cellIs" dxfId="1946" priority="4" operator="greaterThan">
      <formula>0</formula>
    </cfRule>
  </conditionalFormatting>
  <conditionalFormatting sqref="AD26">
    <cfRule type="cellIs" dxfId="1945" priority="1" operator="lessThan">
      <formula>0</formula>
    </cfRule>
    <cfRule type="cellIs" dxfId="19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44355</v>
      </c>
    </row>
    <row r="3" spans="2:42" ht="18.75" customHeight="1" thickBot="1" x14ac:dyDescent="0.35">
      <c r="B3" t="s">
        <v>1</v>
      </c>
      <c r="C3" s="3">
        <f>C2+1</f>
        <v>44356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6032</v>
      </c>
      <c r="E6" s="18" t="s">
        <v>22</v>
      </c>
      <c r="F6" s="119">
        <v>21986</v>
      </c>
      <c r="G6" s="117">
        <v>18956.043375000001</v>
      </c>
      <c r="H6" s="117">
        <v>15470.664810460001</v>
      </c>
      <c r="I6" s="19">
        <f>H6+G6</f>
        <v>34426.708185460004</v>
      </c>
      <c r="J6" s="119">
        <v>18383</v>
      </c>
      <c r="K6" s="117">
        <v>16938.654624999999</v>
      </c>
      <c r="L6" s="117">
        <v>10440.26121966</v>
      </c>
      <c r="M6" s="19">
        <f>L6+K6</f>
        <v>27378.915844659998</v>
      </c>
      <c r="N6" s="85"/>
      <c r="O6" s="85"/>
      <c r="P6" s="92"/>
      <c r="Q6" s="20">
        <f>J6-P6</f>
        <v>18383</v>
      </c>
      <c r="R6" s="21">
        <v>3031</v>
      </c>
      <c r="S6" s="20">
        <f>IF(R6&gt;0,(R6-R7-$Q6),"")</f>
        <v>-15613</v>
      </c>
      <c r="T6" s="21">
        <v>8282</v>
      </c>
      <c r="U6" s="20">
        <f>IF(T6&gt;0,(T6-T7-$Q6),"")</f>
        <v>-10415</v>
      </c>
      <c r="V6" s="21">
        <v>11205</v>
      </c>
      <c r="W6" s="20">
        <f>IF(V6&gt;0,(V6-V7-$Q6),"")</f>
        <v>-7493</v>
      </c>
      <c r="X6" s="21">
        <v>14421</v>
      </c>
      <c r="Y6" s="20">
        <f>IF(X6&gt;0,(X6-X7-$Q6),"")</f>
        <v>-4326</v>
      </c>
      <c r="Z6" s="21">
        <v>14421</v>
      </c>
      <c r="AA6" s="20">
        <f>IF(Z6&gt;0,(Z6-Z7-$Q6),"")</f>
        <v>-4326</v>
      </c>
      <c r="AB6" s="21">
        <v>14421</v>
      </c>
      <c r="AC6" s="22">
        <f>IF(AB6&gt;0,(AB6-AB7-$Q6),"")</f>
        <v>-4326</v>
      </c>
      <c r="AD6" s="21">
        <v>14421</v>
      </c>
      <c r="AE6" s="22">
        <f>IF(AD6&gt;0,(AD6-AD7-$Q6),"")</f>
        <v>-4326</v>
      </c>
    </row>
    <row r="7" spans="2:42" x14ac:dyDescent="0.3">
      <c r="B7" s="16" t="s">
        <v>23</v>
      </c>
      <c r="C7" s="17">
        <v>2413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>
        <v>261</v>
      </c>
      <c r="S7" s="24"/>
      <c r="T7" s="25">
        <v>314</v>
      </c>
      <c r="U7" s="24"/>
      <c r="V7" s="25">
        <v>315</v>
      </c>
      <c r="W7" s="24"/>
      <c r="X7" s="25">
        <v>364</v>
      </c>
      <c r="Y7" s="24"/>
      <c r="Z7" s="25">
        <v>364</v>
      </c>
      <c r="AA7" s="24"/>
      <c r="AB7" s="25">
        <v>364</v>
      </c>
      <c r="AC7" s="26"/>
      <c r="AD7" s="25">
        <v>364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2558</v>
      </c>
      <c r="E8" s="29" t="s">
        <v>27</v>
      </c>
      <c r="F8" s="119">
        <v>15195</v>
      </c>
      <c r="G8" s="117">
        <v>6565.6249999999991</v>
      </c>
      <c r="H8" s="117">
        <v>1481.534635</v>
      </c>
      <c r="I8" s="19">
        <f>H8+G8</f>
        <v>8047.1596349999991</v>
      </c>
      <c r="J8" s="119">
        <v>14983</v>
      </c>
      <c r="K8" s="117">
        <v>6457.1665000000003</v>
      </c>
      <c r="L8" s="117">
        <v>1479.2408846000001</v>
      </c>
      <c r="M8" s="19">
        <f>L8+K8</f>
        <v>7936.4073846000001</v>
      </c>
      <c r="N8" s="87"/>
      <c r="O8" s="87"/>
      <c r="P8" s="92"/>
      <c r="Q8" s="20">
        <f>J8-P8</f>
        <v>14983</v>
      </c>
      <c r="R8" s="21">
        <v>0</v>
      </c>
      <c r="S8" s="20" t="str">
        <f>IF(R8&gt;0,(R8-R9-$Q8),"")</f>
        <v/>
      </c>
      <c r="T8" s="21">
        <v>1000</v>
      </c>
      <c r="U8" s="20">
        <f>IF(T8&gt;0,(T8-T9-$Q8),"")</f>
        <v>-13983</v>
      </c>
      <c r="V8" s="21">
        <v>3254</v>
      </c>
      <c r="W8" s="20">
        <f>IF(V8&gt;0,(V8-V9-$Q8),"")</f>
        <v>-11729</v>
      </c>
      <c r="X8" s="21">
        <v>13238</v>
      </c>
      <c r="Y8" s="20">
        <f>IF(X8&gt;0,(X8-X9-$Q8),"")</f>
        <v>-1745</v>
      </c>
      <c r="Z8" s="21">
        <v>13645</v>
      </c>
      <c r="AA8" s="20">
        <f>IF(Z8&gt;0,(Z8-Z9-$Q8),"")</f>
        <v>-1338</v>
      </c>
      <c r="AB8" s="21">
        <v>14574</v>
      </c>
      <c r="AC8" s="22">
        <f>IF(AB8&gt;0,(AB8-AB9-$Q8),"")</f>
        <v>-409</v>
      </c>
      <c r="AD8" s="21">
        <v>14574</v>
      </c>
      <c r="AE8" s="22">
        <f>IF(AD8&gt;0,(AD8-AD9-$Q8),"")</f>
        <v>-409</v>
      </c>
    </row>
    <row r="9" spans="2:42" x14ac:dyDescent="0.3">
      <c r="B9" s="28" t="s">
        <v>28</v>
      </c>
      <c r="C9" s="17">
        <v>1531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7237</v>
      </c>
      <c r="E10" s="18" t="s">
        <v>31</v>
      </c>
      <c r="F10" s="119">
        <v>21545</v>
      </c>
      <c r="G10" s="117">
        <v>16663.651750000001</v>
      </c>
      <c r="H10" s="117">
        <v>1765.1144125000001</v>
      </c>
      <c r="I10" s="19">
        <f>H10+G10</f>
        <v>18428.7661625</v>
      </c>
      <c r="J10" s="119">
        <v>20540</v>
      </c>
      <c r="K10" s="117">
        <v>15742.02475000001</v>
      </c>
      <c r="L10" s="117">
        <v>1542.9020700000001</v>
      </c>
      <c r="M10" s="19">
        <f>L10+K10</f>
        <v>17284.926820000008</v>
      </c>
      <c r="N10" s="88"/>
      <c r="O10" s="88"/>
      <c r="P10" s="92"/>
      <c r="Q10" s="20">
        <f>J10-P10</f>
        <v>20540</v>
      </c>
      <c r="R10" s="21">
        <v>0</v>
      </c>
      <c r="S10" s="20" t="str">
        <f>IF(R10&gt;0,(R10-R11-$Q10),"")</f>
        <v/>
      </c>
      <c r="T10" s="21">
        <v>2844</v>
      </c>
      <c r="U10" s="20">
        <f>IF(T10&gt;0,(T10-T11-$Q10),"")</f>
        <v>-18536</v>
      </c>
      <c r="V10" s="21">
        <v>5744</v>
      </c>
      <c r="W10" s="20">
        <f>IF(V10&gt;0,(V10-V11-$Q10),"")</f>
        <v>-16632</v>
      </c>
      <c r="X10" s="21">
        <v>8999</v>
      </c>
      <c r="Y10" s="20">
        <f>IF(X10&gt;0,(X10-X11-$Q10),"")</f>
        <v>-14181</v>
      </c>
      <c r="Z10" s="21">
        <v>12762</v>
      </c>
      <c r="AA10" s="20">
        <f>IF(Z10&gt;0,(Z10-Z11-$Q10),"")</f>
        <v>-11128</v>
      </c>
      <c r="AB10" s="21">
        <v>15163</v>
      </c>
      <c r="AC10" s="22">
        <f>IF(AB10&gt;0,(AB10-AB11-$Q10),"")</f>
        <v>-8727</v>
      </c>
      <c r="AD10" s="21">
        <v>18018</v>
      </c>
      <c r="AE10" s="22">
        <f>IF(AD10&gt;0,(AD10-AD11-$Q10),"")</f>
        <v>-5872</v>
      </c>
    </row>
    <row r="11" spans="2:42" x14ac:dyDescent="0.3">
      <c r="B11" s="16" t="s">
        <v>32</v>
      </c>
      <c r="C11" s="17">
        <v>2092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>
        <v>0</v>
      </c>
      <c r="S11" s="24"/>
      <c r="T11" s="30">
        <v>840</v>
      </c>
      <c r="U11" s="24"/>
      <c r="V11" s="30">
        <v>1836</v>
      </c>
      <c r="W11" s="24"/>
      <c r="X11" s="30">
        <v>2640</v>
      </c>
      <c r="Y11" s="24"/>
      <c r="Z11" s="30">
        <v>3350</v>
      </c>
      <c r="AA11" s="24"/>
      <c r="AB11" s="30">
        <v>3350</v>
      </c>
      <c r="AC11" s="26"/>
      <c r="AD11" s="30">
        <v>3350</v>
      </c>
      <c r="AE11" s="26"/>
    </row>
    <row r="12" spans="2:42" x14ac:dyDescent="0.3">
      <c r="B12" s="16" t="s">
        <v>34</v>
      </c>
      <c r="C12" s="17">
        <v>1663</v>
      </c>
      <c r="E12" s="29" t="s">
        <v>35</v>
      </c>
      <c r="F12" s="119">
        <v>16731</v>
      </c>
      <c r="G12" s="117">
        <v>12865.09375</v>
      </c>
      <c r="H12" s="117">
        <v>12633.264899739999</v>
      </c>
      <c r="I12" s="19">
        <f>H12+G12</f>
        <v>25498.358649739999</v>
      </c>
      <c r="J12" s="119">
        <v>16682</v>
      </c>
      <c r="K12" s="117">
        <v>12977.61225</v>
      </c>
      <c r="L12" s="117">
        <v>12391.0633655</v>
      </c>
      <c r="M12" s="19">
        <f>L12+K12</f>
        <v>25368.6756155</v>
      </c>
      <c r="N12" s="88"/>
      <c r="O12" s="88"/>
      <c r="P12" s="92"/>
      <c r="Q12" s="20">
        <f>J12-P12</f>
        <v>16682</v>
      </c>
      <c r="R12" s="21">
        <v>3818</v>
      </c>
      <c r="S12" s="20">
        <f>IF(R12&gt;0,(R12-R13-$Q12),"")</f>
        <v>-13576</v>
      </c>
      <c r="T12" s="21">
        <v>5335</v>
      </c>
      <c r="U12" s="20">
        <f>IF(T12&gt;0,(T12-T13-$Q12),"")</f>
        <v>-12059</v>
      </c>
      <c r="V12" s="21">
        <v>6525</v>
      </c>
      <c r="W12" s="20">
        <f>IF(V12&gt;0,(V12-V13-$Q12),"")</f>
        <v>-10870</v>
      </c>
      <c r="X12" s="21">
        <v>9254</v>
      </c>
      <c r="Y12" s="20">
        <f>IF(X12&gt;0,(X12-X13-$Q12),"")</f>
        <v>-8624</v>
      </c>
      <c r="Z12" s="21">
        <v>9474</v>
      </c>
      <c r="AA12" s="20">
        <f>IF(Z12&gt;0,(Z12-Z13-$Q12),"")</f>
        <v>-8404</v>
      </c>
      <c r="AB12" s="21">
        <v>9474</v>
      </c>
      <c r="AC12" s="22">
        <f>IF(AB12&gt;0,(AB12-AB13-$Q12),"")</f>
        <v>-8404</v>
      </c>
      <c r="AD12" s="21">
        <v>9474</v>
      </c>
      <c r="AE12" s="22">
        <f>IF(AD12&gt;0,(AD12-AD13-$Q12),"")</f>
        <v>-8404</v>
      </c>
    </row>
    <row r="13" spans="2:42" x14ac:dyDescent="0.3">
      <c r="B13" s="16" t="s">
        <v>36</v>
      </c>
      <c r="C13" s="17">
        <v>5122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>
        <v>712</v>
      </c>
      <c r="S13" s="24"/>
      <c r="T13" s="30">
        <v>712</v>
      </c>
      <c r="U13" s="24"/>
      <c r="V13" s="30">
        <v>713</v>
      </c>
      <c r="W13" s="24"/>
      <c r="X13" s="30">
        <v>1196</v>
      </c>
      <c r="Y13" s="24"/>
      <c r="Z13" s="30">
        <v>1196</v>
      </c>
      <c r="AA13" s="24"/>
      <c r="AB13" s="30">
        <v>1196</v>
      </c>
      <c r="AC13" s="26"/>
      <c r="AD13" s="30">
        <v>1196</v>
      </c>
      <c r="AE13" s="26"/>
    </row>
    <row r="14" spans="2:42" x14ac:dyDescent="0.3">
      <c r="B14" s="16" t="s">
        <v>38</v>
      </c>
      <c r="C14" s="17">
        <v>7209</v>
      </c>
      <c r="E14" s="18" t="s">
        <v>39</v>
      </c>
      <c r="F14" s="119">
        <v>24763</v>
      </c>
      <c r="G14" s="117">
        <v>18364.1875</v>
      </c>
      <c r="H14" s="117">
        <v>27352.21410293999</v>
      </c>
      <c r="I14" s="19">
        <f>H14+G14</f>
        <v>45716.401602939994</v>
      </c>
      <c r="J14" s="119">
        <v>26914</v>
      </c>
      <c r="K14" s="117">
        <v>18760.3125</v>
      </c>
      <c r="L14" s="117">
        <v>27378.872482259991</v>
      </c>
      <c r="M14" s="19">
        <f>L14+K14</f>
        <v>46139.184982259991</v>
      </c>
      <c r="N14" s="88"/>
      <c r="O14" s="88"/>
      <c r="P14" s="92"/>
      <c r="Q14" s="20">
        <f>J14-P14</f>
        <v>26914</v>
      </c>
      <c r="R14" s="21">
        <v>588</v>
      </c>
      <c r="S14" s="20">
        <f>IF(R14&gt;0,(R14-R15-$Q14),"")</f>
        <v>-26714</v>
      </c>
      <c r="T14" s="21">
        <v>2294</v>
      </c>
      <c r="U14" s="20">
        <f>IF(T14&gt;0,(T14-T15-$Q14),"")</f>
        <v>-25561</v>
      </c>
      <c r="V14" s="21">
        <v>3226</v>
      </c>
      <c r="W14" s="20">
        <f>IF(V14&gt;0,(V14-V15-$Q14),"")</f>
        <v>-24629</v>
      </c>
      <c r="X14" s="21">
        <v>4653</v>
      </c>
      <c r="Y14" s="20">
        <f>IF(X14&gt;0,(X14-X15-$Q14),"")</f>
        <v>-23202</v>
      </c>
      <c r="Z14" s="21">
        <v>5917</v>
      </c>
      <c r="AA14" s="20">
        <f>IF(Z14&gt;0,(Z14-Z15-$Q14),"")</f>
        <v>-21938</v>
      </c>
      <c r="AB14" s="21">
        <v>6717</v>
      </c>
      <c r="AC14" s="22">
        <f>IF(AB14&gt;0,(AB14-AB15-$Q14),"")</f>
        <v>-21138</v>
      </c>
      <c r="AD14" s="21">
        <v>6717</v>
      </c>
      <c r="AE14" s="22">
        <f>IF(AD14&gt;0,(AD14-AD15-$Q14),"")</f>
        <v>-21138</v>
      </c>
    </row>
    <row r="15" spans="2:42" ht="15" customHeight="1" thickBot="1" x14ac:dyDescent="0.35">
      <c r="B15" s="16" t="s">
        <v>40</v>
      </c>
      <c r="C15" s="17">
        <v>2661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>
        <v>388</v>
      </c>
      <c r="S15" s="24"/>
      <c r="T15" s="25">
        <v>941</v>
      </c>
      <c r="U15" s="24"/>
      <c r="V15" s="25">
        <v>941</v>
      </c>
      <c r="W15" s="24"/>
      <c r="X15" s="25">
        <v>941</v>
      </c>
      <c r="Y15" s="24"/>
      <c r="Z15" s="25">
        <v>941</v>
      </c>
      <c r="AA15" s="24"/>
      <c r="AB15" s="25">
        <v>941</v>
      </c>
      <c r="AC15" s="26"/>
      <c r="AD15" s="25">
        <v>941</v>
      </c>
      <c r="AE15" s="26"/>
    </row>
    <row r="16" spans="2:42" ht="15" customHeight="1" thickBot="1" x14ac:dyDescent="0.35">
      <c r="B16" s="28" t="s">
        <v>42</v>
      </c>
      <c r="C16" s="17">
        <v>11944</v>
      </c>
      <c r="E16" s="84"/>
      <c r="F16" s="31">
        <f t="shared" ref="F16:N16" si="0">SUM(F6:F15)</f>
        <v>100220</v>
      </c>
      <c r="G16" s="31">
        <f t="shared" si="0"/>
        <v>73414.601374999998</v>
      </c>
      <c r="H16" s="31">
        <f t="shared" si="0"/>
        <v>58702.792860639987</v>
      </c>
      <c r="I16" s="32">
        <f t="shared" si="0"/>
        <v>132117.39423564001</v>
      </c>
      <c r="J16" s="33">
        <f t="shared" si="0"/>
        <v>97502</v>
      </c>
      <c r="K16" s="33">
        <f t="shared" si="0"/>
        <v>70875.770625000005</v>
      </c>
      <c r="L16" s="33">
        <f t="shared" si="0"/>
        <v>53232.340022019991</v>
      </c>
      <c r="M16" s="33">
        <f t="shared" si="0"/>
        <v>124108.11064702</v>
      </c>
      <c r="N16" s="31">
        <f t="shared" si="0"/>
        <v>0</v>
      </c>
      <c r="O16" s="31">
        <f>SUM(O14,O12,O10,O8,O6)</f>
        <v>0</v>
      </c>
      <c r="P16" s="34">
        <f>SUM(P6:P15)</f>
        <v>0</v>
      </c>
      <c r="Q16" s="34">
        <f>SUM(Q6:Q15)</f>
        <v>97502</v>
      </c>
      <c r="R16" s="35">
        <f>R6+R8+R10+R12+R14-R7-R9-R11-R13-R15</f>
        <v>6076</v>
      </c>
      <c r="S16" s="36">
        <f>IF(R16&gt;1,(R16-$Q16),"")</f>
        <v>-91426</v>
      </c>
      <c r="T16" s="35">
        <f>T6+T8+T10+T12+T14-T7-T9-T11-T13-T15</f>
        <v>16948</v>
      </c>
      <c r="U16" s="36">
        <f>IF(T16&gt;1,(T16-$Q16),"")</f>
        <v>-80554</v>
      </c>
      <c r="V16" s="35">
        <f>V6+V8+V10+V12+V14-V7-V9-V11-V13-V15</f>
        <v>26149</v>
      </c>
      <c r="W16" s="36">
        <f>IF(V16&gt;1,(V16-$Q16),"")</f>
        <v>-71353</v>
      </c>
      <c r="X16" s="35">
        <f>X6+X8+X10+X12+X14-X7-X9-X11-X13-X15</f>
        <v>45424</v>
      </c>
      <c r="Y16" s="36">
        <f>IF(X16&gt;1,(X16-$Q16),"")</f>
        <v>-52078</v>
      </c>
      <c r="Z16" s="35">
        <f>Z6+Z8+Z10+Z12+Z14-Z7-Z9-Z11-Z13-Z15</f>
        <v>50368</v>
      </c>
      <c r="AA16" s="36">
        <f>IF(Z16&gt;1,(Z16-$Q16),"")</f>
        <v>-47134</v>
      </c>
      <c r="AB16" s="35">
        <f>AB6+AB8+AB10+AB12+AB14-AB7-AB9-AB11-AB13-AB15</f>
        <v>54498</v>
      </c>
      <c r="AC16" s="37">
        <f>IF(AB16&gt;1,(AB16-$Q16),"")</f>
        <v>-43004</v>
      </c>
      <c r="AD16" s="35">
        <f>AD6+AD8+AD10+AD12+AD14-AD7-AD9-AD11-AD13-AD15</f>
        <v>57353</v>
      </c>
      <c r="AE16" s="37">
        <f>IF(AD16&gt;1,(AD16-$Q16),"")</f>
        <v>-40149</v>
      </c>
    </row>
    <row r="17" spans="2:43" s="4" customFormat="1" ht="15" customHeight="1" thickBot="1" x14ac:dyDescent="0.3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1361</v>
      </c>
      <c r="S17" s="41"/>
      <c r="T17" s="40">
        <f>T15+T13+T11+T9+T7</f>
        <v>2807</v>
      </c>
      <c r="U17" s="41"/>
      <c r="V17" s="40">
        <f>V15+V13+V11+V9+V7</f>
        <v>3805</v>
      </c>
      <c r="W17" s="41"/>
      <c r="X17" s="40">
        <f>X15+X13+X11+X9+X7</f>
        <v>5141</v>
      </c>
      <c r="Y17" s="41"/>
      <c r="Z17" s="40">
        <f>Z15+Z13+Z11+Z9+Z7</f>
        <v>5851</v>
      </c>
      <c r="AA17" s="41"/>
      <c r="AB17" s="40">
        <f>AB15+AB13+AB11+AB9+AB7</f>
        <v>5851</v>
      </c>
      <c r="AC17" s="42"/>
      <c r="AD17" s="40">
        <f>AD15+AD13+AD11+AD9+AD7</f>
        <v>5851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3038</v>
      </c>
      <c r="S18" s="46"/>
      <c r="T18" s="47">
        <f>IF(T16&gt;0,(T16-R16)/2,"")</f>
        <v>5436</v>
      </c>
      <c r="U18" s="46"/>
      <c r="V18" s="47">
        <f>IF(V16&gt;0,(V16-T16)/2,"")</f>
        <v>4600.5</v>
      </c>
      <c r="W18" s="46"/>
      <c r="X18" s="47">
        <f>IF(X16&gt;0,(X16-V16)/2,"")</f>
        <v>9637.5</v>
      </c>
      <c r="Y18" s="46"/>
      <c r="Z18" s="47">
        <f>IF(Z16&gt;0,(Z16-X16)/2,"")</f>
        <v>2472</v>
      </c>
      <c r="AA18" s="46"/>
      <c r="AB18" s="47">
        <f>IF(AB16&gt;0,(AB16-Z16)/2,"")</f>
        <v>2065</v>
      </c>
      <c r="AC18" s="48"/>
      <c r="AD18" s="47">
        <f>IF(AD16&gt;0,(AD16-AB16)/2,"")</f>
        <v>1427.5</v>
      </c>
      <c r="AE18" s="48"/>
    </row>
    <row r="19" spans="2:43" ht="15" customHeight="1" thickBot="1" x14ac:dyDescent="0.35">
      <c r="B19" s="43" t="s">
        <v>47</v>
      </c>
      <c r="C19" s="17">
        <v>3064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612</v>
      </c>
      <c r="L20" s="4"/>
      <c r="M20" s="4"/>
      <c r="Q20" s="51" t="s">
        <v>49</v>
      </c>
      <c r="R20" s="35">
        <v>5146</v>
      </c>
      <c r="S20" s="36"/>
      <c r="T20" s="35">
        <v>13734</v>
      </c>
      <c r="U20" s="36"/>
      <c r="V20" s="35">
        <v>28059</v>
      </c>
      <c r="W20" s="36"/>
      <c r="X20" s="35">
        <v>35306</v>
      </c>
      <c r="Y20" s="36"/>
      <c r="Z20" s="35">
        <v>38270</v>
      </c>
      <c r="AA20" s="36"/>
      <c r="AB20" s="35">
        <v>40380</v>
      </c>
      <c r="AC20" s="37"/>
      <c r="AD20" s="35">
        <v>40380</v>
      </c>
      <c r="AE20" s="37"/>
    </row>
    <row r="21" spans="2:43" ht="15" customHeight="1" thickBot="1" x14ac:dyDescent="0.35">
      <c r="B21" s="16" t="s">
        <v>50</v>
      </c>
      <c r="C21" s="17">
        <v>8964</v>
      </c>
      <c r="L21" s="4"/>
      <c r="M21" s="4"/>
      <c r="Q21" s="52"/>
      <c r="R21" s="40">
        <v>3073</v>
      </c>
      <c r="S21" s="41"/>
      <c r="T21" s="40">
        <v>3472</v>
      </c>
      <c r="U21" s="41"/>
      <c r="V21" s="40">
        <v>3997</v>
      </c>
      <c r="W21" s="41"/>
      <c r="X21" s="40">
        <v>4903</v>
      </c>
      <c r="Y21" s="41"/>
      <c r="Z21" s="40">
        <v>5203</v>
      </c>
      <c r="AA21" s="41"/>
      <c r="AB21" s="40">
        <v>5853</v>
      </c>
      <c r="AC21" s="42"/>
      <c r="AD21" s="40">
        <v>5853</v>
      </c>
      <c r="AE21" s="42"/>
    </row>
    <row r="22" spans="2:43" ht="15" customHeight="1" thickBot="1" x14ac:dyDescent="0.35">
      <c r="B22" s="16" t="s">
        <v>51</v>
      </c>
      <c r="C22" s="17">
        <v>989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4623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930</v>
      </c>
      <c r="S24" s="60"/>
      <c r="T24" s="60">
        <f>IF(T16&gt;0,T16-T20,"")</f>
        <v>3214</v>
      </c>
      <c r="U24" s="60"/>
      <c r="V24" s="60">
        <f>IF(V16&gt;0,V16-V20,"")</f>
        <v>-1910</v>
      </c>
      <c r="W24" s="60"/>
      <c r="X24" s="60">
        <f>IF(X16&gt;0,X16-X20,"")</f>
        <v>10118</v>
      </c>
      <c r="Y24" s="60"/>
      <c r="Z24" s="60">
        <f>IF(Z16&gt;0,Z16-Z20,"")</f>
        <v>12098</v>
      </c>
      <c r="AA24" s="60"/>
      <c r="AB24" s="60">
        <f>IF(AB16&gt;0,AB16-AB20,"")</f>
        <v>14118</v>
      </c>
      <c r="AC24" s="61"/>
      <c r="AD24" s="60">
        <f>IF(AD16&gt;0,AD16-AD20,"")</f>
        <v>16973</v>
      </c>
      <c r="AE24" s="61"/>
    </row>
    <row r="25" spans="2:43" x14ac:dyDescent="0.3">
      <c r="L25" s="4"/>
      <c r="M25" s="4"/>
      <c r="Q25" s="62"/>
      <c r="R25" s="63">
        <f>IF(R17&gt;=0,R17-R21,"")</f>
        <v>-1712</v>
      </c>
      <c r="S25" s="64"/>
      <c r="T25" s="63">
        <f>IF(T17&gt;=0,T17-T21,"")</f>
        <v>-665</v>
      </c>
      <c r="U25" s="64"/>
      <c r="V25" s="63">
        <f>IF(V17&gt;=0,V17-V21,"")</f>
        <v>-192</v>
      </c>
      <c r="W25" s="64"/>
      <c r="X25" s="63">
        <f>IF(X17&gt;=0,X17-X21,"")</f>
        <v>238</v>
      </c>
      <c r="Y25" s="64"/>
      <c r="Z25" s="63">
        <f>IF(Z17&gt;=0,Z17-Z21,"")</f>
        <v>648</v>
      </c>
      <c r="AA25" s="64"/>
      <c r="AB25" s="63">
        <f>IF(AB17&gt;=0,AB17-AB21,"")</f>
        <v>-2</v>
      </c>
      <c r="AC25" s="65"/>
      <c r="AD25" s="63">
        <f>IF(AD17&gt;=0,AD17-AD21,"")</f>
        <v>-2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-1455.5</v>
      </c>
      <c r="S26" s="55"/>
      <c r="T26" s="67">
        <f>IFERROR(IF(T18&gt;0,T18-T22,""),"")</f>
        <v>3876</v>
      </c>
      <c r="U26" s="55"/>
      <c r="V26" s="67">
        <f>IFERROR(IF(V18&gt;0,V18-V22,""),"")</f>
        <v>1543.5</v>
      </c>
      <c r="W26" s="55"/>
      <c r="X26" s="67">
        <f>IFERROR(IF(X18&gt;0,X18-X22,""),"")</f>
        <v>6630.5</v>
      </c>
      <c r="Y26" s="55"/>
      <c r="Z26" s="67">
        <f>IFERROR(IF(Z18&gt;0,Z18-Z22,""),"")</f>
        <v>-403</v>
      </c>
      <c r="AA26" s="55"/>
      <c r="AB26" s="67">
        <f>IFERROR(IF(AB18&gt;0,AB18-AB22,""),"")</f>
        <v>1554</v>
      </c>
      <c r="AC26" s="56"/>
      <c r="AD26" s="67">
        <f>IFERROR(IF(AD18&gt;0,AD18-AD22,""),"")</f>
        <v>1427.5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11673</v>
      </c>
      <c r="D29" s="76">
        <f>C14</f>
        <v>7209</v>
      </c>
      <c r="E29" s="77">
        <f t="shared" ref="E29:E34" si="1">D29-C29</f>
        <v>-4464</v>
      </c>
      <c r="M29" s="4"/>
      <c r="O29" s="4"/>
    </row>
    <row r="30" spans="2:43" x14ac:dyDescent="0.3">
      <c r="B30" s="74" t="s">
        <v>56</v>
      </c>
      <c r="C30" s="75">
        <v>35177</v>
      </c>
      <c r="D30" s="76">
        <f>C7+C15+C16+C19+C20</f>
        <v>20694</v>
      </c>
      <c r="E30" s="77">
        <f t="shared" si="1"/>
        <v>-14483</v>
      </c>
      <c r="J30" s="53"/>
      <c r="L30" s="53"/>
      <c r="M30" s="4"/>
      <c r="O30" s="4"/>
    </row>
    <row r="31" spans="2:43" x14ac:dyDescent="0.3">
      <c r="B31" s="74" t="s">
        <v>21</v>
      </c>
      <c r="C31" s="75">
        <v>6032</v>
      </c>
      <c r="D31" s="76">
        <f>C6</f>
        <v>6032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15462</v>
      </c>
      <c r="D32" s="76">
        <f>C10+C11+C12+C13</f>
        <v>16114</v>
      </c>
      <c r="E32" s="77">
        <f t="shared" si="1"/>
        <v>652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14785</v>
      </c>
      <c r="D34" s="76">
        <f>C21+C22+C23</f>
        <v>14576</v>
      </c>
      <c r="E34" s="77">
        <f t="shared" si="1"/>
        <v>-209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4089</v>
      </c>
      <c r="D35" s="80">
        <f>SUM(C8+C9)</f>
        <v>4089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2334</v>
      </c>
      <c r="R36" s="104">
        <v>0</v>
      </c>
      <c r="S36" s="104">
        <f t="shared" ref="S36:S65" si="2">IF(T36&gt;0,(T36-R36)/2,"")</f>
        <v>730</v>
      </c>
      <c r="T36" s="104">
        <v>1460</v>
      </c>
      <c r="U36" s="104">
        <f t="shared" ref="U36:U65" si="3">IF(V36&gt;0,(V36-T36)/2,"")</f>
        <v>12</v>
      </c>
      <c r="V36" s="104">
        <v>1484</v>
      </c>
      <c r="W36" s="104">
        <f t="shared" ref="W36:W65" si="4">IF(X36&gt;0,(X36-V36)/2,"")</f>
        <v>16</v>
      </c>
      <c r="X36" s="104">
        <v>1516</v>
      </c>
      <c r="Y36" s="104">
        <f t="shared" ref="Y36:Y65" si="5">IF(Z36&gt;0,(Z36-X36)/2,"")</f>
        <v>0</v>
      </c>
      <c r="Z36" s="104">
        <v>1516</v>
      </c>
      <c r="AA36" s="104">
        <f t="shared" ref="AA36:AA65" si="6">IF(AB36&gt;0,(AB36-Z36)/2,"")</f>
        <v>0</v>
      </c>
      <c r="AB36" s="104">
        <v>1516</v>
      </c>
      <c r="AC36" s="104">
        <f t="shared" ref="AC36:AC65" si="7">IF(AD36&gt;0,(AD36-AB36)/2,"")</f>
        <v>0</v>
      </c>
      <c r="AD36" s="104">
        <v>1516</v>
      </c>
      <c r="AE36" s="105">
        <f t="shared" ref="AE36:AE65" si="8">AD36-Q36</f>
        <v>-818</v>
      </c>
    </row>
    <row r="37" spans="2:31" ht="15.6" customHeight="1" x14ac:dyDescent="0.3">
      <c r="N37" s="212"/>
      <c r="O37" s="95" t="s">
        <v>66</v>
      </c>
      <c r="P37" s="106"/>
      <c r="Q37" s="106">
        <v>1076</v>
      </c>
      <c r="R37" s="106">
        <v>0</v>
      </c>
      <c r="S37" s="106">
        <f t="shared" si="2"/>
        <v>261</v>
      </c>
      <c r="T37" s="106">
        <v>522</v>
      </c>
      <c r="U37" s="106">
        <f t="shared" si="3"/>
        <v>0</v>
      </c>
      <c r="V37" s="106">
        <v>522</v>
      </c>
      <c r="W37" s="106">
        <f t="shared" si="4"/>
        <v>0</v>
      </c>
      <c r="X37" s="106">
        <v>522</v>
      </c>
      <c r="Y37" s="106">
        <f t="shared" si="5"/>
        <v>0</v>
      </c>
      <c r="Z37" s="106">
        <v>522</v>
      </c>
      <c r="AA37" s="106">
        <f t="shared" si="6"/>
        <v>0</v>
      </c>
      <c r="AB37" s="106">
        <v>522</v>
      </c>
      <c r="AC37" s="106">
        <f t="shared" si="7"/>
        <v>0</v>
      </c>
      <c r="AD37" s="106">
        <v>522</v>
      </c>
      <c r="AE37" s="107">
        <f t="shared" si="8"/>
        <v>-554</v>
      </c>
    </row>
    <row r="38" spans="2:31" ht="15.6" customHeight="1" x14ac:dyDescent="0.3">
      <c r="N38" s="212"/>
      <c r="O38" s="94" t="s">
        <v>67</v>
      </c>
      <c r="P38" s="108"/>
      <c r="Q38" s="108">
        <v>1815</v>
      </c>
      <c r="R38" s="108">
        <v>822</v>
      </c>
      <c r="S38" s="108">
        <f t="shared" si="2"/>
        <v>413.5</v>
      </c>
      <c r="T38" s="108">
        <v>1649</v>
      </c>
      <c r="U38" s="108">
        <f t="shared" si="3"/>
        <v>420</v>
      </c>
      <c r="V38" s="108">
        <v>2489</v>
      </c>
      <c r="W38" s="108">
        <f t="shared" si="4"/>
        <v>106.5</v>
      </c>
      <c r="X38" s="108">
        <v>2702</v>
      </c>
      <c r="Y38" s="108">
        <f t="shared" si="5"/>
        <v>0</v>
      </c>
      <c r="Z38" s="108">
        <v>2702</v>
      </c>
      <c r="AA38" s="108">
        <f t="shared" si="6"/>
        <v>0</v>
      </c>
      <c r="AB38" s="108">
        <v>2702</v>
      </c>
      <c r="AC38" s="108">
        <f t="shared" si="7"/>
        <v>0</v>
      </c>
      <c r="AD38" s="108">
        <v>2702</v>
      </c>
      <c r="AE38" s="109">
        <f t="shared" si="8"/>
        <v>887</v>
      </c>
    </row>
    <row r="39" spans="2:31" ht="15.6" customHeight="1" x14ac:dyDescent="0.3">
      <c r="N39" s="212"/>
      <c r="O39" s="95" t="s">
        <v>68</v>
      </c>
      <c r="P39" s="106"/>
      <c r="Q39" s="106">
        <v>2163</v>
      </c>
      <c r="R39" s="106">
        <v>754</v>
      </c>
      <c r="S39" s="106">
        <f t="shared" si="2"/>
        <v>311</v>
      </c>
      <c r="T39" s="106">
        <v>1376</v>
      </c>
      <c r="U39" s="106">
        <f t="shared" si="3"/>
        <v>533.5</v>
      </c>
      <c r="V39" s="106">
        <v>2443</v>
      </c>
      <c r="W39" s="106">
        <f t="shared" si="4"/>
        <v>275</v>
      </c>
      <c r="X39" s="106">
        <v>2993</v>
      </c>
      <c r="Y39" s="106">
        <f t="shared" si="5"/>
        <v>0</v>
      </c>
      <c r="Z39" s="106">
        <v>2993</v>
      </c>
      <c r="AA39" s="106">
        <f t="shared" si="6"/>
        <v>0</v>
      </c>
      <c r="AB39" s="106">
        <v>2993</v>
      </c>
      <c r="AC39" s="106">
        <f t="shared" si="7"/>
        <v>0</v>
      </c>
      <c r="AD39" s="106">
        <v>2993</v>
      </c>
      <c r="AE39" s="107">
        <f t="shared" si="8"/>
        <v>830</v>
      </c>
    </row>
    <row r="40" spans="2:31" ht="15.6" customHeight="1" x14ac:dyDescent="0.3">
      <c r="N40" s="212"/>
      <c r="O40" s="94" t="s">
        <v>69</v>
      </c>
      <c r="P40" s="108"/>
      <c r="Q40" s="108">
        <v>0</v>
      </c>
      <c r="R40" s="108">
        <v>0</v>
      </c>
      <c r="S40" s="108">
        <f t="shared" si="2"/>
        <v>165</v>
      </c>
      <c r="T40" s="108">
        <v>330</v>
      </c>
      <c r="U40" s="108">
        <f t="shared" si="3"/>
        <v>227.5</v>
      </c>
      <c r="V40" s="108">
        <v>785</v>
      </c>
      <c r="W40" s="108">
        <f t="shared" si="4"/>
        <v>1090.5</v>
      </c>
      <c r="X40" s="108">
        <v>2966</v>
      </c>
      <c r="Y40" s="108">
        <f t="shared" si="5"/>
        <v>0</v>
      </c>
      <c r="Z40" s="108">
        <v>2966</v>
      </c>
      <c r="AA40" s="108">
        <f t="shared" si="6"/>
        <v>0</v>
      </c>
      <c r="AB40" s="108">
        <v>2966</v>
      </c>
      <c r="AC40" s="108">
        <f t="shared" si="7"/>
        <v>0</v>
      </c>
      <c r="AD40" s="108">
        <v>2966</v>
      </c>
      <c r="AE40" s="109">
        <f t="shared" si="8"/>
        <v>2966</v>
      </c>
    </row>
    <row r="41" spans="2:31" ht="15.6" customHeight="1" x14ac:dyDescent="0.3">
      <c r="N41" s="212"/>
      <c r="O41" s="95" t="s">
        <v>70</v>
      </c>
      <c r="P41" s="106"/>
      <c r="Q41" s="106">
        <v>0</v>
      </c>
      <c r="R41" s="106">
        <v>0</v>
      </c>
      <c r="S41" s="106">
        <f t="shared" si="2"/>
        <v>221.5</v>
      </c>
      <c r="T41" s="106">
        <v>443</v>
      </c>
      <c r="U41" s="106">
        <f t="shared" si="3"/>
        <v>0</v>
      </c>
      <c r="V41" s="106">
        <v>443</v>
      </c>
      <c r="W41" s="106">
        <f t="shared" si="4"/>
        <v>0</v>
      </c>
      <c r="X41" s="106">
        <v>443</v>
      </c>
      <c r="Y41" s="106">
        <f t="shared" si="5"/>
        <v>0</v>
      </c>
      <c r="Z41" s="106">
        <v>443</v>
      </c>
      <c r="AA41" s="106">
        <f t="shared" si="6"/>
        <v>0</v>
      </c>
      <c r="AB41" s="106">
        <v>443</v>
      </c>
      <c r="AC41" s="106">
        <f t="shared" si="7"/>
        <v>0</v>
      </c>
      <c r="AD41" s="106">
        <v>443</v>
      </c>
      <c r="AE41" s="107">
        <f t="shared" si="8"/>
        <v>443</v>
      </c>
    </row>
    <row r="42" spans="2:31" ht="15.6" customHeight="1" x14ac:dyDescent="0.3">
      <c r="N42" s="212"/>
      <c r="O42" s="94" t="s">
        <v>71</v>
      </c>
      <c r="P42" s="108"/>
      <c r="Q42" s="108">
        <v>1083</v>
      </c>
      <c r="R42" s="108">
        <v>508</v>
      </c>
      <c r="S42" s="108">
        <f t="shared" si="2"/>
        <v>0</v>
      </c>
      <c r="T42" s="108">
        <v>508</v>
      </c>
      <c r="U42" s="108">
        <f t="shared" si="3"/>
        <v>268.5</v>
      </c>
      <c r="V42" s="108">
        <v>1045</v>
      </c>
      <c r="W42" s="108">
        <f t="shared" si="4"/>
        <v>84</v>
      </c>
      <c r="X42" s="108">
        <v>1213</v>
      </c>
      <c r="Y42" s="108">
        <f t="shared" si="5"/>
        <v>0</v>
      </c>
      <c r="Z42" s="108">
        <v>1213</v>
      </c>
      <c r="AA42" s="108">
        <f t="shared" si="6"/>
        <v>0</v>
      </c>
      <c r="AB42" s="108">
        <v>1213</v>
      </c>
      <c r="AC42" s="108">
        <f t="shared" si="7"/>
        <v>0</v>
      </c>
      <c r="AD42" s="108">
        <v>1213</v>
      </c>
      <c r="AE42" s="109">
        <f t="shared" si="8"/>
        <v>130</v>
      </c>
    </row>
    <row r="43" spans="2:31" ht="15.6" customHeight="1" x14ac:dyDescent="0.3">
      <c r="N43" s="212"/>
      <c r="O43" s="95" t="s">
        <v>72</v>
      </c>
      <c r="P43" s="106"/>
      <c r="Q43" s="106">
        <v>1698</v>
      </c>
      <c r="R43" s="106">
        <v>370</v>
      </c>
      <c r="S43" s="106">
        <f t="shared" si="2"/>
        <v>191.5</v>
      </c>
      <c r="T43" s="106">
        <v>753</v>
      </c>
      <c r="U43" s="106">
        <f t="shared" si="3"/>
        <v>0</v>
      </c>
      <c r="V43" s="106">
        <v>753</v>
      </c>
      <c r="W43" s="106">
        <f t="shared" si="4"/>
        <v>0</v>
      </c>
      <c r="X43" s="106">
        <v>753</v>
      </c>
      <c r="Y43" s="106">
        <f t="shared" si="5"/>
        <v>0</v>
      </c>
      <c r="Z43" s="106">
        <v>753</v>
      </c>
      <c r="AA43" s="106">
        <f t="shared" si="6"/>
        <v>0</v>
      </c>
      <c r="AB43" s="106">
        <v>753</v>
      </c>
      <c r="AC43" s="106">
        <f t="shared" si="7"/>
        <v>0</v>
      </c>
      <c r="AD43" s="106">
        <v>753</v>
      </c>
      <c r="AE43" s="107">
        <f t="shared" si="8"/>
        <v>-945</v>
      </c>
    </row>
    <row r="44" spans="2:31" ht="15.6" customHeight="1" thickBot="1" x14ac:dyDescent="0.35">
      <c r="N44" s="213"/>
      <c r="O44" s="97" t="s">
        <v>73</v>
      </c>
      <c r="P44" s="110"/>
      <c r="Q44" s="110">
        <v>20</v>
      </c>
      <c r="R44" s="110">
        <v>577</v>
      </c>
      <c r="S44" s="110">
        <f t="shared" si="2"/>
        <v>332</v>
      </c>
      <c r="T44" s="110">
        <v>1241</v>
      </c>
      <c r="U44" s="110">
        <f t="shared" si="3"/>
        <v>0</v>
      </c>
      <c r="V44" s="110">
        <v>1241</v>
      </c>
      <c r="W44" s="110">
        <f t="shared" si="4"/>
        <v>36</v>
      </c>
      <c r="X44" s="110">
        <v>1313</v>
      </c>
      <c r="Y44" s="110">
        <f t="shared" si="5"/>
        <v>0</v>
      </c>
      <c r="Z44" s="110">
        <v>1313</v>
      </c>
      <c r="AA44" s="110">
        <f t="shared" si="6"/>
        <v>0</v>
      </c>
      <c r="AB44" s="110">
        <v>1313</v>
      </c>
      <c r="AC44" s="110">
        <f t="shared" si="7"/>
        <v>0</v>
      </c>
      <c r="AD44" s="110">
        <v>1313</v>
      </c>
      <c r="AE44" s="111">
        <f t="shared" si="8"/>
        <v>1293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0</v>
      </c>
      <c r="S45" s="112">
        <f t="shared" si="2"/>
        <v>500</v>
      </c>
      <c r="T45" s="112">
        <v>1000</v>
      </c>
      <c r="U45" s="112">
        <f t="shared" si="3"/>
        <v>527</v>
      </c>
      <c r="V45" s="112">
        <v>2054</v>
      </c>
      <c r="W45" s="112">
        <f t="shared" si="4"/>
        <v>1404.5</v>
      </c>
      <c r="X45" s="112">
        <v>4863</v>
      </c>
      <c r="Y45" s="112">
        <f t="shared" si="5"/>
        <v>0</v>
      </c>
      <c r="Z45" s="112">
        <v>4863</v>
      </c>
      <c r="AA45" s="112">
        <f t="shared" si="6"/>
        <v>0</v>
      </c>
      <c r="AB45" s="112">
        <v>4863</v>
      </c>
      <c r="AC45" s="112">
        <f t="shared" si="7"/>
        <v>0</v>
      </c>
      <c r="AD45" s="112">
        <v>4863</v>
      </c>
      <c r="AE45" s="113">
        <f t="shared" si="8"/>
        <v>4863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1802.5</v>
      </c>
      <c r="X46" s="108">
        <v>3605</v>
      </c>
      <c r="Y46" s="108">
        <f t="shared" si="5"/>
        <v>0</v>
      </c>
      <c r="Z46" s="108">
        <v>3605</v>
      </c>
      <c r="AA46" s="108">
        <f t="shared" si="6"/>
        <v>0</v>
      </c>
      <c r="AB46" s="108">
        <v>3605</v>
      </c>
      <c r="AC46" s="108">
        <f t="shared" si="7"/>
        <v>0</v>
      </c>
      <c r="AD46" s="108">
        <v>3605</v>
      </c>
      <c r="AE46" s="109">
        <f t="shared" si="8"/>
        <v>3605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682.5</v>
      </c>
      <c r="X47" s="106">
        <v>1365</v>
      </c>
      <c r="Y47" s="106">
        <f t="shared" si="5"/>
        <v>203.5</v>
      </c>
      <c r="Z47" s="106">
        <v>1772</v>
      </c>
      <c r="AA47" s="106">
        <f t="shared" si="6"/>
        <v>0</v>
      </c>
      <c r="AB47" s="106">
        <v>1772</v>
      </c>
      <c r="AC47" s="106">
        <f t="shared" si="7"/>
        <v>0</v>
      </c>
      <c r="AD47" s="106">
        <v>1772</v>
      </c>
      <c r="AE47" s="107">
        <f t="shared" si="8"/>
        <v>1772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600</v>
      </c>
      <c r="V48" s="110">
        <v>1200</v>
      </c>
      <c r="W48" s="110">
        <f t="shared" si="4"/>
        <v>1102.5</v>
      </c>
      <c r="X48" s="110">
        <v>3405</v>
      </c>
      <c r="Y48" s="110">
        <f t="shared" si="5"/>
        <v>0</v>
      </c>
      <c r="Z48" s="110">
        <v>3405</v>
      </c>
      <c r="AA48" s="110">
        <f t="shared" si="6"/>
        <v>464.5</v>
      </c>
      <c r="AB48" s="110">
        <v>4334</v>
      </c>
      <c r="AC48" s="110">
        <f t="shared" si="7"/>
        <v>0</v>
      </c>
      <c r="AD48" s="110">
        <v>4334</v>
      </c>
      <c r="AE48" s="111">
        <f t="shared" si="8"/>
        <v>4334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160</v>
      </c>
      <c r="R49" s="112">
        <v>0</v>
      </c>
      <c r="S49" s="112">
        <f t="shared" si="2"/>
        <v>420</v>
      </c>
      <c r="T49" s="112">
        <v>840</v>
      </c>
      <c r="U49" s="112">
        <f t="shared" si="3"/>
        <v>0</v>
      </c>
      <c r="V49" s="112">
        <v>840</v>
      </c>
      <c r="W49" s="112">
        <f t="shared" si="4"/>
        <v>0</v>
      </c>
      <c r="X49" s="112">
        <v>840</v>
      </c>
      <c r="Y49" s="112">
        <f t="shared" si="5"/>
        <v>0</v>
      </c>
      <c r="Z49" s="112">
        <v>840</v>
      </c>
      <c r="AA49" s="112">
        <f t="shared" si="6"/>
        <v>0</v>
      </c>
      <c r="AB49" s="112">
        <v>840</v>
      </c>
      <c r="AC49" s="112">
        <f t="shared" si="7"/>
        <v>97</v>
      </c>
      <c r="AD49" s="112">
        <v>1034</v>
      </c>
      <c r="AE49" s="113">
        <f t="shared" si="8"/>
        <v>874</v>
      </c>
    </row>
    <row r="50" spans="14:31" ht="15.6" customHeight="1" x14ac:dyDescent="0.3">
      <c r="N50" s="212"/>
      <c r="O50" s="94" t="s">
        <v>66</v>
      </c>
      <c r="P50" s="108"/>
      <c r="Q50" s="108">
        <v>0</v>
      </c>
      <c r="R50" s="108">
        <v>0</v>
      </c>
      <c r="S50" s="108">
        <f t="shared" si="2"/>
        <v>450</v>
      </c>
      <c r="T50" s="108">
        <v>900</v>
      </c>
      <c r="U50" s="108">
        <f t="shared" si="3"/>
        <v>0</v>
      </c>
      <c r="V50" s="108">
        <v>900</v>
      </c>
      <c r="W50" s="108">
        <f t="shared" si="4"/>
        <v>21.5</v>
      </c>
      <c r="X50" s="108">
        <v>943</v>
      </c>
      <c r="Y50" s="108">
        <f t="shared" si="5"/>
        <v>525</v>
      </c>
      <c r="Z50" s="108">
        <v>1993</v>
      </c>
      <c r="AA50" s="108">
        <f t="shared" si="6"/>
        <v>740</v>
      </c>
      <c r="AB50" s="108">
        <v>3473</v>
      </c>
      <c r="AC50" s="108">
        <f t="shared" si="7"/>
        <v>905.5</v>
      </c>
      <c r="AD50" s="108">
        <v>5284</v>
      </c>
      <c r="AE50" s="109">
        <f t="shared" si="8"/>
        <v>5284</v>
      </c>
    </row>
    <row r="51" spans="14:31" ht="15.6" customHeight="1" x14ac:dyDescent="0.3">
      <c r="N51" s="212"/>
      <c r="O51" s="95" t="s">
        <v>67</v>
      </c>
      <c r="P51" s="106"/>
      <c r="Q51" s="106">
        <v>1577</v>
      </c>
      <c r="R51" s="106">
        <v>0</v>
      </c>
      <c r="S51" s="106" t="str">
        <f t="shared" si="2"/>
        <v/>
      </c>
      <c r="T51" s="106">
        <v>0</v>
      </c>
      <c r="U51" s="106">
        <f t="shared" si="3"/>
        <v>586</v>
      </c>
      <c r="V51" s="106">
        <v>1172</v>
      </c>
      <c r="W51" s="106">
        <f t="shared" si="4"/>
        <v>46.5</v>
      </c>
      <c r="X51" s="106">
        <v>1265</v>
      </c>
      <c r="Y51" s="106">
        <f t="shared" si="5"/>
        <v>59</v>
      </c>
      <c r="Z51" s="106">
        <v>1383</v>
      </c>
      <c r="AA51" s="106">
        <f t="shared" si="6"/>
        <v>0</v>
      </c>
      <c r="AB51" s="106">
        <v>1383</v>
      </c>
      <c r="AC51" s="106">
        <f t="shared" si="7"/>
        <v>0</v>
      </c>
      <c r="AD51" s="106">
        <v>1383</v>
      </c>
      <c r="AE51" s="107">
        <f t="shared" si="8"/>
        <v>-194</v>
      </c>
    </row>
    <row r="52" spans="14:31" ht="15.6" customHeight="1" x14ac:dyDescent="0.3">
      <c r="N52" s="212"/>
      <c r="O52" s="94" t="s">
        <v>68</v>
      </c>
      <c r="P52" s="108"/>
      <c r="Q52" s="108">
        <v>864</v>
      </c>
      <c r="R52" s="108">
        <v>0</v>
      </c>
      <c r="S52" s="108">
        <f t="shared" si="2"/>
        <v>552</v>
      </c>
      <c r="T52" s="108">
        <v>1104</v>
      </c>
      <c r="U52" s="108">
        <f t="shared" si="3"/>
        <v>264</v>
      </c>
      <c r="V52" s="108">
        <v>1632</v>
      </c>
      <c r="W52" s="108">
        <f t="shared" si="4"/>
        <v>152.5</v>
      </c>
      <c r="X52" s="108">
        <v>1937</v>
      </c>
      <c r="Y52" s="108">
        <f t="shared" si="5"/>
        <v>111</v>
      </c>
      <c r="Z52" s="108">
        <v>2159</v>
      </c>
      <c r="AA52" s="108">
        <f t="shared" si="6"/>
        <v>0</v>
      </c>
      <c r="AB52" s="108">
        <v>2159</v>
      </c>
      <c r="AC52" s="108">
        <f t="shared" si="7"/>
        <v>0</v>
      </c>
      <c r="AD52" s="108">
        <v>2159</v>
      </c>
      <c r="AE52" s="109">
        <f t="shared" si="8"/>
        <v>1295</v>
      </c>
    </row>
    <row r="53" spans="14:31" ht="15.6" customHeight="1" x14ac:dyDescent="0.3">
      <c r="N53" s="212"/>
      <c r="O53" s="95" t="s">
        <v>69</v>
      </c>
      <c r="P53" s="106"/>
      <c r="Q53" s="106">
        <v>2786</v>
      </c>
      <c r="R53" s="106">
        <v>0</v>
      </c>
      <c r="S53" s="106" t="str">
        <f t="shared" si="2"/>
        <v/>
      </c>
      <c r="T53" s="106">
        <v>0</v>
      </c>
      <c r="U53" s="106" t="str">
        <f t="shared" si="3"/>
        <v/>
      </c>
      <c r="V53" s="106">
        <v>0</v>
      </c>
      <c r="W53" s="106">
        <f t="shared" si="4"/>
        <v>442.5</v>
      </c>
      <c r="X53" s="106">
        <v>885</v>
      </c>
      <c r="Y53" s="106">
        <f t="shared" si="5"/>
        <v>597</v>
      </c>
      <c r="Z53" s="106">
        <v>2079</v>
      </c>
      <c r="AA53" s="106">
        <f t="shared" si="6"/>
        <v>0</v>
      </c>
      <c r="AB53" s="106">
        <v>2079</v>
      </c>
      <c r="AC53" s="106">
        <f t="shared" si="7"/>
        <v>0</v>
      </c>
      <c r="AD53" s="106">
        <v>2079</v>
      </c>
      <c r="AE53" s="107">
        <f t="shared" si="8"/>
        <v>-707</v>
      </c>
    </row>
    <row r="54" spans="14:31" ht="15.6" customHeight="1" x14ac:dyDescent="0.3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 t="str">
        <f t="shared" si="5"/>
        <v/>
      </c>
      <c r="Z54" s="108">
        <v>0</v>
      </c>
      <c r="AA54" s="108">
        <f t="shared" si="6"/>
        <v>142</v>
      </c>
      <c r="AB54" s="108">
        <v>284</v>
      </c>
      <c r="AC54" s="108">
        <f t="shared" si="7"/>
        <v>245.5</v>
      </c>
      <c r="AD54" s="108">
        <v>775</v>
      </c>
      <c r="AE54" s="109">
        <f t="shared" si="8"/>
        <v>775</v>
      </c>
    </row>
    <row r="55" spans="14:31" ht="15.6" customHeight="1" x14ac:dyDescent="0.3">
      <c r="N55" s="212"/>
      <c r="O55" s="95" t="s">
        <v>71</v>
      </c>
      <c r="P55" s="106"/>
      <c r="Q55" s="106">
        <v>588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431.5</v>
      </c>
      <c r="X55" s="106">
        <v>863</v>
      </c>
      <c r="Y55" s="106">
        <f t="shared" si="5"/>
        <v>141</v>
      </c>
      <c r="Z55" s="106">
        <v>1145</v>
      </c>
      <c r="AA55" s="106">
        <f t="shared" si="6"/>
        <v>318.5</v>
      </c>
      <c r="AB55" s="106">
        <v>1782</v>
      </c>
      <c r="AC55" s="106">
        <f t="shared" si="7"/>
        <v>7.5</v>
      </c>
      <c r="AD55" s="106">
        <v>1797</v>
      </c>
      <c r="AE55" s="107">
        <f t="shared" si="8"/>
        <v>1209</v>
      </c>
    </row>
    <row r="56" spans="14:31" ht="15.6" customHeight="1" x14ac:dyDescent="0.3">
      <c r="N56" s="212"/>
      <c r="O56" s="94" t="s">
        <v>72</v>
      </c>
      <c r="P56" s="108"/>
      <c r="Q56" s="108">
        <v>0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600</v>
      </c>
      <c r="V56" s="108">
        <v>1200</v>
      </c>
      <c r="W56" s="108">
        <f t="shared" si="4"/>
        <v>533</v>
      </c>
      <c r="X56" s="108">
        <v>2266</v>
      </c>
      <c r="Y56" s="108">
        <f t="shared" si="5"/>
        <v>448.5</v>
      </c>
      <c r="Z56" s="108">
        <v>3163</v>
      </c>
      <c r="AA56" s="108">
        <f t="shared" si="6"/>
        <v>0</v>
      </c>
      <c r="AB56" s="108">
        <v>3163</v>
      </c>
      <c r="AC56" s="108">
        <f t="shared" si="7"/>
        <v>172</v>
      </c>
      <c r="AD56" s="108">
        <v>3507</v>
      </c>
      <c r="AE56" s="109">
        <f t="shared" si="8"/>
        <v>3507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1639</v>
      </c>
      <c r="R58" s="104">
        <v>1321</v>
      </c>
      <c r="S58" s="104">
        <f t="shared" si="2"/>
        <v>528</v>
      </c>
      <c r="T58" s="104">
        <v>2377</v>
      </c>
      <c r="U58" s="104">
        <f t="shared" si="3"/>
        <v>138.5</v>
      </c>
      <c r="V58" s="104">
        <v>2654</v>
      </c>
      <c r="W58" s="104">
        <f t="shared" si="4"/>
        <v>120</v>
      </c>
      <c r="X58" s="104">
        <v>2894</v>
      </c>
      <c r="Y58" s="104">
        <f t="shared" si="5"/>
        <v>98</v>
      </c>
      <c r="Z58" s="104">
        <v>3090</v>
      </c>
      <c r="AA58" s="104">
        <f t="shared" si="6"/>
        <v>0</v>
      </c>
      <c r="AB58" s="104">
        <v>3090</v>
      </c>
      <c r="AC58" s="104">
        <f t="shared" si="7"/>
        <v>0</v>
      </c>
      <c r="AD58" s="104">
        <v>3090</v>
      </c>
      <c r="AE58" s="105">
        <f t="shared" si="8"/>
        <v>1451</v>
      </c>
    </row>
    <row r="59" spans="14:31" ht="15.6" customHeight="1" x14ac:dyDescent="0.3">
      <c r="N59" s="212"/>
      <c r="O59" s="95" t="s">
        <v>66</v>
      </c>
      <c r="P59" s="106"/>
      <c r="Q59" s="106">
        <v>1173</v>
      </c>
      <c r="R59" s="106">
        <v>2316</v>
      </c>
      <c r="S59" s="106">
        <f t="shared" si="2"/>
        <v>230.5</v>
      </c>
      <c r="T59" s="106">
        <v>2777</v>
      </c>
      <c r="U59" s="106">
        <f t="shared" si="3"/>
        <v>421</v>
      </c>
      <c r="V59" s="106">
        <v>3619</v>
      </c>
      <c r="W59" s="106">
        <f t="shared" si="4"/>
        <v>198</v>
      </c>
      <c r="X59" s="106">
        <v>4015</v>
      </c>
      <c r="Y59" s="106">
        <f t="shared" si="5"/>
        <v>0</v>
      </c>
      <c r="Z59" s="106">
        <v>4015</v>
      </c>
      <c r="AA59" s="106">
        <f t="shared" si="6"/>
        <v>0</v>
      </c>
      <c r="AB59" s="106">
        <v>4015</v>
      </c>
      <c r="AC59" s="106">
        <f t="shared" si="7"/>
        <v>0</v>
      </c>
      <c r="AD59" s="106">
        <v>4015</v>
      </c>
      <c r="AE59" s="107">
        <f t="shared" si="8"/>
        <v>2842</v>
      </c>
    </row>
    <row r="60" spans="14:31" ht="15.6" customHeight="1" x14ac:dyDescent="0.3">
      <c r="N60" s="212"/>
      <c r="O60" s="94" t="s">
        <v>67</v>
      </c>
      <c r="P60" s="108"/>
      <c r="Q60" s="108">
        <v>2689</v>
      </c>
      <c r="R60" s="108">
        <v>181</v>
      </c>
      <c r="S60" s="108">
        <f t="shared" si="2"/>
        <v>0</v>
      </c>
      <c r="T60" s="108">
        <v>181</v>
      </c>
      <c r="U60" s="108">
        <f t="shared" si="3"/>
        <v>35.5</v>
      </c>
      <c r="V60" s="108">
        <v>252</v>
      </c>
      <c r="W60" s="108">
        <f t="shared" si="4"/>
        <v>1046.5</v>
      </c>
      <c r="X60" s="108">
        <v>2345</v>
      </c>
      <c r="Y60" s="108">
        <f t="shared" si="5"/>
        <v>12</v>
      </c>
      <c r="Z60" s="108">
        <v>2369</v>
      </c>
      <c r="AA60" s="108">
        <f t="shared" si="6"/>
        <v>0</v>
      </c>
      <c r="AB60" s="108">
        <v>2369</v>
      </c>
      <c r="AC60" s="108">
        <f t="shared" si="7"/>
        <v>0</v>
      </c>
      <c r="AD60" s="108">
        <v>2369</v>
      </c>
      <c r="AE60" s="109">
        <f t="shared" si="8"/>
        <v>-320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4799</v>
      </c>
      <c r="R62" s="104">
        <v>96</v>
      </c>
      <c r="S62" s="104">
        <f t="shared" si="2"/>
        <v>252</v>
      </c>
      <c r="T62" s="104">
        <v>600</v>
      </c>
      <c r="U62" s="104">
        <f t="shared" si="3"/>
        <v>466</v>
      </c>
      <c r="V62" s="104">
        <v>1532</v>
      </c>
      <c r="W62" s="104">
        <f t="shared" si="4"/>
        <v>76</v>
      </c>
      <c r="X62" s="104">
        <v>1684</v>
      </c>
      <c r="Y62" s="104">
        <f t="shared" si="5"/>
        <v>155</v>
      </c>
      <c r="Z62" s="104">
        <v>1994</v>
      </c>
      <c r="AA62" s="104">
        <f t="shared" si="6"/>
        <v>255</v>
      </c>
      <c r="AB62" s="104">
        <v>2504</v>
      </c>
      <c r="AC62" s="104">
        <f t="shared" si="7"/>
        <v>0</v>
      </c>
      <c r="AD62" s="104">
        <v>2504</v>
      </c>
      <c r="AE62" s="105">
        <f t="shared" si="8"/>
        <v>-2295</v>
      </c>
    </row>
    <row r="63" spans="14:31" ht="15.6" customHeight="1" x14ac:dyDescent="0.3">
      <c r="N63" s="212"/>
      <c r="O63" s="95" t="s">
        <v>66</v>
      </c>
      <c r="P63" s="106"/>
      <c r="Q63" s="106">
        <v>8494</v>
      </c>
      <c r="R63" s="106">
        <v>0</v>
      </c>
      <c r="S63" s="106">
        <f t="shared" si="2"/>
        <v>225</v>
      </c>
      <c r="T63" s="106">
        <v>450</v>
      </c>
      <c r="U63" s="106">
        <f t="shared" si="3"/>
        <v>0</v>
      </c>
      <c r="V63" s="106">
        <v>450</v>
      </c>
      <c r="W63" s="106">
        <f t="shared" si="4"/>
        <v>479</v>
      </c>
      <c r="X63" s="106">
        <v>1408</v>
      </c>
      <c r="Y63" s="106">
        <f t="shared" si="5"/>
        <v>84</v>
      </c>
      <c r="Z63" s="106">
        <v>1576</v>
      </c>
      <c r="AA63" s="106">
        <f t="shared" si="6"/>
        <v>145</v>
      </c>
      <c r="AB63" s="106">
        <v>1866</v>
      </c>
      <c r="AC63" s="106">
        <f t="shared" si="7"/>
        <v>0</v>
      </c>
      <c r="AD63" s="106">
        <v>1866</v>
      </c>
      <c r="AE63" s="107">
        <f t="shared" si="8"/>
        <v>-6628</v>
      </c>
    </row>
    <row r="64" spans="14:31" ht="15.6" customHeight="1" x14ac:dyDescent="0.3">
      <c r="N64" s="212"/>
      <c r="O64" s="94" t="s">
        <v>67</v>
      </c>
      <c r="P64" s="108"/>
      <c r="Q64" s="108">
        <v>5763</v>
      </c>
      <c r="R64" s="108">
        <v>438</v>
      </c>
      <c r="S64" s="108">
        <f t="shared" si="2"/>
        <v>85</v>
      </c>
      <c r="T64" s="108">
        <v>608</v>
      </c>
      <c r="U64" s="108">
        <f t="shared" si="3"/>
        <v>0</v>
      </c>
      <c r="V64" s="108">
        <v>608</v>
      </c>
      <c r="W64" s="108">
        <f t="shared" si="4"/>
        <v>102</v>
      </c>
      <c r="X64" s="108">
        <v>812</v>
      </c>
      <c r="Y64" s="108">
        <f t="shared" si="5"/>
        <v>393</v>
      </c>
      <c r="Z64" s="108">
        <v>1598</v>
      </c>
      <c r="AA64" s="108">
        <f t="shared" si="6"/>
        <v>0</v>
      </c>
      <c r="AB64" s="108">
        <v>1598</v>
      </c>
      <c r="AC64" s="108">
        <f t="shared" si="7"/>
        <v>0</v>
      </c>
      <c r="AD64" s="108">
        <v>1598</v>
      </c>
      <c r="AE64" s="109">
        <f t="shared" si="8"/>
        <v>-4165</v>
      </c>
    </row>
    <row r="65" spans="14:31" ht="15.6" customHeight="1" thickBot="1" x14ac:dyDescent="0.35">
      <c r="N65" s="213"/>
      <c r="O65" s="99" t="s">
        <v>68</v>
      </c>
      <c r="P65" s="114"/>
      <c r="Q65" s="114">
        <v>744</v>
      </c>
      <c r="R65" s="114">
        <v>54</v>
      </c>
      <c r="S65" s="114">
        <f t="shared" si="2"/>
        <v>291</v>
      </c>
      <c r="T65" s="114">
        <v>636</v>
      </c>
      <c r="U65" s="114">
        <f t="shared" si="3"/>
        <v>0</v>
      </c>
      <c r="V65" s="114">
        <v>636</v>
      </c>
      <c r="W65" s="114">
        <f t="shared" si="4"/>
        <v>0</v>
      </c>
      <c r="X65" s="114">
        <v>636</v>
      </c>
      <c r="Y65" s="114">
        <f t="shared" si="5"/>
        <v>0</v>
      </c>
      <c r="Z65" s="114">
        <v>636</v>
      </c>
      <c r="AA65" s="114">
        <f t="shared" si="6"/>
        <v>0</v>
      </c>
      <c r="AB65" s="114">
        <v>636</v>
      </c>
      <c r="AC65" s="114">
        <f t="shared" si="7"/>
        <v>0</v>
      </c>
      <c r="AD65" s="114">
        <v>636</v>
      </c>
      <c r="AE65" s="115">
        <f t="shared" si="8"/>
        <v>-108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43" priority="11" operator="lessThan">
      <formula>0</formula>
    </cfRule>
    <cfRule type="cellIs" dxfId="1942" priority="12" operator="greaterThan">
      <formula>0</formula>
    </cfRule>
  </conditionalFormatting>
  <conditionalFormatting sqref="R25:AC25">
    <cfRule type="cellIs" dxfId="1941" priority="9" operator="lessThan">
      <formula>0</formula>
    </cfRule>
    <cfRule type="cellIs" dxfId="1940" priority="10" operator="greaterThan">
      <formula>0</formula>
    </cfRule>
  </conditionalFormatting>
  <conditionalFormatting sqref="R26 T26 V26 X26 Z26 AB26">
    <cfRule type="cellIs" dxfId="1939" priority="7" operator="lessThan">
      <formula>0</formula>
    </cfRule>
    <cfRule type="cellIs" dxfId="1938" priority="8" operator="greaterThan">
      <formula>0</formula>
    </cfRule>
  </conditionalFormatting>
  <conditionalFormatting sqref="AD24:AE24">
    <cfRule type="cellIs" dxfId="1937" priority="5" operator="lessThan">
      <formula>0</formula>
    </cfRule>
    <cfRule type="cellIs" dxfId="1936" priority="6" operator="greaterThan">
      <formula>0</formula>
    </cfRule>
  </conditionalFormatting>
  <conditionalFormatting sqref="AD25:AE25">
    <cfRule type="cellIs" dxfId="1935" priority="3" operator="lessThan">
      <formula>0</formula>
    </cfRule>
    <cfRule type="cellIs" dxfId="1934" priority="4" operator="greaterThan">
      <formula>0</formula>
    </cfRule>
  </conditionalFormatting>
  <conditionalFormatting sqref="AD26">
    <cfRule type="cellIs" dxfId="1933" priority="1" operator="lessThan">
      <formula>0</formula>
    </cfRule>
    <cfRule type="cellIs" dxfId="193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44356</v>
      </c>
    </row>
    <row r="3" spans="2:42" ht="18.75" customHeight="1" thickBot="1" x14ac:dyDescent="0.35">
      <c r="B3" t="s">
        <v>1</v>
      </c>
      <c r="C3" s="3">
        <f>C2+1</f>
        <v>44357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20845</v>
      </c>
      <c r="G6" s="117">
        <v>18409.712374999999</v>
      </c>
      <c r="H6" s="117">
        <v>13931.58728792</v>
      </c>
      <c r="I6" s="19">
        <f>H6+G6</f>
        <v>32341.299662919999</v>
      </c>
      <c r="J6" s="119">
        <v>17482</v>
      </c>
      <c r="K6" s="117">
        <v>16079.371875000001</v>
      </c>
      <c r="L6" s="117">
        <v>8669.9190434800003</v>
      </c>
      <c r="M6" s="19">
        <f>L6+K6</f>
        <v>24749.290918480001</v>
      </c>
      <c r="N6" s="85">
        <v>64</v>
      </c>
      <c r="O6" s="85">
        <v>46</v>
      </c>
      <c r="P6" s="92"/>
      <c r="Q6" s="20">
        <f>J6-P6</f>
        <v>17482</v>
      </c>
      <c r="R6" s="21">
        <v>1994</v>
      </c>
      <c r="S6" s="20">
        <f>IF(R6&gt;0,(R6-R7-$Q6),"")</f>
        <v>-15488</v>
      </c>
      <c r="T6" s="21">
        <v>5070</v>
      </c>
      <c r="U6" s="20">
        <f>IF(T6&gt;0,(T6-T7-$Q6),"")</f>
        <v>-12427</v>
      </c>
      <c r="V6" s="21">
        <v>8959</v>
      </c>
      <c r="W6" s="20">
        <f>IF(V6&gt;0,(V6-V7-$Q6),"")</f>
        <v>-8540</v>
      </c>
      <c r="X6" s="21">
        <v>10321</v>
      </c>
      <c r="Y6" s="20">
        <f>IF(X6&gt;0,(X6-X7-$Q6),"")</f>
        <v>-7187</v>
      </c>
      <c r="Z6" s="21">
        <v>8959</v>
      </c>
      <c r="AA6" s="20">
        <f>IF(Z6&gt;0,(Z6-Z7-$Q6),"")</f>
        <v>-8540</v>
      </c>
      <c r="AB6" s="21">
        <v>10321</v>
      </c>
      <c r="AC6" s="22">
        <f>IF(AB6&gt;0,(AB6-AB7-$Q6),"")</f>
        <v>-7187</v>
      </c>
      <c r="AD6" s="21">
        <v>10321</v>
      </c>
      <c r="AE6" s="22">
        <f>IF(AD6&gt;0,(AD6-AD7-$Q6),"")</f>
        <v>-7187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0</v>
      </c>
      <c r="S7" s="24"/>
      <c r="T7" s="25">
        <v>15</v>
      </c>
      <c r="U7" s="24"/>
      <c r="V7" s="25">
        <v>17</v>
      </c>
      <c r="W7" s="24"/>
      <c r="X7" s="25">
        <v>26</v>
      </c>
      <c r="Y7" s="24"/>
      <c r="Z7" s="25">
        <v>17</v>
      </c>
      <c r="AA7" s="24"/>
      <c r="AB7" s="25">
        <v>26</v>
      </c>
      <c r="AC7" s="26"/>
      <c r="AD7" s="25">
        <v>26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2600</v>
      </c>
      <c r="E8" s="29" t="s">
        <v>27</v>
      </c>
      <c r="F8" s="119">
        <v>16825</v>
      </c>
      <c r="G8" s="117">
        <v>7239.4274999999998</v>
      </c>
      <c r="H8" s="117">
        <v>1614.8199750000001</v>
      </c>
      <c r="I8" s="19">
        <f>H8+G8</f>
        <v>8854.2474750000001</v>
      </c>
      <c r="J8" s="119">
        <v>16857</v>
      </c>
      <c r="K8" s="117">
        <v>7213.2509999999993</v>
      </c>
      <c r="L8" s="117">
        <v>1593.7695538999999</v>
      </c>
      <c r="M8" s="19">
        <f>L8+K8</f>
        <v>8807.0205538999999</v>
      </c>
      <c r="N8" s="87">
        <v>26</v>
      </c>
      <c r="O8" s="87">
        <v>19</v>
      </c>
      <c r="P8" s="92"/>
      <c r="Q8" s="20">
        <f>J8-P8</f>
        <v>16857</v>
      </c>
      <c r="R8" s="21">
        <v>2800</v>
      </c>
      <c r="S8" s="20">
        <f>IF(R8&gt;0,(R8-R9-$Q8),"")</f>
        <v>-14057</v>
      </c>
      <c r="T8" s="21">
        <v>0</v>
      </c>
      <c r="U8" s="20" t="str">
        <f>IF(T8&gt;0,(T8-T9-$Q8),"")</f>
        <v/>
      </c>
      <c r="V8" s="21">
        <v>3833</v>
      </c>
      <c r="W8" s="20">
        <f>IF(V8&gt;0,(V8-V9-$Q8),"")</f>
        <v>-13024</v>
      </c>
      <c r="X8" s="21">
        <v>5208</v>
      </c>
      <c r="Y8" s="20">
        <f>IF(X8&gt;0,(X8-X9-$Q8),"")</f>
        <v>-11649</v>
      </c>
      <c r="Z8" s="21">
        <v>3833</v>
      </c>
      <c r="AA8" s="20">
        <f>IF(Z8&gt;0,(Z8-Z9-$Q8),"")</f>
        <v>-13024</v>
      </c>
      <c r="AB8" s="21">
        <v>10323</v>
      </c>
      <c r="AC8" s="22">
        <f>IF(AB8&gt;0,(AB8-AB9-$Q8),"")</f>
        <v>-6534</v>
      </c>
      <c r="AD8" s="21">
        <v>10323</v>
      </c>
      <c r="AE8" s="22">
        <f>IF(AD8&gt;0,(AD8-AD9-$Q8),"")</f>
        <v>-6534</v>
      </c>
    </row>
    <row r="9" spans="2:42" x14ac:dyDescent="0.3">
      <c r="B9" s="28" t="s">
        <v>28</v>
      </c>
      <c r="C9" s="17">
        <v>2145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4588</v>
      </c>
      <c r="E10" s="18" t="s">
        <v>31</v>
      </c>
      <c r="F10" s="119">
        <v>8802</v>
      </c>
      <c r="G10" s="117">
        <v>6947.0549999999967</v>
      </c>
      <c r="H10" s="117">
        <v>1763.5406375</v>
      </c>
      <c r="I10" s="19">
        <f>H10+G10</f>
        <v>8710.5956374999969</v>
      </c>
      <c r="J10" s="119">
        <v>8723</v>
      </c>
      <c r="K10" s="117">
        <v>6918.2335000000003</v>
      </c>
      <c r="L10" s="117">
        <v>1529.0210875</v>
      </c>
      <c r="M10" s="19">
        <f>L10+K10</f>
        <v>8447.2545874999996</v>
      </c>
      <c r="N10" s="88">
        <v>38</v>
      </c>
      <c r="O10" s="88">
        <v>28</v>
      </c>
      <c r="P10" s="92"/>
      <c r="Q10" s="20">
        <f>J10-P10</f>
        <v>8723</v>
      </c>
      <c r="R10" s="21">
        <v>1782</v>
      </c>
      <c r="S10" s="20">
        <f>IF(R10&gt;0,(R10-R11-$Q10),"")</f>
        <v>-8343</v>
      </c>
      <c r="T10" s="21">
        <v>461</v>
      </c>
      <c r="U10" s="20">
        <f>IF(T10&gt;0,(T10-T11-$Q10),"")</f>
        <v>-8288</v>
      </c>
      <c r="V10" s="21">
        <v>859</v>
      </c>
      <c r="W10" s="20">
        <f>IF(V10&gt;0,(V10-V11-$Q10),"")</f>
        <v>-7950</v>
      </c>
      <c r="X10" s="21">
        <v>2402</v>
      </c>
      <c r="Y10" s="20">
        <f>IF(X10&gt;0,(X10-X11-$Q10),"")</f>
        <v>-6472</v>
      </c>
      <c r="Z10" s="21">
        <v>859</v>
      </c>
      <c r="AA10" s="20">
        <f>IF(Z10&gt;0,(Z10-Z11-$Q10),"")</f>
        <v>-7950</v>
      </c>
      <c r="AB10" s="21">
        <v>7049</v>
      </c>
      <c r="AC10" s="22">
        <f>IF(AB10&gt;0,(AB10-AB11-$Q10),"")</f>
        <v>-2151</v>
      </c>
      <c r="AD10" s="21">
        <v>7049</v>
      </c>
      <c r="AE10" s="22">
        <f>IF(AD10&gt;0,(AD10-AD11-$Q10),"")</f>
        <v>-2151</v>
      </c>
    </row>
    <row r="11" spans="2:42" x14ac:dyDescent="0.3">
      <c r="B11" s="16" t="s">
        <v>32</v>
      </c>
      <c r="C11" s="17">
        <v>2121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1402</v>
      </c>
      <c r="S11" s="24"/>
      <c r="T11" s="30">
        <v>26</v>
      </c>
      <c r="U11" s="24"/>
      <c r="V11" s="30">
        <v>86</v>
      </c>
      <c r="W11" s="24"/>
      <c r="X11" s="30">
        <v>151</v>
      </c>
      <c r="Y11" s="24"/>
      <c r="Z11" s="30">
        <v>86</v>
      </c>
      <c r="AA11" s="24"/>
      <c r="AB11" s="30">
        <v>477</v>
      </c>
      <c r="AC11" s="26"/>
      <c r="AD11" s="30">
        <v>477</v>
      </c>
      <c r="AE11" s="26"/>
    </row>
    <row r="12" spans="2:42" x14ac:dyDescent="0.3">
      <c r="B12" s="16" t="s">
        <v>34</v>
      </c>
      <c r="C12" s="17">
        <v>1633</v>
      </c>
      <c r="E12" s="29" t="s">
        <v>35</v>
      </c>
      <c r="F12" s="119">
        <v>11610</v>
      </c>
      <c r="G12" s="117">
        <v>11591.599</v>
      </c>
      <c r="H12" s="117">
        <v>11068.88749386</v>
      </c>
      <c r="I12" s="19">
        <f>H12+G12</f>
        <v>22660.48649386</v>
      </c>
      <c r="J12" s="119">
        <v>12560</v>
      </c>
      <c r="K12" s="117">
        <v>12931.9565</v>
      </c>
      <c r="L12" s="117">
        <v>11996.16572374</v>
      </c>
      <c r="M12" s="19">
        <f>L12+K12</f>
        <v>24928.12222374</v>
      </c>
      <c r="N12" s="88">
        <v>40</v>
      </c>
      <c r="O12" s="88">
        <v>31</v>
      </c>
      <c r="P12" s="92"/>
      <c r="Q12" s="20">
        <f>J12-P12</f>
        <v>12560</v>
      </c>
      <c r="R12" s="21">
        <v>827</v>
      </c>
      <c r="S12" s="20">
        <f>IF(R12&gt;0,(R12-R13-$Q12),"")</f>
        <v>-11797</v>
      </c>
      <c r="T12" s="21">
        <v>3346</v>
      </c>
      <c r="U12" s="20">
        <f>IF(T12&gt;0,(T12-T13-$Q12),"")</f>
        <v>-9353</v>
      </c>
      <c r="V12" s="21">
        <v>5439</v>
      </c>
      <c r="W12" s="20">
        <f>IF(V12&gt;0,(V12-V13-$Q12),"")</f>
        <v>-7260</v>
      </c>
      <c r="X12" s="21">
        <v>8226</v>
      </c>
      <c r="Y12" s="20">
        <f>IF(X12&gt;0,(X12-X13-$Q12),"")</f>
        <v>-4473</v>
      </c>
      <c r="Z12" s="21">
        <v>5439</v>
      </c>
      <c r="AA12" s="20">
        <f>IF(Z12&gt;0,(Z12-Z13-$Q12),"")</f>
        <v>-7260</v>
      </c>
      <c r="AB12" s="21">
        <v>10921</v>
      </c>
      <c r="AC12" s="22">
        <f>IF(AB12&gt;0,(AB12-AB13-$Q12),"")</f>
        <v>-2090</v>
      </c>
      <c r="AD12" s="21">
        <v>10921</v>
      </c>
      <c r="AE12" s="22">
        <f>IF(AD12&gt;0,(AD12-AD13-$Q12),"")</f>
        <v>-2090</v>
      </c>
    </row>
    <row r="13" spans="2:42" x14ac:dyDescent="0.3">
      <c r="B13" s="16" t="s">
        <v>36</v>
      </c>
      <c r="C13" s="17">
        <v>5094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64</v>
      </c>
      <c r="S13" s="24"/>
      <c r="T13" s="30">
        <v>139</v>
      </c>
      <c r="U13" s="24"/>
      <c r="V13" s="30">
        <v>139</v>
      </c>
      <c r="W13" s="24"/>
      <c r="X13" s="30">
        <v>139</v>
      </c>
      <c r="Y13" s="24"/>
      <c r="Z13" s="30">
        <v>139</v>
      </c>
      <c r="AA13" s="24"/>
      <c r="AB13" s="30">
        <v>451</v>
      </c>
      <c r="AC13" s="26"/>
      <c r="AD13" s="30">
        <v>451</v>
      </c>
      <c r="AE13" s="26"/>
    </row>
    <row r="14" spans="2:42" x14ac:dyDescent="0.3">
      <c r="B14" s="16" t="s">
        <v>38</v>
      </c>
      <c r="C14" s="17">
        <v>11433</v>
      </c>
      <c r="E14" s="18" t="s">
        <v>39</v>
      </c>
      <c r="F14" s="119">
        <v>20009</v>
      </c>
      <c r="G14" s="117">
        <v>18015.9375</v>
      </c>
      <c r="H14" s="117">
        <v>23677.576605200011</v>
      </c>
      <c r="I14" s="19">
        <f>H14+G14</f>
        <v>41693.514105200011</v>
      </c>
      <c r="J14" s="119">
        <v>20009</v>
      </c>
      <c r="K14" s="117">
        <v>18015.9375</v>
      </c>
      <c r="L14" s="117">
        <v>23023.395242440001</v>
      </c>
      <c r="M14" s="19">
        <f>L14+K14</f>
        <v>41039.332742440005</v>
      </c>
      <c r="N14" s="88">
        <v>61</v>
      </c>
      <c r="O14" s="88">
        <v>51</v>
      </c>
      <c r="P14" s="92"/>
      <c r="Q14" s="20">
        <f>J14-P14</f>
        <v>20009</v>
      </c>
      <c r="R14" s="21">
        <v>609</v>
      </c>
      <c r="S14" s="20">
        <f>IF(R14&gt;0,(R14-R15-$Q14),"")</f>
        <v>-19400</v>
      </c>
      <c r="T14" s="21">
        <v>534</v>
      </c>
      <c r="U14" s="20">
        <f>IF(T14&gt;0,(T14-T15-$Q14),"")</f>
        <v>-19550</v>
      </c>
      <c r="V14" s="21">
        <v>833</v>
      </c>
      <c r="W14" s="20">
        <f>IF(V14&gt;0,(V14-V15-$Q14),"")</f>
        <v>-19251</v>
      </c>
      <c r="X14" s="21">
        <v>3921</v>
      </c>
      <c r="Y14" s="20">
        <f>IF(X14&gt;0,(X14-X15-$Q14),"")</f>
        <v>-16365</v>
      </c>
      <c r="Z14" s="21">
        <v>833</v>
      </c>
      <c r="AA14" s="20">
        <f>IF(Z14&gt;0,(Z14-Z15-$Q14),"")</f>
        <v>-19251</v>
      </c>
      <c r="AB14" s="21">
        <v>14194</v>
      </c>
      <c r="AC14" s="22">
        <f>IF(AB14&gt;0,(AB14-AB15-$Q14),"")</f>
        <v>-6883</v>
      </c>
      <c r="AD14" s="21">
        <v>14194</v>
      </c>
      <c r="AE14" s="22">
        <f>IF(AD14&gt;0,(AD14-AD15-$Q14),"")</f>
        <v>-6883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0</v>
      </c>
      <c r="S15" s="24"/>
      <c r="T15" s="25">
        <v>75</v>
      </c>
      <c r="U15" s="24"/>
      <c r="V15" s="25">
        <v>75</v>
      </c>
      <c r="W15" s="24"/>
      <c r="X15" s="25">
        <v>277</v>
      </c>
      <c r="Y15" s="24"/>
      <c r="Z15" s="25">
        <v>75</v>
      </c>
      <c r="AA15" s="24"/>
      <c r="AB15" s="25">
        <v>1068</v>
      </c>
      <c r="AC15" s="26"/>
      <c r="AD15" s="25">
        <v>1068</v>
      </c>
      <c r="AE15" s="26"/>
    </row>
    <row r="16" spans="2:42" ht="15" customHeight="1" thickBot="1" x14ac:dyDescent="0.35">
      <c r="B16" s="28" t="s">
        <v>42</v>
      </c>
      <c r="C16" s="17">
        <v>12293</v>
      </c>
      <c r="E16" s="84"/>
      <c r="F16" s="31">
        <f t="shared" ref="F16:N16" si="0">SUM(F6:F15)</f>
        <v>78091</v>
      </c>
      <c r="G16" s="31">
        <f t="shared" si="0"/>
        <v>62203.731374999996</v>
      </c>
      <c r="H16" s="31">
        <f t="shared" si="0"/>
        <v>52056.411999480013</v>
      </c>
      <c r="I16" s="32">
        <f t="shared" si="0"/>
        <v>114260.14337448002</v>
      </c>
      <c r="J16" s="33">
        <f t="shared" si="0"/>
        <v>75631</v>
      </c>
      <c r="K16" s="33">
        <f t="shared" si="0"/>
        <v>61158.750375000003</v>
      </c>
      <c r="L16" s="33">
        <f t="shared" si="0"/>
        <v>46812.270651059996</v>
      </c>
      <c r="M16" s="33">
        <f t="shared" si="0"/>
        <v>107971.02102606</v>
      </c>
      <c r="N16" s="31">
        <f t="shared" si="0"/>
        <v>229</v>
      </c>
      <c r="O16" s="31">
        <f>SUM(O14,O12,O10,O8,O6)</f>
        <v>175</v>
      </c>
      <c r="P16" s="34">
        <f>SUM(P6:P15)</f>
        <v>0</v>
      </c>
      <c r="Q16" s="34">
        <f>SUM(Q6:Q15)</f>
        <v>75631</v>
      </c>
      <c r="R16" s="35">
        <f>R6+R8+R10+R12+R14-R7-R9-R11-R13-R15</f>
        <v>6546</v>
      </c>
      <c r="S16" s="36">
        <f>IF(R16&gt;1,(R16-$Q16),"")</f>
        <v>-69085</v>
      </c>
      <c r="T16" s="35">
        <f>T6+T8+T10+T12+T14-T7-T9-T11-T13-T15</f>
        <v>9156</v>
      </c>
      <c r="U16" s="36">
        <f>IF(T16&gt;1,(T16-$Q16),"")</f>
        <v>-66475</v>
      </c>
      <c r="V16" s="35">
        <f>V6+V8+V10+V12+V14-V7-V9-V11-V13-V15</f>
        <v>19606</v>
      </c>
      <c r="W16" s="36">
        <f>IF(V16&gt;1,(V16-$Q16),"")</f>
        <v>-56025</v>
      </c>
      <c r="X16" s="35">
        <f>X6+X8+X10+X12+X14-X7-X9-X11-X13-X15</f>
        <v>29485</v>
      </c>
      <c r="Y16" s="36">
        <f>IF(X16&gt;1,(X16-$Q16),"")</f>
        <v>-46146</v>
      </c>
      <c r="Z16" s="35">
        <f>Z6+Z8+Z10+Z12+Z14-Z7-Z9-Z11-Z13-Z15</f>
        <v>19606</v>
      </c>
      <c r="AA16" s="36">
        <f>IF(Z16&gt;1,(Z16-$Q16),"")</f>
        <v>-56025</v>
      </c>
      <c r="AB16" s="35">
        <f>AB6+AB8+AB10+AB12+AB14-AB7-AB9-AB11-AB13-AB15</f>
        <v>50786</v>
      </c>
      <c r="AC16" s="37">
        <f>IF(AB16&gt;1,(AB16-$Q16),"")</f>
        <v>-24845</v>
      </c>
      <c r="AD16" s="35">
        <f>AD6+AD8+AD10+AD12+AD14-AD7-AD9-AD11-AD13-AD15</f>
        <v>50786</v>
      </c>
      <c r="AE16" s="37">
        <f>IF(AD16&gt;1,(AD16-$Q16),"")</f>
        <v>-24845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1466</v>
      </c>
      <c r="S17" s="41"/>
      <c r="T17" s="40">
        <f>T15+T13+T11+T9+T7</f>
        <v>255</v>
      </c>
      <c r="U17" s="41"/>
      <c r="V17" s="40">
        <f>V15+V13+V11+V9+V7</f>
        <v>317</v>
      </c>
      <c r="W17" s="41"/>
      <c r="X17" s="40">
        <f>X15+X13+X11+X9+X7</f>
        <v>593</v>
      </c>
      <c r="Y17" s="41"/>
      <c r="Z17" s="40">
        <f>Z15+Z13+Z11+Z9+Z7</f>
        <v>317</v>
      </c>
      <c r="AA17" s="41"/>
      <c r="AB17" s="40">
        <f>AB15+AB13+AB11+AB9+AB7</f>
        <v>2022</v>
      </c>
      <c r="AC17" s="42"/>
      <c r="AD17" s="40">
        <f>AD15+AD13+AD11+AD9+AD7</f>
        <v>2022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3273</v>
      </c>
      <c r="S18" s="46"/>
      <c r="T18" s="47">
        <f>IF(T16&gt;0,(T16-R16)/2,"")</f>
        <v>1305</v>
      </c>
      <c r="U18" s="46"/>
      <c r="V18" s="47">
        <f>IF(V16&gt;0,(V16-T16)/2,"")</f>
        <v>5225</v>
      </c>
      <c r="W18" s="46"/>
      <c r="X18" s="47">
        <f>IF(X16&gt;0,(X16-V16)/2,"")</f>
        <v>4939.5</v>
      </c>
      <c r="Y18" s="46"/>
      <c r="Z18" s="47">
        <f>IF(Z16&gt;0,(Z16-X16)/2,"")</f>
        <v>-4939.5</v>
      </c>
      <c r="AA18" s="46"/>
      <c r="AB18" s="47">
        <f>IF(AB16&gt;0,(AB16-Z16)/2,"")</f>
        <v>15590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6076</v>
      </c>
      <c r="S20" s="36"/>
      <c r="T20" s="35">
        <v>16948</v>
      </c>
      <c r="U20" s="36"/>
      <c r="V20" s="35">
        <v>26149</v>
      </c>
      <c r="W20" s="36"/>
      <c r="X20" s="35">
        <v>45424</v>
      </c>
      <c r="Y20" s="36"/>
      <c r="Z20" s="35">
        <v>50368</v>
      </c>
      <c r="AA20" s="36"/>
      <c r="AB20" s="35">
        <v>54498</v>
      </c>
      <c r="AC20" s="37"/>
      <c r="AD20" s="35">
        <v>57353</v>
      </c>
      <c r="AE20" s="37"/>
    </row>
    <row r="21" spans="2:43" ht="15" customHeight="1" thickBot="1" x14ac:dyDescent="0.35">
      <c r="B21" s="16" t="s">
        <v>50</v>
      </c>
      <c r="C21" s="17">
        <v>9501</v>
      </c>
      <c r="L21" s="4"/>
      <c r="M21" s="4"/>
      <c r="Q21" s="52"/>
      <c r="R21" s="40">
        <v>1361</v>
      </c>
      <c r="S21" s="41"/>
      <c r="T21" s="40">
        <v>2807</v>
      </c>
      <c r="U21" s="41"/>
      <c r="V21" s="40">
        <v>3805</v>
      </c>
      <c r="W21" s="41"/>
      <c r="X21" s="40">
        <v>5141</v>
      </c>
      <c r="Y21" s="41"/>
      <c r="Z21" s="40">
        <v>5851</v>
      </c>
      <c r="AA21" s="41"/>
      <c r="AB21" s="40">
        <v>5851</v>
      </c>
      <c r="AC21" s="42"/>
      <c r="AD21" s="40">
        <v>5851</v>
      </c>
      <c r="AE21" s="42"/>
    </row>
    <row r="22" spans="2:43" ht="15" customHeight="1" thickBot="1" x14ac:dyDescent="0.35">
      <c r="B22" s="16" t="s">
        <v>51</v>
      </c>
      <c r="C22" s="17">
        <v>1980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4836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470</v>
      </c>
      <c r="S24" s="60"/>
      <c r="T24" s="60">
        <f>IF(T16&gt;0,T16-T20,"")</f>
        <v>-7792</v>
      </c>
      <c r="U24" s="60"/>
      <c r="V24" s="60">
        <f>IF(V16&gt;0,V16-V20,"")</f>
        <v>-6543</v>
      </c>
      <c r="W24" s="60"/>
      <c r="X24" s="60">
        <f>IF(X16&gt;0,X16-X20,"")</f>
        <v>-15939</v>
      </c>
      <c r="Y24" s="60"/>
      <c r="Z24" s="60">
        <f>IF(Z16&gt;0,Z16-Z20,"")</f>
        <v>-30762</v>
      </c>
      <c r="AA24" s="60"/>
      <c r="AB24" s="60">
        <f>IF(AB16&gt;0,AB16-AB20,"")</f>
        <v>-3712</v>
      </c>
      <c r="AC24" s="61"/>
      <c r="AD24" s="60">
        <f>IF(AD16&gt;0,AD16-AD20,"")</f>
        <v>-6567</v>
      </c>
      <c r="AE24" s="61"/>
    </row>
    <row r="25" spans="2:43" x14ac:dyDescent="0.3">
      <c r="L25" s="4"/>
      <c r="M25" s="4"/>
      <c r="Q25" s="62"/>
      <c r="R25" s="63">
        <f>IF(R17&gt;=0,R17-R21,"")</f>
        <v>105</v>
      </c>
      <c r="S25" s="64"/>
      <c r="T25" s="63">
        <f>IF(T17&gt;=0,T17-T21,"")</f>
        <v>-2552</v>
      </c>
      <c r="U25" s="64"/>
      <c r="V25" s="63">
        <f>IF(V17&gt;=0,V17-V21,"")</f>
        <v>-3488</v>
      </c>
      <c r="W25" s="64"/>
      <c r="X25" s="63">
        <f>IF(X17&gt;=0,X17-X21,"")</f>
        <v>-4548</v>
      </c>
      <c r="Y25" s="64"/>
      <c r="Z25" s="63">
        <f>IF(Z17&gt;=0,Z17-Z21,"")</f>
        <v>-5534</v>
      </c>
      <c r="AA25" s="64"/>
      <c r="AB25" s="63">
        <f>IF(AB17&gt;=0,AB17-AB21,"")</f>
        <v>-3829</v>
      </c>
      <c r="AC25" s="65"/>
      <c r="AD25" s="63">
        <f>IF(AD17&gt;=0,AD17-AD21,"")</f>
        <v>-3829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-1220.5</v>
      </c>
      <c r="S26" s="55"/>
      <c r="T26" s="67">
        <f>IFERROR(IF(T18&gt;0,T18-T22,""),"")</f>
        <v>-255</v>
      </c>
      <c r="U26" s="55"/>
      <c r="V26" s="67">
        <f>IFERROR(IF(V18&gt;0,V18-V22,""),"")</f>
        <v>2168</v>
      </c>
      <c r="W26" s="55"/>
      <c r="X26" s="67">
        <f>IFERROR(IF(X18&gt;0,X18-X22,""),"")</f>
        <v>1932.5</v>
      </c>
      <c r="Y26" s="55"/>
      <c r="Z26" s="67" t="str">
        <f>IFERROR(IF(Z18&gt;0,Z18-Z22,""),"")</f>
        <v/>
      </c>
      <c r="AA26" s="55"/>
      <c r="AB26" s="67">
        <f>IFERROR(IF(AB18&gt;0,AB18-AB22,""),"")</f>
        <v>15079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11855</v>
      </c>
      <c r="D29" s="76">
        <f>C14</f>
        <v>11433</v>
      </c>
      <c r="E29" s="77">
        <f t="shared" ref="E29:E34" si="1">D29-C29</f>
        <v>-422</v>
      </c>
      <c r="M29" s="4"/>
      <c r="O29" s="4"/>
    </row>
    <row r="30" spans="2:43" x14ac:dyDescent="0.3">
      <c r="B30" s="74" t="s">
        <v>56</v>
      </c>
      <c r="C30" s="75">
        <v>24574</v>
      </c>
      <c r="D30" s="76">
        <f>C7+C15+C16+C19+C20</f>
        <v>12293</v>
      </c>
      <c r="E30" s="77">
        <f t="shared" si="1"/>
        <v>-12281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13436</v>
      </c>
      <c r="D32" s="76">
        <f>C10+C11+C12+C13</f>
        <v>13436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16290</v>
      </c>
      <c r="D34" s="76">
        <f>C21+C22+C23</f>
        <v>16317</v>
      </c>
      <c r="E34" s="77">
        <f t="shared" si="1"/>
        <v>27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4745</v>
      </c>
      <c r="D35" s="80">
        <f>SUM(C8+C9)</f>
        <v>4745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2271</v>
      </c>
      <c r="R36" s="104">
        <v>140</v>
      </c>
      <c r="S36" s="104">
        <f t="shared" ref="S36:S65" si="2">IF(T36&gt;0,(T36-R36)/2,"")</f>
        <v>276</v>
      </c>
      <c r="T36" s="104">
        <v>692</v>
      </c>
      <c r="U36" s="104">
        <f t="shared" ref="U36:U65" si="3">IF(V36&gt;0,(V36-T36)/2,"")</f>
        <v>29.5</v>
      </c>
      <c r="V36" s="104">
        <v>751</v>
      </c>
      <c r="W36" s="104">
        <f t="shared" ref="W36:W65" si="4">IF(X36&gt;0,(X36-V36)/2,"")</f>
        <v>0</v>
      </c>
      <c r="X36" s="104">
        <v>751</v>
      </c>
      <c r="Y36" s="104">
        <f t="shared" ref="Y36:Y65" si="5">IF(Z36&gt;0,(Z36-X36)/2,"")</f>
        <v>0</v>
      </c>
      <c r="Z36" s="104">
        <v>751</v>
      </c>
      <c r="AA36" s="104">
        <f t="shared" ref="AA36:AA65" si="6">IF(AB36&gt;0,(AB36-Z36)/2,"")</f>
        <v>0</v>
      </c>
      <c r="AB36" s="104">
        <v>751</v>
      </c>
      <c r="AC36" s="104">
        <f t="shared" ref="AC36:AC65" si="7">IF(AD36&gt;0,(AD36-AB36)/2,"")</f>
        <v>0</v>
      </c>
      <c r="AD36" s="104">
        <v>751</v>
      </c>
      <c r="AE36" s="105">
        <f t="shared" ref="AE36:AE65" si="8">AD36-Q36</f>
        <v>-1520</v>
      </c>
    </row>
    <row r="37" spans="2:31" ht="15.6" customHeight="1" x14ac:dyDescent="0.3">
      <c r="N37" s="212"/>
      <c r="O37" s="95" t="s">
        <v>66</v>
      </c>
      <c r="P37" s="106"/>
      <c r="Q37" s="106">
        <v>1563</v>
      </c>
      <c r="R37" s="106">
        <v>0</v>
      </c>
      <c r="S37" s="106">
        <f t="shared" si="2"/>
        <v>320.5</v>
      </c>
      <c r="T37" s="106">
        <v>641</v>
      </c>
      <c r="U37" s="106">
        <f t="shared" si="3"/>
        <v>125</v>
      </c>
      <c r="V37" s="106">
        <v>891</v>
      </c>
      <c r="W37" s="106">
        <f t="shared" si="4"/>
        <v>41.5</v>
      </c>
      <c r="X37" s="106">
        <v>974</v>
      </c>
      <c r="Y37" s="106">
        <f t="shared" si="5"/>
        <v>0</v>
      </c>
      <c r="Z37" s="106">
        <v>974</v>
      </c>
      <c r="AA37" s="106">
        <f t="shared" si="6"/>
        <v>0</v>
      </c>
      <c r="AB37" s="106">
        <v>974</v>
      </c>
      <c r="AC37" s="106">
        <f t="shared" si="7"/>
        <v>0</v>
      </c>
      <c r="AD37" s="106">
        <v>974</v>
      </c>
      <c r="AE37" s="107">
        <f t="shared" si="8"/>
        <v>-589</v>
      </c>
    </row>
    <row r="38" spans="2:31" ht="15.6" customHeight="1" x14ac:dyDescent="0.3">
      <c r="N38" s="212"/>
      <c r="O38" s="94" t="s">
        <v>67</v>
      </c>
      <c r="P38" s="108"/>
      <c r="Q38" s="108">
        <v>2625</v>
      </c>
      <c r="R38" s="108">
        <v>0</v>
      </c>
      <c r="S38" s="108">
        <f t="shared" si="2"/>
        <v>280.5</v>
      </c>
      <c r="T38" s="108">
        <v>561</v>
      </c>
      <c r="U38" s="108">
        <f t="shared" si="3"/>
        <v>138.5</v>
      </c>
      <c r="V38" s="108">
        <v>838</v>
      </c>
      <c r="W38" s="108">
        <f t="shared" si="4"/>
        <v>0</v>
      </c>
      <c r="X38" s="108">
        <v>838</v>
      </c>
      <c r="Y38" s="108">
        <f t="shared" si="5"/>
        <v>0</v>
      </c>
      <c r="Z38" s="108">
        <v>838</v>
      </c>
      <c r="AA38" s="108">
        <f t="shared" si="6"/>
        <v>0</v>
      </c>
      <c r="AB38" s="108">
        <v>838</v>
      </c>
      <c r="AC38" s="108">
        <f t="shared" si="7"/>
        <v>0</v>
      </c>
      <c r="AD38" s="108">
        <v>838</v>
      </c>
      <c r="AE38" s="109">
        <f t="shared" si="8"/>
        <v>-1787</v>
      </c>
    </row>
    <row r="39" spans="2:31" ht="15.6" customHeight="1" x14ac:dyDescent="0.3">
      <c r="N39" s="212"/>
      <c r="O39" s="95" t="s">
        <v>68</v>
      </c>
      <c r="P39" s="106"/>
      <c r="Q39" s="106">
        <v>3106</v>
      </c>
      <c r="R39" s="106">
        <v>746</v>
      </c>
      <c r="S39" s="106">
        <f t="shared" si="2"/>
        <v>-43.5</v>
      </c>
      <c r="T39" s="106">
        <v>659</v>
      </c>
      <c r="U39" s="106">
        <f t="shared" si="3"/>
        <v>569</v>
      </c>
      <c r="V39" s="106">
        <v>1797</v>
      </c>
      <c r="W39" s="106">
        <f t="shared" si="4"/>
        <v>286</v>
      </c>
      <c r="X39" s="106">
        <v>2369</v>
      </c>
      <c r="Y39" s="106">
        <f t="shared" si="5"/>
        <v>0</v>
      </c>
      <c r="Z39" s="106">
        <v>2369</v>
      </c>
      <c r="AA39" s="106">
        <f t="shared" si="6"/>
        <v>0</v>
      </c>
      <c r="AB39" s="106">
        <v>2369</v>
      </c>
      <c r="AC39" s="106">
        <f t="shared" si="7"/>
        <v>0</v>
      </c>
      <c r="AD39" s="106">
        <v>2369</v>
      </c>
      <c r="AE39" s="107">
        <f t="shared" si="8"/>
        <v>-737</v>
      </c>
    </row>
    <row r="40" spans="2:31" ht="15.6" customHeight="1" x14ac:dyDescent="0.3">
      <c r="N40" s="212"/>
      <c r="O40" s="94" t="s">
        <v>69</v>
      </c>
      <c r="P40" s="108"/>
      <c r="Q40" s="108">
        <v>2735</v>
      </c>
      <c r="R40" s="108">
        <v>0</v>
      </c>
      <c r="S40" s="108">
        <f t="shared" si="2"/>
        <v>539.5</v>
      </c>
      <c r="T40" s="108">
        <v>1079</v>
      </c>
      <c r="U40" s="108">
        <f t="shared" si="3"/>
        <v>648</v>
      </c>
      <c r="V40" s="108">
        <v>2375</v>
      </c>
      <c r="W40" s="108">
        <f t="shared" si="4"/>
        <v>181</v>
      </c>
      <c r="X40" s="108">
        <v>2737</v>
      </c>
      <c r="Y40" s="108">
        <f t="shared" si="5"/>
        <v>0</v>
      </c>
      <c r="Z40" s="108">
        <v>2737</v>
      </c>
      <c r="AA40" s="108">
        <f t="shared" si="6"/>
        <v>0</v>
      </c>
      <c r="AB40" s="108">
        <v>2737</v>
      </c>
      <c r="AC40" s="108">
        <f t="shared" si="7"/>
        <v>0</v>
      </c>
      <c r="AD40" s="108">
        <v>2737</v>
      </c>
      <c r="AE40" s="109">
        <f t="shared" si="8"/>
        <v>2</v>
      </c>
    </row>
    <row r="41" spans="2:31" ht="15.6" customHeight="1" x14ac:dyDescent="0.3">
      <c r="N41" s="212"/>
      <c r="O41" s="95" t="s">
        <v>70</v>
      </c>
      <c r="P41" s="106"/>
      <c r="Q41" s="106">
        <v>831</v>
      </c>
      <c r="R41" s="106">
        <v>250</v>
      </c>
      <c r="S41" s="106">
        <f t="shared" si="2"/>
        <v>-40</v>
      </c>
      <c r="T41" s="106">
        <v>170</v>
      </c>
      <c r="U41" s="106">
        <f t="shared" si="3"/>
        <v>94</v>
      </c>
      <c r="V41" s="106">
        <v>358</v>
      </c>
      <c r="W41" s="106">
        <f t="shared" si="4"/>
        <v>114.5</v>
      </c>
      <c r="X41" s="106">
        <v>587</v>
      </c>
      <c r="Y41" s="106">
        <f t="shared" si="5"/>
        <v>0</v>
      </c>
      <c r="Z41" s="106">
        <v>587</v>
      </c>
      <c r="AA41" s="106">
        <f t="shared" si="6"/>
        <v>0</v>
      </c>
      <c r="AB41" s="106">
        <v>587</v>
      </c>
      <c r="AC41" s="106">
        <f t="shared" si="7"/>
        <v>0</v>
      </c>
      <c r="AD41" s="106">
        <v>587</v>
      </c>
      <c r="AE41" s="107">
        <f t="shared" si="8"/>
        <v>-244</v>
      </c>
    </row>
    <row r="42" spans="2:31" ht="15.6" customHeight="1" x14ac:dyDescent="0.3">
      <c r="N42" s="212"/>
      <c r="O42" s="94" t="s">
        <v>71</v>
      </c>
      <c r="P42" s="108"/>
      <c r="Q42" s="108">
        <v>1195</v>
      </c>
      <c r="R42" s="108">
        <v>0</v>
      </c>
      <c r="S42" s="108">
        <f t="shared" si="2"/>
        <v>403</v>
      </c>
      <c r="T42" s="108">
        <v>806</v>
      </c>
      <c r="U42" s="108">
        <f t="shared" si="3"/>
        <v>81.5</v>
      </c>
      <c r="V42" s="108">
        <v>969</v>
      </c>
      <c r="W42" s="108">
        <f t="shared" si="4"/>
        <v>0</v>
      </c>
      <c r="X42" s="108">
        <v>969</v>
      </c>
      <c r="Y42" s="108">
        <f t="shared" si="5"/>
        <v>0</v>
      </c>
      <c r="Z42" s="108">
        <v>969</v>
      </c>
      <c r="AA42" s="108">
        <f t="shared" si="6"/>
        <v>0</v>
      </c>
      <c r="AB42" s="108">
        <v>969</v>
      </c>
      <c r="AC42" s="108">
        <f t="shared" si="7"/>
        <v>0</v>
      </c>
      <c r="AD42" s="108">
        <v>969</v>
      </c>
      <c r="AE42" s="109">
        <f t="shared" si="8"/>
        <v>-226</v>
      </c>
    </row>
    <row r="43" spans="2:31" ht="15.6" customHeight="1" x14ac:dyDescent="0.3">
      <c r="N43" s="212"/>
      <c r="O43" s="95" t="s">
        <v>72</v>
      </c>
      <c r="P43" s="106"/>
      <c r="Q43" s="106">
        <v>1648</v>
      </c>
      <c r="R43" s="106">
        <v>376</v>
      </c>
      <c r="S43" s="106" t="str">
        <f t="shared" si="2"/>
        <v/>
      </c>
      <c r="T43" s="106">
        <v>0</v>
      </c>
      <c r="U43" s="106">
        <f t="shared" si="3"/>
        <v>203</v>
      </c>
      <c r="V43" s="106">
        <v>406</v>
      </c>
      <c r="W43" s="106">
        <f t="shared" si="4"/>
        <v>0</v>
      </c>
      <c r="X43" s="106">
        <v>406</v>
      </c>
      <c r="Y43" s="106">
        <f t="shared" si="5"/>
        <v>0</v>
      </c>
      <c r="Z43" s="106">
        <v>406</v>
      </c>
      <c r="AA43" s="106">
        <f t="shared" si="6"/>
        <v>0</v>
      </c>
      <c r="AB43" s="106">
        <v>406</v>
      </c>
      <c r="AC43" s="106">
        <f t="shared" si="7"/>
        <v>0</v>
      </c>
      <c r="AD43" s="106">
        <v>406</v>
      </c>
      <c r="AE43" s="107">
        <f t="shared" si="8"/>
        <v>-1242</v>
      </c>
    </row>
    <row r="44" spans="2:31" ht="15.6" customHeight="1" thickBot="1" x14ac:dyDescent="0.35">
      <c r="N44" s="213"/>
      <c r="O44" s="97" t="s">
        <v>73</v>
      </c>
      <c r="P44" s="110"/>
      <c r="Q44" s="110">
        <v>1508</v>
      </c>
      <c r="R44" s="110">
        <v>482</v>
      </c>
      <c r="S44" s="110">
        <f t="shared" si="2"/>
        <v>-10</v>
      </c>
      <c r="T44" s="110">
        <v>462</v>
      </c>
      <c r="U44" s="110">
        <f t="shared" si="3"/>
        <v>56</v>
      </c>
      <c r="V44" s="110">
        <v>574</v>
      </c>
      <c r="W44" s="110">
        <f t="shared" si="4"/>
        <v>58</v>
      </c>
      <c r="X44" s="110">
        <v>690</v>
      </c>
      <c r="Y44" s="110">
        <f t="shared" si="5"/>
        <v>0</v>
      </c>
      <c r="Z44" s="110">
        <v>690</v>
      </c>
      <c r="AA44" s="110">
        <f t="shared" si="6"/>
        <v>0</v>
      </c>
      <c r="AB44" s="110">
        <v>690</v>
      </c>
      <c r="AC44" s="110">
        <f t="shared" si="7"/>
        <v>0</v>
      </c>
      <c r="AD44" s="110">
        <v>690</v>
      </c>
      <c r="AE44" s="111">
        <f t="shared" si="8"/>
        <v>-818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5407</v>
      </c>
      <c r="R45" s="112">
        <v>1000</v>
      </c>
      <c r="S45" s="112" t="str">
        <f t="shared" si="2"/>
        <v/>
      </c>
      <c r="T45" s="112">
        <v>0</v>
      </c>
      <c r="U45" s="112">
        <f t="shared" si="3"/>
        <v>632</v>
      </c>
      <c r="V45" s="112">
        <v>1264</v>
      </c>
      <c r="W45" s="112">
        <f t="shared" si="4"/>
        <v>546</v>
      </c>
      <c r="X45" s="112">
        <v>2356</v>
      </c>
      <c r="Y45" s="112">
        <f t="shared" si="5"/>
        <v>0</v>
      </c>
      <c r="Z45" s="112">
        <v>2356</v>
      </c>
      <c r="AA45" s="112">
        <f t="shared" si="6"/>
        <v>0</v>
      </c>
      <c r="AB45" s="112">
        <v>2356</v>
      </c>
      <c r="AC45" s="112">
        <f t="shared" si="7"/>
        <v>0</v>
      </c>
      <c r="AD45" s="112">
        <v>2356</v>
      </c>
      <c r="AE45" s="113">
        <f t="shared" si="8"/>
        <v>-3051</v>
      </c>
    </row>
    <row r="46" spans="2:31" ht="15.6" customHeight="1" x14ac:dyDescent="0.3">
      <c r="N46" s="212"/>
      <c r="O46" s="94" t="s">
        <v>66</v>
      </c>
      <c r="P46" s="108"/>
      <c r="Q46" s="108">
        <v>4054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780</v>
      </c>
      <c r="V46" s="108">
        <v>1560</v>
      </c>
      <c r="W46" s="108">
        <f t="shared" si="4"/>
        <v>0</v>
      </c>
      <c r="X46" s="108">
        <v>1560</v>
      </c>
      <c r="Y46" s="108">
        <f t="shared" si="5"/>
        <v>712</v>
      </c>
      <c r="Z46" s="108">
        <v>2984</v>
      </c>
      <c r="AA46" s="108">
        <f t="shared" si="6"/>
        <v>0</v>
      </c>
      <c r="AB46" s="108">
        <v>2984</v>
      </c>
      <c r="AC46" s="108">
        <f t="shared" si="7"/>
        <v>0</v>
      </c>
      <c r="AD46" s="108">
        <v>2984</v>
      </c>
      <c r="AE46" s="109">
        <f t="shared" si="8"/>
        <v>-1070</v>
      </c>
    </row>
    <row r="47" spans="2:31" ht="15.6" customHeight="1" x14ac:dyDescent="0.3">
      <c r="N47" s="212"/>
      <c r="O47" s="95" t="s">
        <v>67</v>
      </c>
      <c r="P47" s="106"/>
      <c r="Q47" s="106">
        <v>2659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141.5</v>
      </c>
      <c r="X47" s="106">
        <v>283</v>
      </c>
      <c r="Y47" s="106">
        <f t="shared" si="5"/>
        <v>918</v>
      </c>
      <c r="Z47" s="106">
        <v>2119</v>
      </c>
      <c r="AA47" s="106">
        <f t="shared" si="6"/>
        <v>0</v>
      </c>
      <c r="AB47" s="106">
        <v>2119</v>
      </c>
      <c r="AC47" s="106">
        <f t="shared" si="7"/>
        <v>0</v>
      </c>
      <c r="AD47" s="106">
        <v>2119</v>
      </c>
      <c r="AE47" s="107">
        <f t="shared" si="8"/>
        <v>-540</v>
      </c>
    </row>
    <row r="48" spans="2:31" ht="15.6" customHeight="1" thickBot="1" x14ac:dyDescent="0.35">
      <c r="N48" s="213"/>
      <c r="O48" s="97" t="s">
        <v>68</v>
      </c>
      <c r="P48" s="110"/>
      <c r="Q48" s="110">
        <v>4737</v>
      </c>
      <c r="R48" s="110">
        <v>1800</v>
      </c>
      <c r="S48" s="110" t="str">
        <f t="shared" si="2"/>
        <v/>
      </c>
      <c r="T48" s="110">
        <v>0</v>
      </c>
      <c r="U48" s="110">
        <f t="shared" si="3"/>
        <v>504.5</v>
      </c>
      <c r="V48" s="110">
        <v>1009</v>
      </c>
      <c r="W48" s="110">
        <f t="shared" si="4"/>
        <v>0</v>
      </c>
      <c r="X48" s="110">
        <v>1009</v>
      </c>
      <c r="Y48" s="110">
        <f t="shared" si="5"/>
        <v>927.5</v>
      </c>
      <c r="Z48" s="110">
        <v>2864</v>
      </c>
      <c r="AA48" s="110">
        <f t="shared" si="6"/>
        <v>0</v>
      </c>
      <c r="AB48" s="110">
        <v>2864</v>
      </c>
      <c r="AC48" s="110">
        <f t="shared" si="7"/>
        <v>0</v>
      </c>
      <c r="AD48" s="110">
        <v>2864</v>
      </c>
      <c r="AE48" s="111">
        <f t="shared" si="8"/>
        <v>-1873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395</v>
      </c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>
        <f t="shared" si="4"/>
        <v>61.5</v>
      </c>
      <c r="X49" s="112">
        <v>123</v>
      </c>
      <c r="Y49" s="112">
        <f t="shared" si="5"/>
        <v>90</v>
      </c>
      <c r="Z49" s="112">
        <v>303</v>
      </c>
      <c r="AA49" s="112">
        <f t="shared" si="6"/>
        <v>0</v>
      </c>
      <c r="AB49" s="112">
        <v>303</v>
      </c>
      <c r="AC49" s="112">
        <f t="shared" si="7"/>
        <v>0</v>
      </c>
      <c r="AD49" s="112">
        <v>303</v>
      </c>
      <c r="AE49" s="113">
        <f t="shared" si="8"/>
        <v>-92</v>
      </c>
    </row>
    <row r="50" spans="14:31" ht="15.6" customHeight="1" x14ac:dyDescent="0.3">
      <c r="N50" s="212"/>
      <c r="O50" s="94" t="s">
        <v>66</v>
      </c>
      <c r="P50" s="108"/>
      <c r="Q50" s="108">
        <v>356</v>
      </c>
      <c r="R50" s="108">
        <v>1237</v>
      </c>
      <c r="S50" s="108" t="str">
        <f t="shared" si="2"/>
        <v/>
      </c>
      <c r="T50" s="108">
        <v>0</v>
      </c>
      <c r="U50" s="108" t="str">
        <f t="shared" si="3"/>
        <v/>
      </c>
      <c r="V50" s="108">
        <v>0</v>
      </c>
      <c r="W50" s="108">
        <f t="shared" si="4"/>
        <v>99</v>
      </c>
      <c r="X50" s="108">
        <v>198</v>
      </c>
      <c r="Y50" s="108">
        <f t="shared" si="5"/>
        <v>0</v>
      </c>
      <c r="Z50" s="108">
        <v>198</v>
      </c>
      <c r="AA50" s="108">
        <f t="shared" si="6"/>
        <v>0</v>
      </c>
      <c r="AB50" s="108">
        <v>198</v>
      </c>
      <c r="AC50" s="108">
        <f t="shared" si="7"/>
        <v>0</v>
      </c>
      <c r="AD50" s="108">
        <v>198</v>
      </c>
      <c r="AE50" s="109">
        <f t="shared" si="8"/>
        <v>-158</v>
      </c>
    </row>
    <row r="51" spans="14:31" ht="15.6" customHeight="1" x14ac:dyDescent="0.3">
      <c r="N51" s="212"/>
      <c r="O51" s="95" t="s">
        <v>67</v>
      </c>
      <c r="P51" s="106"/>
      <c r="Q51" s="106">
        <v>2690</v>
      </c>
      <c r="R51" s="106">
        <v>465</v>
      </c>
      <c r="S51" s="106">
        <f t="shared" si="2"/>
        <v>-97.5</v>
      </c>
      <c r="T51" s="106">
        <v>270</v>
      </c>
      <c r="U51" s="106">
        <f t="shared" si="3"/>
        <v>199</v>
      </c>
      <c r="V51" s="106">
        <v>668</v>
      </c>
      <c r="W51" s="106">
        <f t="shared" si="4"/>
        <v>0</v>
      </c>
      <c r="X51" s="106">
        <v>668</v>
      </c>
      <c r="Y51" s="106">
        <f t="shared" si="5"/>
        <v>0</v>
      </c>
      <c r="Z51" s="106">
        <v>668</v>
      </c>
      <c r="AA51" s="106">
        <f t="shared" si="6"/>
        <v>0</v>
      </c>
      <c r="AB51" s="106">
        <v>668</v>
      </c>
      <c r="AC51" s="106">
        <f t="shared" si="7"/>
        <v>0</v>
      </c>
      <c r="AD51" s="106">
        <v>668</v>
      </c>
      <c r="AE51" s="107">
        <f t="shared" si="8"/>
        <v>-2022</v>
      </c>
    </row>
    <row r="52" spans="14:31" ht="15.6" customHeight="1" x14ac:dyDescent="0.3">
      <c r="N52" s="212"/>
      <c r="O52" s="94" t="s">
        <v>68</v>
      </c>
      <c r="P52" s="108"/>
      <c r="Q52" s="108">
        <v>827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 t="str">
        <f t="shared" si="4"/>
        <v/>
      </c>
      <c r="X52" s="108">
        <v>0</v>
      </c>
      <c r="Y52" s="108">
        <f t="shared" si="5"/>
        <v>165.5</v>
      </c>
      <c r="Z52" s="108">
        <v>331</v>
      </c>
      <c r="AA52" s="108">
        <f t="shared" si="6"/>
        <v>265</v>
      </c>
      <c r="AB52" s="108">
        <v>861</v>
      </c>
      <c r="AC52" s="108">
        <f t="shared" si="7"/>
        <v>0</v>
      </c>
      <c r="AD52" s="108">
        <v>861</v>
      </c>
      <c r="AE52" s="109">
        <f t="shared" si="8"/>
        <v>34</v>
      </c>
    </row>
    <row r="53" spans="14:31" ht="15.6" customHeight="1" x14ac:dyDescent="0.3">
      <c r="N53" s="212"/>
      <c r="O53" s="95" t="s">
        <v>69</v>
      </c>
      <c r="P53" s="106"/>
      <c r="Q53" s="106">
        <v>4197</v>
      </c>
      <c r="R53" s="106">
        <v>0</v>
      </c>
      <c r="S53" s="106">
        <f t="shared" si="2"/>
        <v>95.5</v>
      </c>
      <c r="T53" s="106">
        <v>191</v>
      </c>
      <c r="U53" s="106">
        <f t="shared" si="3"/>
        <v>0</v>
      </c>
      <c r="V53" s="106">
        <v>191</v>
      </c>
      <c r="W53" s="106">
        <f t="shared" si="4"/>
        <v>391</v>
      </c>
      <c r="X53" s="106">
        <v>973</v>
      </c>
      <c r="Y53" s="106">
        <f t="shared" si="5"/>
        <v>429.5</v>
      </c>
      <c r="Z53" s="106">
        <v>1832</v>
      </c>
      <c r="AA53" s="106">
        <f t="shared" si="6"/>
        <v>177</v>
      </c>
      <c r="AB53" s="106">
        <v>2186</v>
      </c>
      <c r="AC53" s="106">
        <f t="shared" si="7"/>
        <v>0</v>
      </c>
      <c r="AD53" s="106">
        <v>2186</v>
      </c>
      <c r="AE53" s="107">
        <f t="shared" si="8"/>
        <v>-2011</v>
      </c>
    </row>
    <row r="54" spans="14:31" ht="15.6" customHeight="1" x14ac:dyDescent="0.3">
      <c r="N54" s="212"/>
      <c r="O54" s="94" t="s">
        <v>70</v>
      </c>
      <c r="P54" s="108"/>
      <c r="Q54" s="108">
        <v>1447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153</v>
      </c>
      <c r="Z54" s="108">
        <v>306</v>
      </c>
      <c r="AA54" s="108">
        <f t="shared" si="6"/>
        <v>570.5</v>
      </c>
      <c r="AB54" s="108">
        <v>1447</v>
      </c>
      <c r="AC54" s="108">
        <f t="shared" si="7"/>
        <v>0</v>
      </c>
      <c r="AD54" s="108">
        <v>1447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943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152</v>
      </c>
      <c r="X55" s="106">
        <v>304</v>
      </c>
      <c r="Y55" s="106">
        <f t="shared" si="5"/>
        <v>180</v>
      </c>
      <c r="Z55" s="106">
        <v>664</v>
      </c>
      <c r="AA55" s="106">
        <f t="shared" si="6"/>
        <v>138</v>
      </c>
      <c r="AB55" s="106">
        <v>940</v>
      </c>
      <c r="AC55" s="106">
        <f t="shared" si="7"/>
        <v>0</v>
      </c>
      <c r="AD55" s="106">
        <v>940</v>
      </c>
      <c r="AE55" s="107">
        <f t="shared" si="8"/>
        <v>-3</v>
      </c>
    </row>
    <row r="56" spans="14:31" ht="15.6" customHeight="1" x14ac:dyDescent="0.3">
      <c r="N56" s="212"/>
      <c r="O56" s="94" t="s">
        <v>72</v>
      </c>
      <c r="P56" s="108"/>
      <c r="Q56" s="108">
        <v>468</v>
      </c>
      <c r="R56" s="108">
        <v>0</v>
      </c>
      <c r="S56" s="108" t="str">
        <f t="shared" si="2"/>
        <v/>
      </c>
      <c r="T56" s="108">
        <v>0</v>
      </c>
      <c r="U56" s="108" t="str">
        <f t="shared" si="3"/>
        <v/>
      </c>
      <c r="V56" s="108">
        <v>0</v>
      </c>
      <c r="W56" s="108">
        <f t="shared" si="4"/>
        <v>68</v>
      </c>
      <c r="X56" s="108">
        <v>136</v>
      </c>
      <c r="Y56" s="108">
        <f t="shared" si="5"/>
        <v>64</v>
      </c>
      <c r="Z56" s="108">
        <v>264</v>
      </c>
      <c r="AA56" s="108">
        <f t="shared" si="6"/>
        <v>91</v>
      </c>
      <c r="AB56" s="108">
        <v>446</v>
      </c>
      <c r="AC56" s="108">
        <f t="shared" si="7"/>
        <v>0</v>
      </c>
      <c r="AD56" s="108">
        <v>446</v>
      </c>
      <c r="AE56" s="109">
        <f t="shared" si="8"/>
        <v>-22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80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4745</v>
      </c>
      <c r="R58" s="104">
        <v>247</v>
      </c>
      <c r="S58" s="104">
        <f t="shared" si="2"/>
        <v>343</v>
      </c>
      <c r="T58" s="104">
        <v>933</v>
      </c>
      <c r="U58" s="104">
        <f t="shared" si="3"/>
        <v>590</v>
      </c>
      <c r="V58" s="104">
        <v>2113</v>
      </c>
      <c r="W58" s="104">
        <f t="shared" si="4"/>
        <v>190.5</v>
      </c>
      <c r="X58" s="104">
        <v>2494</v>
      </c>
      <c r="Y58" s="104">
        <f t="shared" si="5"/>
        <v>1050</v>
      </c>
      <c r="Z58" s="104">
        <v>4594</v>
      </c>
      <c r="AA58" s="104">
        <f t="shared" si="6"/>
        <v>0</v>
      </c>
      <c r="AB58" s="104">
        <v>4594</v>
      </c>
      <c r="AC58" s="104">
        <f t="shared" si="7"/>
        <v>0</v>
      </c>
      <c r="AD58" s="104">
        <v>4594</v>
      </c>
      <c r="AE58" s="105">
        <f t="shared" si="8"/>
        <v>-151</v>
      </c>
    </row>
    <row r="59" spans="14:31" ht="15.6" customHeight="1" x14ac:dyDescent="0.3">
      <c r="N59" s="212"/>
      <c r="O59" s="95" t="s">
        <v>66</v>
      </c>
      <c r="P59" s="106"/>
      <c r="Q59" s="106">
        <v>4779</v>
      </c>
      <c r="R59" s="106">
        <v>375</v>
      </c>
      <c r="S59" s="106">
        <f t="shared" si="2"/>
        <v>763</v>
      </c>
      <c r="T59" s="106">
        <v>1901</v>
      </c>
      <c r="U59" s="106">
        <f t="shared" si="3"/>
        <v>205</v>
      </c>
      <c r="V59" s="106">
        <v>2311</v>
      </c>
      <c r="W59" s="106">
        <f t="shared" si="4"/>
        <v>624.5</v>
      </c>
      <c r="X59" s="106">
        <v>3560</v>
      </c>
      <c r="Y59" s="106">
        <f t="shared" si="5"/>
        <v>297.5</v>
      </c>
      <c r="Z59" s="106">
        <v>4155</v>
      </c>
      <c r="AA59" s="106">
        <f t="shared" si="6"/>
        <v>0</v>
      </c>
      <c r="AB59" s="106">
        <v>4155</v>
      </c>
      <c r="AC59" s="106">
        <f t="shared" si="7"/>
        <v>0</v>
      </c>
      <c r="AD59" s="106">
        <v>4155</v>
      </c>
      <c r="AE59" s="107">
        <f t="shared" si="8"/>
        <v>-624</v>
      </c>
    </row>
    <row r="60" spans="14:31" ht="15.6" customHeight="1" x14ac:dyDescent="0.3">
      <c r="N60" s="212"/>
      <c r="O60" s="94" t="s">
        <v>67</v>
      </c>
      <c r="P60" s="108"/>
      <c r="Q60" s="108">
        <v>3898</v>
      </c>
      <c r="R60" s="108">
        <v>205</v>
      </c>
      <c r="S60" s="108">
        <f t="shared" si="2"/>
        <v>153.5</v>
      </c>
      <c r="T60" s="108">
        <v>512</v>
      </c>
      <c r="U60" s="108">
        <f t="shared" si="3"/>
        <v>251.5</v>
      </c>
      <c r="V60" s="108">
        <v>1015</v>
      </c>
      <c r="W60" s="108">
        <f t="shared" si="4"/>
        <v>578.5</v>
      </c>
      <c r="X60" s="108">
        <v>2172</v>
      </c>
      <c r="Y60" s="108">
        <f t="shared" si="5"/>
        <v>0</v>
      </c>
      <c r="Z60" s="108">
        <v>2172</v>
      </c>
      <c r="AA60" s="108">
        <f t="shared" si="6"/>
        <v>0</v>
      </c>
      <c r="AB60" s="108">
        <v>2172</v>
      </c>
      <c r="AC60" s="108">
        <f t="shared" si="7"/>
        <v>0</v>
      </c>
      <c r="AD60" s="108">
        <v>2172</v>
      </c>
      <c r="AE60" s="109">
        <f t="shared" si="8"/>
        <v>-1726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8572</v>
      </c>
      <c r="R62" s="104">
        <v>342</v>
      </c>
      <c r="S62" s="104">
        <f t="shared" si="2"/>
        <v>-25.5</v>
      </c>
      <c r="T62" s="104">
        <v>291</v>
      </c>
      <c r="U62" s="104">
        <f t="shared" si="3"/>
        <v>97.5</v>
      </c>
      <c r="V62" s="104">
        <v>486</v>
      </c>
      <c r="W62" s="104">
        <f t="shared" si="4"/>
        <v>359</v>
      </c>
      <c r="X62" s="104">
        <v>1204</v>
      </c>
      <c r="Y62" s="104">
        <f t="shared" si="5"/>
        <v>1141</v>
      </c>
      <c r="Z62" s="104">
        <v>3486</v>
      </c>
      <c r="AA62" s="104">
        <f t="shared" si="6"/>
        <v>205.5</v>
      </c>
      <c r="AB62" s="104">
        <v>3897</v>
      </c>
      <c r="AC62" s="104">
        <f t="shared" si="7"/>
        <v>0</v>
      </c>
      <c r="AD62" s="104">
        <v>3897</v>
      </c>
      <c r="AE62" s="105">
        <f t="shared" si="8"/>
        <v>-4675</v>
      </c>
    </row>
    <row r="63" spans="14:31" ht="15.6" customHeight="1" x14ac:dyDescent="0.3">
      <c r="N63" s="212"/>
      <c r="O63" s="95" t="s">
        <v>66</v>
      </c>
      <c r="P63" s="106"/>
      <c r="Q63" s="106">
        <v>10407</v>
      </c>
      <c r="R63" s="106">
        <v>0</v>
      </c>
      <c r="S63" s="106" t="str">
        <f t="shared" si="2"/>
        <v/>
      </c>
      <c r="T63" s="106">
        <v>0</v>
      </c>
      <c r="U63" s="106">
        <f t="shared" si="3"/>
        <v>52</v>
      </c>
      <c r="V63" s="106">
        <v>104</v>
      </c>
      <c r="W63" s="106">
        <f t="shared" si="4"/>
        <v>296.5</v>
      </c>
      <c r="X63" s="106">
        <v>697</v>
      </c>
      <c r="Y63" s="106">
        <f t="shared" si="5"/>
        <v>2329.5</v>
      </c>
      <c r="Z63" s="106">
        <v>5356</v>
      </c>
      <c r="AA63" s="106">
        <f t="shared" si="6"/>
        <v>95</v>
      </c>
      <c r="AB63" s="106">
        <v>5546</v>
      </c>
      <c r="AC63" s="106">
        <f t="shared" si="7"/>
        <v>0</v>
      </c>
      <c r="AD63" s="106">
        <v>5546</v>
      </c>
      <c r="AE63" s="107">
        <f t="shared" si="8"/>
        <v>-4861</v>
      </c>
    </row>
    <row r="64" spans="14:31" ht="15.6" customHeight="1" x14ac:dyDescent="0.3">
      <c r="N64" s="212"/>
      <c r="O64" s="94" t="s">
        <v>67</v>
      </c>
      <c r="P64" s="108"/>
      <c r="Q64" s="108">
        <v>7763</v>
      </c>
      <c r="R64" s="108">
        <v>171</v>
      </c>
      <c r="S64" s="108">
        <f t="shared" si="2"/>
        <v>-11.5</v>
      </c>
      <c r="T64" s="108">
        <v>148</v>
      </c>
      <c r="U64" s="108">
        <f t="shared" si="3"/>
        <v>0</v>
      </c>
      <c r="V64" s="108">
        <v>148</v>
      </c>
      <c r="W64" s="108">
        <f t="shared" si="4"/>
        <v>728.5</v>
      </c>
      <c r="X64" s="108">
        <v>1605</v>
      </c>
      <c r="Y64" s="108">
        <f t="shared" si="5"/>
        <v>1051</v>
      </c>
      <c r="Z64" s="108">
        <v>3707</v>
      </c>
      <c r="AA64" s="108">
        <f t="shared" si="6"/>
        <v>24.5</v>
      </c>
      <c r="AB64" s="108">
        <v>3756</v>
      </c>
      <c r="AC64" s="108">
        <f t="shared" si="7"/>
        <v>0</v>
      </c>
      <c r="AD64" s="108">
        <v>3756</v>
      </c>
      <c r="AE64" s="109">
        <f t="shared" si="8"/>
        <v>-4007</v>
      </c>
    </row>
    <row r="65" spans="14:31" ht="15.6" customHeight="1" thickBot="1" x14ac:dyDescent="0.35">
      <c r="N65" s="213"/>
      <c r="O65" s="99" t="s">
        <v>68</v>
      </c>
      <c r="P65" s="114"/>
      <c r="Q65" s="114">
        <v>1700</v>
      </c>
      <c r="R65" s="114">
        <v>96</v>
      </c>
      <c r="S65" s="114">
        <f t="shared" si="2"/>
        <v>-0.5</v>
      </c>
      <c r="T65" s="114">
        <v>95</v>
      </c>
      <c r="U65" s="114">
        <f t="shared" si="3"/>
        <v>0</v>
      </c>
      <c r="V65" s="114">
        <v>95</v>
      </c>
      <c r="W65" s="114">
        <f t="shared" si="4"/>
        <v>160</v>
      </c>
      <c r="X65" s="114">
        <v>415</v>
      </c>
      <c r="Y65" s="114">
        <f t="shared" si="5"/>
        <v>65</v>
      </c>
      <c r="Z65" s="114">
        <v>545</v>
      </c>
      <c r="AA65" s="114">
        <f t="shared" si="6"/>
        <v>104.5</v>
      </c>
      <c r="AB65" s="114">
        <v>754</v>
      </c>
      <c r="AC65" s="114">
        <f t="shared" si="7"/>
        <v>0</v>
      </c>
      <c r="AD65" s="114">
        <v>754</v>
      </c>
      <c r="AE65" s="115">
        <f t="shared" si="8"/>
        <v>-946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31" priority="11" operator="lessThan">
      <formula>0</formula>
    </cfRule>
    <cfRule type="cellIs" dxfId="1930" priority="12" operator="greaterThan">
      <formula>0</formula>
    </cfRule>
  </conditionalFormatting>
  <conditionalFormatting sqref="R25:AC25">
    <cfRule type="cellIs" dxfId="1929" priority="9" operator="lessThan">
      <formula>0</formula>
    </cfRule>
    <cfRule type="cellIs" dxfId="1928" priority="10" operator="greaterThan">
      <formula>0</formula>
    </cfRule>
  </conditionalFormatting>
  <conditionalFormatting sqref="R26 T26 V26 X26 Z26 AB26">
    <cfRule type="cellIs" dxfId="1927" priority="7" operator="lessThan">
      <formula>0</formula>
    </cfRule>
    <cfRule type="cellIs" dxfId="1926" priority="8" operator="greaterThan">
      <formula>0</formula>
    </cfRule>
  </conditionalFormatting>
  <conditionalFormatting sqref="AD24:AE24">
    <cfRule type="cellIs" dxfId="1925" priority="5" operator="lessThan">
      <formula>0</formula>
    </cfRule>
    <cfRule type="cellIs" dxfId="1924" priority="6" operator="greaterThan">
      <formula>0</formula>
    </cfRule>
  </conditionalFormatting>
  <conditionalFormatting sqref="AD25:AE25">
    <cfRule type="cellIs" dxfId="1923" priority="3" operator="lessThan">
      <formula>0</formula>
    </cfRule>
    <cfRule type="cellIs" dxfId="1922" priority="4" operator="greaterThan">
      <formula>0</formula>
    </cfRule>
  </conditionalFormatting>
  <conditionalFormatting sqref="AD26">
    <cfRule type="cellIs" dxfId="1921" priority="1" operator="lessThan">
      <formula>0</formula>
    </cfRule>
    <cfRule type="cellIs" dxfId="192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1"/>
    <pageSetUpPr fitToPage="1"/>
  </sheetPr>
  <dimension ref="B1:AQ65"/>
  <sheetViews>
    <sheetView topLeftCell="G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44358</v>
      </c>
    </row>
    <row r="3" spans="2:42" ht="18.75" customHeight="1" thickBot="1" x14ac:dyDescent="0.35">
      <c r="B3" t="s">
        <v>1</v>
      </c>
      <c r="C3" s="3">
        <f>C2+1</f>
        <v>44359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21152</v>
      </c>
      <c r="G6" s="117">
        <v>18310.05237500001</v>
      </c>
      <c r="H6" s="117">
        <v>14184.764709799991</v>
      </c>
      <c r="I6" s="19">
        <f>G6+H6</f>
        <v>32494.817084800001</v>
      </c>
      <c r="J6" s="119">
        <v>17518</v>
      </c>
      <c r="K6" s="117">
        <v>16243.35325</v>
      </c>
      <c r="L6" s="117">
        <v>8551.2572370999987</v>
      </c>
      <c r="M6" s="19">
        <f>K6+L6</f>
        <v>24794.610487099999</v>
      </c>
      <c r="N6" s="85">
        <v>64</v>
      </c>
      <c r="O6" s="85">
        <v>47</v>
      </c>
      <c r="P6" s="92"/>
      <c r="Q6" s="20">
        <f>J6-P6</f>
        <v>17518</v>
      </c>
      <c r="R6" s="21">
        <v>4214</v>
      </c>
      <c r="S6" s="20">
        <f>IF(R6&gt;0,(R6-R7-$Q6),"")</f>
        <v>-13374</v>
      </c>
      <c r="T6" s="21">
        <v>4698</v>
      </c>
      <c r="U6" s="20">
        <f>IF(T6&gt;0,(T6-T7-$Q6),"")</f>
        <v>-12890</v>
      </c>
      <c r="V6" s="21">
        <v>9547</v>
      </c>
      <c r="W6" s="20">
        <f>IF(V6&gt;0,(V6-V7-$Q6),"")</f>
        <v>-8041</v>
      </c>
      <c r="X6" s="21">
        <v>13104</v>
      </c>
      <c r="Y6" s="20">
        <f>IF(X6&gt;0,(X6-X7-$Q6),"")</f>
        <v>-4484</v>
      </c>
      <c r="Z6" s="21">
        <v>13104</v>
      </c>
      <c r="AA6" s="20">
        <f>IF(Z6&gt;0,(Z6-Z7-$Q6),"")</f>
        <v>-4484</v>
      </c>
      <c r="AB6" s="21">
        <v>13104</v>
      </c>
      <c r="AC6" s="22">
        <f>IF(AB6&gt;0,(AB6-AB7-$Q6),"")</f>
        <v>-4484</v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474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70</v>
      </c>
      <c r="S7" s="24"/>
      <c r="T7" s="25">
        <v>70</v>
      </c>
      <c r="U7" s="24"/>
      <c r="V7" s="25">
        <v>70</v>
      </c>
      <c r="W7" s="24"/>
      <c r="X7" s="25">
        <v>70</v>
      </c>
      <c r="Y7" s="24"/>
      <c r="Z7" s="25">
        <v>70</v>
      </c>
      <c r="AA7" s="24"/>
      <c r="AB7" s="25">
        <v>70</v>
      </c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3015</v>
      </c>
      <c r="E8" s="29" t="s">
        <v>27</v>
      </c>
      <c r="F8" s="119">
        <v>13135</v>
      </c>
      <c r="G8" s="117">
        <v>5640.4250000000002</v>
      </c>
      <c r="H8" s="117">
        <v>1278.1063925000001</v>
      </c>
      <c r="I8" s="19">
        <f>G8+H8</f>
        <v>6918.5313925</v>
      </c>
      <c r="J8" s="119">
        <v>13526</v>
      </c>
      <c r="K8" s="117">
        <v>5784.2780000000002</v>
      </c>
      <c r="L8" s="117">
        <v>1289.8318302</v>
      </c>
      <c r="M8" s="19">
        <f>K8+L8</f>
        <v>7074.1098302</v>
      </c>
      <c r="N8" s="87">
        <v>32</v>
      </c>
      <c r="O8" s="87">
        <v>21</v>
      </c>
      <c r="P8" s="92"/>
      <c r="Q8" s="20">
        <f>J8-P8</f>
        <v>13526</v>
      </c>
      <c r="R8" s="21">
        <v>2400</v>
      </c>
      <c r="S8" s="20">
        <f>IF(R8&gt;0,(R8-R9-$Q8),"")</f>
        <v>-13526</v>
      </c>
      <c r="T8" s="21">
        <v>2400</v>
      </c>
      <c r="U8" s="20">
        <f>IF(T8&gt;0,(T8-T9-$Q8),"")</f>
        <v>-11126</v>
      </c>
      <c r="V8" s="21">
        <v>4772</v>
      </c>
      <c r="W8" s="20">
        <f>IF(V8&gt;0,(V8-V9-$Q8),"")</f>
        <v>-8954</v>
      </c>
      <c r="X8" s="21">
        <v>12563</v>
      </c>
      <c r="Y8" s="20">
        <f>IF(X8&gt;0,(X8-X9-$Q8),"")</f>
        <v>-1163</v>
      </c>
      <c r="Z8" s="21">
        <v>12922</v>
      </c>
      <c r="AA8" s="20">
        <f>IF(Z8&gt;0,(Z8-Z9-$Q8),"")</f>
        <v>-804</v>
      </c>
      <c r="AB8" s="21">
        <v>12922</v>
      </c>
      <c r="AC8" s="22">
        <f>IF(AB8&gt;0,(AB8-AB9-$Q8),"")</f>
        <v>-804</v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1981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2400</v>
      </c>
      <c r="S9" s="24"/>
      <c r="T9" s="30">
        <v>0</v>
      </c>
      <c r="U9" s="24"/>
      <c r="V9" s="30">
        <v>200</v>
      </c>
      <c r="W9" s="24"/>
      <c r="X9" s="30">
        <v>200</v>
      </c>
      <c r="Y9" s="24"/>
      <c r="Z9" s="30">
        <v>200</v>
      </c>
      <c r="AA9" s="24"/>
      <c r="AB9" s="30">
        <v>200</v>
      </c>
      <c r="AC9" s="26"/>
      <c r="AD9" s="30"/>
      <c r="AE9" s="26"/>
    </row>
    <row r="10" spans="2:42" x14ac:dyDescent="0.3">
      <c r="B10" s="16" t="s">
        <v>30</v>
      </c>
      <c r="C10" s="17">
        <v>4509</v>
      </c>
      <c r="E10" s="18" t="s">
        <v>31</v>
      </c>
      <c r="F10" s="119">
        <v>9691</v>
      </c>
      <c r="G10" s="117">
        <v>7733.0529999999999</v>
      </c>
      <c r="H10" s="117">
        <v>1888.6420874999999</v>
      </c>
      <c r="I10" s="19">
        <f>G10+H10</f>
        <v>9621.6950875000002</v>
      </c>
      <c r="J10" s="119">
        <v>9555</v>
      </c>
      <c r="K10" s="117">
        <v>7662.3830000000034</v>
      </c>
      <c r="L10" s="117">
        <v>1454.8127274999999</v>
      </c>
      <c r="M10" s="19">
        <f>K10+L10</f>
        <v>9117.1957275000041</v>
      </c>
      <c r="N10" s="88">
        <v>47</v>
      </c>
      <c r="O10" s="88">
        <v>35</v>
      </c>
      <c r="P10" s="92"/>
      <c r="Q10" s="20">
        <f>J10-P10</f>
        <v>9555</v>
      </c>
      <c r="R10" s="21">
        <v>3073</v>
      </c>
      <c r="S10" s="20">
        <f>IF(R10&gt;0,(R10-R11-$Q10),"")</f>
        <v>-7891</v>
      </c>
      <c r="T10" s="21">
        <v>3073</v>
      </c>
      <c r="U10" s="20">
        <f>IF(T10&gt;0,(T10-T11-$Q10),"")</f>
        <v>-7891</v>
      </c>
      <c r="V10" s="21">
        <v>4625</v>
      </c>
      <c r="W10" s="20">
        <f>IF(V10&gt;0,(V10-V11-$Q10),"")</f>
        <v>-6889</v>
      </c>
      <c r="X10" s="21">
        <v>7776</v>
      </c>
      <c r="Y10" s="20">
        <f>IF(X10&gt;0,(X10-X11-$Q10),"")</f>
        <v>-5028</v>
      </c>
      <c r="Z10" s="21">
        <v>8399</v>
      </c>
      <c r="AA10" s="20">
        <f>IF(Z10&gt;0,(Z10-Z11-$Q10),"")</f>
        <v>-4405</v>
      </c>
      <c r="AB10" s="21">
        <v>8399</v>
      </c>
      <c r="AC10" s="22">
        <f>IF(AB10&gt;0,(AB10-AB11-$Q10),"")</f>
        <v>-4405</v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2271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1409</v>
      </c>
      <c r="S11" s="24"/>
      <c r="T11" s="30">
        <v>1409</v>
      </c>
      <c r="U11" s="24"/>
      <c r="V11" s="30">
        <v>1959</v>
      </c>
      <c r="W11" s="24"/>
      <c r="X11" s="30">
        <v>3249</v>
      </c>
      <c r="Y11" s="24"/>
      <c r="Z11" s="30">
        <v>3249</v>
      </c>
      <c r="AA11" s="24"/>
      <c r="AB11" s="30">
        <v>3249</v>
      </c>
      <c r="AC11" s="26"/>
      <c r="AD11" s="30"/>
      <c r="AE11" s="26"/>
    </row>
    <row r="12" spans="2:42" x14ac:dyDescent="0.3">
      <c r="B12" s="16" t="s">
        <v>34</v>
      </c>
      <c r="C12" s="17">
        <v>1688</v>
      </c>
      <c r="E12" s="29" t="s">
        <v>35</v>
      </c>
      <c r="F12" s="119">
        <v>13466</v>
      </c>
      <c r="G12" s="117">
        <v>12888.205</v>
      </c>
      <c r="H12" s="117">
        <v>11755.380450340001</v>
      </c>
      <c r="I12" s="19">
        <f>G12+H12</f>
        <v>24643.585450340001</v>
      </c>
      <c r="J12" s="119">
        <v>13657</v>
      </c>
      <c r="K12" s="117">
        <v>13401.2945</v>
      </c>
      <c r="L12" s="117">
        <v>11857.219186660001</v>
      </c>
      <c r="M12" s="19">
        <f>K12+L12</f>
        <v>25258.513686660001</v>
      </c>
      <c r="N12" s="88">
        <v>42</v>
      </c>
      <c r="O12" s="88">
        <v>31</v>
      </c>
      <c r="P12" s="92"/>
      <c r="Q12" s="20">
        <f>J12-P12</f>
        <v>13657</v>
      </c>
      <c r="R12" s="21">
        <v>1598</v>
      </c>
      <c r="S12" s="20">
        <f>IF(R12&gt;0,(R12-R13-$Q12),"")</f>
        <v>-12805</v>
      </c>
      <c r="T12" s="21">
        <v>3319</v>
      </c>
      <c r="U12" s="20">
        <f>IF(T12&gt;0,(T12-T13-$Q12),"")</f>
        <v>-11531</v>
      </c>
      <c r="V12" s="21">
        <v>5038</v>
      </c>
      <c r="W12" s="20">
        <f>IF(V12&gt;0,(V12-V13-$Q12),"")</f>
        <v>-10160</v>
      </c>
      <c r="X12" s="21">
        <v>10088</v>
      </c>
      <c r="Y12" s="20">
        <f>IF(X12&gt;0,(X12-X13-$Q12),"")</f>
        <v>-5174</v>
      </c>
      <c r="Z12" s="21">
        <v>13201</v>
      </c>
      <c r="AA12" s="20">
        <f>IF(Z12&gt;0,(Z12-Z13-$Q12),"")</f>
        <v>-2791</v>
      </c>
      <c r="AB12" s="21">
        <v>13201</v>
      </c>
      <c r="AC12" s="22">
        <f>IF(AB12&gt;0,(AB12-AB13-$Q12),"")</f>
        <v>-2791</v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4911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746</v>
      </c>
      <c r="S13" s="24"/>
      <c r="T13" s="30">
        <v>1193</v>
      </c>
      <c r="U13" s="24"/>
      <c r="V13" s="30">
        <v>1541</v>
      </c>
      <c r="W13" s="24"/>
      <c r="X13" s="30">
        <v>1605</v>
      </c>
      <c r="Y13" s="24"/>
      <c r="Z13" s="30">
        <v>2335</v>
      </c>
      <c r="AA13" s="24"/>
      <c r="AB13" s="30">
        <v>2335</v>
      </c>
      <c r="AC13" s="26"/>
      <c r="AD13" s="30"/>
      <c r="AE13" s="26"/>
    </row>
    <row r="14" spans="2:42" x14ac:dyDescent="0.3">
      <c r="B14" s="16" t="s">
        <v>38</v>
      </c>
      <c r="C14" s="17">
        <v>7745</v>
      </c>
      <c r="E14" s="18" t="s">
        <v>39</v>
      </c>
      <c r="F14" s="119">
        <v>21192</v>
      </c>
      <c r="G14" s="117">
        <v>20002.9375</v>
      </c>
      <c r="H14" s="117">
        <v>25669.557901299999</v>
      </c>
      <c r="I14" s="19">
        <f>G14+H14</f>
        <v>45672.495401299995</v>
      </c>
      <c r="J14" s="119">
        <v>21606</v>
      </c>
      <c r="K14" s="117">
        <v>20722.4375</v>
      </c>
      <c r="L14" s="117">
        <v>25507.91556352</v>
      </c>
      <c r="M14" s="19">
        <f>K14+L14</f>
        <v>46230.35306352</v>
      </c>
      <c r="N14" s="88">
        <v>64</v>
      </c>
      <c r="O14" s="88">
        <v>51</v>
      </c>
      <c r="P14" s="92"/>
      <c r="Q14" s="20">
        <f>J14-P14</f>
        <v>21606</v>
      </c>
      <c r="R14" s="21">
        <v>3795</v>
      </c>
      <c r="S14" s="20">
        <f>IF(R14&gt;0,(R14-R15-$Q14),"")</f>
        <v>-20981</v>
      </c>
      <c r="T14" s="21">
        <v>6902</v>
      </c>
      <c r="U14" s="20">
        <f>IF(T14&gt;0,(T14-T15-$Q14),"")</f>
        <v>-20713</v>
      </c>
      <c r="V14" s="21">
        <v>8676</v>
      </c>
      <c r="W14" s="20">
        <f>IF(V14&gt;0,(V14-V15-$Q14),"")</f>
        <v>-20201</v>
      </c>
      <c r="X14" s="21">
        <v>10429</v>
      </c>
      <c r="Y14" s="20">
        <f>IF(X14&gt;0,(X14-X15-$Q14),"")</f>
        <v>-19443</v>
      </c>
      <c r="Z14" s="21">
        <v>10699</v>
      </c>
      <c r="AA14" s="20">
        <f>IF(Z14&gt;0,(Z14-Z15-$Q14),"")</f>
        <v>-19173</v>
      </c>
      <c r="AB14" s="21">
        <v>10699</v>
      </c>
      <c r="AC14" s="22">
        <f>IF(AB14&gt;0,(AB14-AB15-$Q14),"")</f>
        <v>-19173</v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3170</v>
      </c>
      <c r="S15" s="24"/>
      <c r="T15" s="25">
        <v>6009</v>
      </c>
      <c r="U15" s="24"/>
      <c r="V15" s="25">
        <v>7271</v>
      </c>
      <c r="W15" s="24"/>
      <c r="X15" s="25">
        <v>8266</v>
      </c>
      <c r="Y15" s="24"/>
      <c r="Z15" s="25">
        <v>8266</v>
      </c>
      <c r="AA15" s="24"/>
      <c r="AB15" s="25">
        <v>8266</v>
      </c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12770</v>
      </c>
      <c r="E16" s="84"/>
      <c r="F16" s="31">
        <f t="shared" ref="F16:N16" si="0">SUM(F6:F15)</f>
        <v>78636</v>
      </c>
      <c r="G16" s="31">
        <f t="shared" si="0"/>
        <v>64574.672875000011</v>
      </c>
      <c r="H16" s="31">
        <f t="shared" si="0"/>
        <v>54776.451541439994</v>
      </c>
      <c r="I16" s="32">
        <f t="shared" si="0"/>
        <v>119351.12441644</v>
      </c>
      <c r="J16" s="33">
        <f t="shared" si="0"/>
        <v>75862</v>
      </c>
      <c r="K16" s="33">
        <f t="shared" si="0"/>
        <v>63813.746249999997</v>
      </c>
      <c r="L16" s="33">
        <f t="shared" si="0"/>
        <v>48661.036544980001</v>
      </c>
      <c r="M16" s="33">
        <f t="shared" si="0"/>
        <v>112474.78279498</v>
      </c>
      <c r="N16" s="31">
        <f t="shared" si="0"/>
        <v>249</v>
      </c>
      <c r="O16" s="31">
        <f>SUM(O14,O12,O10,O8,O6)</f>
        <v>185</v>
      </c>
      <c r="P16" s="34">
        <f>SUM(P6:P15)</f>
        <v>0</v>
      </c>
      <c r="Q16" s="34">
        <f>SUM(Q6:Q15)</f>
        <v>75862</v>
      </c>
      <c r="R16" s="35">
        <f>R6+R8+R10+R12+R14-R7-R9-R11-R13-R15</f>
        <v>7285</v>
      </c>
      <c r="S16" s="36">
        <f>IF(R16&gt;1,(R16-$Q16),"")</f>
        <v>-68577</v>
      </c>
      <c r="T16" s="35">
        <f>T6+T8+T10+T12+T14-T7-T9-T11-T13-T15</f>
        <v>11711</v>
      </c>
      <c r="U16" s="36">
        <f>IF(T16&gt;1,(T16-$Q16),"")</f>
        <v>-64151</v>
      </c>
      <c r="V16" s="35">
        <f>V6+V8+V10+V12+V14-V7-V9-V11-V13-V15</f>
        <v>21617</v>
      </c>
      <c r="W16" s="36">
        <f>IF(V16&gt;1,(V16-$Q16),"")</f>
        <v>-54245</v>
      </c>
      <c r="X16" s="35">
        <f>X6+X8+X10+X12+X14-X7-X9-X11-X13-X15</f>
        <v>40570</v>
      </c>
      <c r="Y16" s="36">
        <f>IF(X16&gt;1,(X16-$Q16),"")</f>
        <v>-35292</v>
      </c>
      <c r="Z16" s="35">
        <f>Z6+Z8+Z10+Z12+Z14-Z7-Z9-Z11-Z13-Z15</f>
        <v>44205</v>
      </c>
      <c r="AA16" s="36">
        <f>IF(Z16&gt;1,(Z16-$Q16),"")</f>
        <v>-31657</v>
      </c>
      <c r="AB16" s="35">
        <f>AB6+AB8+AB10+AB12+AB14-AB7-AB9-AB11-AB13-AB15</f>
        <v>44205</v>
      </c>
      <c r="AC16" s="37">
        <f>IF(AB16&gt;1,(AB16-$Q16),"")</f>
        <v>-31657</v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7795</v>
      </c>
      <c r="S17" s="41"/>
      <c r="T17" s="40">
        <f>T15+T13+T11+T9+T7</f>
        <v>8681</v>
      </c>
      <c r="U17" s="41"/>
      <c r="V17" s="40">
        <f>V15+V13+V11+V9+V7</f>
        <v>11041</v>
      </c>
      <c r="W17" s="41"/>
      <c r="X17" s="40">
        <f>X15+X13+X11+X9+X7</f>
        <v>13390</v>
      </c>
      <c r="Y17" s="41"/>
      <c r="Z17" s="40">
        <f>Z15+Z13+Z11+Z9+Z7</f>
        <v>14120</v>
      </c>
      <c r="AA17" s="41"/>
      <c r="AB17" s="40">
        <f>AB15+AB13+AB11+AB9+AB7</f>
        <v>14120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3642.5</v>
      </c>
      <c r="S18" s="46"/>
      <c r="T18" s="47">
        <f>IF(T16&gt;0,(T16-R16)/2,"")</f>
        <v>2213</v>
      </c>
      <c r="U18" s="46"/>
      <c r="V18" s="47">
        <f>IF(V16&gt;0,(V16-T16)/2,"")</f>
        <v>4953</v>
      </c>
      <c r="W18" s="46"/>
      <c r="X18" s="47">
        <f>IF(X16&gt;0,(X16-V16)/2,"")</f>
        <v>9476.5</v>
      </c>
      <c r="Y18" s="46"/>
      <c r="Z18" s="47">
        <f>IF(Z16&gt;0,(Z16-X16)/2,"")</f>
        <v>1817.5</v>
      </c>
      <c r="AA18" s="46"/>
      <c r="AB18" s="47">
        <f>IF(AB16&gt;0,(AB16-Z16)/2,"")</f>
        <v>0</v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6546</v>
      </c>
      <c r="S20" s="36"/>
      <c r="T20" s="35">
        <v>9156</v>
      </c>
      <c r="U20" s="36"/>
      <c r="V20" s="35">
        <v>19606</v>
      </c>
      <c r="W20" s="36"/>
      <c r="X20" s="35">
        <v>29485</v>
      </c>
      <c r="Y20" s="36"/>
      <c r="Z20" s="35">
        <v>19606</v>
      </c>
      <c r="AA20" s="36"/>
      <c r="AB20" s="35">
        <v>50786</v>
      </c>
      <c r="AC20" s="37"/>
      <c r="AD20" s="35">
        <v>50786</v>
      </c>
      <c r="AE20" s="37"/>
    </row>
    <row r="21" spans="2:43" ht="15" customHeight="1" thickBot="1" x14ac:dyDescent="0.35">
      <c r="B21" s="16" t="s">
        <v>50</v>
      </c>
      <c r="C21" s="17">
        <v>7875</v>
      </c>
      <c r="L21" s="4"/>
      <c r="M21" s="4"/>
      <c r="Q21" s="52"/>
      <c r="R21" s="40">
        <v>1466</v>
      </c>
      <c r="S21" s="41"/>
      <c r="T21" s="40">
        <v>255</v>
      </c>
      <c r="U21" s="41"/>
      <c r="V21" s="40">
        <v>317</v>
      </c>
      <c r="W21" s="41"/>
      <c r="X21" s="40">
        <v>593</v>
      </c>
      <c r="Y21" s="41"/>
      <c r="Z21" s="40">
        <v>317</v>
      </c>
      <c r="AA21" s="41"/>
      <c r="AB21" s="40">
        <v>2022</v>
      </c>
      <c r="AC21" s="42"/>
      <c r="AD21" s="40">
        <v>2022</v>
      </c>
      <c r="AE21" s="42"/>
    </row>
    <row r="22" spans="2:43" ht="15" customHeight="1" thickBot="1" x14ac:dyDescent="0.35">
      <c r="B22" s="16" t="s">
        <v>51</v>
      </c>
      <c r="C22" s="17">
        <v>1063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4186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739</v>
      </c>
      <c r="S24" s="60"/>
      <c r="T24" s="60">
        <f>IF(T16&gt;0,T16-T20,"")</f>
        <v>2555</v>
      </c>
      <c r="U24" s="60"/>
      <c r="V24" s="60">
        <f>IF(V16&gt;0,V16-V20,"")</f>
        <v>2011</v>
      </c>
      <c r="W24" s="60"/>
      <c r="X24" s="60">
        <f>IF(X16&gt;0,X16-X20,"")</f>
        <v>11085</v>
      </c>
      <c r="Y24" s="60"/>
      <c r="Z24" s="60">
        <f>IF(Z16&gt;0,Z16-Z20,"")</f>
        <v>24599</v>
      </c>
      <c r="AA24" s="60"/>
      <c r="AB24" s="60">
        <f>IF(AB16&gt;0,AB16-AB20,"")</f>
        <v>-6581</v>
      </c>
      <c r="AC24" s="61"/>
      <c r="AD24" s="60" t="str">
        <f>IF(AD16&gt;0,AD16-AD20,"")</f>
        <v/>
      </c>
      <c r="AE24" s="61"/>
    </row>
    <row r="25" spans="2:43" x14ac:dyDescent="0.3">
      <c r="L25" s="4"/>
      <c r="M25" s="4"/>
      <c r="Q25" s="62"/>
      <c r="R25" s="63">
        <f>IF(R17&gt;=0,R17-R21,"")</f>
        <v>6329</v>
      </c>
      <c r="S25" s="64"/>
      <c r="T25" s="63">
        <f>IF(T17&gt;=0,T17-T21,"")</f>
        <v>8426</v>
      </c>
      <c r="U25" s="64"/>
      <c r="V25" s="63">
        <f>IF(V17&gt;=0,V17-V21,"")</f>
        <v>10724</v>
      </c>
      <c r="W25" s="64"/>
      <c r="X25" s="63">
        <f>IF(X17&gt;=0,X17-X21,"")</f>
        <v>12797</v>
      </c>
      <c r="Y25" s="64"/>
      <c r="Z25" s="63">
        <f>IF(Z17&gt;=0,Z17-Z21,"")</f>
        <v>13803</v>
      </c>
      <c r="AA25" s="64"/>
      <c r="AB25" s="63">
        <f>IF(AB17&gt;=0,AB17-AB21,"")</f>
        <v>12098</v>
      </c>
      <c r="AC25" s="65"/>
      <c r="AD25" s="63">
        <f>IF(AD17&gt;=0,AD17-AD21,"")</f>
        <v>-2022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-851</v>
      </c>
      <c r="S26" s="55"/>
      <c r="T26" s="67">
        <f>IFERROR(IF(T18&gt;0,T18-T22,""),"")</f>
        <v>653</v>
      </c>
      <c r="U26" s="55"/>
      <c r="V26" s="67">
        <f>IFERROR(IF(V18&gt;0,V18-V22,""),"")</f>
        <v>1896</v>
      </c>
      <c r="W26" s="55"/>
      <c r="X26" s="67">
        <f>IFERROR(IF(X18&gt;0,X18-X22,""),"")</f>
        <v>6469.5</v>
      </c>
      <c r="Y26" s="55"/>
      <c r="Z26" s="67">
        <f>IFERROR(IF(Z18&gt;0,Z18-Z22,""),"")</f>
        <v>-1057.5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12346</v>
      </c>
      <c r="D29" s="76">
        <f>C14</f>
        <v>7745</v>
      </c>
      <c r="E29" s="77">
        <f t="shared" ref="E29:E34" si="1">D29-C29</f>
        <v>-4601</v>
      </c>
      <c r="M29" s="4"/>
      <c r="O29" s="4"/>
    </row>
    <row r="30" spans="2:43" x14ac:dyDescent="0.3">
      <c r="B30" s="74" t="s">
        <v>56</v>
      </c>
      <c r="C30" s="75">
        <v>27565</v>
      </c>
      <c r="D30" s="76">
        <f>C7+C15+C16+C19+C20</f>
        <v>13244</v>
      </c>
      <c r="E30" s="77">
        <f t="shared" si="1"/>
        <v>-14321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13379</v>
      </c>
      <c r="D32" s="76">
        <f>C10+C11+C12+C13</f>
        <v>13379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12755</v>
      </c>
      <c r="D34" s="76">
        <f>C21+C22+C23</f>
        <v>13124</v>
      </c>
      <c r="E34" s="77">
        <f t="shared" si="1"/>
        <v>369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4996</v>
      </c>
      <c r="D35" s="80">
        <f>SUM(C8+C9)</f>
        <v>4996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2303</v>
      </c>
      <c r="R36" s="104">
        <v>190</v>
      </c>
      <c r="S36" s="104">
        <f t="shared" ref="S36:S65" si="2">IF(T36&gt;0,(T36-R36)/2,"")</f>
        <v>0</v>
      </c>
      <c r="T36" s="104">
        <v>190</v>
      </c>
      <c r="U36" s="104">
        <f t="shared" ref="U36:U65" si="3">IF(V36&gt;0,(V36-T36)/2,"")</f>
        <v>575.5</v>
      </c>
      <c r="V36" s="104">
        <v>1341</v>
      </c>
      <c r="W36" s="104">
        <f t="shared" ref="W36:W65" si="4">IF(X36&gt;0,(X36-V36)/2,"")</f>
        <v>0</v>
      </c>
      <c r="X36" s="104">
        <v>1341</v>
      </c>
      <c r="Y36" s="104">
        <f t="shared" ref="Y36:Y65" si="5">IF(Z36&gt;0,(Z36-X36)/2,"")</f>
        <v>0</v>
      </c>
      <c r="Z36" s="104">
        <v>1341</v>
      </c>
      <c r="AA36" s="104">
        <f t="shared" ref="AA36:AA65" si="6">IF(AB36&gt;0,(AB36-Z36)/2,"")</f>
        <v>0</v>
      </c>
      <c r="AB36" s="104">
        <v>1341</v>
      </c>
      <c r="AC36" s="104" t="str">
        <f t="shared" ref="AC36:AC65" si="7">IF(AD36&gt;0,(AD36-AB36)/2,"")</f>
        <v/>
      </c>
      <c r="AD36" s="104"/>
      <c r="AE36" s="105">
        <f t="shared" ref="AE36:AE65" si="8">AD36-Q36</f>
        <v>-2303</v>
      </c>
    </row>
    <row r="37" spans="2:31" ht="15.6" customHeight="1" x14ac:dyDescent="0.3">
      <c r="N37" s="212"/>
      <c r="O37" s="95" t="s">
        <v>66</v>
      </c>
      <c r="P37" s="106"/>
      <c r="Q37" s="106">
        <v>1621</v>
      </c>
      <c r="R37" s="106">
        <v>128</v>
      </c>
      <c r="S37" s="106">
        <f t="shared" si="2"/>
        <v>0</v>
      </c>
      <c r="T37" s="106">
        <v>128</v>
      </c>
      <c r="U37" s="106">
        <f t="shared" si="3"/>
        <v>121</v>
      </c>
      <c r="V37" s="106">
        <v>370</v>
      </c>
      <c r="W37" s="106">
        <f t="shared" si="4"/>
        <v>273.5</v>
      </c>
      <c r="X37" s="106">
        <v>917</v>
      </c>
      <c r="Y37" s="106">
        <f t="shared" si="5"/>
        <v>0</v>
      </c>
      <c r="Z37" s="106">
        <v>917</v>
      </c>
      <c r="AA37" s="106">
        <f t="shared" si="6"/>
        <v>0</v>
      </c>
      <c r="AB37" s="106">
        <v>917</v>
      </c>
      <c r="AC37" s="106" t="str">
        <f t="shared" si="7"/>
        <v/>
      </c>
      <c r="AD37" s="106"/>
      <c r="AE37" s="107">
        <f t="shared" si="8"/>
        <v>-1621</v>
      </c>
    </row>
    <row r="38" spans="2:31" ht="15.6" customHeight="1" x14ac:dyDescent="0.3">
      <c r="N38" s="212"/>
      <c r="O38" s="94" t="s">
        <v>67</v>
      </c>
      <c r="P38" s="108"/>
      <c r="Q38" s="108">
        <v>2695</v>
      </c>
      <c r="R38" s="108">
        <v>0</v>
      </c>
      <c r="S38" s="108" t="str">
        <f t="shared" si="2"/>
        <v/>
      </c>
      <c r="T38" s="108">
        <v>0</v>
      </c>
      <c r="U38" s="108">
        <f t="shared" si="3"/>
        <v>447.5</v>
      </c>
      <c r="V38" s="108">
        <v>895</v>
      </c>
      <c r="W38" s="108">
        <f t="shared" si="4"/>
        <v>0</v>
      </c>
      <c r="X38" s="108">
        <v>895</v>
      </c>
      <c r="Y38" s="108">
        <f t="shared" si="5"/>
        <v>0</v>
      </c>
      <c r="Z38" s="108">
        <v>895</v>
      </c>
      <c r="AA38" s="108">
        <f t="shared" si="6"/>
        <v>0</v>
      </c>
      <c r="AB38" s="108">
        <v>895</v>
      </c>
      <c r="AC38" s="108" t="str">
        <f t="shared" si="7"/>
        <v/>
      </c>
      <c r="AD38" s="108"/>
      <c r="AE38" s="109">
        <f t="shared" si="8"/>
        <v>-2695</v>
      </c>
    </row>
    <row r="39" spans="2:31" ht="15.6" customHeight="1" x14ac:dyDescent="0.3">
      <c r="N39" s="212"/>
      <c r="O39" s="95" t="s">
        <v>68</v>
      </c>
      <c r="P39" s="106"/>
      <c r="Q39" s="106">
        <v>3065</v>
      </c>
      <c r="R39" s="106">
        <v>753</v>
      </c>
      <c r="S39" s="106">
        <f t="shared" si="2"/>
        <v>0</v>
      </c>
      <c r="T39" s="106">
        <v>753</v>
      </c>
      <c r="U39" s="106">
        <f t="shared" si="3"/>
        <v>320</v>
      </c>
      <c r="V39" s="106">
        <v>1393</v>
      </c>
      <c r="W39" s="106">
        <f t="shared" si="4"/>
        <v>836</v>
      </c>
      <c r="X39" s="106">
        <v>3065</v>
      </c>
      <c r="Y39" s="106">
        <f t="shared" si="5"/>
        <v>0</v>
      </c>
      <c r="Z39" s="106">
        <v>3065</v>
      </c>
      <c r="AA39" s="106">
        <f t="shared" si="6"/>
        <v>0</v>
      </c>
      <c r="AB39" s="106">
        <v>3065</v>
      </c>
      <c r="AC39" s="106" t="str">
        <f t="shared" si="7"/>
        <v/>
      </c>
      <c r="AD39" s="106"/>
      <c r="AE39" s="107">
        <f t="shared" si="8"/>
        <v>-3065</v>
      </c>
    </row>
    <row r="40" spans="2:31" ht="15.6" customHeight="1" x14ac:dyDescent="0.3">
      <c r="N40" s="212"/>
      <c r="O40" s="94" t="s">
        <v>69</v>
      </c>
      <c r="P40" s="108"/>
      <c r="Q40" s="108">
        <v>2698</v>
      </c>
      <c r="R40" s="108">
        <v>923</v>
      </c>
      <c r="S40" s="108">
        <f t="shared" si="2"/>
        <v>0</v>
      </c>
      <c r="T40" s="108">
        <v>923</v>
      </c>
      <c r="U40" s="108">
        <f t="shared" si="3"/>
        <v>476</v>
      </c>
      <c r="V40" s="108">
        <v>1875</v>
      </c>
      <c r="W40" s="108">
        <f t="shared" si="4"/>
        <v>415</v>
      </c>
      <c r="X40" s="108">
        <v>2705</v>
      </c>
      <c r="Y40" s="108">
        <f t="shared" si="5"/>
        <v>0</v>
      </c>
      <c r="Z40" s="108">
        <v>2705</v>
      </c>
      <c r="AA40" s="108">
        <f t="shared" si="6"/>
        <v>0</v>
      </c>
      <c r="AB40" s="108">
        <v>2705</v>
      </c>
      <c r="AC40" s="108" t="str">
        <f t="shared" si="7"/>
        <v/>
      </c>
      <c r="AD40" s="108"/>
      <c r="AE40" s="109">
        <f t="shared" si="8"/>
        <v>-2698</v>
      </c>
    </row>
    <row r="41" spans="2:31" ht="15.6" customHeight="1" x14ac:dyDescent="0.3">
      <c r="N41" s="212"/>
      <c r="O41" s="95" t="s">
        <v>70</v>
      </c>
      <c r="P41" s="106"/>
      <c r="Q41" s="106">
        <v>743</v>
      </c>
      <c r="R41" s="106">
        <v>426</v>
      </c>
      <c r="S41" s="106">
        <f t="shared" si="2"/>
        <v>0</v>
      </c>
      <c r="T41" s="106">
        <v>426</v>
      </c>
      <c r="U41" s="106">
        <f t="shared" si="3"/>
        <v>0</v>
      </c>
      <c r="V41" s="106">
        <v>426</v>
      </c>
      <c r="W41" s="106">
        <f t="shared" si="4"/>
        <v>190</v>
      </c>
      <c r="X41" s="106">
        <v>806</v>
      </c>
      <c r="Y41" s="106">
        <f t="shared" si="5"/>
        <v>0</v>
      </c>
      <c r="Z41" s="106">
        <v>806</v>
      </c>
      <c r="AA41" s="106">
        <f t="shared" si="6"/>
        <v>0</v>
      </c>
      <c r="AB41" s="106">
        <v>806</v>
      </c>
      <c r="AC41" s="106" t="str">
        <f t="shared" si="7"/>
        <v/>
      </c>
      <c r="AD41" s="106"/>
      <c r="AE41" s="107">
        <f t="shared" si="8"/>
        <v>-743</v>
      </c>
    </row>
    <row r="42" spans="2:31" ht="15.6" customHeight="1" x14ac:dyDescent="0.3">
      <c r="N42" s="212"/>
      <c r="O42" s="94" t="s">
        <v>71</v>
      </c>
      <c r="P42" s="108"/>
      <c r="Q42" s="108">
        <v>1205</v>
      </c>
      <c r="R42" s="108">
        <v>553</v>
      </c>
      <c r="S42" s="108">
        <f t="shared" si="2"/>
        <v>0</v>
      </c>
      <c r="T42" s="108">
        <v>553</v>
      </c>
      <c r="U42" s="108">
        <f t="shared" si="3"/>
        <v>78</v>
      </c>
      <c r="V42" s="108">
        <v>709</v>
      </c>
      <c r="W42" s="108">
        <f t="shared" si="4"/>
        <v>0</v>
      </c>
      <c r="X42" s="108">
        <v>709</v>
      </c>
      <c r="Y42" s="108">
        <f t="shared" si="5"/>
        <v>0</v>
      </c>
      <c r="Z42" s="108">
        <v>709</v>
      </c>
      <c r="AA42" s="108">
        <f t="shared" si="6"/>
        <v>0</v>
      </c>
      <c r="AB42" s="108">
        <v>709</v>
      </c>
      <c r="AC42" s="108" t="str">
        <f t="shared" si="7"/>
        <v/>
      </c>
      <c r="AD42" s="108"/>
      <c r="AE42" s="109">
        <f t="shared" si="8"/>
        <v>-1205</v>
      </c>
    </row>
    <row r="43" spans="2:31" ht="15.6" customHeight="1" x14ac:dyDescent="0.3">
      <c r="N43" s="212"/>
      <c r="O43" s="95" t="s">
        <v>72</v>
      </c>
      <c r="P43" s="106"/>
      <c r="Q43" s="106">
        <v>1622</v>
      </c>
      <c r="R43" s="106">
        <v>726</v>
      </c>
      <c r="S43" s="106">
        <f t="shared" si="2"/>
        <v>0</v>
      </c>
      <c r="T43" s="106">
        <v>726</v>
      </c>
      <c r="U43" s="106">
        <f t="shared" si="3"/>
        <v>187</v>
      </c>
      <c r="V43" s="106">
        <v>1100</v>
      </c>
      <c r="W43" s="106">
        <f t="shared" si="4"/>
        <v>0</v>
      </c>
      <c r="X43" s="106">
        <v>1100</v>
      </c>
      <c r="Y43" s="106">
        <f t="shared" si="5"/>
        <v>0</v>
      </c>
      <c r="Z43" s="106">
        <v>1100</v>
      </c>
      <c r="AA43" s="106">
        <f t="shared" si="6"/>
        <v>0</v>
      </c>
      <c r="AB43" s="106">
        <v>1100</v>
      </c>
      <c r="AC43" s="106" t="str">
        <f t="shared" si="7"/>
        <v/>
      </c>
      <c r="AD43" s="106"/>
      <c r="AE43" s="107">
        <f t="shared" si="8"/>
        <v>-1622</v>
      </c>
    </row>
    <row r="44" spans="2:31" ht="15.6" customHeight="1" thickBot="1" x14ac:dyDescent="0.35">
      <c r="N44" s="213"/>
      <c r="O44" s="97" t="s">
        <v>73</v>
      </c>
      <c r="P44" s="110"/>
      <c r="Q44" s="110">
        <v>1566</v>
      </c>
      <c r="R44" s="110">
        <v>515</v>
      </c>
      <c r="S44" s="110">
        <f t="shared" si="2"/>
        <v>242</v>
      </c>
      <c r="T44" s="110">
        <v>999</v>
      </c>
      <c r="U44" s="110">
        <f t="shared" si="3"/>
        <v>219.5</v>
      </c>
      <c r="V44" s="110">
        <v>1438</v>
      </c>
      <c r="W44" s="110">
        <f t="shared" si="4"/>
        <v>64</v>
      </c>
      <c r="X44" s="110">
        <v>1566</v>
      </c>
      <c r="Y44" s="110">
        <f t="shared" si="5"/>
        <v>0</v>
      </c>
      <c r="Z44" s="110">
        <v>1566</v>
      </c>
      <c r="AA44" s="110">
        <f t="shared" si="6"/>
        <v>0</v>
      </c>
      <c r="AB44" s="110">
        <v>1566</v>
      </c>
      <c r="AC44" s="110" t="str">
        <f t="shared" si="7"/>
        <v/>
      </c>
      <c r="AD44" s="110"/>
      <c r="AE44" s="111">
        <f t="shared" si="8"/>
        <v>-1566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490.5</v>
      </c>
      <c r="V45" s="112">
        <v>1981</v>
      </c>
      <c r="W45" s="112">
        <f t="shared" si="4"/>
        <v>1293</v>
      </c>
      <c r="X45" s="112">
        <v>4567</v>
      </c>
      <c r="Y45" s="112">
        <f t="shared" si="5"/>
        <v>0</v>
      </c>
      <c r="Z45" s="112">
        <v>4567</v>
      </c>
      <c r="AA45" s="112">
        <f t="shared" si="6"/>
        <v>0</v>
      </c>
      <c r="AB45" s="112">
        <v>4567</v>
      </c>
      <c r="AC45" s="112" t="str">
        <f t="shared" si="7"/>
        <v/>
      </c>
      <c r="AD45" s="112"/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1637</v>
      </c>
      <c r="X46" s="108">
        <v>3274</v>
      </c>
      <c r="Y46" s="108">
        <f t="shared" si="5"/>
        <v>0</v>
      </c>
      <c r="Z46" s="108">
        <v>3274</v>
      </c>
      <c r="AA46" s="108">
        <f t="shared" si="6"/>
        <v>0</v>
      </c>
      <c r="AB46" s="108">
        <v>3274</v>
      </c>
      <c r="AC46" s="108" t="str">
        <f t="shared" si="7"/>
        <v/>
      </c>
      <c r="AD46" s="108"/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508</v>
      </c>
      <c r="X47" s="106">
        <v>1016</v>
      </c>
      <c r="Y47" s="106">
        <f t="shared" si="5"/>
        <v>150</v>
      </c>
      <c r="Z47" s="106">
        <v>1316</v>
      </c>
      <c r="AA47" s="106">
        <f t="shared" si="6"/>
        <v>0</v>
      </c>
      <c r="AB47" s="106">
        <v>1316</v>
      </c>
      <c r="AC47" s="106" t="str">
        <f t="shared" si="7"/>
        <v/>
      </c>
      <c r="AD47" s="106"/>
      <c r="AE47" s="107">
        <f t="shared" si="8"/>
        <v>0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1400</v>
      </c>
      <c r="S48" s="110">
        <f t="shared" si="2"/>
        <v>0</v>
      </c>
      <c r="T48" s="110">
        <v>1400</v>
      </c>
      <c r="U48" s="110">
        <f t="shared" si="3"/>
        <v>695.5</v>
      </c>
      <c r="V48" s="110">
        <v>2791</v>
      </c>
      <c r="W48" s="110">
        <f t="shared" si="4"/>
        <v>457.5</v>
      </c>
      <c r="X48" s="110">
        <v>3706</v>
      </c>
      <c r="Y48" s="110">
        <f t="shared" si="5"/>
        <v>29.5</v>
      </c>
      <c r="Z48" s="110">
        <v>3765</v>
      </c>
      <c r="AA48" s="110">
        <f t="shared" si="6"/>
        <v>0</v>
      </c>
      <c r="AB48" s="110">
        <v>3765</v>
      </c>
      <c r="AC48" s="110" t="str">
        <f t="shared" si="7"/>
        <v/>
      </c>
      <c r="AD48" s="110"/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434</v>
      </c>
      <c r="R49" s="112">
        <v>88</v>
      </c>
      <c r="S49" s="112">
        <f t="shared" si="2"/>
        <v>0</v>
      </c>
      <c r="T49" s="112">
        <v>88</v>
      </c>
      <c r="U49" s="112">
        <f t="shared" si="3"/>
        <v>0</v>
      </c>
      <c r="V49" s="112">
        <v>88</v>
      </c>
      <c r="W49" s="112">
        <f t="shared" si="4"/>
        <v>174</v>
      </c>
      <c r="X49" s="112">
        <v>436</v>
      </c>
      <c r="Y49" s="112">
        <f t="shared" si="5"/>
        <v>0</v>
      </c>
      <c r="Z49" s="112">
        <v>436</v>
      </c>
      <c r="AA49" s="112">
        <f t="shared" si="6"/>
        <v>0</v>
      </c>
      <c r="AB49" s="112">
        <v>436</v>
      </c>
      <c r="AC49" s="112" t="str">
        <f t="shared" si="7"/>
        <v/>
      </c>
      <c r="AD49" s="112"/>
      <c r="AE49" s="113">
        <f t="shared" si="8"/>
        <v>-434</v>
      </c>
    </row>
    <row r="50" spans="14:31" ht="15.6" customHeight="1" x14ac:dyDescent="0.3">
      <c r="N50" s="212"/>
      <c r="O50" s="94" t="s">
        <v>66</v>
      </c>
      <c r="P50" s="108"/>
      <c r="Q50" s="108">
        <v>334</v>
      </c>
      <c r="R50" s="108">
        <v>334</v>
      </c>
      <c r="S50" s="108">
        <f t="shared" si="2"/>
        <v>0</v>
      </c>
      <c r="T50" s="108">
        <v>334</v>
      </c>
      <c r="U50" s="108">
        <f t="shared" si="3"/>
        <v>0</v>
      </c>
      <c r="V50" s="108">
        <v>334</v>
      </c>
      <c r="W50" s="108">
        <f t="shared" si="4"/>
        <v>0</v>
      </c>
      <c r="X50" s="108">
        <v>334</v>
      </c>
      <c r="Y50" s="108">
        <f t="shared" si="5"/>
        <v>0</v>
      </c>
      <c r="Z50" s="108">
        <v>334</v>
      </c>
      <c r="AA50" s="108">
        <f t="shared" si="6"/>
        <v>0</v>
      </c>
      <c r="AB50" s="108">
        <v>334</v>
      </c>
      <c r="AC50" s="108" t="str">
        <f t="shared" si="7"/>
        <v/>
      </c>
      <c r="AD50" s="108"/>
      <c r="AE50" s="109">
        <f t="shared" si="8"/>
        <v>-334</v>
      </c>
    </row>
    <row r="51" spans="14:31" ht="15.6" customHeight="1" x14ac:dyDescent="0.3">
      <c r="N51" s="212"/>
      <c r="O51" s="95" t="s">
        <v>67</v>
      </c>
      <c r="P51" s="106"/>
      <c r="Q51" s="106">
        <v>1832</v>
      </c>
      <c r="R51" s="106">
        <v>987</v>
      </c>
      <c r="S51" s="106">
        <f t="shared" si="2"/>
        <v>0</v>
      </c>
      <c r="T51" s="106">
        <v>987</v>
      </c>
      <c r="U51" s="106">
        <f t="shared" si="3"/>
        <v>280</v>
      </c>
      <c r="V51" s="106">
        <v>1547</v>
      </c>
      <c r="W51" s="106">
        <f t="shared" si="4"/>
        <v>81.5</v>
      </c>
      <c r="X51" s="106">
        <v>1710</v>
      </c>
      <c r="Y51" s="106">
        <f t="shared" si="5"/>
        <v>0</v>
      </c>
      <c r="Z51" s="106">
        <v>1710</v>
      </c>
      <c r="AA51" s="106">
        <f t="shared" si="6"/>
        <v>0</v>
      </c>
      <c r="AB51" s="106">
        <v>1710</v>
      </c>
      <c r="AC51" s="106" t="str">
        <f t="shared" si="7"/>
        <v/>
      </c>
      <c r="AD51" s="106"/>
      <c r="AE51" s="107">
        <f t="shared" si="8"/>
        <v>-1832</v>
      </c>
    </row>
    <row r="52" spans="14:31" ht="15.6" customHeight="1" x14ac:dyDescent="0.3">
      <c r="N52" s="212"/>
      <c r="O52" s="94" t="s">
        <v>68</v>
      </c>
      <c r="P52" s="108"/>
      <c r="Q52" s="108">
        <v>903</v>
      </c>
      <c r="R52" s="108">
        <v>410</v>
      </c>
      <c r="S52" s="108">
        <f t="shared" si="2"/>
        <v>0</v>
      </c>
      <c r="T52" s="108">
        <v>410</v>
      </c>
      <c r="U52" s="108">
        <f t="shared" si="3"/>
        <v>57</v>
      </c>
      <c r="V52" s="108">
        <v>524</v>
      </c>
      <c r="W52" s="108">
        <f t="shared" si="4"/>
        <v>118.5</v>
      </c>
      <c r="X52" s="108">
        <v>761</v>
      </c>
      <c r="Y52" s="108">
        <f t="shared" si="5"/>
        <v>0</v>
      </c>
      <c r="Z52" s="108">
        <v>761</v>
      </c>
      <c r="AA52" s="108">
        <f t="shared" si="6"/>
        <v>0</v>
      </c>
      <c r="AB52" s="108">
        <v>761</v>
      </c>
      <c r="AC52" s="108" t="str">
        <f t="shared" si="7"/>
        <v/>
      </c>
      <c r="AD52" s="108"/>
      <c r="AE52" s="109">
        <f t="shared" si="8"/>
        <v>-903</v>
      </c>
    </row>
    <row r="53" spans="14:31" ht="15.6" customHeight="1" x14ac:dyDescent="0.3">
      <c r="N53" s="212"/>
      <c r="O53" s="95" t="s">
        <v>69</v>
      </c>
      <c r="P53" s="106"/>
      <c r="Q53" s="106">
        <v>3250</v>
      </c>
      <c r="R53" s="106">
        <v>973</v>
      </c>
      <c r="S53" s="106">
        <f t="shared" si="2"/>
        <v>0</v>
      </c>
      <c r="T53" s="106">
        <v>973</v>
      </c>
      <c r="U53" s="106">
        <f t="shared" si="3"/>
        <v>124</v>
      </c>
      <c r="V53" s="106">
        <v>1221</v>
      </c>
      <c r="W53" s="106">
        <f t="shared" si="4"/>
        <v>577.5</v>
      </c>
      <c r="X53" s="106">
        <v>2376</v>
      </c>
      <c r="Y53" s="106">
        <f t="shared" si="5"/>
        <v>0</v>
      </c>
      <c r="Z53" s="106">
        <v>2376</v>
      </c>
      <c r="AA53" s="106">
        <f t="shared" si="6"/>
        <v>0</v>
      </c>
      <c r="AB53" s="106">
        <v>2376</v>
      </c>
      <c r="AC53" s="106" t="str">
        <f t="shared" si="7"/>
        <v/>
      </c>
      <c r="AD53" s="106"/>
      <c r="AE53" s="107">
        <f t="shared" si="8"/>
        <v>-3250</v>
      </c>
    </row>
    <row r="54" spans="14:31" ht="15.6" customHeight="1" x14ac:dyDescent="0.3">
      <c r="N54" s="212"/>
      <c r="O54" s="94" t="s">
        <v>70</v>
      </c>
      <c r="P54" s="108"/>
      <c r="Q54" s="108">
        <v>1428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402.5</v>
      </c>
      <c r="X54" s="108">
        <v>805</v>
      </c>
      <c r="Y54" s="108">
        <f t="shared" si="5"/>
        <v>311.5</v>
      </c>
      <c r="Z54" s="108">
        <v>1428</v>
      </c>
      <c r="AA54" s="108">
        <f t="shared" si="6"/>
        <v>0</v>
      </c>
      <c r="AB54" s="108">
        <v>1428</v>
      </c>
      <c r="AC54" s="108" t="str">
        <f t="shared" si="7"/>
        <v/>
      </c>
      <c r="AD54" s="108"/>
      <c r="AE54" s="109">
        <f t="shared" si="8"/>
        <v>-1428</v>
      </c>
    </row>
    <row r="55" spans="14:31" ht="15.6" customHeight="1" x14ac:dyDescent="0.3">
      <c r="N55" s="212"/>
      <c r="O55" s="95" t="s">
        <v>71</v>
      </c>
      <c r="P55" s="106"/>
      <c r="Q55" s="106">
        <v>925</v>
      </c>
      <c r="R55" s="106">
        <v>40</v>
      </c>
      <c r="S55" s="106">
        <f t="shared" si="2"/>
        <v>0</v>
      </c>
      <c r="T55" s="106">
        <v>40</v>
      </c>
      <c r="U55" s="106">
        <f t="shared" si="3"/>
        <v>315</v>
      </c>
      <c r="V55" s="106">
        <v>670</v>
      </c>
      <c r="W55" s="106">
        <f t="shared" si="4"/>
        <v>127.5</v>
      </c>
      <c r="X55" s="106">
        <v>925</v>
      </c>
      <c r="Y55" s="106">
        <f t="shared" si="5"/>
        <v>0</v>
      </c>
      <c r="Z55" s="106">
        <v>925</v>
      </c>
      <c r="AA55" s="106">
        <f t="shared" si="6"/>
        <v>0</v>
      </c>
      <c r="AB55" s="106">
        <v>925</v>
      </c>
      <c r="AC55" s="106" t="str">
        <f t="shared" si="7"/>
        <v/>
      </c>
      <c r="AD55" s="106"/>
      <c r="AE55" s="107">
        <f t="shared" si="8"/>
        <v>-925</v>
      </c>
    </row>
    <row r="56" spans="14:31" ht="15.6" customHeight="1" x14ac:dyDescent="0.3">
      <c r="N56" s="212"/>
      <c r="O56" s="94" t="s">
        <v>72</v>
      </c>
      <c r="P56" s="108"/>
      <c r="Q56" s="108">
        <v>449</v>
      </c>
      <c r="R56" s="108">
        <v>241</v>
      </c>
      <c r="S56" s="108">
        <f t="shared" si="2"/>
        <v>0</v>
      </c>
      <c r="T56" s="108">
        <v>241</v>
      </c>
      <c r="U56" s="108">
        <f t="shared" si="3"/>
        <v>0</v>
      </c>
      <c r="V56" s="108">
        <v>241</v>
      </c>
      <c r="W56" s="108">
        <f t="shared" si="4"/>
        <v>94</v>
      </c>
      <c r="X56" s="108">
        <v>429</v>
      </c>
      <c r="Y56" s="108">
        <f t="shared" si="5"/>
        <v>0</v>
      </c>
      <c r="Z56" s="108">
        <v>429</v>
      </c>
      <c r="AA56" s="108">
        <f t="shared" si="6"/>
        <v>0</v>
      </c>
      <c r="AB56" s="108">
        <v>429</v>
      </c>
      <c r="AC56" s="108" t="str">
        <f t="shared" si="7"/>
        <v/>
      </c>
      <c r="AD56" s="108"/>
      <c r="AE56" s="109">
        <f t="shared" si="8"/>
        <v>-449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/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5604</v>
      </c>
      <c r="R58" s="104">
        <v>411</v>
      </c>
      <c r="S58" s="104">
        <f t="shared" si="2"/>
        <v>222</v>
      </c>
      <c r="T58" s="104">
        <v>855</v>
      </c>
      <c r="U58" s="104">
        <f t="shared" si="3"/>
        <v>126</v>
      </c>
      <c r="V58" s="104">
        <v>1107</v>
      </c>
      <c r="W58" s="104">
        <f t="shared" si="4"/>
        <v>1630.5</v>
      </c>
      <c r="X58" s="104">
        <v>4368</v>
      </c>
      <c r="Y58" s="104">
        <f t="shared" si="5"/>
        <v>546</v>
      </c>
      <c r="Z58" s="104">
        <v>5460</v>
      </c>
      <c r="AA58" s="104">
        <f t="shared" si="6"/>
        <v>0</v>
      </c>
      <c r="AB58" s="104">
        <v>5460</v>
      </c>
      <c r="AC58" s="104" t="str">
        <f t="shared" si="7"/>
        <v/>
      </c>
      <c r="AD58" s="104"/>
      <c r="AE58" s="105">
        <f t="shared" si="8"/>
        <v>-5604</v>
      </c>
    </row>
    <row r="59" spans="14:31" ht="15.6" customHeight="1" x14ac:dyDescent="0.3">
      <c r="N59" s="212"/>
      <c r="O59" s="95" t="s">
        <v>66</v>
      </c>
      <c r="P59" s="106"/>
      <c r="Q59" s="106">
        <v>4569</v>
      </c>
      <c r="R59" s="106">
        <v>617</v>
      </c>
      <c r="S59" s="106">
        <f t="shared" si="2"/>
        <v>413</v>
      </c>
      <c r="T59" s="106">
        <v>1443</v>
      </c>
      <c r="U59" s="106">
        <f t="shared" si="3"/>
        <v>613.5</v>
      </c>
      <c r="V59" s="106">
        <v>2670</v>
      </c>
      <c r="W59" s="106">
        <f t="shared" si="4"/>
        <v>770.5</v>
      </c>
      <c r="X59" s="106">
        <v>4211</v>
      </c>
      <c r="Y59" s="106">
        <f t="shared" si="5"/>
        <v>421.5</v>
      </c>
      <c r="Z59" s="106">
        <v>5054</v>
      </c>
      <c r="AA59" s="106">
        <f t="shared" si="6"/>
        <v>0</v>
      </c>
      <c r="AB59" s="106">
        <v>5054</v>
      </c>
      <c r="AC59" s="106" t="str">
        <f t="shared" si="7"/>
        <v/>
      </c>
      <c r="AD59" s="106"/>
      <c r="AE59" s="107">
        <f t="shared" si="8"/>
        <v>-4569</v>
      </c>
    </row>
    <row r="60" spans="14:31" ht="15.6" customHeight="1" x14ac:dyDescent="0.3">
      <c r="N60" s="212"/>
      <c r="O60" s="94" t="s">
        <v>67</v>
      </c>
      <c r="P60" s="108"/>
      <c r="Q60" s="108">
        <v>3484</v>
      </c>
      <c r="R60" s="108">
        <v>570</v>
      </c>
      <c r="S60" s="108">
        <f t="shared" si="2"/>
        <v>225.5</v>
      </c>
      <c r="T60" s="108">
        <v>1021</v>
      </c>
      <c r="U60" s="108">
        <f t="shared" si="3"/>
        <v>120</v>
      </c>
      <c r="V60" s="108">
        <v>1261</v>
      </c>
      <c r="W60" s="108">
        <f t="shared" si="4"/>
        <v>124</v>
      </c>
      <c r="X60" s="108">
        <v>1509</v>
      </c>
      <c r="Y60" s="108">
        <f t="shared" si="5"/>
        <v>589</v>
      </c>
      <c r="Z60" s="108">
        <v>2687</v>
      </c>
      <c r="AA60" s="108">
        <f t="shared" si="6"/>
        <v>0</v>
      </c>
      <c r="AB60" s="108">
        <v>2687</v>
      </c>
      <c r="AC60" s="108" t="str">
        <f t="shared" si="7"/>
        <v/>
      </c>
      <c r="AD60" s="108"/>
      <c r="AE60" s="109">
        <f t="shared" si="8"/>
        <v>-3484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/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5889</v>
      </c>
      <c r="R62" s="104">
        <v>338</v>
      </c>
      <c r="S62" s="104">
        <f t="shared" si="2"/>
        <v>688.5</v>
      </c>
      <c r="T62" s="104">
        <v>1715</v>
      </c>
      <c r="U62" s="104">
        <f t="shared" si="3"/>
        <v>75</v>
      </c>
      <c r="V62" s="104">
        <v>1865</v>
      </c>
      <c r="W62" s="104">
        <f t="shared" si="4"/>
        <v>0</v>
      </c>
      <c r="X62" s="104">
        <v>1865</v>
      </c>
      <c r="Y62" s="104">
        <f t="shared" si="5"/>
        <v>0</v>
      </c>
      <c r="Z62" s="104">
        <v>1865</v>
      </c>
      <c r="AA62" s="104">
        <f t="shared" si="6"/>
        <v>0</v>
      </c>
      <c r="AB62" s="104">
        <v>1865</v>
      </c>
      <c r="AC62" s="104" t="str">
        <f t="shared" si="7"/>
        <v/>
      </c>
      <c r="AD62" s="104"/>
      <c r="AE62" s="105">
        <f t="shared" si="8"/>
        <v>-5889</v>
      </c>
    </row>
    <row r="63" spans="14:31" ht="15.6" customHeight="1" x14ac:dyDescent="0.3">
      <c r="N63" s="212"/>
      <c r="O63" s="95" t="s">
        <v>66</v>
      </c>
      <c r="P63" s="106"/>
      <c r="Q63" s="106">
        <v>7399</v>
      </c>
      <c r="R63" s="106">
        <v>2885</v>
      </c>
      <c r="S63" s="106">
        <f t="shared" si="2"/>
        <v>755</v>
      </c>
      <c r="T63" s="106">
        <v>4395</v>
      </c>
      <c r="U63" s="106">
        <f t="shared" si="3"/>
        <v>471.5</v>
      </c>
      <c r="V63" s="106">
        <v>5338</v>
      </c>
      <c r="W63" s="106">
        <f t="shared" si="4"/>
        <v>39</v>
      </c>
      <c r="X63" s="106">
        <v>5416</v>
      </c>
      <c r="Y63" s="106">
        <f t="shared" si="5"/>
        <v>45</v>
      </c>
      <c r="Z63" s="106">
        <v>5506</v>
      </c>
      <c r="AA63" s="106">
        <f t="shared" si="6"/>
        <v>0</v>
      </c>
      <c r="AB63" s="106">
        <v>5506</v>
      </c>
      <c r="AC63" s="106" t="str">
        <f t="shared" si="7"/>
        <v/>
      </c>
      <c r="AD63" s="106"/>
      <c r="AE63" s="107">
        <f t="shared" si="8"/>
        <v>-7399</v>
      </c>
    </row>
    <row r="64" spans="14:31" ht="15.6" customHeight="1" x14ac:dyDescent="0.3">
      <c r="N64" s="212"/>
      <c r="O64" s="94" t="s">
        <v>67</v>
      </c>
      <c r="P64" s="108"/>
      <c r="Q64" s="108">
        <v>5523</v>
      </c>
      <c r="R64" s="108">
        <v>356</v>
      </c>
      <c r="S64" s="108">
        <f t="shared" si="2"/>
        <v>62</v>
      </c>
      <c r="T64" s="108">
        <v>480</v>
      </c>
      <c r="U64" s="108">
        <f t="shared" si="3"/>
        <v>175.5</v>
      </c>
      <c r="V64" s="108">
        <v>831</v>
      </c>
      <c r="W64" s="108">
        <f t="shared" si="4"/>
        <v>649</v>
      </c>
      <c r="X64" s="108">
        <v>2129</v>
      </c>
      <c r="Y64" s="108">
        <f t="shared" si="5"/>
        <v>0</v>
      </c>
      <c r="Z64" s="108">
        <v>2129</v>
      </c>
      <c r="AA64" s="108">
        <f t="shared" si="6"/>
        <v>0</v>
      </c>
      <c r="AB64" s="108">
        <v>2129</v>
      </c>
      <c r="AC64" s="108" t="str">
        <f t="shared" si="7"/>
        <v/>
      </c>
      <c r="AD64" s="108"/>
      <c r="AE64" s="109">
        <f t="shared" si="8"/>
        <v>-5523</v>
      </c>
    </row>
    <row r="65" spans="14:31" ht="15.6" customHeight="1" thickBot="1" x14ac:dyDescent="0.35">
      <c r="N65" s="213"/>
      <c r="O65" s="99" t="s">
        <v>68</v>
      </c>
      <c r="P65" s="114"/>
      <c r="Q65" s="114">
        <v>2526</v>
      </c>
      <c r="R65" s="114">
        <v>216</v>
      </c>
      <c r="S65" s="114">
        <f t="shared" si="2"/>
        <v>48</v>
      </c>
      <c r="T65" s="114">
        <v>312</v>
      </c>
      <c r="U65" s="114">
        <f t="shared" si="3"/>
        <v>165</v>
      </c>
      <c r="V65" s="114">
        <v>642</v>
      </c>
      <c r="W65" s="114">
        <f t="shared" si="4"/>
        <v>115</v>
      </c>
      <c r="X65" s="114">
        <v>872</v>
      </c>
      <c r="Y65" s="114">
        <f t="shared" si="5"/>
        <v>90</v>
      </c>
      <c r="Z65" s="114">
        <v>1052</v>
      </c>
      <c r="AA65" s="114">
        <f t="shared" si="6"/>
        <v>0</v>
      </c>
      <c r="AB65" s="114">
        <v>1052</v>
      </c>
      <c r="AC65" s="114" t="str">
        <f t="shared" si="7"/>
        <v/>
      </c>
      <c r="AD65" s="114"/>
      <c r="AE65" s="115">
        <f t="shared" si="8"/>
        <v>-2526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19" priority="11" operator="lessThan">
      <formula>0</formula>
    </cfRule>
    <cfRule type="cellIs" dxfId="1918" priority="12" operator="greaterThan">
      <formula>0</formula>
    </cfRule>
  </conditionalFormatting>
  <conditionalFormatting sqref="R25:AC25">
    <cfRule type="cellIs" dxfId="1917" priority="9" operator="lessThan">
      <formula>0</formula>
    </cfRule>
    <cfRule type="cellIs" dxfId="1916" priority="10" operator="greaterThan">
      <formula>0</formula>
    </cfRule>
  </conditionalFormatting>
  <conditionalFormatting sqref="R26 T26 V26 X26 Z26 AB26">
    <cfRule type="cellIs" dxfId="1915" priority="7" operator="lessThan">
      <formula>0</formula>
    </cfRule>
    <cfRule type="cellIs" dxfId="1914" priority="8" operator="greaterThan">
      <formula>0</formula>
    </cfRule>
  </conditionalFormatting>
  <conditionalFormatting sqref="AD24:AE24">
    <cfRule type="cellIs" dxfId="1913" priority="5" operator="lessThan">
      <formula>0</formula>
    </cfRule>
    <cfRule type="cellIs" dxfId="1912" priority="6" operator="greaterThan">
      <formula>0</formula>
    </cfRule>
  </conditionalFormatting>
  <conditionalFormatting sqref="AD25:AE25">
    <cfRule type="cellIs" dxfId="1911" priority="3" operator="lessThan">
      <formula>0</formula>
    </cfRule>
    <cfRule type="cellIs" dxfId="1910" priority="4" operator="greaterThan">
      <formula>0</formula>
    </cfRule>
  </conditionalFormatting>
  <conditionalFormatting sqref="AD26">
    <cfRule type="cellIs" dxfId="1909" priority="1" operator="lessThan">
      <formula>0</formula>
    </cfRule>
    <cfRule type="cellIs" dxfId="190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/>
    <pageSetUpPr fitToPage="1"/>
  </sheetPr>
  <dimension ref="B1:AQ65"/>
  <sheetViews>
    <sheetView topLeftCell="C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44359</v>
      </c>
    </row>
    <row r="3" spans="2:42" ht="18.75" customHeight="1" thickBot="1" x14ac:dyDescent="0.35">
      <c r="B3" t="s">
        <v>1</v>
      </c>
      <c r="C3" s="3">
        <f>C2+1</f>
        <v>44360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21011</v>
      </c>
      <c r="G6" s="117">
        <v>18727.559249999998</v>
      </c>
      <c r="H6" s="117">
        <v>14090.674010840001</v>
      </c>
      <c r="I6" s="19">
        <f>G6+H6</f>
        <v>32818.233260840003</v>
      </c>
      <c r="J6" s="119">
        <v>16349</v>
      </c>
      <c r="K6" s="117">
        <v>15104.851624999999</v>
      </c>
      <c r="L6" s="117">
        <v>8029.2040576599993</v>
      </c>
      <c r="M6" s="19">
        <f>K6+L6</f>
        <v>23134.05568266</v>
      </c>
      <c r="N6" s="85">
        <v>72</v>
      </c>
      <c r="O6" s="85">
        <v>57</v>
      </c>
      <c r="P6" s="92"/>
      <c r="Q6" s="20">
        <f>J6-P6</f>
        <v>16349</v>
      </c>
      <c r="R6" s="21">
        <v>2938</v>
      </c>
      <c r="S6" s="20">
        <f>IF(R6&gt;0,(R6-R7-$Q6),"")</f>
        <v>-13434</v>
      </c>
      <c r="T6" s="21">
        <v>6809</v>
      </c>
      <c r="U6" s="20">
        <f>IF(T6&gt;0,(T6-T7-$Q6),"")</f>
        <v>-9563</v>
      </c>
      <c r="V6" s="21">
        <v>11528</v>
      </c>
      <c r="W6" s="20">
        <f>IF(V6&gt;0,(V6-V7-$Q6),"")</f>
        <v>-4844</v>
      </c>
      <c r="X6" s="21">
        <v>13997</v>
      </c>
      <c r="Y6" s="20">
        <f>IF(X6&gt;0,(X6-X7-$Q6),"")</f>
        <v>-2375</v>
      </c>
      <c r="Z6" s="21">
        <v>13997</v>
      </c>
      <c r="AA6" s="20">
        <f>IF(Z6&gt;0,(Z6-Z7-$Q6),"")</f>
        <v>-2375</v>
      </c>
      <c r="AB6" s="21">
        <v>13997</v>
      </c>
      <c r="AC6" s="22">
        <f>IF(AB6&gt;0,(AB6-AB7-$Q6),"")</f>
        <v>-2375</v>
      </c>
      <c r="AD6" s="21">
        <v>13997</v>
      </c>
      <c r="AE6" s="22">
        <f>IF(AD6&gt;0,(AD6-AD7-$Q6),"")</f>
        <v>-2375</v>
      </c>
    </row>
    <row r="7" spans="2:42" x14ac:dyDescent="0.3">
      <c r="B7" s="16" t="s">
        <v>23</v>
      </c>
      <c r="C7" s="17">
        <v>2101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23</v>
      </c>
      <c r="S7" s="24"/>
      <c r="T7" s="25">
        <v>23</v>
      </c>
      <c r="U7" s="24"/>
      <c r="V7" s="25">
        <v>23</v>
      </c>
      <c r="W7" s="24"/>
      <c r="X7" s="25">
        <v>23</v>
      </c>
      <c r="Y7" s="24"/>
      <c r="Z7" s="25">
        <v>23</v>
      </c>
      <c r="AA7" s="24"/>
      <c r="AB7" s="25">
        <v>23</v>
      </c>
      <c r="AC7" s="26"/>
      <c r="AD7" s="25">
        <v>23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3595</v>
      </c>
      <c r="E8" s="29" t="s">
        <v>27</v>
      </c>
      <c r="F8" s="119">
        <v>15775</v>
      </c>
      <c r="G8" s="117">
        <v>6768.34</v>
      </c>
      <c r="H8" s="117">
        <v>1518.1860320000001</v>
      </c>
      <c r="I8" s="19">
        <f>G8+H8</f>
        <v>8286.5260319999998</v>
      </c>
      <c r="J8" s="119">
        <v>15000</v>
      </c>
      <c r="K8" s="117">
        <v>6418.9040000000005</v>
      </c>
      <c r="L8" s="117">
        <v>1431.8754635</v>
      </c>
      <c r="M8" s="19">
        <f>K8+L8</f>
        <v>7850.7794635000009</v>
      </c>
      <c r="N8" s="87">
        <v>40</v>
      </c>
      <c r="O8" s="87">
        <v>25</v>
      </c>
      <c r="P8" s="92"/>
      <c r="Q8" s="20">
        <f>J8-P8</f>
        <v>15000</v>
      </c>
      <c r="R8" s="21">
        <v>1800</v>
      </c>
      <c r="S8" s="20">
        <f>IF(R8&gt;0,(R8-R9-$Q8),"")</f>
        <v>-15000</v>
      </c>
      <c r="T8" s="21">
        <v>2768</v>
      </c>
      <c r="U8" s="20">
        <f>IF(T8&gt;0,(T8-T9-$Q8),"")</f>
        <v>-12232</v>
      </c>
      <c r="V8" s="21">
        <v>12776</v>
      </c>
      <c r="W8" s="20">
        <f>IF(V8&gt;0,(V8-V9-$Q8),"")</f>
        <v>-2224</v>
      </c>
      <c r="X8" s="21">
        <v>13844</v>
      </c>
      <c r="Y8" s="20">
        <f>IF(X8&gt;0,(X8-X9-$Q8),"")</f>
        <v>-1451</v>
      </c>
      <c r="Z8" s="21">
        <v>13844</v>
      </c>
      <c r="AA8" s="20">
        <f>IF(Z8&gt;0,(Z8-Z9-$Q8),"")</f>
        <v>-1451</v>
      </c>
      <c r="AB8" s="21">
        <v>13844</v>
      </c>
      <c r="AC8" s="22">
        <f>IF(AB8&gt;0,(AB8-AB9-$Q8),"")</f>
        <v>-1451</v>
      </c>
      <c r="AD8" s="21">
        <v>13844</v>
      </c>
      <c r="AE8" s="22">
        <f>IF(AD8&gt;0,(AD8-AD9-$Q8),"")</f>
        <v>-1451</v>
      </c>
    </row>
    <row r="9" spans="2:42" x14ac:dyDescent="0.3">
      <c r="B9" s="28" t="s">
        <v>28</v>
      </c>
      <c r="C9" s="17">
        <v>1666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15</v>
      </c>
      <c r="P9" s="93" t="s">
        <v>29</v>
      </c>
      <c r="Q9" s="24"/>
      <c r="R9" s="30">
        <v>1800</v>
      </c>
      <c r="S9" s="24"/>
      <c r="T9" s="30">
        <v>0</v>
      </c>
      <c r="U9" s="24"/>
      <c r="V9" s="30">
        <v>0</v>
      </c>
      <c r="W9" s="24"/>
      <c r="X9" s="30">
        <v>295</v>
      </c>
      <c r="Y9" s="24"/>
      <c r="Z9" s="30">
        <v>295</v>
      </c>
      <c r="AA9" s="24"/>
      <c r="AB9" s="30">
        <v>295</v>
      </c>
      <c r="AC9" s="26"/>
      <c r="AD9" s="30">
        <v>295</v>
      </c>
      <c r="AE9" s="26"/>
    </row>
    <row r="10" spans="2:42" x14ac:dyDescent="0.3">
      <c r="B10" s="16" t="s">
        <v>30</v>
      </c>
      <c r="C10" s="17">
        <v>4586</v>
      </c>
      <c r="E10" s="18" t="s">
        <v>31</v>
      </c>
      <c r="F10" s="119">
        <v>17494</v>
      </c>
      <c r="G10" s="117">
        <v>13990.813249999999</v>
      </c>
      <c r="H10" s="117">
        <v>1682.4772499999999</v>
      </c>
      <c r="I10" s="19">
        <f>G10+H10</f>
        <v>15673.290499999999</v>
      </c>
      <c r="J10" s="119">
        <v>17239</v>
      </c>
      <c r="K10" s="117">
        <v>13718.591249999999</v>
      </c>
      <c r="L10" s="117">
        <v>1376.4200725000001</v>
      </c>
      <c r="M10" s="19">
        <f>K10+L10</f>
        <v>15095.011322499999</v>
      </c>
      <c r="N10" s="88">
        <v>55</v>
      </c>
      <c r="O10" s="88">
        <v>39</v>
      </c>
      <c r="P10" s="92"/>
      <c r="Q10" s="20">
        <f>J10-P10</f>
        <v>17239</v>
      </c>
      <c r="R10" s="21">
        <v>4442</v>
      </c>
      <c r="S10" s="20">
        <f>IF(R10&gt;0,(R10-R11-$Q10),"")</f>
        <v>-13467</v>
      </c>
      <c r="T10" s="21">
        <v>6006</v>
      </c>
      <c r="U10" s="20">
        <f>IF(T10&gt;0,(T10-T11-$Q10),"")</f>
        <v>-12838</v>
      </c>
      <c r="V10" s="21">
        <v>7649</v>
      </c>
      <c r="W10" s="20">
        <f>IF(V10&gt;0,(V10-V11-$Q10),"")</f>
        <v>-11491</v>
      </c>
      <c r="X10" s="21">
        <v>9922</v>
      </c>
      <c r="Y10" s="20">
        <f>IF(X10&gt;0,(X10-X11-$Q10),"")</f>
        <v>-9218</v>
      </c>
      <c r="Z10" s="21">
        <v>14327</v>
      </c>
      <c r="AA10" s="20">
        <f>IF(Z10&gt;0,(Z10-Z11-$Q10),"")</f>
        <v>-5878</v>
      </c>
      <c r="AB10" s="21">
        <v>14327</v>
      </c>
      <c r="AC10" s="22">
        <f>IF(AB10&gt;0,(AB10-AB11-$Q10),"")</f>
        <v>-5878</v>
      </c>
      <c r="AD10" s="21">
        <v>14327</v>
      </c>
      <c r="AE10" s="22">
        <f>IF(AD10&gt;0,(AD10-AD11-$Q10),"")</f>
        <v>-5878</v>
      </c>
    </row>
    <row r="11" spans="2:42" x14ac:dyDescent="0.3">
      <c r="B11" s="16" t="s">
        <v>32</v>
      </c>
      <c r="C11" s="17">
        <v>2241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16</v>
      </c>
      <c r="P11" s="93" t="s">
        <v>33</v>
      </c>
      <c r="Q11" s="24"/>
      <c r="R11" s="30">
        <v>670</v>
      </c>
      <c r="S11" s="24"/>
      <c r="T11" s="30">
        <v>1605</v>
      </c>
      <c r="U11" s="24"/>
      <c r="V11" s="30">
        <v>1901</v>
      </c>
      <c r="W11" s="24"/>
      <c r="X11" s="30">
        <v>1901</v>
      </c>
      <c r="Y11" s="24"/>
      <c r="Z11" s="30">
        <v>2966</v>
      </c>
      <c r="AA11" s="24"/>
      <c r="AB11" s="30">
        <v>2966</v>
      </c>
      <c r="AC11" s="26"/>
      <c r="AD11" s="30">
        <v>2966</v>
      </c>
      <c r="AE11" s="26"/>
    </row>
    <row r="12" spans="2:42" x14ac:dyDescent="0.3">
      <c r="B12" s="16" t="s">
        <v>34</v>
      </c>
      <c r="C12" s="17">
        <v>1659</v>
      </c>
      <c r="E12" s="29" t="s">
        <v>35</v>
      </c>
      <c r="F12" s="119">
        <v>11955</v>
      </c>
      <c r="G12" s="117">
        <v>10865.245999999999</v>
      </c>
      <c r="H12" s="117">
        <v>12407.393957140001</v>
      </c>
      <c r="I12" s="19">
        <f>G12+H12</f>
        <v>23272.63995714</v>
      </c>
      <c r="J12" s="119">
        <v>11730</v>
      </c>
      <c r="K12" s="117">
        <v>10705.16475</v>
      </c>
      <c r="L12" s="117">
        <v>11679.362200680011</v>
      </c>
      <c r="M12" s="19">
        <f>K12+L12</f>
        <v>22384.52695068001</v>
      </c>
      <c r="N12" s="88">
        <v>43</v>
      </c>
      <c r="O12" s="88">
        <v>33</v>
      </c>
      <c r="P12" s="92"/>
      <c r="Q12" s="20">
        <f>J12-P12</f>
        <v>11730</v>
      </c>
      <c r="R12" s="21">
        <v>2487</v>
      </c>
      <c r="S12" s="20">
        <f>IF(R12&gt;0,(R12-R13-$Q12),"")</f>
        <v>-9604</v>
      </c>
      <c r="T12" s="21">
        <v>4244</v>
      </c>
      <c r="U12" s="20">
        <f>IF(T12&gt;0,(T12-T13-$Q12),"")</f>
        <v>-7847</v>
      </c>
      <c r="V12" s="21">
        <v>6788</v>
      </c>
      <c r="W12" s="20">
        <f>IF(V12&gt;0,(V12-V13-$Q12),"")</f>
        <v>-5906</v>
      </c>
      <c r="X12" s="21">
        <v>9718</v>
      </c>
      <c r="Y12" s="20">
        <f>IF(X12&gt;0,(X12-X13-$Q12),"")</f>
        <v>-2976</v>
      </c>
      <c r="Z12" s="21">
        <v>9718</v>
      </c>
      <c r="AA12" s="20">
        <f>IF(Z12&gt;0,(Z12-Z13-$Q12),"")</f>
        <v>-2976</v>
      </c>
      <c r="AB12" s="21">
        <v>9718</v>
      </c>
      <c r="AC12" s="22">
        <f>IF(AB12&gt;0,(AB12-AB13-$Q12),"")</f>
        <v>-2976</v>
      </c>
      <c r="AD12" s="21">
        <v>9718</v>
      </c>
      <c r="AE12" s="22">
        <f>IF(AD12&gt;0,(AD12-AD13-$Q12),"")</f>
        <v>-2976</v>
      </c>
    </row>
    <row r="13" spans="2:42" x14ac:dyDescent="0.3">
      <c r="B13" s="16" t="s">
        <v>36</v>
      </c>
      <c r="C13" s="17">
        <v>4953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361</v>
      </c>
      <c r="S13" s="24"/>
      <c r="T13" s="30">
        <v>361</v>
      </c>
      <c r="U13" s="24"/>
      <c r="V13" s="30">
        <v>964</v>
      </c>
      <c r="W13" s="24"/>
      <c r="X13" s="30">
        <v>964</v>
      </c>
      <c r="Y13" s="24"/>
      <c r="Z13" s="30">
        <v>964</v>
      </c>
      <c r="AA13" s="24"/>
      <c r="AB13" s="30">
        <v>964</v>
      </c>
      <c r="AC13" s="26"/>
      <c r="AD13" s="30">
        <v>964</v>
      </c>
      <c r="AE13" s="26"/>
    </row>
    <row r="14" spans="2:42" x14ac:dyDescent="0.3">
      <c r="B14" s="16" t="s">
        <v>38</v>
      </c>
      <c r="C14" s="17">
        <v>5323</v>
      </c>
      <c r="E14" s="18" t="s">
        <v>39</v>
      </c>
      <c r="F14" s="119">
        <v>20221</v>
      </c>
      <c r="G14" s="117">
        <v>20163.9375</v>
      </c>
      <c r="H14" s="117">
        <v>26546.474146879998</v>
      </c>
      <c r="I14" s="19">
        <f>G14+H14</f>
        <v>46710.411646879998</v>
      </c>
      <c r="J14" s="119">
        <v>20221</v>
      </c>
      <c r="K14" s="117">
        <v>20163.9375</v>
      </c>
      <c r="L14" s="117">
        <v>25775.3408194</v>
      </c>
      <c r="M14" s="19">
        <f>K14+L14</f>
        <v>45939.2783194</v>
      </c>
      <c r="N14" s="88">
        <v>75</v>
      </c>
      <c r="O14" s="88">
        <v>59</v>
      </c>
      <c r="P14" s="92"/>
      <c r="Q14" s="20">
        <f>J14-P14</f>
        <v>20221</v>
      </c>
      <c r="R14" s="21">
        <v>3881</v>
      </c>
      <c r="S14" s="20">
        <f>IF(R14&gt;0,(R14-R15-$Q14),"")</f>
        <v>-19843</v>
      </c>
      <c r="T14" s="21">
        <v>7064</v>
      </c>
      <c r="U14" s="20">
        <f>IF(T14&gt;0,(T14-T15-$Q14),"")</f>
        <v>-19405</v>
      </c>
      <c r="V14" s="21">
        <v>7789</v>
      </c>
      <c r="W14" s="20">
        <f>IF(V14&gt;0,(V14-V15-$Q14),"")</f>
        <v>-19219</v>
      </c>
      <c r="X14" s="21">
        <v>9302</v>
      </c>
      <c r="Y14" s="20">
        <f>IF(X14&gt;0,(X14-X15-$Q14),"")</f>
        <v>-17706</v>
      </c>
      <c r="Z14" s="21">
        <v>9549</v>
      </c>
      <c r="AA14" s="20">
        <f>IF(Z14&gt;0,(Z14-Z15-$Q14),"")</f>
        <v>-17459</v>
      </c>
      <c r="AB14" s="21">
        <v>9549</v>
      </c>
      <c r="AC14" s="22">
        <f>IF(AB14&gt;0,(AB14-AB15-$Q14),"")</f>
        <v>-17459</v>
      </c>
      <c r="AD14" s="21">
        <v>9549</v>
      </c>
      <c r="AE14" s="22">
        <f>IF(AD14&gt;0,(AD14-AD15-$Q14),"")</f>
        <v>-17459</v>
      </c>
    </row>
    <row r="15" spans="2:42" ht="15" customHeight="1" thickBot="1" x14ac:dyDescent="0.35">
      <c r="B15" s="16" t="s">
        <v>40</v>
      </c>
      <c r="C15" s="17">
        <v>2600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3503</v>
      </c>
      <c r="S15" s="24"/>
      <c r="T15" s="25">
        <v>6248</v>
      </c>
      <c r="U15" s="24"/>
      <c r="V15" s="25">
        <v>6787</v>
      </c>
      <c r="W15" s="24"/>
      <c r="X15" s="25">
        <v>6787</v>
      </c>
      <c r="Y15" s="24"/>
      <c r="Z15" s="25">
        <v>6787</v>
      </c>
      <c r="AA15" s="24"/>
      <c r="AB15" s="25">
        <v>6787</v>
      </c>
      <c r="AC15" s="26"/>
      <c r="AD15" s="25">
        <v>6787</v>
      </c>
      <c r="AE15" s="26"/>
    </row>
    <row r="16" spans="2:42" ht="15" customHeight="1" thickBot="1" x14ac:dyDescent="0.35">
      <c r="B16" s="28" t="s">
        <v>42</v>
      </c>
      <c r="C16" s="17">
        <v>11561</v>
      </c>
      <c r="E16" s="84"/>
      <c r="F16" s="31">
        <f t="shared" ref="F16:N16" si="0">SUM(F6:F15)</f>
        <v>86456</v>
      </c>
      <c r="G16" s="31">
        <f t="shared" si="0"/>
        <v>70515.895999999993</v>
      </c>
      <c r="H16" s="31">
        <f t="shared" si="0"/>
        <v>56245.205396859994</v>
      </c>
      <c r="I16" s="32">
        <f t="shared" si="0"/>
        <v>126761.10139686</v>
      </c>
      <c r="J16" s="33">
        <f t="shared" si="0"/>
        <v>80539</v>
      </c>
      <c r="K16" s="33">
        <f t="shared" si="0"/>
        <v>66111.449124999999</v>
      </c>
      <c r="L16" s="33">
        <f t="shared" si="0"/>
        <v>48292.20261374001</v>
      </c>
      <c r="M16" s="33">
        <f t="shared" si="0"/>
        <v>114403.65173874001</v>
      </c>
      <c r="N16" s="31">
        <f t="shared" si="0"/>
        <v>285</v>
      </c>
      <c r="O16" s="31">
        <f>SUM(O14,O12,O10,O8,O6)</f>
        <v>213</v>
      </c>
      <c r="P16" s="34">
        <f>SUM(P6:P15)</f>
        <v>0</v>
      </c>
      <c r="Q16" s="34">
        <f>SUM(Q6:Q15)</f>
        <v>80539</v>
      </c>
      <c r="R16" s="35">
        <f>R6+R8+R10+R12+R14-R7-R9-R11-R13-R15</f>
        <v>9191</v>
      </c>
      <c r="S16" s="36">
        <f>IF(R16&gt;1,(R16-$Q16),"")</f>
        <v>-71348</v>
      </c>
      <c r="T16" s="35">
        <f>T6+T8+T10+T12+T14-T7-T9-T11-T13-T15</f>
        <v>18654</v>
      </c>
      <c r="U16" s="36">
        <f>IF(T16&gt;1,(T16-$Q16),"")</f>
        <v>-61885</v>
      </c>
      <c r="V16" s="35">
        <f>V6+V8+V10+V12+V14-V7-V9-V11-V13-V15</f>
        <v>36855</v>
      </c>
      <c r="W16" s="36">
        <f>IF(V16&gt;1,(V16-$Q16),"")</f>
        <v>-43684</v>
      </c>
      <c r="X16" s="35">
        <f>X6+X8+X10+X12+X14-X7-X9-X11-X13-X15</f>
        <v>46813</v>
      </c>
      <c r="Y16" s="36">
        <f>IF(X16&gt;1,(X16-$Q16),"")</f>
        <v>-33726</v>
      </c>
      <c r="Z16" s="35">
        <f>Z6+Z8+Z10+Z12+Z14-Z7-Z9-Z11-Z13-Z15</f>
        <v>50400</v>
      </c>
      <c r="AA16" s="36">
        <f>IF(Z16&gt;1,(Z16-$Q16),"")</f>
        <v>-30139</v>
      </c>
      <c r="AB16" s="35">
        <f>AB6+AB8+AB10+AB12+AB14-AB7-AB9-AB11-AB13-AB15</f>
        <v>50400</v>
      </c>
      <c r="AC16" s="37">
        <f>IF(AB16&gt;1,(AB16-$Q16),"")</f>
        <v>-30139</v>
      </c>
      <c r="AD16" s="35">
        <f>AD6+AD8+AD10+AD12+AD14-AD7-AD9-AD11-AD13-AD15</f>
        <v>50400</v>
      </c>
      <c r="AE16" s="37">
        <f>IF(AD16&gt;1,(AD16-$Q16),"")</f>
        <v>-30139</v>
      </c>
    </row>
    <row r="17" spans="2:43" s="4" customFormat="1" ht="15" customHeight="1" thickBot="1" x14ac:dyDescent="0.3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72</v>
      </c>
      <c r="P17" s="38" t="s">
        <v>44</v>
      </c>
      <c r="Q17" s="39"/>
      <c r="R17" s="40">
        <f>R15+R13+R11+R9+R7</f>
        <v>6357</v>
      </c>
      <c r="S17" s="41"/>
      <c r="T17" s="40">
        <f>T15+T13+T11+T9+T7</f>
        <v>8237</v>
      </c>
      <c r="U17" s="41"/>
      <c r="V17" s="40">
        <f>V15+V13+V11+V9+V7</f>
        <v>9675</v>
      </c>
      <c r="W17" s="41"/>
      <c r="X17" s="40">
        <f>X15+X13+X11+X9+X7</f>
        <v>9970</v>
      </c>
      <c r="Y17" s="41"/>
      <c r="Z17" s="40">
        <f>Z15+Z13+Z11+Z9+Z7</f>
        <v>11035</v>
      </c>
      <c r="AA17" s="41"/>
      <c r="AB17" s="40">
        <f>AB15+AB13+AB11+AB9+AB7</f>
        <v>11035</v>
      </c>
      <c r="AC17" s="42"/>
      <c r="AD17" s="40">
        <f>AD15+AD13+AD11+AD9+AD7</f>
        <v>11035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4595.5</v>
      </c>
      <c r="S18" s="46"/>
      <c r="T18" s="47">
        <f>IF(T16&gt;0,(T16-R16)/2,"")</f>
        <v>4731.5</v>
      </c>
      <c r="U18" s="46"/>
      <c r="V18" s="47">
        <f>IF(V16&gt;0,(V16-T16)/2,"")</f>
        <v>9100.5</v>
      </c>
      <c r="W18" s="46"/>
      <c r="X18" s="47">
        <f>IF(X16&gt;0,(X16-V16)/2,"")</f>
        <v>4979</v>
      </c>
      <c r="Y18" s="46"/>
      <c r="Z18" s="47">
        <f>IF(Z16&gt;0,(Z16-X16)/2,"")</f>
        <v>1793.5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1908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559</v>
      </c>
      <c r="L20" s="4"/>
      <c r="M20" s="4"/>
      <c r="Q20" s="51" t="s">
        <v>49</v>
      </c>
      <c r="R20" s="35">
        <v>7285</v>
      </c>
      <c r="S20" s="36"/>
      <c r="T20" s="35">
        <v>11711</v>
      </c>
      <c r="U20" s="36"/>
      <c r="V20" s="35">
        <v>21617</v>
      </c>
      <c r="W20" s="36"/>
      <c r="X20" s="35">
        <v>40570</v>
      </c>
      <c r="Y20" s="36"/>
      <c r="Z20" s="35">
        <v>44205</v>
      </c>
      <c r="AA20" s="36"/>
      <c r="AB20" s="35">
        <v>44205</v>
      </c>
      <c r="AC20" s="37"/>
      <c r="AD20" s="35">
        <v>50786</v>
      </c>
      <c r="AE20" s="37"/>
    </row>
    <row r="21" spans="2:43" ht="15" customHeight="1" thickBot="1" x14ac:dyDescent="0.35">
      <c r="B21" s="16" t="s">
        <v>50</v>
      </c>
      <c r="C21" s="17">
        <v>8674</v>
      </c>
      <c r="L21" s="4"/>
      <c r="M21" s="4"/>
      <c r="Q21" s="52"/>
      <c r="R21" s="40">
        <v>7795</v>
      </c>
      <c r="S21" s="41"/>
      <c r="T21" s="40">
        <v>8681</v>
      </c>
      <c r="U21" s="41"/>
      <c r="V21" s="40">
        <v>11041</v>
      </c>
      <c r="W21" s="41"/>
      <c r="X21" s="40">
        <v>13390</v>
      </c>
      <c r="Y21" s="41"/>
      <c r="Z21" s="40">
        <v>14120</v>
      </c>
      <c r="AA21" s="41"/>
      <c r="AB21" s="40">
        <v>14120</v>
      </c>
      <c r="AC21" s="42"/>
      <c r="AD21" s="40">
        <v>2022</v>
      </c>
      <c r="AE21" s="42"/>
    </row>
    <row r="22" spans="2:43" ht="15" customHeight="1" thickBot="1" x14ac:dyDescent="0.35">
      <c r="B22" s="16" t="s">
        <v>51</v>
      </c>
      <c r="C22" s="17">
        <v>1539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4309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1906</v>
      </c>
      <c r="S24" s="60"/>
      <c r="T24" s="60">
        <f>IF(T16&gt;0,T16-T20,"")</f>
        <v>6943</v>
      </c>
      <c r="U24" s="60"/>
      <c r="V24" s="60">
        <f>IF(V16&gt;0,V16-V20,"")</f>
        <v>15238</v>
      </c>
      <c r="W24" s="60"/>
      <c r="X24" s="60">
        <f>IF(X16&gt;0,X16-X20,"")</f>
        <v>6243</v>
      </c>
      <c r="Y24" s="60"/>
      <c r="Z24" s="60">
        <f>IF(Z16&gt;0,Z16-Z20,"")</f>
        <v>6195</v>
      </c>
      <c r="AA24" s="60"/>
      <c r="AB24" s="60">
        <f>IF(AB16&gt;0,AB16-AB20,"")</f>
        <v>6195</v>
      </c>
      <c r="AC24" s="61"/>
      <c r="AD24" s="60">
        <f>IF(AD16&gt;0,AD16-AD20,"")</f>
        <v>-386</v>
      </c>
      <c r="AE24" s="61"/>
    </row>
    <row r="25" spans="2:43" x14ac:dyDescent="0.3">
      <c r="L25" s="4"/>
      <c r="M25" s="4"/>
      <c r="Q25" s="62"/>
      <c r="R25" s="63">
        <f>IF(R17&gt;=0,R17-R21,"")</f>
        <v>-1438</v>
      </c>
      <c r="S25" s="64"/>
      <c r="T25" s="63">
        <f>IF(T17&gt;=0,T17-T21,"")</f>
        <v>-444</v>
      </c>
      <c r="U25" s="64"/>
      <c r="V25" s="63">
        <f>IF(V17&gt;=0,V17-V21,"")</f>
        <v>-1366</v>
      </c>
      <c r="W25" s="64"/>
      <c r="X25" s="63">
        <f>IF(X17&gt;=0,X17-X21,"")</f>
        <v>-3420</v>
      </c>
      <c r="Y25" s="64"/>
      <c r="Z25" s="63">
        <f>IF(Z17&gt;=0,Z17-Z21,"")</f>
        <v>-3085</v>
      </c>
      <c r="AA25" s="64"/>
      <c r="AB25" s="63">
        <f>IF(AB17&gt;=0,AB17-AB21,"")</f>
        <v>-3085</v>
      </c>
      <c r="AC25" s="65"/>
      <c r="AD25" s="63">
        <f>IF(AD17&gt;=0,AD17-AD21,"")</f>
        <v>9013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102</v>
      </c>
      <c r="S26" s="55"/>
      <c r="T26" s="67">
        <f>IFERROR(IF(T18&gt;0,T18-T22,""),"")</f>
        <v>3171.5</v>
      </c>
      <c r="U26" s="55"/>
      <c r="V26" s="67">
        <f>IFERROR(IF(V18&gt;0,V18-V22,""),"")</f>
        <v>6043.5</v>
      </c>
      <c r="W26" s="55"/>
      <c r="X26" s="67">
        <f>IFERROR(IF(X18&gt;0,X18-X22,""),"")</f>
        <v>1972</v>
      </c>
      <c r="Y26" s="55"/>
      <c r="Z26" s="67">
        <f>IFERROR(IF(Z18&gt;0,Z18-Z22,""),"")</f>
        <v>-1081.5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9488</v>
      </c>
      <c r="D29" s="76">
        <f>C14</f>
        <v>5323</v>
      </c>
      <c r="E29" s="77">
        <f t="shared" ref="E29:E34" si="1">D29-C29</f>
        <v>-4165</v>
      </c>
      <c r="M29" s="4"/>
      <c r="O29" s="4"/>
    </row>
    <row r="30" spans="2:43" x14ac:dyDescent="0.3">
      <c r="B30" s="74" t="s">
        <v>56</v>
      </c>
      <c r="C30" s="75">
        <v>35029</v>
      </c>
      <c r="D30" s="76">
        <f>C7+C15+C16+C19+C20</f>
        <v>18729</v>
      </c>
      <c r="E30" s="77">
        <f t="shared" si="1"/>
        <v>-16300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13439</v>
      </c>
      <c r="D32" s="76">
        <f>C10+C11+C12+C13</f>
        <v>13439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15295</v>
      </c>
      <c r="D34" s="76">
        <f>C21+C22+C23</f>
        <v>14522</v>
      </c>
      <c r="E34" s="77">
        <f t="shared" si="1"/>
        <v>-773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5261</v>
      </c>
      <c r="D35" s="80">
        <f>SUM(C8+C9)</f>
        <v>5261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2247</v>
      </c>
      <c r="R36" s="104">
        <v>640</v>
      </c>
      <c r="S36" s="104">
        <f t="shared" ref="S36:S65" si="2">IF(T36&gt;0,(T36-R36)/2,"")</f>
        <v>59.5</v>
      </c>
      <c r="T36" s="104">
        <v>759</v>
      </c>
      <c r="U36" s="104">
        <f t="shared" ref="U36:U65" si="3">IF(V36&gt;0,(V36-T36)/2,"")</f>
        <v>719</v>
      </c>
      <c r="V36" s="104">
        <v>2197</v>
      </c>
      <c r="W36" s="104">
        <f t="shared" ref="W36:W65" si="4">IF(X36&gt;0,(X36-V36)/2,"")</f>
        <v>15</v>
      </c>
      <c r="X36" s="104">
        <v>2227</v>
      </c>
      <c r="Y36" s="104">
        <f t="shared" ref="Y36:Y65" si="5">IF(Z36&gt;0,(Z36-X36)/2,"")</f>
        <v>0</v>
      </c>
      <c r="Z36" s="104">
        <v>2227</v>
      </c>
      <c r="AA36" s="104">
        <f t="shared" ref="AA36:AA65" si="6">IF(AB36&gt;0,(AB36-Z36)/2,"")</f>
        <v>0</v>
      </c>
      <c r="AB36" s="104">
        <v>2227</v>
      </c>
      <c r="AC36" s="104">
        <f t="shared" ref="AC36:AC65" si="7">IF(AD36&gt;0,(AD36-AB36)/2,"")</f>
        <v>0</v>
      </c>
      <c r="AD36" s="104">
        <v>2227</v>
      </c>
      <c r="AE36" s="105">
        <f t="shared" ref="AE36:AE65" si="8">AD36-Q36</f>
        <v>-20</v>
      </c>
    </row>
    <row r="37" spans="2:31" ht="15.6" customHeight="1" x14ac:dyDescent="0.3">
      <c r="N37" s="212"/>
      <c r="O37" s="95" t="s">
        <v>66</v>
      </c>
      <c r="P37" s="106"/>
      <c r="Q37" s="106">
        <v>1519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250.5</v>
      </c>
      <c r="V37" s="106">
        <v>501</v>
      </c>
      <c r="W37" s="106">
        <f t="shared" si="4"/>
        <v>0</v>
      </c>
      <c r="X37" s="106">
        <v>501</v>
      </c>
      <c r="Y37" s="106">
        <f t="shared" si="5"/>
        <v>0</v>
      </c>
      <c r="Z37" s="106">
        <v>501</v>
      </c>
      <c r="AA37" s="106">
        <f t="shared" si="6"/>
        <v>0</v>
      </c>
      <c r="AB37" s="106">
        <v>501</v>
      </c>
      <c r="AC37" s="106">
        <f t="shared" si="7"/>
        <v>0</v>
      </c>
      <c r="AD37" s="106">
        <v>501</v>
      </c>
      <c r="AE37" s="107">
        <f t="shared" si="8"/>
        <v>-1018</v>
      </c>
    </row>
    <row r="38" spans="2:31" ht="15.6" customHeight="1" x14ac:dyDescent="0.3">
      <c r="N38" s="212"/>
      <c r="O38" s="94" t="s">
        <v>67</v>
      </c>
      <c r="P38" s="108"/>
      <c r="Q38" s="108">
        <v>2442</v>
      </c>
      <c r="R38" s="108">
        <v>659</v>
      </c>
      <c r="S38" s="108">
        <f t="shared" si="2"/>
        <v>276.5</v>
      </c>
      <c r="T38" s="108">
        <v>1212</v>
      </c>
      <c r="U38" s="108">
        <f t="shared" si="3"/>
        <v>316</v>
      </c>
      <c r="V38" s="108">
        <v>1844</v>
      </c>
      <c r="W38" s="108">
        <f t="shared" si="4"/>
        <v>299</v>
      </c>
      <c r="X38" s="108">
        <v>2442</v>
      </c>
      <c r="Y38" s="108">
        <f t="shared" si="5"/>
        <v>0</v>
      </c>
      <c r="Z38" s="108">
        <v>2442</v>
      </c>
      <c r="AA38" s="108">
        <f t="shared" si="6"/>
        <v>0</v>
      </c>
      <c r="AB38" s="108">
        <v>2442</v>
      </c>
      <c r="AC38" s="108">
        <f t="shared" si="7"/>
        <v>0</v>
      </c>
      <c r="AD38" s="108">
        <v>2442</v>
      </c>
      <c r="AE38" s="109">
        <f t="shared" si="8"/>
        <v>0</v>
      </c>
    </row>
    <row r="39" spans="2:31" ht="15.6" customHeight="1" x14ac:dyDescent="0.3">
      <c r="N39" s="212"/>
      <c r="O39" s="95" t="s">
        <v>68</v>
      </c>
      <c r="P39" s="106"/>
      <c r="Q39" s="106">
        <v>2990</v>
      </c>
      <c r="R39" s="106">
        <v>0</v>
      </c>
      <c r="S39" s="106">
        <f t="shared" si="2"/>
        <v>548.5</v>
      </c>
      <c r="T39" s="106">
        <v>1097</v>
      </c>
      <c r="U39" s="106">
        <f t="shared" si="3"/>
        <v>379.5</v>
      </c>
      <c r="V39" s="106">
        <v>1856</v>
      </c>
      <c r="W39" s="106">
        <f t="shared" si="4"/>
        <v>567</v>
      </c>
      <c r="X39" s="106">
        <v>2990</v>
      </c>
      <c r="Y39" s="106">
        <f t="shared" si="5"/>
        <v>0</v>
      </c>
      <c r="Z39" s="106">
        <v>2990</v>
      </c>
      <c r="AA39" s="106">
        <f t="shared" si="6"/>
        <v>0</v>
      </c>
      <c r="AB39" s="106">
        <v>2990</v>
      </c>
      <c r="AC39" s="106">
        <f t="shared" si="7"/>
        <v>0</v>
      </c>
      <c r="AD39" s="106">
        <v>2990</v>
      </c>
      <c r="AE39" s="107">
        <f t="shared" si="8"/>
        <v>0</v>
      </c>
    </row>
    <row r="40" spans="2:31" ht="15.6" customHeight="1" x14ac:dyDescent="0.3">
      <c r="N40" s="212"/>
      <c r="O40" s="94" t="s">
        <v>69</v>
      </c>
      <c r="P40" s="108"/>
      <c r="Q40" s="108">
        <v>2428</v>
      </c>
      <c r="R40" s="108">
        <v>0</v>
      </c>
      <c r="S40" s="108">
        <f t="shared" si="2"/>
        <v>547.5</v>
      </c>
      <c r="T40" s="108">
        <v>1095</v>
      </c>
      <c r="U40" s="108">
        <f t="shared" si="3"/>
        <v>358.5</v>
      </c>
      <c r="V40" s="108">
        <v>1812</v>
      </c>
      <c r="W40" s="108">
        <f t="shared" si="4"/>
        <v>308</v>
      </c>
      <c r="X40" s="108">
        <v>2428</v>
      </c>
      <c r="Y40" s="108">
        <f t="shared" si="5"/>
        <v>0</v>
      </c>
      <c r="Z40" s="108">
        <v>2428</v>
      </c>
      <c r="AA40" s="108">
        <f t="shared" si="6"/>
        <v>0</v>
      </c>
      <c r="AB40" s="108">
        <v>2428</v>
      </c>
      <c r="AC40" s="108">
        <f t="shared" si="7"/>
        <v>0</v>
      </c>
      <c r="AD40" s="108">
        <v>2428</v>
      </c>
      <c r="AE40" s="109">
        <f t="shared" si="8"/>
        <v>0</v>
      </c>
    </row>
    <row r="41" spans="2:31" ht="15.6" customHeight="1" x14ac:dyDescent="0.3">
      <c r="N41" s="212"/>
      <c r="O41" s="95" t="s">
        <v>70</v>
      </c>
      <c r="P41" s="106"/>
      <c r="Q41" s="106">
        <v>533</v>
      </c>
      <c r="R41" s="106">
        <v>265</v>
      </c>
      <c r="S41" s="106">
        <f t="shared" si="2"/>
        <v>0</v>
      </c>
      <c r="T41" s="106">
        <v>265</v>
      </c>
      <c r="U41" s="106">
        <f t="shared" si="3"/>
        <v>134</v>
      </c>
      <c r="V41" s="106">
        <v>533</v>
      </c>
      <c r="W41" s="106">
        <f t="shared" si="4"/>
        <v>0</v>
      </c>
      <c r="X41" s="106">
        <v>533</v>
      </c>
      <c r="Y41" s="106">
        <f t="shared" si="5"/>
        <v>0</v>
      </c>
      <c r="Z41" s="106">
        <v>533</v>
      </c>
      <c r="AA41" s="106">
        <f t="shared" si="6"/>
        <v>0</v>
      </c>
      <c r="AB41" s="106">
        <v>533</v>
      </c>
      <c r="AC41" s="106">
        <f t="shared" si="7"/>
        <v>0</v>
      </c>
      <c r="AD41" s="106">
        <v>533</v>
      </c>
      <c r="AE41" s="107">
        <f t="shared" si="8"/>
        <v>0</v>
      </c>
    </row>
    <row r="42" spans="2:31" ht="15.6" customHeight="1" x14ac:dyDescent="0.3">
      <c r="N42" s="212"/>
      <c r="O42" s="94" t="s">
        <v>71</v>
      </c>
      <c r="P42" s="108"/>
      <c r="Q42" s="108">
        <v>1234</v>
      </c>
      <c r="R42" s="108">
        <v>421</v>
      </c>
      <c r="S42" s="108">
        <f t="shared" si="2"/>
        <v>0</v>
      </c>
      <c r="T42" s="108">
        <v>421</v>
      </c>
      <c r="U42" s="108">
        <f t="shared" si="3"/>
        <v>0</v>
      </c>
      <c r="V42" s="108">
        <v>421</v>
      </c>
      <c r="W42" s="108">
        <f t="shared" si="4"/>
        <v>0</v>
      </c>
      <c r="X42" s="108">
        <v>421</v>
      </c>
      <c r="Y42" s="108">
        <f t="shared" si="5"/>
        <v>0</v>
      </c>
      <c r="Z42" s="108">
        <v>421</v>
      </c>
      <c r="AA42" s="108">
        <f t="shared" si="6"/>
        <v>0</v>
      </c>
      <c r="AB42" s="108">
        <v>421</v>
      </c>
      <c r="AC42" s="108">
        <f t="shared" si="7"/>
        <v>0</v>
      </c>
      <c r="AD42" s="108">
        <v>421</v>
      </c>
      <c r="AE42" s="109">
        <f t="shared" si="8"/>
        <v>-813</v>
      </c>
    </row>
    <row r="43" spans="2:31" ht="15.6" customHeight="1" x14ac:dyDescent="0.3">
      <c r="N43" s="212"/>
      <c r="O43" s="95" t="s">
        <v>72</v>
      </c>
      <c r="P43" s="106"/>
      <c r="Q43" s="106">
        <v>1676</v>
      </c>
      <c r="R43" s="106">
        <v>378</v>
      </c>
      <c r="S43" s="106">
        <f t="shared" si="2"/>
        <v>186.5</v>
      </c>
      <c r="T43" s="106">
        <v>751</v>
      </c>
      <c r="U43" s="106">
        <f t="shared" si="3"/>
        <v>202</v>
      </c>
      <c r="V43" s="106">
        <v>1155</v>
      </c>
      <c r="W43" s="106">
        <f t="shared" si="4"/>
        <v>0</v>
      </c>
      <c r="X43" s="106">
        <v>1155</v>
      </c>
      <c r="Y43" s="106">
        <f t="shared" si="5"/>
        <v>0</v>
      </c>
      <c r="Z43" s="106">
        <v>1155</v>
      </c>
      <c r="AA43" s="106">
        <f t="shared" si="6"/>
        <v>0</v>
      </c>
      <c r="AB43" s="106">
        <v>1155</v>
      </c>
      <c r="AC43" s="106">
        <f t="shared" si="7"/>
        <v>0</v>
      </c>
      <c r="AD43" s="106">
        <v>1155</v>
      </c>
      <c r="AE43" s="107">
        <f t="shared" si="8"/>
        <v>-521</v>
      </c>
    </row>
    <row r="44" spans="2:31" ht="15.6" customHeight="1" thickBot="1" x14ac:dyDescent="0.35">
      <c r="N44" s="213"/>
      <c r="O44" s="97" t="s">
        <v>73</v>
      </c>
      <c r="P44" s="110"/>
      <c r="Q44" s="110">
        <v>1280</v>
      </c>
      <c r="R44" s="110">
        <v>575</v>
      </c>
      <c r="S44" s="110">
        <f t="shared" si="2"/>
        <v>317</v>
      </c>
      <c r="T44" s="110">
        <v>1209</v>
      </c>
      <c r="U44" s="110">
        <f t="shared" si="3"/>
        <v>0</v>
      </c>
      <c r="V44" s="110">
        <v>1209</v>
      </c>
      <c r="W44" s="110">
        <f t="shared" si="4"/>
        <v>45.5</v>
      </c>
      <c r="X44" s="110">
        <v>1300</v>
      </c>
      <c r="Y44" s="110">
        <f t="shared" si="5"/>
        <v>0</v>
      </c>
      <c r="Z44" s="110">
        <v>1300</v>
      </c>
      <c r="AA44" s="110">
        <f t="shared" si="6"/>
        <v>0</v>
      </c>
      <c r="AB44" s="110">
        <v>1300</v>
      </c>
      <c r="AC44" s="110">
        <f t="shared" si="7"/>
        <v>0</v>
      </c>
      <c r="AD44" s="110">
        <v>1300</v>
      </c>
      <c r="AE44" s="111">
        <f t="shared" si="8"/>
        <v>20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484</v>
      </c>
      <c r="T45" s="112">
        <v>1968</v>
      </c>
      <c r="U45" s="112">
        <f t="shared" si="3"/>
        <v>903.5</v>
      </c>
      <c r="V45" s="112">
        <v>3775</v>
      </c>
      <c r="W45" s="112">
        <f t="shared" si="4"/>
        <v>0</v>
      </c>
      <c r="X45" s="112">
        <v>3775</v>
      </c>
      <c r="Y45" s="112">
        <f t="shared" si="5"/>
        <v>0</v>
      </c>
      <c r="Z45" s="112">
        <v>3775</v>
      </c>
      <c r="AA45" s="112">
        <f t="shared" si="6"/>
        <v>0</v>
      </c>
      <c r="AB45" s="112">
        <v>3775</v>
      </c>
      <c r="AC45" s="112">
        <f t="shared" si="7"/>
        <v>0</v>
      </c>
      <c r="AD45" s="112">
        <v>3775</v>
      </c>
      <c r="AE45" s="113">
        <f t="shared" si="8"/>
        <v>3775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1832.5</v>
      </c>
      <c r="V46" s="108">
        <v>3665</v>
      </c>
      <c r="W46" s="108">
        <f t="shared" si="4"/>
        <v>0</v>
      </c>
      <c r="X46" s="108">
        <v>3665</v>
      </c>
      <c r="Y46" s="108">
        <f t="shared" si="5"/>
        <v>0</v>
      </c>
      <c r="Z46" s="108">
        <v>3665</v>
      </c>
      <c r="AA46" s="108">
        <f t="shared" si="6"/>
        <v>0</v>
      </c>
      <c r="AB46" s="108">
        <v>3665</v>
      </c>
      <c r="AC46" s="108">
        <f t="shared" si="7"/>
        <v>0</v>
      </c>
      <c r="AD46" s="108">
        <v>3665</v>
      </c>
      <c r="AE46" s="109">
        <f t="shared" si="8"/>
        <v>3665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570</v>
      </c>
      <c r="V47" s="106">
        <v>1140</v>
      </c>
      <c r="W47" s="106">
        <f t="shared" si="4"/>
        <v>534</v>
      </c>
      <c r="X47" s="106">
        <v>2208</v>
      </c>
      <c r="Y47" s="106">
        <f t="shared" si="5"/>
        <v>0</v>
      </c>
      <c r="Z47" s="106">
        <v>2208</v>
      </c>
      <c r="AA47" s="106">
        <f t="shared" si="6"/>
        <v>0</v>
      </c>
      <c r="AB47" s="106">
        <v>2208</v>
      </c>
      <c r="AC47" s="106">
        <f t="shared" si="7"/>
        <v>0</v>
      </c>
      <c r="AD47" s="106">
        <v>2208</v>
      </c>
      <c r="AE47" s="107">
        <f t="shared" si="8"/>
        <v>2208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800</v>
      </c>
      <c r="S48" s="110">
        <f t="shared" si="2"/>
        <v>0</v>
      </c>
      <c r="T48" s="110">
        <v>800</v>
      </c>
      <c r="U48" s="110">
        <f t="shared" si="3"/>
        <v>1698</v>
      </c>
      <c r="V48" s="110">
        <v>4196</v>
      </c>
      <c r="W48" s="110">
        <f t="shared" si="4"/>
        <v>0</v>
      </c>
      <c r="X48" s="110">
        <v>4196</v>
      </c>
      <c r="Y48" s="110">
        <f t="shared" si="5"/>
        <v>0</v>
      </c>
      <c r="Z48" s="110">
        <v>4196</v>
      </c>
      <c r="AA48" s="110">
        <f t="shared" si="6"/>
        <v>0</v>
      </c>
      <c r="AB48" s="110">
        <v>4196</v>
      </c>
      <c r="AC48" s="110">
        <f t="shared" si="7"/>
        <v>0</v>
      </c>
      <c r="AD48" s="110">
        <v>4196</v>
      </c>
      <c r="AE48" s="111">
        <f t="shared" si="8"/>
        <v>4196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2394</v>
      </c>
      <c r="R49" s="112">
        <v>1090</v>
      </c>
      <c r="S49" s="112">
        <f t="shared" si="2"/>
        <v>0</v>
      </c>
      <c r="T49" s="112">
        <v>1090</v>
      </c>
      <c r="U49" s="112">
        <f t="shared" si="3"/>
        <v>214</v>
      </c>
      <c r="V49" s="112">
        <v>1518</v>
      </c>
      <c r="W49" s="112">
        <f t="shared" si="4"/>
        <v>0</v>
      </c>
      <c r="X49" s="112">
        <v>1518</v>
      </c>
      <c r="Y49" s="112">
        <f t="shared" si="5"/>
        <v>399.5</v>
      </c>
      <c r="Z49" s="112">
        <v>2317</v>
      </c>
      <c r="AA49" s="112">
        <f t="shared" si="6"/>
        <v>0</v>
      </c>
      <c r="AB49" s="112">
        <v>2317</v>
      </c>
      <c r="AC49" s="112">
        <f t="shared" si="7"/>
        <v>0</v>
      </c>
      <c r="AD49" s="112">
        <v>2317</v>
      </c>
      <c r="AE49" s="113">
        <f t="shared" si="8"/>
        <v>-77</v>
      </c>
    </row>
    <row r="50" spans="14:31" ht="15.6" customHeight="1" x14ac:dyDescent="0.3">
      <c r="N50" s="212"/>
      <c r="O50" s="94" t="s">
        <v>66</v>
      </c>
      <c r="P50" s="108"/>
      <c r="Q50" s="108">
        <v>3837</v>
      </c>
      <c r="R50" s="108">
        <v>984</v>
      </c>
      <c r="S50" s="108">
        <f t="shared" si="2"/>
        <v>273</v>
      </c>
      <c r="T50" s="108">
        <v>1530</v>
      </c>
      <c r="U50" s="108">
        <f t="shared" si="3"/>
        <v>0</v>
      </c>
      <c r="V50" s="108">
        <v>1530</v>
      </c>
      <c r="W50" s="108">
        <f t="shared" si="4"/>
        <v>502</v>
      </c>
      <c r="X50" s="108">
        <v>2534</v>
      </c>
      <c r="Y50" s="108">
        <f t="shared" si="5"/>
        <v>305</v>
      </c>
      <c r="Z50" s="108">
        <v>3144</v>
      </c>
      <c r="AA50" s="108">
        <f t="shared" si="6"/>
        <v>0</v>
      </c>
      <c r="AB50" s="108">
        <v>3144</v>
      </c>
      <c r="AC50" s="108">
        <f t="shared" si="7"/>
        <v>0</v>
      </c>
      <c r="AD50" s="108">
        <v>3144</v>
      </c>
      <c r="AE50" s="109">
        <f t="shared" si="8"/>
        <v>-693</v>
      </c>
    </row>
    <row r="51" spans="14:31" ht="15.6" customHeight="1" x14ac:dyDescent="0.3">
      <c r="N51" s="212"/>
      <c r="O51" s="95" t="s">
        <v>67</v>
      </c>
      <c r="P51" s="106"/>
      <c r="Q51" s="106">
        <v>1547</v>
      </c>
      <c r="R51" s="106">
        <v>679</v>
      </c>
      <c r="S51" s="106">
        <f t="shared" si="2"/>
        <v>233.5</v>
      </c>
      <c r="T51" s="106">
        <v>1146</v>
      </c>
      <c r="U51" s="106">
        <f t="shared" si="3"/>
        <v>167</v>
      </c>
      <c r="V51" s="106">
        <v>1480</v>
      </c>
      <c r="W51" s="106">
        <f t="shared" si="4"/>
        <v>0</v>
      </c>
      <c r="X51" s="106">
        <v>1480</v>
      </c>
      <c r="Y51" s="106">
        <f t="shared" si="5"/>
        <v>0</v>
      </c>
      <c r="Z51" s="106">
        <v>1480</v>
      </c>
      <c r="AA51" s="106">
        <f t="shared" si="6"/>
        <v>0</v>
      </c>
      <c r="AB51" s="106">
        <v>1480</v>
      </c>
      <c r="AC51" s="106">
        <f t="shared" si="7"/>
        <v>0</v>
      </c>
      <c r="AD51" s="106">
        <v>1480</v>
      </c>
      <c r="AE51" s="107">
        <f t="shared" si="8"/>
        <v>-67</v>
      </c>
    </row>
    <row r="52" spans="14:31" ht="15.6" customHeight="1" x14ac:dyDescent="0.3">
      <c r="N52" s="212"/>
      <c r="O52" s="94" t="s">
        <v>68</v>
      </c>
      <c r="P52" s="108"/>
      <c r="Q52" s="108">
        <v>619</v>
      </c>
      <c r="R52" s="108">
        <v>372</v>
      </c>
      <c r="S52" s="108">
        <f t="shared" si="2"/>
        <v>0</v>
      </c>
      <c r="T52" s="108">
        <v>372</v>
      </c>
      <c r="U52" s="108">
        <f t="shared" si="3"/>
        <v>98</v>
      </c>
      <c r="V52" s="108">
        <v>568</v>
      </c>
      <c r="W52" s="108">
        <f t="shared" si="4"/>
        <v>0</v>
      </c>
      <c r="X52" s="108">
        <v>568</v>
      </c>
      <c r="Y52" s="108">
        <f t="shared" si="5"/>
        <v>41</v>
      </c>
      <c r="Z52" s="108">
        <v>650</v>
      </c>
      <c r="AA52" s="108">
        <f t="shared" si="6"/>
        <v>0</v>
      </c>
      <c r="AB52" s="108">
        <v>650</v>
      </c>
      <c r="AC52" s="108">
        <f t="shared" si="7"/>
        <v>0</v>
      </c>
      <c r="AD52" s="108">
        <v>650</v>
      </c>
      <c r="AE52" s="109">
        <f t="shared" si="8"/>
        <v>31</v>
      </c>
    </row>
    <row r="53" spans="14:31" ht="15.6" customHeight="1" x14ac:dyDescent="0.3">
      <c r="N53" s="212"/>
      <c r="O53" s="95" t="s">
        <v>69</v>
      </c>
      <c r="P53" s="106"/>
      <c r="Q53" s="106">
        <v>3064</v>
      </c>
      <c r="R53" s="106">
        <v>93</v>
      </c>
      <c r="S53" s="106">
        <f t="shared" si="2"/>
        <v>234</v>
      </c>
      <c r="T53" s="106">
        <v>561</v>
      </c>
      <c r="U53" s="106">
        <f t="shared" si="3"/>
        <v>342.5</v>
      </c>
      <c r="V53" s="106">
        <v>1246</v>
      </c>
      <c r="W53" s="106">
        <f t="shared" si="4"/>
        <v>0</v>
      </c>
      <c r="X53" s="106">
        <v>1246</v>
      </c>
      <c r="Y53" s="106">
        <f t="shared" si="5"/>
        <v>518.5</v>
      </c>
      <c r="Z53" s="106">
        <v>2283</v>
      </c>
      <c r="AA53" s="106">
        <f t="shared" si="6"/>
        <v>0</v>
      </c>
      <c r="AB53" s="106">
        <v>2283</v>
      </c>
      <c r="AC53" s="106">
        <f t="shared" si="7"/>
        <v>0</v>
      </c>
      <c r="AD53" s="106">
        <v>2283</v>
      </c>
      <c r="AE53" s="107">
        <f t="shared" si="8"/>
        <v>-781</v>
      </c>
    </row>
    <row r="54" spans="14:31" ht="15.6" customHeight="1" x14ac:dyDescent="0.3">
      <c r="N54" s="212"/>
      <c r="O54" s="94" t="s">
        <v>70</v>
      </c>
      <c r="P54" s="108"/>
      <c r="Q54" s="108">
        <v>1057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382.5</v>
      </c>
      <c r="Z54" s="108">
        <v>765</v>
      </c>
      <c r="AA54" s="108">
        <f t="shared" si="6"/>
        <v>0</v>
      </c>
      <c r="AB54" s="108">
        <v>765</v>
      </c>
      <c r="AC54" s="108">
        <f t="shared" si="7"/>
        <v>0</v>
      </c>
      <c r="AD54" s="108">
        <v>765</v>
      </c>
      <c r="AE54" s="109">
        <f t="shared" si="8"/>
        <v>-292</v>
      </c>
    </row>
    <row r="55" spans="14:31" ht="15.6" customHeight="1" x14ac:dyDescent="0.3">
      <c r="N55" s="212"/>
      <c r="O55" s="95" t="s">
        <v>71</v>
      </c>
      <c r="P55" s="106"/>
      <c r="Q55" s="106">
        <v>1778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597</v>
      </c>
      <c r="X55" s="106">
        <v>1194</v>
      </c>
      <c r="Y55" s="106">
        <f t="shared" si="5"/>
        <v>384</v>
      </c>
      <c r="Z55" s="106">
        <v>1962</v>
      </c>
      <c r="AA55" s="106">
        <f t="shared" si="6"/>
        <v>0</v>
      </c>
      <c r="AB55" s="106">
        <v>1962</v>
      </c>
      <c r="AC55" s="106">
        <f t="shared" si="7"/>
        <v>0</v>
      </c>
      <c r="AD55" s="106">
        <v>1962</v>
      </c>
      <c r="AE55" s="107">
        <f t="shared" si="8"/>
        <v>184</v>
      </c>
    </row>
    <row r="56" spans="14:31" ht="15.6" customHeight="1" x14ac:dyDescent="0.3">
      <c r="N56" s="212"/>
      <c r="O56" s="94" t="s">
        <v>72</v>
      </c>
      <c r="P56" s="108"/>
      <c r="Q56" s="108">
        <v>2863</v>
      </c>
      <c r="R56" s="108">
        <v>1224</v>
      </c>
      <c r="S56" s="108">
        <f t="shared" si="2"/>
        <v>41.5</v>
      </c>
      <c r="T56" s="108">
        <v>1307</v>
      </c>
      <c r="U56" s="108">
        <f t="shared" si="3"/>
        <v>0</v>
      </c>
      <c r="V56" s="108">
        <v>1307</v>
      </c>
      <c r="W56" s="108">
        <f t="shared" si="4"/>
        <v>37.5</v>
      </c>
      <c r="X56" s="108">
        <v>1382</v>
      </c>
      <c r="Y56" s="108">
        <f t="shared" si="5"/>
        <v>142</v>
      </c>
      <c r="Z56" s="108">
        <v>1666</v>
      </c>
      <c r="AA56" s="108">
        <f t="shared" si="6"/>
        <v>0</v>
      </c>
      <c r="AB56" s="108">
        <v>1666</v>
      </c>
      <c r="AC56" s="108">
        <f t="shared" si="7"/>
        <v>0</v>
      </c>
      <c r="AD56" s="108">
        <v>1666</v>
      </c>
      <c r="AE56" s="109">
        <f t="shared" si="8"/>
        <v>-1197</v>
      </c>
    </row>
    <row r="57" spans="14:31" ht="15.6" customHeight="1" thickBot="1" x14ac:dyDescent="0.3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30</v>
      </c>
      <c r="Z57" s="114">
        <v>60</v>
      </c>
      <c r="AA57" s="114">
        <f t="shared" si="6"/>
        <v>0</v>
      </c>
      <c r="AB57" s="114">
        <v>60</v>
      </c>
      <c r="AC57" s="114">
        <f t="shared" si="7"/>
        <v>0</v>
      </c>
      <c r="AD57" s="114">
        <v>60</v>
      </c>
      <c r="AE57" s="115">
        <f t="shared" si="8"/>
        <v>-20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4470</v>
      </c>
      <c r="R58" s="104">
        <v>1186</v>
      </c>
      <c r="S58" s="104">
        <f t="shared" si="2"/>
        <v>482.5</v>
      </c>
      <c r="T58" s="104">
        <v>2151</v>
      </c>
      <c r="U58" s="104">
        <f t="shared" si="3"/>
        <v>474</v>
      </c>
      <c r="V58" s="104">
        <v>3099</v>
      </c>
      <c r="W58" s="104">
        <f t="shared" si="4"/>
        <v>130</v>
      </c>
      <c r="X58" s="104">
        <v>3359</v>
      </c>
      <c r="Y58" s="104">
        <f t="shared" si="5"/>
        <v>0</v>
      </c>
      <c r="Z58" s="104">
        <v>3359</v>
      </c>
      <c r="AA58" s="104">
        <f t="shared" si="6"/>
        <v>0</v>
      </c>
      <c r="AB58" s="104">
        <v>3359</v>
      </c>
      <c r="AC58" s="104">
        <f t="shared" si="7"/>
        <v>0</v>
      </c>
      <c r="AD58" s="104">
        <v>3359</v>
      </c>
      <c r="AE58" s="105">
        <f t="shared" si="8"/>
        <v>-1111</v>
      </c>
    </row>
    <row r="59" spans="14:31" ht="15.6" customHeight="1" x14ac:dyDescent="0.3">
      <c r="N59" s="212"/>
      <c r="O59" s="95" t="s">
        <v>66</v>
      </c>
      <c r="P59" s="106"/>
      <c r="Q59" s="106">
        <v>3973</v>
      </c>
      <c r="R59" s="106">
        <v>1301</v>
      </c>
      <c r="S59" s="106">
        <f t="shared" si="2"/>
        <v>276</v>
      </c>
      <c r="T59" s="106">
        <v>1853</v>
      </c>
      <c r="U59" s="106">
        <f t="shared" si="3"/>
        <v>251</v>
      </c>
      <c r="V59" s="106">
        <v>2355</v>
      </c>
      <c r="W59" s="106">
        <f t="shared" si="4"/>
        <v>782</v>
      </c>
      <c r="X59" s="106">
        <v>3919</v>
      </c>
      <c r="Y59" s="106">
        <f t="shared" si="5"/>
        <v>0</v>
      </c>
      <c r="Z59" s="106">
        <v>3919</v>
      </c>
      <c r="AA59" s="106">
        <f t="shared" si="6"/>
        <v>0</v>
      </c>
      <c r="AB59" s="106">
        <v>3919</v>
      </c>
      <c r="AC59" s="106">
        <f t="shared" si="7"/>
        <v>0</v>
      </c>
      <c r="AD59" s="106">
        <v>3919</v>
      </c>
      <c r="AE59" s="107">
        <f t="shared" si="8"/>
        <v>-54</v>
      </c>
    </row>
    <row r="60" spans="14:31" ht="15.6" customHeight="1" x14ac:dyDescent="0.3">
      <c r="N60" s="212"/>
      <c r="O60" s="94" t="s">
        <v>67</v>
      </c>
      <c r="P60" s="108"/>
      <c r="Q60" s="108">
        <v>3287</v>
      </c>
      <c r="R60" s="108">
        <v>0</v>
      </c>
      <c r="S60" s="108">
        <f t="shared" si="2"/>
        <v>120</v>
      </c>
      <c r="T60" s="108">
        <v>240</v>
      </c>
      <c r="U60" s="108">
        <f t="shared" si="3"/>
        <v>547</v>
      </c>
      <c r="V60" s="108">
        <v>1334</v>
      </c>
      <c r="W60" s="108">
        <f t="shared" si="4"/>
        <v>553</v>
      </c>
      <c r="X60" s="108">
        <v>2440</v>
      </c>
      <c r="Y60" s="108">
        <f t="shared" si="5"/>
        <v>0</v>
      </c>
      <c r="Z60" s="108">
        <v>2440</v>
      </c>
      <c r="AA60" s="108">
        <f t="shared" si="6"/>
        <v>0</v>
      </c>
      <c r="AB60" s="108">
        <v>2440</v>
      </c>
      <c r="AC60" s="108">
        <f t="shared" si="7"/>
        <v>0</v>
      </c>
      <c r="AD60" s="108">
        <v>2440</v>
      </c>
      <c r="AE60" s="109">
        <f t="shared" si="8"/>
        <v>-847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5877</v>
      </c>
      <c r="R62" s="104">
        <v>1904</v>
      </c>
      <c r="S62" s="104">
        <f t="shared" si="2"/>
        <v>254</v>
      </c>
      <c r="T62" s="104">
        <v>2412</v>
      </c>
      <c r="U62" s="104">
        <f t="shared" si="3"/>
        <v>0</v>
      </c>
      <c r="V62" s="104">
        <v>2412</v>
      </c>
      <c r="W62" s="104">
        <f t="shared" si="4"/>
        <v>244.5</v>
      </c>
      <c r="X62" s="104">
        <v>2901</v>
      </c>
      <c r="Y62" s="104">
        <f t="shared" si="5"/>
        <v>0</v>
      </c>
      <c r="Z62" s="104">
        <v>2901</v>
      </c>
      <c r="AA62" s="104">
        <f t="shared" si="6"/>
        <v>0</v>
      </c>
      <c r="AB62" s="104">
        <v>2901</v>
      </c>
      <c r="AC62" s="104">
        <f t="shared" si="7"/>
        <v>0</v>
      </c>
      <c r="AD62" s="104">
        <v>2901</v>
      </c>
      <c r="AE62" s="105">
        <f t="shared" si="8"/>
        <v>-2976</v>
      </c>
    </row>
    <row r="63" spans="14:31" ht="15.6" customHeight="1" x14ac:dyDescent="0.3">
      <c r="N63" s="212"/>
      <c r="O63" s="95" t="s">
        <v>66</v>
      </c>
      <c r="P63" s="106"/>
      <c r="Q63" s="106">
        <v>6495</v>
      </c>
      <c r="R63" s="106">
        <v>1656</v>
      </c>
      <c r="S63" s="106">
        <f t="shared" si="2"/>
        <v>676.5</v>
      </c>
      <c r="T63" s="106">
        <v>3009</v>
      </c>
      <c r="U63" s="106">
        <f t="shared" si="3"/>
        <v>100</v>
      </c>
      <c r="V63" s="106">
        <v>3209</v>
      </c>
      <c r="W63" s="106">
        <f t="shared" si="4"/>
        <v>174</v>
      </c>
      <c r="X63" s="106">
        <v>3557</v>
      </c>
      <c r="Y63" s="106">
        <f t="shared" si="5"/>
        <v>123.5</v>
      </c>
      <c r="Z63" s="106">
        <v>3804</v>
      </c>
      <c r="AA63" s="106">
        <f t="shared" si="6"/>
        <v>0</v>
      </c>
      <c r="AB63" s="106">
        <v>3804</v>
      </c>
      <c r="AC63" s="106">
        <f t="shared" si="7"/>
        <v>0</v>
      </c>
      <c r="AD63" s="106">
        <v>3804</v>
      </c>
      <c r="AE63" s="107">
        <f t="shared" si="8"/>
        <v>-2691</v>
      </c>
    </row>
    <row r="64" spans="14:31" ht="15.6" customHeight="1" x14ac:dyDescent="0.3">
      <c r="N64" s="212"/>
      <c r="O64" s="94" t="s">
        <v>67</v>
      </c>
      <c r="P64" s="108"/>
      <c r="Q64" s="108">
        <v>5244</v>
      </c>
      <c r="R64" s="108">
        <v>321</v>
      </c>
      <c r="S64" s="108">
        <f t="shared" si="2"/>
        <v>541</v>
      </c>
      <c r="T64" s="108">
        <v>1403</v>
      </c>
      <c r="U64" s="108">
        <f t="shared" si="3"/>
        <v>214.5</v>
      </c>
      <c r="V64" s="108">
        <v>1832</v>
      </c>
      <c r="W64" s="108">
        <f t="shared" si="4"/>
        <v>226</v>
      </c>
      <c r="X64" s="108">
        <v>2284</v>
      </c>
      <c r="Y64" s="108">
        <f t="shared" si="5"/>
        <v>0</v>
      </c>
      <c r="Z64" s="108">
        <v>2284</v>
      </c>
      <c r="AA64" s="108">
        <f t="shared" si="6"/>
        <v>0</v>
      </c>
      <c r="AB64" s="108">
        <v>2284</v>
      </c>
      <c r="AC64" s="108">
        <f t="shared" si="7"/>
        <v>0</v>
      </c>
      <c r="AD64" s="108">
        <v>2284</v>
      </c>
      <c r="AE64" s="109">
        <f t="shared" si="8"/>
        <v>-2960</v>
      </c>
    </row>
    <row r="65" spans="14:31" ht="15.6" customHeight="1" thickBot="1" x14ac:dyDescent="0.35">
      <c r="N65" s="213"/>
      <c r="O65" s="99" t="s">
        <v>68</v>
      </c>
      <c r="P65" s="114"/>
      <c r="Q65" s="114">
        <v>2318</v>
      </c>
      <c r="R65" s="114">
        <v>0</v>
      </c>
      <c r="S65" s="114">
        <f t="shared" si="2"/>
        <v>120</v>
      </c>
      <c r="T65" s="114">
        <v>240</v>
      </c>
      <c r="U65" s="114">
        <f t="shared" si="3"/>
        <v>48</v>
      </c>
      <c r="V65" s="114">
        <v>336</v>
      </c>
      <c r="W65" s="114">
        <f t="shared" si="4"/>
        <v>112</v>
      </c>
      <c r="X65" s="114">
        <v>560</v>
      </c>
      <c r="Y65" s="114">
        <f t="shared" si="5"/>
        <v>0</v>
      </c>
      <c r="Z65" s="114">
        <v>560</v>
      </c>
      <c r="AA65" s="114">
        <f t="shared" si="6"/>
        <v>0</v>
      </c>
      <c r="AB65" s="114">
        <v>560</v>
      </c>
      <c r="AC65" s="114">
        <f t="shared" si="7"/>
        <v>0</v>
      </c>
      <c r="AD65" s="114">
        <v>560</v>
      </c>
      <c r="AE65" s="115">
        <f t="shared" si="8"/>
        <v>-1758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07" priority="11" operator="lessThan">
      <formula>0</formula>
    </cfRule>
    <cfRule type="cellIs" dxfId="1906" priority="12" operator="greaterThan">
      <formula>0</formula>
    </cfRule>
  </conditionalFormatting>
  <conditionalFormatting sqref="R25:AC25">
    <cfRule type="cellIs" dxfId="1905" priority="9" operator="lessThan">
      <formula>0</formula>
    </cfRule>
    <cfRule type="cellIs" dxfId="1904" priority="10" operator="greaterThan">
      <formula>0</formula>
    </cfRule>
  </conditionalFormatting>
  <conditionalFormatting sqref="R26 T26 V26 X26 Z26 AB26">
    <cfRule type="cellIs" dxfId="1903" priority="7" operator="lessThan">
      <formula>0</formula>
    </cfRule>
    <cfRule type="cellIs" dxfId="1902" priority="8" operator="greaterThan">
      <formula>0</formula>
    </cfRule>
  </conditionalFormatting>
  <conditionalFormatting sqref="AD24:AE24">
    <cfRule type="cellIs" dxfId="1901" priority="5" operator="lessThan">
      <formula>0</formula>
    </cfRule>
    <cfRule type="cellIs" dxfId="1900" priority="6" operator="greaterThan">
      <formula>0</formula>
    </cfRule>
  </conditionalFormatting>
  <conditionalFormatting sqref="AD25:AE25">
    <cfRule type="cellIs" dxfId="1899" priority="3" operator="lessThan">
      <formula>0</formula>
    </cfRule>
    <cfRule type="cellIs" dxfId="1898" priority="4" operator="greaterThan">
      <formula>0</formula>
    </cfRule>
  </conditionalFormatting>
  <conditionalFormatting sqref="AD26">
    <cfRule type="cellIs" dxfId="1897" priority="1" operator="lessThan">
      <formula>0</formula>
    </cfRule>
    <cfRule type="cellIs" dxfId="189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/>
    <pageSetUpPr fitToPage="1"/>
  </sheetPr>
  <dimension ref="B1:AQ65"/>
  <sheetViews>
    <sheetView topLeftCell="D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44360</v>
      </c>
    </row>
    <row r="3" spans="2:42" ht="18.75" customHeight="1" thickBot="1" x14ac:dyDescent="0.35">
      <c r="B3" t="s">
        <v>1</v>
      </c>
      <c r="C3" s="3">
        <f>C2+1</f>
        <v>44361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3282</v>
      </c>
      <c r="E6" s="18" t="s">
        <v>22</v>
      </c>
      <c r="F6" s="119">
        <v>17940</v>
      </c>
      <c r="G6" s="117">
        <v>16266.326875000001</v>
      </c>
      <c r="H6" s="117">
        <v>9829.1194916400036</v>
      </c>
      <c r="I6" s="19">
        <f>G6+H6</f>
        <v>26095.446366640004</v>
      </c>
      <c r="J6" s="119">
        <v>17846</v>
      </c>
      <c r="K6" s="117">
        <v>15351.813</v>
      </c>
      <c r="L6" s="117">
        <v>9263.8383316199979</v>
      </c>
      <c r="M6" s="19"/>
      <c r="N6" s="85">
        <v>62</v>
      </c>
      <c r="O6" s="85">
        <v>46</v>
      </c>
      <c r="P6" s="92"/>
      <c r="Q6" s="20">
        <f>J6-P6</f>
        <v>17846</v>
      </c>
      <c r="R6" s="21">
        <v>1139</v>
      </c>
      <c r="S6" s="20">
        <f>IF(R6&gt;0,(R6-R7-$Q6),"")</f>
        <v>-16707</v>
      </c>
      <c r="T6" s="21">
        <v>2989</v>
      </c>
      <c r="U6" s="20">
        <f>IF(T6&gt;0,(T6-T7-$Q6),"")</f>
        <v>-14857</v>
      </c>
      <c r="V6" s="21">
        <v>9448</v>
      </c>
      <c r="W6" s="20">
        <f>IF(V6&gt;0,(V6-V7-$Q6),"")</f>
        <v>-8398</v>
      </c>
      <c r="X6" s="21">
        <v>12914</v>
      </c>
      <c r="Y6" s="20">
        <f>IF(X6&gt;0,(X6-X7-$Q6),"")</f>
        <v>-4997</v>
      </c>
      <c r="Z6" s="21">
        <v>14803</v>
      </c>
      <c r="AA6" s="20">
        <f>IF(Z6&gt;0,(Z6-Z7-$Q6),"")</f>
        <v>-3108</v>
      </c>
      <c r="AB6" s="21">
        <v>14803</v>
      </c>
      <c r="AC6" s="22">
        <f>IF(AB6&gt;0,(AB6-AB7-$Q6),"")</f>
        <v>-3108</v>
      </c>
      <c r="AD6" s="21">
        <v>14803</v>
      </c>
      <c r="AE6" s="22">
        <f>IF(AD6&gt;0,(AD6-AD7-$Q6),"")</f>
        <v>-3108</v>
      </c>
    </row>
    <row r="7" spans="2:42" x14ac:dyDescent="0.3">
      <c r="B7" s="16" t="s">
        <v>23</v>
      </c>
      <c r="C7" s="17">
        <v>186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65</v>
      </c>
      <c r="Y7" s="24"/>
      <c r="Z7" s="25">
        <v>65</v>
      </c>
      <c r="AA7" s="24"/>
      <c r="AB7" s="25">
        <v>65</v>
      </c>
      <c r="AC7" s="26"/>
      <c r="AD7" s="25">
        <v>65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2553</v>
      </c>
      <c r="E8" s="29" t="s">
        <v>27</v>
      </c>
      <c r="F8" s="119">
        <v>14515</v>
      </c>
      <c r="G8" s="117">
        <v>6251.2275000000009</v>
      </c>
      <c r="H8" s="117">
        <v>1410.2997949999999</v>
      </c>
      <c r="I8" s="19">
        <f>G8+H8</f>
        <v>7661.5272950000008</v>
      </c>
      <c r="J8" s="119">
        <v>14930</v>
      </c>
      <c r="K8" s="117">
        <v>6418.8694999999998</v>
      </c>
      <c r="L8" s="117">
        <v>1448.1886583</v>
      </c>
      <c r="M8" s="19"/>
      <c r="N8" s="87">
        <v>36</v>
      </c>
      <c r="O8" s="87">
        <v>20</v>
      </c>
      <c r="P8" s="92"/>
      <c r="Q8" s="20">
        <f>J8-P8</f>
        <v>14930</v>
      </c>
      <c r="R8" s="21">
        <v>1800</v>
      </c>
      <c r="S8" s="20">
        <f>IF(R8&gt;0,(R8-R9-$Q8),"")</f>
        <v>-13130</v>
      </c>
      <c r="T8" s="21">
        <v>11071</v>
      </c>
      <c r="U8" s="20">
        <f>IF(T8&gt;0,(T8-T9-$Q8),"")</f>
        <v>-3859</v>
      </c>
      <c r="V8" s="21">
        <v>12870</v>
      </c>
      <c r="W8" s="20">
        <f>IF(V8&gt;0,(V8-V9-$Q8),"")</f>
        <v>-2060</v>
      </c>
      <c r="X8" s="21">
        <v>13808</v>
      </c>
      <c r="Y8" s="20">
        <f>IF(X8&gt;0,(X8-X9-$Q8),"")</f>
        <v>-1122</v>
      </c>
      <c r="Z8" s="21">
        <v>14515</v>
      </c>
      <c r="AA8" s="20">
        <f>IF(Z8&gt;0,(Z8-Z9-$Q8),"")</f>
        <v>-415</v>
      </c>
      <c r="AB8" s="21">
        <v>14515</v>
      </c>
      <c r="AC8" s="22">
        <f>IF(AB8&gt;0,(AB8-AB9-$Q8),"")</f>
        <v>-415</v>
      </c>
      <c r="AD8" s="21">
        <v>14515</v>
      </c>
      <c r="AE8" s="22">
        <f>IF(AD8&gt;0,(AD8-AD9-$Q8),"")</f>
        <v>-415</v>
      </c>
    </row>
    <row r="9" spans="2:42" x14ac:dyDescent="0.3">
      <c r="B9" s="28" t="s">
        <v>28</v>
      </c>
      <c r="C9" s="17">
        <v>1884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6958</v>
      </c>
      <c r="E10" s="18" t="s">
        <v>31</v>
      </c>
      <c r="F10" s="119">
        <v>10082</v>
      </c>
      <c r="G10" s="117">
        <v>7783.0144999999993</v>
      </c>
      <c r="H10" s="117">
        <v>1563.7039875</v>
      </c>
      <c r="I10" s="19">
        <f>G10+H10</f>
        <v>9346.7184874999984</v>
      </c>
      <c r="J10" s="119">
        <v>10205</v>
      </c>
      <c r="K10" s="117">
        <v>7773.5145000000011</v>
      </c>
      <c r="L10" s="117">
        <v>1533.0733275</v>
      </c>
      <c r="M10" s="19"/>
      <c r="N10" s="88">
        <v>39</v>
      </c>
      <c r="O10" s="88">
        <v>23</v>
      </c>
      <c r="P10" s="92"/>
      <c r="Q10" s="20">
        <f>J10-P10</f>
        <v>10205</v>
      </c>
      <c r="R10" s="21">
        <v>703</v>
      </c>
      <c r="S10" s="20">
        <f>IF(R10&gt;0,(R10-R11-$Q10),"")</f>
        <v>-9976</v>
      </c>
      <c r="T10" s="21">
        <v>703</v>
      </c>
      <c r="U10" s="20">
        <f>IF(T10&gt;0,(T10-T11-$Q10),"")</f>
        <v>-9976</v>
      </c>
      <c r="V10" s="21">
        <v>3005</v>
      </c>
      <c r="W10" s="20">
        <f>IF(V10&gt;0,(V10-V11-$Q10),"")</f>
        <v>-8995</v>
      </c>
      <c r="X10" s="21">
        <v>4418</v>
      </c>
      <c r="Y10" s="20">
        <f>IF(X10&gt;0,(X10-X11-$Q10),"")</f>
        <v>-7845</v>
      </c>
      <c r="Z10" s="21">
        <v>6378</v>
      </c>
      <c r="AA10" s="20">
        <f>IF(Z10&gt;0,(Z10-Z11-$Q10),"")</f>
        <v>-6542</v>
      </c>
      <c r="AB10" s="21">
        <v>8182</v>
      </c>
      <c r="AC10" s="22">
        <f>IF(AB10&gt;0,(AB10-AB11-$Q10),"")</f>
        <v>-4804</v>
      </c>
      <c r="AD10" s="21">
        <v>8182</v>
      </c>
      <c r="AE10" s="22">
        <f>IF(AD10&gt;0,(AD10-AD11-$Q10),"")</f>
        <v>-4804</v>
      </c>
    </row>
    <row r="11" spans="2:42" x14ac:dyDescent="0.3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16</v>
      </c>
      <c r="P11" s="93" t="s">
        <v>33</v>
      </c>
      <c r="Q11" s="24"/>
      <c r="R11" s="30">
        <v>474</v>
      </c>
      <c r="S11" s="24"/>
      <c r="T11" s="30">
        <v>474</v>
      </c>
      <c r="U11" s="24"/>
      <c r="V11" s="30">
        <v>1795</v>
      </c>
      <c r="W11" s="24"/>
      <c r="X11" s="30">
        <v>2058</v>
      </c>
      <c r="Y11" s="24"/>
      <c r="Z11" s="30">
        <v>2715</v>
      </c>
      <c r="AA11" s="24"/>
      <c r="AB11" s="30">
        <v>2781</v>
      </c>
      <c r="AC11" s="26"/>
      <c r="AD11" s="30">
        <v>2781</v>
      </c>
      <c r="AE11" s="26"/>
    </row>
    <row r="12" spans="2:42" x14ac:dyDescent="0.3">
      <c r="B12" s="16" t="s">
        <v>34</v>
      </c>
      <c r="C12" s="17">
        <v>1710</v>
      </c>
      <c r="E12" s="29" t="s">
        <v>35</v>
      </c>
      <c r="F12" s="119">
        <v>14998</v>
      </c>
      <c r="G12" s="117">
        <v>11187.394249999999</v>
      </c>
      <c r="H12" s="117">
        <v>10362.88401908</v>
      </c>
      <c r="I12" s="19">
        <f>G12+H12</f>
        <v>21550.278269080001</v>
      </c>
      <c r="J12" s="119">
        <v>15058</v>
      </c>
      <c r="K12" s="117">
        <v>11222.040999999999</v>
      </c>
      <c r="L12" s="117">
        <v>10175.963522419999</v>
      </c>
      <c r="M12" s="19"/>
      <c r="N12" s="88">
        <v>40</v>
      </c>
      <c r="O12" s="88">
        <v>26</v>
      </c>
      <c r="P12" s="92"/>
      <c r="Q12" s="20">
        <f>J12-P12</f>
        <v>15058</v>
      </c>
      <c r="R12" s="21">
        <v>3788</v>
      </c>
      <c r="S12" s="20">
        <f>IF(R12&gt;0,(R12-R13-$Q12),"")</f>
        <v>-12165</v>
      </c>
      <c r="T12" s="21">
        <v>5980</v>
      </c>
      <c r="U12" s="20">
        <f>IF(T12&gt;0,(T12-T13-$Q12),"")</f>
        <v>-10907</v>
      </c>
      <c r="V12" s="21">
        <v>6822</v>
      </c>
      <c r="W12" s="20">
        <f>IF(V12&gt;0,(V12-V13-$Q12),"")</f>
        <v>-10065</v>
      </c>
      <c r="X12" s="21">
        <v>9107</v>
      </c>
      <c r="Y12" s="20">
        <f>IF(X12&gt;0,(X12-X13-$Q12),"")</f>
        <v>-7848</v>
      </c>
      <c r="Z12" s="21">
        <v>9254</v>
      </c>
      <c r="AA12" s="20">
        <f>IF(Z12&gt;0,(Z12-Z13-$Q12),"")</f>
        <v>-7701</v>
      </c>
      <c r="AB12" s="21">
        <v>9254</v>
      </c>
      <c r="AC12" s="22">
        <f>IF(AB12&gt;0,(AB12-AB13-$Q12),"")</f>
        <v>-7701</v>
      </c>
      <c r="AD12" s="21">
        <v>9254</v>
      </c>
      <c r="AE12" s="22">
        <f>IF(AD12&gt;0,(AD12-AD13-$Q12),"")</f>
        <v>-7701</v>
      </c>
    </row>
    <row r="13" spans="2:42" x14ac:dyDescent="0.3">
      <c r="B13" s="16" t="s">
        <v>36</v>
      </c>
      <c r="C13" s="17">
        <v>5036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895</v>
      </c>
      <c r="S13" s="24"/>
      <c r="T13" s="30">
        <v>1829</v>
      </c>
      <c r="U13" s="24"/>
      <c r="V13" s="30">
        <v>1829</v>
      </c>
      <c r="W13" s="24"/>
      <c r="X13" s="30">
        <v>1897</v>
      </c>
      <c r="Y13" s="24"/>
      <c r="Z13" s="30">
        <v>1897</v>
      </c>
      <c r="AA13" s="24"/>
      <c r="AB13" s="30">
        <v>1897</v>
      </c>
      <c r="AC13" s="26"/>
      <c r="AD13" s="30">
        <v>1897</v>
      </c>
      <c r="AE13" s="26"/>
    </row>
    <row r="14" spans="2:42" x14ac:dyDescent="0.3">
      <c r="B14" s="16" t="s">
        <v>38</v>
      </c>
      <c r="C14" s="17">
        <v>9082</v>
      </c>
      <c r="E14" s="18" t="s">
        <v>39</v>
      </c>
      <c r="F14" s="119">
        <v>25685</v>
      </c>
      <c r="G14" s="117">
        <v>18046.28125</v>
      </c>
      <c r="H14" s="117">
        <v>24899.283215539988</v>
      </c>
      <c r="I14" s="19">
        <f>G14+H14</f>
        <v>42945.564465539988</v>
      </c>
      <c r="J14" s="119">
        <v>25782</v>
      </c>
      <c r="K14" s="117">
        <v>18183.40625</v>
      </c>
      <c r="L14" s="117">
        <v>24433.450226100002</v>
      </c>
      <c r="M14" s="19"/>
      <c r="N14" s="88">
        <v>68</v>
      </c>
      <c r="O14" s="88">
        <v>43</v>
      </c>
      <c r="P14" s="92"/>
      <c r="Q14" s="20">
        <f>J14-P14</f>
        <v>25782</v>
      </c>
      <c r="R14" s="21">
        <v>342</v>
      </c>
      <c r="S14" s="20">
        <f>IF(R14&gt;0,(R14-R15-$Q14),"")</f>
        <v>-25440</v>
      </c>
      <c r="T14" s="21">
        <v>863</v>
      </c>
      <c r="U14" s="20">
        <f>IF(T14&gt;0,(T14-T15-$Q14),"")</f>
        <v>-24994</v>
      </c>
      <c r="V14" s="21">
        <v>863</v>
      </c>
      <c r="W14" s="20">
        <f>IF(V14&gt;0,(V14-V15-$Q14),"")</f>
        <v>-24994</v>
      </c>
      <c r="X14" s="21">
        <v>1208</v>
      </c>
      <c r="Y14" s="20">
        <f>IF(X14&gt;0,(X14-X15-$Q14),"")</f>
        <v>-24649</v>
      </c>
      <c r="Z14" s="21">
        <v>1980</v>
      </c>
      <c r="AA14" s="20">
        <f>IF(Z14&gt;0,(Z14-Z15-$Q14),"")</f>
        <v>-23877</v>
      </c>
      <c r="AB14" s="21">
        <v>13079</v>
      </c>
      <c r="AC14" s="22">
        <f>IF(AB14&gt;0,(AB14-AB15-$Q14),"")</f>
        <v>-22406</v>
      </c>
      <c r="AD14" s="21">
        <v>13079</v>
      </c>
      <c r="AE14" s="22">
        <f>IF(AD14&gt;0,(AD14-AD15-$Q14),"")</f>
        <v>-22406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0</v>
      </c>
      <c r="S15" s="24"/>
      <c r="T15" s="25">
        <v>75</v>
      </c>
      <c r="U15" s="24"/>
      <c r="V15" s="25">
        <v>75</v>
      </c>
      <c r="W15" s="24"/>
      <c r="X15" s="25">
        <v>75</v>
      </c>
      <c r="Y15" s="24"/>
      <c r="Z15" s="25">
        <v>75</v>
      </c>
      <c r="AA15" s="24"/>
      <c r="AB15" s="25">
        <v>9703</v>
      </c>
      <c r="AC15" s="26"/>
      <c r="AD15" s="25">
        <v>9703</v>
      </c>
      <c r="AE15" s="26"/>
    </row>
    <row r="16" spans="2:42" ht="15" customHeight="1" thickBot="1" x14ac:dyDescent="0.35">
      <c r="B16" s="28" t="s">
        <v>42</v>
      </c>
      <c r="C16" s="17">
        <v>9345</v>
      </c>
      <c r="E16" s="84"/>
      <c r="F16" s="31">
        <f t="shared" ref="F16:N16" si="0">SUM(F6:F15)</f>
        <v>83220</v>
      </c>
      <c r="G16" s="31">
        <f t="shared" si="0"/>
        <v>59534.244374999995</v>
      </c>
      <c r="H16" s="31">
        <f t="shared" si="0"/>
        <v>48065.290508759994</v>
      </c>
      <c r="I16" s="32">
        <f t="shared" si="0"/>
        <v>107599.53488375999</v>
      </c>
      <c r="J16" s="33">
        <f t="shared" si="0"/>
        <v>83821</v>
      </c>
      <c r="K16" s="33">
        <f t="shared" si="0"/>
        <v>58949.644249999998</v>
      </c>
      <c r="L16" s="33">
        <f t="shared" si="0"/>
        <v>46854.514065939999</v>
      </c>
      <c r="M16" s="33">
        <f t="shared" si="0"/>
        <v>0</v>
      </c>
      <c r="N16" s="31">
        <f t="shared" si="0"/>
        <v>245</v>
      </c>
      <c r="O16" s="31">
        <f>SUM(O14,O12,O10,O8,O6)</f>
        <v>158</v>
      </c>
      <c r="P16" s="34">
        <f>SUM(P6:P15)</f>
        <v>0</v>
      </c>
      <c r="Q16" s="34">
        <f>SUM(Q6:Q15)</f>
        <v>83821</v>
      </c>
      <c r="R16" s="35">
        <f>R6+R8+R10+R12+R14-R7-R9-R11-R13-R15</f>
        <v>6403</v>
      </c>
      <c r="S16" s="36">
        <f>IF(R16&gt;1,(R16-$Q16),"")</f>
        <v>-77418</v>
      </c>
      <c r="T16" s="35">
        <f>T6+T8+T10+T12+T14-T7-T9-T11-T13-T15</f>
        <v>19228</v>
      </c>
      <c r="U16" s="36">
        <f>IF(T16&gt;1,(T16-$Q16),"")</f>
        <v>-64593</v>
      </c>
      <c r="V16" s="35">
        <f>V6+V8+V10+V12+V14-V7-V9-V11-V13-V15</f>
        <v>29309</v>
      </c>
      <c r="W16" s="36">
        <f>IF(V16&gt;1,(V16-$Q16),"")</f>
        <v>-54512</v>
      </c>
      <c r="X16" s="35">
        <f>X6+X8+X10+X12+X14-X7-X9-X11-X13-X15</f>
        <v>37360</v>
      </c>
      <c r="Y16" s="36">
        <f>IF(X16&gt;1,(X16-$Q16),"")</f>
        <v>-46461</v>
      </c>
      <c r="Z16" s="35">
        <f>Z6+Z8+Z10+Z12+Z14-Z7-Z9-Z11-Z13-Z15</f>
        <v>42178</v>
      </c>
      <c r="AA16" s="36">
        <f>IF(Z16&gt;1,(Z16-$Q16),"")</f>
        <v>-41643</v>
      </c>
      <c r="AB16" s="35">
        <f>AB6+AB8+AB10+AB12+AB14-AB7-AB9-AB11-AB13-AB15</f>
        <v>45387</v>
      </c>
      <c r="AC16" s="37">
        <f>IF(AB16&gt;1,(AB16-$Q16),"")</f>
        <v>-38434</v>
      </c>
      <c r="AD16" s="35">
        <f>AD6+AD8+AD10+AD12+AD14-AD7-AD9-AD11-AD13-AD15</f>
        <v>45387</v>
      </c>
      <c r="AE16" s="37">
        <f>IF(AD16&gt;1,(AD16-$Q16),"")</f>
        <v>-38434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87</v>
      </c>
      <c r="P17" s="38" t="s">
        <v>44</v>
      </c>
      <c r="Q17" s="39"/>
      <c r="R17" s="40">
        <f>R15+R13+R11+R9+R7</f>
        <v>1369</v>
      </c>
      <c r="S17" s="41"/>
      <c r="T17" s="40">
        <f>T15+T13+T11+T9+T7</f>
        <v>2378</v>
      </c>
      <c r="U17" s="41"/>
      <c r="V17" s="40">
        <f>V15+V13+V11+V9+V7</f>
        <v>3699</v>
      </c>
      <c r="W17" s="41"/>
      <c r="X17" s="40">
        <f>X15+X13+X11+X9+X7</f>
        <v>4095</v>
      </c>
      <c r="Y17" s="41"/>
      <c r="Z17" s="40">
        <f>Z15+Z13+Z11+Z9+Z7</f>
        <v>4752</v>
      </c>
      <c r="AA17" s="41"/>
      <c r="AB17" s="40">
        <f>AB15+AB13+AB11+AB9+AB7</f>
        <v>14446</v>
      </c>
      <c r="AC17" s="42"/>
      <c r="AD17" s="40">
        <f>AD15+AD13+AD11+AD9+AD7</f>
        <v>14446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3201.5</v>
      </c>
      <c r="S18" s="46"/>
      <c r="T18" s="47">
        <f>IF(T16&gt;0,(T16-R16)/2,"")</f>
        <v>6412.5</v>
      </c>
      <c r="U18" s="46"/>
      <c r="V18" s="47">
        <f>IF(V16&gt;0,(V16-T16)/2,"")</f>
        <v>5040.5</v>
      </c>
      <c r="W18" s="46"/>
      <c r="X18" s="47">
        <f>IF(X16&gt;0,(X16-V16)/2,"")</f>
        <v>4025.5</v>
      </c>
      <c r="Y18" s="46"/>
      <c r="Z18" s="47">
        <f>IF(Z16&gt;0,(Z16-X16)/2,"")</f>
        <v>2409</v>
      </c>
      <c r="AA18" s="46"/>
      <c r="AB18" s="47">
        <f>IF(AB16&gt;0,(AB16-Z16)/2,"")</f>
        <v>1604.5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9191</v>
      </c>
      <c r="S20" s="36"/>
      <c r="T20" s="35">
        <v>18654</v>
      </c>
      <c r="U20" s="36"/>
      <c r="V20" s="35">
        <v>36855</v>
      </c>
      <c r="W20" s="36"/>
      <c r="X20" s="35">
        <v>46813</v>
      </c>
      <c r="Y20" s="36"/>
      <c r="Z20" s="35">
        <v>50400</v>
      </c>
      <c r="AA20" s="36"/>
      <c r="AB20" s="35">
        <v>50400</v>
      </c>
      <c r="AC20" s="37"/>
      <c r="AD20" s="35">
        <v>50400</v>
      </c>
      <c r="AE20" s="37"/>
    </row>
    <row r="21" spans="2:43" ht="15" customHeight="1" thickBot="1" x14ac:dyDescent="0.35">
      <c r="B21" s="16" t="s">
        <v>50</v>
      </c>
      <c r="C21" s="17">
        <v>8892</v>
      </c>
      <c r="L21" s="4"/>
      <c r="M21" s="4"/>
      <c r="Q21" s="52"/>
      <c r="R21" s="40">
        <v>6357</v>
      </c>
      <c r="S21" s="41"/>
      <c r="T21" s="40">
        <v>8237</v>
      </c>
      <c r="U21" s="41"/>
      <c r="V21" s="40">
        <v>9675</v>
      </c>
      <c r="W21" s="41"/>
      <c r="X21" s="40">
        <v>9970</v>
      </c>
      <c r="Y21" s="41"/>
      <c r="Z21" s="40">
        <v>11035</v>
      </c>
      <c r="AA21" s="41"/>
      <c r="AB21" s="40">
        <v>11035</v>
      </c>
      <c r="AC21" s="42"/>
      <c r="AD21" s="40">
        <v>11035</v>
      </c>
      <c r="AE21" s="42"/>
    </row>
    <row r="22" spans="2:43" ht="15" customHeight="1" thickBot="1" x14ac:dyDescent="0.35">
      <c r="B22" s="16" t="s">
        <v>51</v>
      </c>
      <c r="C22" s="17">
        <v>1291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4332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-2788</v>
      </c>
      <c r="S24" s="60"/>
      <c r="T24" s="60">
        <f>IF(T16&gt;0,T16-T20,"")</f>
        <v>574</v>
      </c>
      <c r="U24" s="60"/>
      <c r="V24" s="60">
        <f>IF(V16&gt;0,V16-V20,"")</f>
        <v>-7546</v>
      </c>
      <c r="W24" s="60"/>
      <c r="X24" s="60">
        <f>IF(X16&gt;0,X16-X20,"")</f>
        <v>-9453</v>
      </c>
      <c r="Y24" s="60"/>
      <c r="Z24" s="60">
        <f>IF(Z16&gt;0,Z16-Z20,"")</f>
        <v>-8222</v>
      </c>
      <c r="AA24" s="60"/>
      <c r="AB24" s="60">
        <f>IF(AB16&gt;0,AB16-AB20,"")</f>
        <v>-5013</v>
      </c>
      <c r="AC24" s="61"/>
      <c r="AD24" s="60">
        <f>IF(AD16&gt;0,AD16-AD20,"")</f>
        <v>-5013</v>
      </c>
      <c r="AE24" s="61"/>
    </row>
    <row r="25" spans="2:43" x14ac:dyDescent="0.3">
      <c r="L25" s="4"/>
      <c r="M25" s="4"/>
      <c r="Q25" s="62"/>
      <c r="R25" s="63">
        <f>IF(R17&gt;=0,R17-R21,"")</f>
        <v>-4988</v>
      </c>
      <c r="S25" s="64"/>
      <c r="T25" s="63">
        <f>IF(T17&gt;=0,T17-T21,"")</f>
        <v>-5859</v>
      </c>
      <c r="U25" s="64"/>
      <c r="V25" s="63">
        <f>IF(V17&gt;=0,V17-V21,"")</f>
        <v>-5976</v>
      </c>
      <c r="W25" s="64"/>
      <c r="X25" s="63">
        <f>IF(X17&gt;=0,X17-X21,"")</f>
        <v>-5875</v>
      </c>
      <c r="Y25" s="64"/>
      <c r="Z25" s="63">
        <f>IF(Z17&gt;=0,Z17-Z21,"")</f>
        <v>-6283</v>
      </c>
      <c r="AA25" s="64"/>
      <c r="AB25" s="63">
        <f>IF(AB17&gt;=0,AB17-AB21,"")</f>
        <v>3411</v>
      </c>
      <c r="AC25" s="65"/>
      <c r="AD25" s="63">
        <f>IF(AD17&gt;=0,AD17-AD21,"")</f>
        <v>3411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-1292</v>
      </c>
      <c r="S26" s="55"/>
      <c r="T26" s="67">
        <f>IFERROR(IF(T18&gt;0,T18-T22,""),"")</f>
        <v>4852.5</v>
      </c>
      <c r="U26" s="55"/>
      <c r="V26" s="67">
        <f>IFERROR(IF(V18&gt;0,V18-V22,""),"")</f>
        <v>1983.5</v>
      </c>
      <c r="W26" s="55"/>
      <c r="X26" s="67">
        <f>IFERROR(IF(X18&gt;0,X18-X22,""),"")</f>
        <v>1018.5</v>
      </c>
      <c r="Y26" s="55"/>
      <c r="Z26" s="67">
        <f>IFERROR(IF(Z18&gt;0,Z18-Z22,""),"")</f>
        <v>-466</v>
      </c>
      <c r="AA26" s="55"/>
      <c r="AB26" s="67">
        <f>IFERROR(IF(AB18&gt;0,AB18-AB22,""),"")</f>
        <v>1093.5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9160</v>
      </c>
      <c r="D29" s="76">
        <f>C14</f>
        <v>9082</v>
      </c>
      <c r="E29" s="77">
        <f t="shared" ref="E29:E34" si="1">D29-C29</f>
        <v>-78</v>
      </c>
      <c r="M29" s="4"/>
      <c r="O29" s="4"/>
    </row>
    <row r="30" spans="2:43" x14ac:dyDescent="0.3">
      <c r="B30" s="74" t="s">
        <v>56</v>
      </c>
      <c r="C30" s="75">
        <v>22975</v>
      </c>
      <c r="D30" s="76">
        <f>C7+C15+C16+C19+C20</f>
        <v>9531</v>
      </c>
      <c r="E30" s="77">
        <f t="shared" si="1"/>
        <v>-13444</v>
      </c>
      <c r="J30" s="53"/>
      <c r="L30" s="53"/>
      <c r="M30" s="4"/>
      <c r="O30" s="4"/>
    </row>
    <row r="31" spans="2:43" x14ac:dyDescent="0.3">
      <c r="B31" s="74" t="s">
        <v>21</v>
      </c>
      <c r="C31" s="75">
        <v>3282</v>
      </c>
      <c r="D31" s="76">
        <f>C6</f>
        <v>3282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15795</v>
      </c>
      <c r="D32" s="76">
        <f>C10+C11+C12+C13</f>
        <v>15795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14110</v>
      </c>
      <c r="D34" s="76">
        <f>C21+C22+C23</f>
        <v>14515</v>
      </c>
      <c r="E34" s="77">
        <f t="shared" si="1"/>
        <v>405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4437</v>
      </c>
      <c r="D35" s="80">
        <f>SUM(C8+C9)</f>
        <v>4437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2627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855</v>
      </c>
      <c r="V36" s="104">
        <v>1710</v>
      </c>
      <c r="W36" s="104">
        <f t="shared" ref="W36:W65" si="4">IF(X36&gt;0,(X36-V36)/2,"")</f>
        <v>217</v>
      </c>
      <c r="X36" s="104">
        <v>2144</v>
      </c>
      <c r="Y36" s="104">
        <f t="shared" ref="Y36:Y65" si="5">IF(Z36&gt;0,(Z36-X36)/2,"")</f>
        <v>18</v>
      </c>
      <c r="Z36" s="104">
        <v>2180</v>
      </c>
      <c r="AA36" s="104">
        <f t="shared" ref="AA36:AA65" si="6">IF(AB36&gt;0,(AB36-Z36)/2,"")</f>
        <v>0</v>
      </c>
      <c r="AB36" s="104">
        <v>2180</v>
      </c>
      <c r="AC36" s="104">
        <f t="shared" ref="AC36:AC65" si="7">IF(AD36&gt;0,(AD36-AB36)/2,"")</f>
        <v>0</v>
      </c>
      <c r="AD36" s="104">
        <v>2180</v>
      </c>
      <c r="AE36" s="105">
        <f t="shared" ref="AE36:AE65" si="8">AD36-Q36</f>
        <v>-447</v>
      </c>
    </row>
    <row r="37" spans="2:31" ht="15.6" customHeight="1" x14ac:dyDescent="0.3">
      <c r="N37" s="212"/>
      <c r="O37" s="95" t="s">
        <v>66</v>
      </c>
      <c r="P37" s="106"/>
      <c r="Q37" s="106">
        <v>1500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 t="str">
        <f t="shared" si="4"/>
        <v/>
      </c>
      <c r="X37" s="106">
        <v>0</v>
      </c>
      <c r="Y37" s="106" t="str">
        <f t="shared" si="5"/>
        <v/>
      </c>
      <c r="Z37" s="106">
        <v>0</v>
      </c>
      <c r="AA37" s="106" t="str">
        <f t="shared" si="6"/>
        <v/>
      </c>
      <c r="AB37" s="106">
        <v>0</v>
      </c>
      <c r="AC37" s="106" t="str">
        <f t="shared" si="7"/>
        <v/>
      </c>
      <c r="AD37" s="106">
        <v>0</v>
      </c>
      <c r="AE37" s="107">
        <f t="shared" si="8"/>
        <v>-1500</v>
      </c>
    </row>
    <row r="38" spans="2:31" ht="15.6" customHeight="1" x14ac:dyDescent="0.3">
      <c r="N38" s="212"/>
      <c r="O38" s="94" t="s">
        <v>67</v>
      </c>
      <c r="P38" s="108"/>
      <c r="Q38" s="108">
        <v>2514</v>
      </c>
      <c r="R38" s="108">
        <v>0</v>
      </c>
      <c r="S38" s="108">
        <f t="shared" si="2"/>
        <v>210</v>
      </c>
      <c r="T38" s="108">
        <v>420</v>
      </c>
      <c r="U38" s="108">
        <f t="shared" si="3"/>
        <v>353</v>
      </c>
      <c r="V38" s="108">
        <v>1126</v>
      </c>
      <c r="W38" s="108">
        <f t="shared" si="4"/>
        <v>414.5</v>
      </c>
      <c r="X38" s="108">
        <v>1955</v>
      </c>
      <c r="Y38" s="108">
        <f t="shared" si="5"/>
        <v>312</v>
      </c>
      <c r="Z38" s="108">
        <v>2579</v>
      </c>
      <c r="AA38" s="108">
        <f t="shared" si="6"/>
        <v>0</v>
      </c>
      <c r="AB38" s="108">
        <v>2579</v>
      </c>
      <c r="AC38" s="108">
        <f t="shared" si="7"/>
        <v>0</v>
      </c>
      <c r="AD38" s="108">
        <v>2579</v>
      </c>
      <c r="AE38" s="109">
        <f t="shared" si="8"/>
        <v>65</v>
      </c>
    </row>
    <row r="39" spans="2:31" ht="15.6" customHeight="1" x14ac:dyDescent="0.3">
      <c r="N39" s="212"/>
      <c r="O39" s="95" t="s">
        <v>68</v>
      </c>
      <c r="P39" s="106"/>
      <c r="Q39" s="106">
        <v>2902</v>
      </c>
      <c r="R39" s="106">
        <v>737</v>
      </c>
      <c r="S39" s="106">
        <f t="shared" si="2"/>
        <v>295</v>
      </c>
      <c r="T39" s="106">
        <v>1327</v>
      </c>
      <c r="U39" s="106">
        <f t="shared" si="3"/>
        <v>514.5</v>
      </c>
      <c r="V39" s="106">
        <v>2356</v>
      </c>
      <c r="W39" s="106">
        <f t="shared" si="4"/>
        <v>273</v>
      </c>
      <c r="X39" s="106">
        <v>2902</v>
      </c>
      <c r="Y39" s="106">
        <f t="shared" si="5"/>
        <v>0</v>
      </c>
      <c r="Z39" s="106">
        <v>2902</v>
      </c>
      <c r="AA39" s="106">
        <f t="shared" si="6"/>
        <v>0</v>
      </c>
      <c r="AB39" s="106">
        <v>2902</v>
      </c>
      <c r="AC39" s="106">
        <f t="shared" si="7"/>
        <v>0</v>
      </c>
      <c r="AD39" s="106">
        <v>2902</v>
      </c>
      <c r="AE39" s="107">
        <f t="shared" si="8"/>
        <v>0</v>
      </c>
    </row>
    <row r="40" spans="2:31" ht="15.6" customHeight="1" x14ac:dyDescent="0.3">
      <c r="N40" s="212"/>
      <c r="O40" s="94" t="s">
        <v>69</v>
      </c>
      <c r="P40" s="108"/>
      <c r="Q40" s="108">
        <v>2997</v>
      </c>
      <c r="R40" s="108">
        <v>0</v>
      </c>
      <c r="S40" s="108" t="str">
        <f t="shared" si="2"/>
        <v/>
      </c>
      <c r="T40" s="108">
        <v>0</v>
      </c>
      <c r="U40" s="108">
        <f t="shared" si="3"/>
        <v>844.5</v>
      </c>
      <c r="V40" s="108">
        <v>1689</v>
      </c>
      <c r="W40" s="108">
        <f t="shared" si="4"/>
        <v>372.5</v>
      </c>
      <c r="X40" s="108">
        <v>2434</v>
      </c>
      <c r="Y40" s="108">
        <f t="shared" si="5"/>
        <v>278</v>
      </c>
      <c r="Z40" s="108">
        <v>2990</v>
      </c>
      <c r="AA40" s="108">
        <f t="shared" si="6"/>
        <v>0</v>
      </c>
      <c r="AB40" s="108">
        <v>2990</v>
      </c>
      <c r="AC40" s="108">
        <f t="shared" si="7"/>
        <v>0</v>
      </c>
      <c r="AD40" s="108">
        <v>2990</v>
      </c>
      <c r="AE40" s="109">
        <f t="shared" si="8"/>
        <v>-7</v>
      </c>
    </row>
    <row r="41" spans="2:31" ht="15.6" customHeight="1" x14ac:dyDescent="0.3">
      <c r="N41" s="212"/>
      <c r="O41" s="95" t="s">
        <v>70</v>
      </c>
      <c r="P41" s="106"/>
      <c r="Q41" s="106">
        <v>840</v>
      </c>
      <c r="R41" s="106">
        <v>402</v>
      </c>
      <c r="S41" s="106">
        <f t="shared" si="2"/>
        <v>0</v>
      </c>
      <c r="T41" s="106">
        <v>402</v>
      </c>
      <c r="U41" s="106">
        <f t="shared" si="3"/>
        <v>92</v>
      </c>
      <c r="V41" s="106">
        <v>586</v>
      </c>
      <c r="W41" s="106">
        <f t="shared" si="4"/>
        <v>0</v>
      </c>
      <c r="X41" s="106">
        <v>586</v>
      </c>
      <c r="Y41" s="106">
        <f t="shared" si="5"/>
        <v>127</v>
      </c>
      <c r="Z41" s="106">
        <v>840</v>
      </c>
      <c r="AA41" s="106">
        <f t="shared" si="6"/>
        <v>0</v>
      </c>
      <c r="AB41" s="106">
        <v>840</v>
      </c>
      <c r="AC41" s="106">
        <f t="shared" si="7"/>
        <v>0</v>
      </c>
      <c r="AD41" s="106">
        <v>840</v>
      </c>
      <c r="AE41" s="107">
        <f t="shared" si="8"/>
        <v>0</v>
      </c>
    </row>
    <row r="42" spans="2:31" ht="15.6" customHeight="1" x14ac:dyDescent="0.3">
      <c r="N42" s="212"/>
      <c r="O42" s="94" t="s">
        <v>71</v>
      </c>
      <c r="P42" s="108"/>
      <c r="Q42" s="108">
        <v>1214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300</v>
      </c>
      <c r="V42" s="108">
        <v>600</v>
      </c>
      <c r="W42" s="108">
        <f t="shared" si="4"/>
        <v>63</v>
      </c>
      <c r="X42" s="108">
        <v>726</v>
      </c>
      <c r="Y42" s="108">
        <f t="shared" si="5"/>
        <v>0</v>
      </c>
      <c r="Z42" s="108">
        <v>726</v>
      </c>
      <c r="AA42" s="108">
        <f t="shared" si="6"/>
        <v>0</v>
      </c>
      <c r="AB42" s="108">
        <v>726</v>
      </c>
      <c r="AC42" s="108">
        <f t="shared" si="7"/>
        <v>0</v>
      </c>
      <c r="AD42" s="108">
        <v>726</v>
      </c>
      <c r="AE42" s="109">
        <f t="shared" si="8"/>
        <v>-488</v>
      </c>
    </row>
    <row r="43" spans="2:31" ht="15.6" customHeight="1" x14ac:dyDescent="0.3">
      <c r="N43" s="212"/>
      <c r="O43" s="95" t="s">
        <v>72</v>
      </c>
      <c r="P43" s="106"/>
      <c r="Q43" s="106">
        <v>1657</v>
      </c>
      <c r="R43" s="106">
        <v>0</v>
      </c>
      <c r="S43" s="106">
        <f t="shared" si="2"/>
        <v>182</v>
      </c>
      <c r="T43" s="106">
        <v>364</v>
      </c>
      <c r="U43" s="106">
        <f t="shared" si="3"/>
        <v>0</v>
      </c>
      <c r="V43" s="106">
        <v>364</v>
      </c>
      <c r="W43" s="106">
        <f t="shared" si="4"/>
        <v>393</v>
      </c>
      <c r="X43" s="106">
        <v>1150</v>
      </c>
      <c r="Y43" s="106">
        <f t="shared" si="5"/>
        <v>0</v>
      </c>
      <c r="Z43" s="106">
        <v>1150</v>
      </c>
      <c r="AA43" s="106">
        <f t="shared" si="6"/>
        <v>0</v>
      </c>
      <c r="AB43" s="106">
        <v>1150</v>
      </c>
      <c r="AC43" s="106">
        <f t="shared" si="7"/>
        <v>0</v>
      </c>
      <c r="AD43" s="106">
        <v>1150</v>
      </c>
      <c r="AE43" s="107">
        <f t="shared" si="8"/>
        <v>-507</v>
      </c>
    </row>
    <row r="44" spans="2:31" ht="15.6" customHeight="1" thickBot="1" x14ac:dyDescent="0.35">
      <c r="N44" s="213"/>
      <c r="O44" s="97" t="s">
        <v>73</v>
      </c>
      <c r="P44" s="110"/>
      <c r="Q44" s="110">
        <v>1595</v>
      </c>
      <c r="R44" s="110">
        <v>0</v>
      </c>
      <c r="S44" s="110">
        <f t="shared" si="2"/>
        <v>238</v>
      </c>
      <c r="T44" s="110">
        <v>476</v>
      </c>
      <c r="U44" s="110">
        <f t="shared" si="3"/>
        <v>270.5</v>
      </c>
      <c r="V44" s="110">
        <v>1017</v>
      </c>
      <c r="W44" s="110">
        <f t="shared" si="4"/>
        <v>0</v>
      </c>
      <c r="X44" s="110">
        <v>1017</v>
      </c>
      <c r="Y44" s="110">
        <f t="shared" si="5"/>
        <v>209.5</v>
      </c>
      <c r="Z44" s="110">
        <v>1436</v>
      </c>
      <c r="AA44" s="110">
        <f t="shared" si="6"/>
        <v>0</v>
      </c>
      <c r="AB44" s="110">
        <v>1436</v>
      </c>
      <c r="AC44" s="110">
        <f t="shared" si="7"/>
        <v>0</v>
      </c>
      <c r="AD44" s="110">
        <v>1436</v>
      </c>
      <c r="AE44" s="111">
        <f t="shared" si="8"/>
        <v>-159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4812</v>
      </c>
      <c r="R45" s="112">
        <v>1000</v>
      </c>
      <c r="S45" s="112">
        <f t="shared" si="2"/>
        <v>1406.5</v>
      </c>
      <c r="T45" s="112">
        <v>3813</v>
      </c>
      <c r="U45" s="112">
        <f t="shared" si="3"/>
        <v>499.5</v>
      </c>
      <c r="V45" s="112">
        <v>4812</v>
      </c>
      <c r="W45" s="112">
        <f t="shared" si="4"/>
        <v>0</v>
      </c>
      <c r="X45" s="112">
        <v>4812</v>
      </c>
      <c r="Y45" s="112">
        <f t="shared" si="5"/>
        <v>0</v>
      </c>
      <c r="Z45" s="112">
        <v>4812</v>
      </c>
      <c r="AA45" s="112">
        <f t="shared" si="6"/>
        <v>0</v>
      </c>
      <c r="AB45" s="112">
        <v>4812</v>
      </c>
      <c r="AC45" s="112">
        <f t="shared" si="7"/>
        <v>0</v>
      </c>
      <c r="AD45" s="112">
        <v>4812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3630</v>
      </c>
      <c r="R46" s="108">
        <v>0</v>
      </c>
      <c r="S46" s="108">
        <f t="shared" si="2"/>
        <v>1815</v>
      </c>
      <c r="T46" s="108">
        <v>3630</v>
      </c>
      <c r="U46" s="108">
        <f t="shared" si="3"/>
        <v>0</v>
      </c>
      <c r="V46" s="108">
        <v>3630</v>
      </c>
      <c r="W46" s="108">
        <f t="shared" si="4"/>
        <v>0</v>
      </c>
      <c r="X46" s="108">
        <v>3630</v>
      </c>
      <c r="Y46" s="108">
        <f t="shared" si="5"/>
        <v>0</v>
      </c>
      <c r="Z46" s="108">
        <v>3630</v>
      </c>
      <c r="AA46" s="108">
        <f t="shared" si="6"/>
        <v>0</v>
      </c>
      <c r="AB46" s="108">
        <v>3630</v>
      </c>
      <c r="AC46" s="108">
        <f t="shared" si="7"/>
        <v>0</v>
      </c>
      <c r="AD46" s="108">
        <v>3630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2242</v>
      </c>
      <c r="R47" s="106">
        <v>0</v>
      </c>
      <c r="S47" s="106">
        <f t="shared" si="2"/>
        <v>560</v>
      </c>
      <c r="T47" s="106">
        <v>1120</v>
      </c>
      <c r="U47" s="106">
        <f t="shared" si="3"/>
        <v>0</v>
      </c>
      <c r="V47" s="106">
        <v>1120</v>
      </c>
      <c r="W47" s="106">
        <f t="shared" si="4"/>
        <v>0</v>
      </c>
      <c r="X47" s="106">
        <v>1120</v>
      </c>
      <c r="Y47" s="106">
        <f t="shared" si="5"/>
        <v>353.5</v>
      </c>
      <c r="Z47" s="106">
        <v>1827</v>
      </c>
      <c r="AA47" s="106">
        <f t="shared" si="6"/>
        <v>0</v>
      </c>
      <c r="AB47" s="106">
        <v>1827</v>
      </c>
      <c r="AC47" s="106">
        <f t="shared" si="7"/>
        <v>0</v>
      </c>
      <c r="AD47" s="106">
        <v>1827</v>
      </c>
      <c r="AE47" s="107">
        <f t="shared" si="8"/>
        <v>-415</v>
      </c>
    </row>
    <row r="48" spans="2:31" ht="15.6" customHeight="1" thickBot="1" x14ac:dyDescent="0.35">
      <c r="N48" s="213"/>
      <c r="O48" s="97" t="s">
        <v>68</v>
      </c>
      <c r="P48" s="110"/>
      <c r="Q48" s="110">
        <v>4246</v>
      </c>
      <c r="R48" s="110">
        <v>800</v>
      </c>
      <c r="S48" s="110">
        <f t="shared" si="2"/>
        <v>854</v>
      </c>
      <c r="T48" s="110">
        <v>2508</v>
      </c>
      <c r="U48" s="110">
        <f t="shared" si="3"/>
        <v>400</v>
      </c>
      <c r="V48" s="110">
        <v>3308</v>
      </c>
      <c r="W48" s="110">
        <f t="shared" si="4"/>
        <v>469</v>
      </c>
      <c r="X48" s="110">
        <v>4246</v>
      </c>
      <c r="Y48" s="110">
        <f t="shared" si="5"/>
        <v>0</v>
      </c>
      <c r="Z48" s="110">
        <v>4246</v>
      </c>
      <c r="AA48" s="110">
        <f t="shared" si="6"/>
        <v>0</v>
      </c>
      <c r="AB48" s="110">
        <v>4246</v>
      </c>
      <c r="AC48" s="110">
        <f t="shared" si="7"/>
        <v>0</v>
      </c>
      <c r="AD48" s="110">
        <v>4246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390</v>
      </c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 t="str">
        <f t="shared" si="4"/>
        <v/>
      </c>
      <c r="X49" s="112">
        <v>0</v>
      </c>
      <c r="Y49" s="112" t="str">
        <f t="shared" si="5"/>
        <v/>
      </c>
      <c r="Z49" s="112">
        <v>0</v>
      </c>
      <c r="AA49" s="112">
        <f t="shared" si="6"/>
        <v>152.5</v>
      </c>
      <c r="AB49" s="112">
        <v>305</v>
      </c>
      <c r="AC49" s="112">
        <f t="shared" si="7"/>
        <v>0</v>
      </c>
      <c r="AD49" s="112">
        <v>305</v>
      </c>
      <c r="AE49" s="113">
        <f t="shared" si="8"/>
        <v>-85</v>
      </c>
    </row>
    <row r="50" spans="14:31" ht="15.6" customHeight="1" x14ac:dyDescent="0.3">
      <c r="N50" s="212"/>
      <c r="O50" s="94" t="s">
        <v>66</v>
      </c>
      <c r="P50" s="108"/>
      <c r="Q50" s="108">
        <v>395</v>
      </c>
      <c r="R50" s="108">
        <v>0</v>
      </c>
      <c r="S50" s="108" t="str">
        <f t="shared" si="2"/>
        <v/>
      </c>
      <c r="T50" s="108">
        <v>0</v>
      </c>
      <c r="U50" s="108">
        <f t="shared" si="3"/>
        <v>139</v>
      </c>
      <c r="V50" s="108">
        <v>278</v>
      </c>
      <c r="W50" s="108">
        <f t="shared" si="4"/>
        <v>0</v>
      </c>
      <c r="X50" s="108">
        <v>278</v>
      </c>
      <c r="Y50" s="108">
        <f t="shared" si="5"/>
        <v>0</v>
      </c>
      <c r="Z50" s="108">
        <v>278</v>
      </c>
      <c r="AA50" s="108">
        <f t="shared" si="6"/>
        <v>0</v>
      </c>
      <c r="AB50" s="108">
        <v>278</v>
      </c>
      <c r="AC50" s="108">
        <f t="shared" si="7"/>
        <v>0</v>
      </c>
      <c r="AD50" s="108">
        <v>278</v>
      </c>
      <c r="AE50" s="109">
        <f t="shared" si="8"/>
        <v>-117</v>
      </c>
    </row>
    <row r="51" spans="14:31" ht="15.6" customHeight="1" x14ac:dyDescent="0.3">
      <c r="N51" s="212"/>
      <c r="O51" s="95" t="s">
        <v>67</v>
      </c>
      <c r="P51" s="106"/>
      <c r="Q51" s="106">
        <v>1661</v>
      </c>
      <c r="R51" s="106">
        <v>380</v>
      </c>
      <c r="S51" s="106">
        <f t="shared" si="2"/>
        <v>0</v>
      </c>
      <c r="T51" s="106">
        <v>380</v>
      </c>
      <c r="U51" s="106">
        <f t="shared" si="3"/>
        <v>351.5</v>
      </c>
      <c r="V51" s="106">
        <v>1083</v>
      </c>
      <c r="W51" s="106">
        <f t="shared" si="4"/>
        <v>154</v>
      </c>
      <c r="X51" s="106">
        <v>1391</v>
      </c>
      <c r="Y51" s="106">
        <f t="shared" si="5"/>
        <v>80.5</v>
      </c>
      <c r="Z51" s="106">
        <v>1552</v>
      </c>
      <c r="AA51" s="106">
        <f t="shared" si="6"/>
        <v>0</v>
      </c>
      <c r="AB51" s="106">
        <v>1552</v>
      </c>
      <c r="AC51" s="106">
        <f t="shared" si="7"/>
        <v>0</v>
      </c>
      <c r="AD51" s="106">
        <v>1552</v>
      </c>
      <c r="AE51" s="107">
        <f t="shared" si="8"/>
        <v>-109</v>
      </c>
    </row>
    <row r="52" spans="14:31" ht="15.6" customHeight="1" x14ac:dyDescent="0.3">
      <c r="N52" s="212"/>
      <c r="O52" s="94" t="s">
        <v>68</v>
      </c>
      <c r="P52" s="108"/>
      <c r="Q52" s="108">
        <v>1892</v>
      </c>
      <c r="R52" s="108">
        <v>225</v>
      </c>
      <c r="S52" s="108">
        <f t="shared" si="2"/>
        <v>0</v>
      </c>
      <c r="T52" s="108">
        <v>225</v>
      </c>
      <c r="U52" s="108">
        <f t="shared" si="3"/>
        <v>69</v>
      </c>
      <c r="V52" s="108">
        <v>363</v>
      </c>
      <c r="W52" s="108">
        <f t="shared" si="4"/>
        <v>0</v>
      </c>
      <c r="X52" s="108">
        <v>363</v>
      </c>
      <c r="Y52" s="108">
        <f t="shared" si="5"/>
        <v>177.5</v>
      </c>
      <c r="Z52" s="108">
        <v>718</v>
      </c>
      <c r="AA52" s="108">
        <f t="shared" si="6"/>
        <v>0</v>
      </c>
      <c r="AB52" s="108">
        <v>718</v>
      </c>
      <c r="AC52" s="108">
        <f t="shared" si="7"/>
        <v>0</v>
      </c>
      <c r="AD52" s="108">
        <v>718</v>
      </c>
      <c r="AE52" s="109">
        <f t="shared" si="8"/>
        <v>-1174</v>
      </c>
    </row>
    <row r="53" spans="14:31" ht="15.6" customHeight="1" x14ac:dyDescent="0.3">
      <c r="N53" s="212"/>
      <c r="O53" s="95" t="s">
        <v>69</v>
      </c>
      <c r="P53" s="106"/>
      <c r="Q53" s="106">
        <v>2806</v>
      </c>
      <c r="R53" s="106">
        <v>98</v>
      </c>
      <c r="S53" s="106">
        <f t="shared" si="2"/>
        <v>0</v>
      </c>
      <c r="T53" s="106">
        <v>98</v>
      </c>
      <c r="U53" s="106">
        <f t="shared" si="3"/>
        <v>577</v>
      </c>
      <c r="V53" s="106">
        <v>1252</v>
      </c>
      <c r="W53" s="106">
        <f t="shared" si="4"/>
        <v>258.5</v>
      </c>
      <c r="X53" s="106">
        <v>1769</v>
      </c>
      <c r="Y53" s="106">
        <f t="shared" si="5"/>
        <v>248</v>
      </c>
      <c r="Z53" s="106">
        <v>2265</v>
      </c>
      <c r="AA53" s="106">
        <f t="shared" si="6"/>
        <v>3.5</v>
      </c>
      <c r="AB53" s="106">
        <v>2272</v>
      </c>
      <c r="AC53" s="106">
        <f t="shared" si="7"/>
        <v>0</v>
      </c>
      <c r="AD53" s="106">
        <v>2272</v>
      </c>
      <c r="AE53" s="107">
        <f t="shared" si="8"/>
        <v>-534</v>
      </c>
    </row>
    <row r="54" spans="14:31" ht="15.6" customHeight="1" x14ac:dyDescent="0.3">
      <c r="N54" s="212"/>
      <c r="O54" s="94" t="s">
        <v>70</v>
      </c>
      <c r="P54" s="108"/>
      <c r="Q54" s="108">
        <v>1715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371.5</v>
      </c>
      <c r="Z54" s="108">
        <v>743</v>
      </c>
      <c r="AA54" s="108">
        <f t="shared" si="6"/>
        <v>486</v>
      </c>
      <c r="AB54" s="108">
        <v>1715</v>
      </c>
      <c r="AC54" s="108">
        <f t="shared" si="7"/>
        <v>0</v>
      </c>
      <c r="AD54" s="108">
        <v>1715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830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294</v>
      </c>
      <c r="X55" s="106">
        <v>588</v>
      </c>
      <c r="Y55" s="106">
        <f t="shared" si="5"/>
        <v>102.5</v>
      </c>
      <c r="Z55" s="106">
        <v>793</v>
      </c>
      <c r="AA55" s="106">
        <f t="shared" si="6"/>
        <v>17.5</v>
      </c>
      <c r="AB55" s="106">
        <v>828</v>
      </c>
      <c r="AC55" s="106">
        <f t="shared" si="7"/>
        <v>0</v>
      </c>
      <c r="AD55" s="106">
        <v>828</v>
      </c>
      <c r="AE55" s="107">
        <f t="shared" si="8"/>
        <v>-2</v>
      </c>
    </row>
    <row r="56" spans="14:31" ht="15.6" customHeight="1" x14ac:dyDescent="0.3">
      <c r="N56" s="212"/>
      <c r="O56" s="94" t="s">
        <v>72</v>
      </c>
      <c r="P56" s="108"/>
      <c r="Q56" s="108">
        <v>516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14.5</v>
      </c>
      <c r="V56" s="108">
        <v>29</v>
      </c>
      <c r="W56" s="108">
        <f t="shared" si="4"/>
        <v>0</v>
      </c>
      <c r="X56" s="108">
        <v>29</v>
      </c>
      <c r="Y56" s="108">
        <f t="shared" si="5"/>
        <v>0</v>
      </c>
      <c r="Z56" s="108">
        <v>29</v>
      </c>
      <c r="AA56" s="108">
        <f t="shared" si="6"/>
        <v>242.5</v>
      </c>
      <c r="AB56" s="108">
        <v>514</v>
      </c>
      <c r="AC56" s="108">
        <f t="shared" si="7"/>
        <v>0</v>
      </c>
      <c r="AD56" s="108">
        <v>514</v>
      </c>
      <c r="AE56" s="109">
        <f t="shared" si="8"/>
        <v>-2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5996</v>
      </c>
      <c r="R58" s="104">
        <v>1346</v>
      </c>
      <c r="S58" s="104">
        <f t="shared" si="2"/>
        <v>370</v>
      </c>
      <c r="T58" s="104">
        <v>2086</v>
      </c>
      <c r="U58" s="104">
        <f t="shared" si="3"/>
        <v>182</v>
      </c>
      <c r="V58" s="104">
        <v>2450</v>
      </c>
      <c r="W58" s="104">
        <f t="shared" si="4"/>
        <v>11</v>
      </c>
      <c r="X58" s="104">
        <v>2472</v>
      </c>
      <c r="Y58" s="104">
        <f t="shared" si="5"/>
        <v>58</v>
      </c>
      <c r="Z58" s="104">
        <v>2588</v>
      </c>
      <c r="AA58" s="104">
        <f t="shared" si="6"/>
        <v>0</v>
      </c>
      <c r="AB58" s="104">
        <v>2588</v>
      </c>
      <c r="AC58" s="104">
        <f t="shared" si="7"/>
        <v>0</v>
      </c>
      <c r="AD58" s="104">
        <v>2588</v>
      </c>
      <c r="AE58" s="105">
        <f t="shared" si="8"/>
        <v>-3408</v>
      </c>
    </row>
    <row r="59" spans="14:31" ht="15.6" customHeight="1" x14ac:dyDescent="0.3">
      <c r="N59" s="212"/>
      <c r="O59" s="95" t="s">
        <v>66</v>
      </c>
      <c r="P59" s="106"/>
      <c r="Q59" s="106">
        <v>4186</v>
      </c>
      <c r="R59" s="106">
        <v>2442</v>
      </c>
      <c r="S59" s="106">
        <f t="shared" si="2"/>
        <v>332</v>
      </c>
      <c r="T59" s="106">
        <v>3106</v>
      </c>
      <c r="U59" s="106">
        <f t="shared" si="3"/>
        <v>239</v>
      </c>
      <c r="V59" s="106">
        <v>3584</v>
      </c>
      <c r="W59" s="106">
        <f t="shared" si="4"/>
        <v>339</v>
      </c>
      <c r="X59" s="106">
        <v>4262</v>
      </c>
      <c r="Y59" s="106">
        <f t="shared" si="5"/>
        <v>0</v>
      </c>
      <c r="Z59" s="106">
        <v>4262</v>
      </c>
      <c r="AA59" s="106">
        <f t="shared" si="6"/>
        <v>0</v>
      </c>
      <c r="AB59" s="106">
        <v>4262</v>
      </c>
      <c r="AC59" s="106">
        <f t="shared" si="7"/>
        <v>0</v>
      </c>
      <c r="AD59" s="106">
        <v>4262</v>
      </c>
      <c r="AE59" s="107">
        <f t="shared" si="8"/>
        <v>76</v>
      </c>
    </row>
    <row r="60" spans="14:31" ht="15.6" customHeight="1" x14ac:dyDescent="0.3">
      <c r="N60" s="212"/>
      <c r="O60" s="94" t="s">
        <v>67</v>
      </c>
      <c r="P60" s="108"/>
      <c r="Q60" s="108">
        <v>4876</v>
      </c>
      <c r="R60" s="108">
        <v>0</v>
      </c>
      <c r="S60" s="108">
        <f t="shared" si="2"/>
        <v>394</v>
      </c>
      <c r="T60" s="108">
        <v>788</v>
      </c>
      <c r="U60" s="108">
        <f t="shared" si="3"/>
        <v>0</v>
      </c>
      <c r="V60" s="108">
        <v>788</v>
      </c>
      <c r="W60" s="108">
        <f t="shared" si="4"/>
        <v>792.5</v>
      </c>
      <c r="X60" s="108">
        <v>2373</v>
      </c>
      <c r="Y60" s="108">
        <f t="shared" si="5"/>
        <v>15.5</v>
      </c>
      <c r="Z60" s="108">
        <v>2404</v>
      </c>
      <c r="AA60" s="108">
        <f t="shared" si="6"/>
        <v>0</v>
      </c>
      <c r="AB60" s="108">
        <v>2404</v>
      </c>
      <c r="AC60" s="108">
        <f t="shared" si="7"/>
        <v>0</v>
      </c>
      <c r="AD60" s="108">
        <v>2404</v>
      </c>
      <c r="AE60" s="109">
        <f t="shared" si="8"/>
        <v>-2472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7730</v>
      </c>
      <c r="R62" s="104">
        <v>342</v>
      </c>
      <c r="S62" s="104">
        <f t="shared" si="2"/>
        <v>151</v>
      </c>
      <c r="T62" s="104">
        <v>644</v>
      </c>
      <c r="U62" s="104">
        <f t="shared" si="3"/>
        <v>0</v>
      </c>
      <c r="V62" s="104">
        <v>644</v>
      </c>
      <c r="W62" s="104">
        <f t="shared" si="4"/>
        <v>172.5</v>
      </c>
      <c r="X62" s="104">
        <v>989</v>
      </c>
      <c r="Y62" s="104">
        <f t="shared" si="5"/>
        <v>0</v>
      </c>
      <c r="Z62" s="104">
        <v>989</v>
      </c>
      <c r="AA62" s="104">
        <f t="shared" si="6"/>
        <v>1264.5</v>
      </c>
      <c r="AB62" s="104">
        <v>3518</v>
      </c>
      <c r="AC62" s="104">
        <f t="shared" si="7"/>
        <v>0</v>
      </c>
      <c r="AD62" s="104">
        <v>3518</v>
      </c>
      <c r="AE62" s="105">
        <f t="shared" si="8"/>
        <v>-4212</v>
      </c>
    </row>
    <row r="63" spans="14:31" ht="15.6" customHeight="1" x14ac:dyDescent="0.3">
      <c r="N63" s="212"/>
      <c r="O63" s="95" t="s">
        <v>66</v>
      </c>
      <c r="P63" s="106"/>
      <c r="Q63" s="106">
        <v>8322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 t="str">
        <f t="shared" si="4"/>
        <v/>
      </c>
      <c r="X63" s="106">
        <v>0</v>
      </c>
      <c r="Y63" s="106" t="str">
        <f t="shared" si="5"/>
        <v/>
      </c>
      <c r="Z63" s="106">
        <v>0</v>
      </c>
      <c r="AA63" s="106">
        <f t="shared" si="6"/>
        <v>2276</v>
      </c>
      <c r="AB63" s="106">
        <v>4552</v>
      </c>
      <c r="AC63" s="106">
        <f t="shared" si="7"/>
        <v>0</v>
      </c>
      <c r="AD63" s="106">
        <v>4552</v>
      </c>
      <c r="AE63" s="107">
        <f t="shared" si="8"/>
        <v>-3770</v>
      </c>
    </row>
    <row r="64" spans="14:31" ht="15.6" customHeight="1" x14ac:dyDescent="0.3">
      <c r="N64" s="212"/>
      <c r="O64" s="94" t="s">
        <v>67</v>
      </c>
      <c r="P64" s="108"/>
      <c r="Q64" s="108">
        <v>6186</v>
      </c>
      <c r="R64" s="108">
        <v>0</v>
      </c>
      <c r="S64" s="108">
        <f t="shared" si="2"/>
        <v>20</v>
      </c>
      <c r="T64" s="108">
        <v>40</v>
      </c>
      <c r="U64" s="108">
        <f t="shared" si="3"/>
        <v>0</v>
      </c>
      <c r="V64" s="108">
        <v>40</v>
      </c>
      <c r="W64" s="108">
        <f t="shared" si="4"/>
        <v>0</v>
      </c>
      <c r="X64" s="108">
        <v>40</v>
      </c>
      <c r="Y64" s="108">
        <f t="shared" si="5"/>
        <v>166.5</v>
      </c>
      <c r="Z64" s="108">
        <v>373</v>
      </c>
      <c r="AA64" s="108">
        <f t="shared" si="6"/>
        <v>1647.5</v>
      </c>
      <c r="AB64" s="108">
        <v>3668</v>
      </c>
      <c r="AC64" s="108">
        <f t="shared" si="7"/>
        <v>0</v>
      </c>
      <c r="AD64" s="108">
        <v>3668</v>
      </c>
      <c r="AE64" s="109">
        <f t="shared" si="8"/>
        <v>-2518</v>
      </c>
    </row>
    <row r="65" spans="14:31" ht="15.6" customHeight="1" thickBot="1" x14ac:dyDescent="0.35">
      <c r="N65" s="213"/>
      <c r="O65" s="99" t="s">
        <v>68</v>
      </c>
      <c r="P65" s="114"/>
      <c r="Q65" s="114">
        <v>3289</v>
      </c>
      <c r="R65" s="114">
        <v>0</v>
      </c>
      <c r="S65" s="114">
        <f t="shared" si="2"/>
        <v>89.5</v>
      </c>
      <c r="T65" s="114">
        <v>179</v>
      </c>
      <c r="U65" s="114">
        <f t="shared" si="3"/>
        <v>0</v>
      </c>
      <c r="V65" s="114">
        <v>179</v>
      </c>
      <c r="W65" s="114">
        <f t="shared" si="4"/>
        <v>0</v>
      </c>
      <c r="X65" s="114">
        <v>179</v>
      </c>
      <c r="Y65" s="114">
        <f t="shared" si="5"/>
        <v>150</v>
      </c>
      <c r="Z65" s="114">
        <v>479</v>
      </c>
      <c r="AA65" s="114">
        <f t="shared" si="6"/>
        <v>299.5</v>
      </c>
      <c r="AB65" s="114">
        <v>1078</v>
      </c>
      <c r="AC65" s="114">
        <f t="shared" si="7"/>
        <v>0</v>
      </c>
      <c r="AD65" s="114">
        <v>1078</v>
      </c>
      <c r="AE65" s="115">
        <f t="shared" si="8"/>
        <v>-2211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95" priority="11" operator="lessThan">
      <formula>0</formula>
    </cfRule>
    <cfRule type="cellIs" dxfId="1894" priority="12" operator="greaterThan">
      <formula>0</formula>
    </cfRule>
  </conditionalFormatting>
  <conditionalFormatting sqref="R25:AC25">
    <cfRule type="cellIs" dxfId="1893" priority="9" operator="lessThan">
      <formula>0</formula>
    </cfRule>
    <cfRule type="cellIs" dxfId="1892" priority="10" operator="greaterThan">
      <formula>0</formula>
    </cfRule>
  </conditionalFormatting>
  <conditionalFormatting sqref="R26 T26 V26 X26 Z26 AB26">
    <cfRule type="cellIs" dxfId="1891" priority="7" operator="lessThan">
      <formula>0</formula>
    </cfRule>
    <cfRule type="cellIs" dxfId="1890" priority="8" operator="greaterThan">
      <formula>0</formula>
    </cfRule>
  </conditionalFormatting>
  <conditionalFormatting sqref="AD24:AE24">
    <cfRule type="cellIs" dxfId="1889" priority="5" operator="lessThan">
      <formula>0</formula>
    </cfRule>
    <cfRule type="cellIs" dxfId="1888" priority="6" operator="greaterThan">
      <formula>0</formula>
    </cfRule>
  </conditionalFormatting>
  <conditionalFormatting sqref="AD25:AE25">
    <cfRule type="cellIs" dxfId="1887" priority="3" operator="lessThan">
      <formula>0</formula>
    </cfRule>
    <cfRule type="cellIs" dxfId="1886" priority="4" operator="greaterThan">
      <formula>0</formula>
    </cfRule>
  </conditionalFormatting>
  <conditionalFormatting sqref="AD26">
    <cfRule type="cellIs" dxfId="1885" priority="1" operator="lessThan">
      <formula>0</formula>
    </cfRule>
    <cfRule type="cellIs" dxfId="188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/>
    <pageSetUpPr fitToPage="1"/>
  </sheetPr>
  <dimension ref="B1:AQ65"/>
  <sheetViews>
    <sheetView topLeftCell="C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44361</v>
      </c>
    </row>
    <row r="3" spans="2:42" ht="18.75" customHeight="1" thickBot="1" x14ac:dyDescent="0.35">
      <c r="B3" t="s">
        <v>1</v>
      </c>
      <c r="C3" s="3">
        <f>C2+1</f>
        <v>44362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3476</v>
      </c>
      <c r="E6" s="18" t="s">
        <v>22</v>
      </c>
      <c r="F6" s="119">
        <v>20379</v>
      </c>
      <c r="G6" s="117">
        <v>18327.821999999989</v>
      </c>
      <c r="H6" s="117">
        <v>14204.66989438</v>
      </c>
      <c r="I6" s="19">
        <f>G6+H6</f>
        <v>32532.491894379989</v>
      </c>
      <c r="J6" s="119">
        <v>20370</v>
      </c>
      <c r="K6" s="117">
        <v>16884.61774999999</v>
      </c>
      <c r="L6" s="117">
        <v>13528.53854521999</v>
      </c>
      <c r="M6" s="19">
        <f>K6+L6</f>
        <v>30413.156295219982</v>
      </c>
      <c r="N6" s="85">
        <v>59</v>
      </c>
      <c r="O6" s="85">
        <v>45</v>
      </c>
      <c r="P6" s="92"/>
      <c r="Q6" s="20">
        <f>J6-P6</f>
        <v>20370</v>
      </c>
      <c r="R6" s="21">
        <v>0</v>
      </c>
      <c r="S6" s="20" t="str">
        <f>IF(R6&gt;0,(R6-R7-$Q6),"")</f>
        <v/>
      </c>
      <c r="T6" s="21">
        <v>2411</v>
      </c>
      <c r="U6" s="20">
        <f>IF(T6&gt;0,(T6-T7-$Q6),"")</f>
        <v>-17959</v>
      </c>
      <c r="V6" s="21">
        <v>4155</v>
      </c>
      <c r="W6" s="20">
        <f>IF(V6&gt;0,(V6-V7-$Q6),"")</f>
        <v>-16215</v>
      </c>
      <c r="X6" s="21">
        <v>10552</v>
      </c>
      <c r="Y6" s="20">
        <f>IF(X6&gt;0,(X6-X7-$Q6),"")</f>
        <v>-9819</v>
      </c>
      <c r="Z6" s="21">
        <v>12422</v>
      </c>
      <c r="AA6" s="20">
        <f>IF(Z6&gt;0,(Z6-Z7-$Q6),"")</f>
        <v>-7949</v>
      </c>
      <c r="AB6" s="21">
        <v>12422</v>
      </c>
      <c r="AC6" s="22">
        <f>IF(AB6&gt;0,(AB6-AB7-$Q6),"")</f>
        <v>-7949</v>
      </c>
      <c r="AD6" s="21">
        <v>12422</v>
      </c>
      <c r="AE6" s="22">
        <f>IF(AD6&gt;0,(AD6-AD7-$Q6),"")</f>
        <v>-7949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1</v>
      </c>
      <c r="Y7" s="24"/>
      <c r="Z7" s="25">
        <v>1</v>
      </c>
      <c r="AA7" s="24"/>
      <c r="AB7" s="25">
        <v>1</v>
      </c>
      <c r="AC7" s="26"/>
      <c r="AD7" s="25">
        <v>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3112</v>
      </c>
      <c r="E8" s="29" t="s">
        <v>27</v>
      </c>
      <c r="F8" s="119">
        <v>15780</v>
      </c>
      <c r="G8" s="117">
        <v>6779.1299999999992</v>
      </c>
      <c r="H8" s="117">
        <v>1503.3101624999999</v>
      </c>
      <c r="I8" s="19">
        <f>G8+H8</f>
        <v>8282.4401624999991</v>
      </c>
      <c r="J8" s="119">
        <v>15151</v>
      </c>
      <c r="K8" s="117">
        <v>6479.2104999999992</v>
      </c>
      <c r="L8" s="117">
        <v>1473.6157902</v>
      </c>
      <c r="M8" s="19">
        <f>K8+L8</f>
        <v>7952.8262901999988</v>
      </c>
      <c r="N8" s="87">
        <v>27</v>
      </c>
      <c r="O8" s="87">
        <v>17</v>
      </c>
      <c r="P8" s="92"/>
      <c r="Q8" s="20">
        <f>J8-P8</f>
        <v>15151</v>
      </c>
      <c r="R8" s="21">
        <v>1000</v>
      </c>
      <c r="S8" s="20">
        <f>IF(R8&gt;0,(R8-R9-$Q8),"")</f>
        <v>-14151</v>
      </c>
      <c r="T8" s="21">
        <v>2026</v>
      </c>
      <c r="U8" s="20">
        <f>IF(T8&gt;0,(T8-T9-$Q8),"")</f>
        <v>-13125</v>
      </c>
      <c r="V8" s="21">
        <v>3918</v>
      </c>
      <c r="W8" s="20">
        <f>IF(V8&gt;0,(V8-V9-$Q8),"")</f>
        <v>-11233</v>
      </c>
      <c r="X8" s="21">
        <v>10271</v>
      </c>
      <c r="Y8" s="20">
        <f>IF(X8&gt;0,(X8-X9-$Q8),"")</f>
        <v>-4880</v>
      </c>
      <c r="Z8" s="21">
        <v>13890</v>
      </c>
      <c r="AA8" s="20">
        <f>IF(Z8&gt;0,(Z8-Z9-$Q8),"")</f>
        <v>-1261</v>
      </c>
      <c r="AB8" s="21">
        <v>13890</v>
      </c>
      <c r="AC8" s="22">
        <f>IF(AB8&gt;0,(AB8-AB9-$Q8),"")</f>
        <v>-1261</v>
      </c>
      <c r="AD8" s="21">
        <v>13890</v>
      </c>
      <c r="AE8" s="22">
        <f>IF(AD8&gt;0,(AD8-AD9-$Q8),"")</f>
        <v>-1261</v>
      </c>
    </row>
    <row r="9" spans="2:42" x14ac:dyDescent="0.3">
      <c r="B9" s="28" t="s">
        <v>28</v>
      </c>
      <c r="C9" s="17">
        <v>2042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2119</v>
      </c>
      <c r="E10" s="18" t="s">
        <v>31</v>
      </c>
      <c r="F10" s="119">
        <v>9205</v>
      </c>
      <c r="G10" s="117">
        <v>6492.7635</v>
      </c>
      <c r="H10" s="117">
        <v>1710.5684825000001</v>
      </c>
      <c r="I10" s="19">
        <f>G10+H10</f>
        <v>8203.3319824999999</v>
      </c>
      <c r="J10" s="119">
        <v>9331</v>
      </c>
      <c r="K10" s="117">
        <v>6693.7120000000004</v>
      </c>
      <c r="L10" s="117">
        <v>1696.029475</v>
      </c>
      <c r="M10" s="19">
        <f>K10+L10</f>
        <v>8389.7414750000007</v>
      </c>
      <c r="N10" s="88">
        <v>43</v>
      </c>
      <c r="O10" s="88">
        <v>28</v>
      </c>
      <c r="P10" s="92"/>
      <c r="Q10" s="20">
        <f>J10-P10</f>
        <v>9331</v>
      </c>
      <c r="R10" s="21">
        <v>682</v>
      </c>
      <c r="S10" s="20">
        <f>IF(R10&gt;0,(R10-R11-$Q10),"")</f>
        <v>-8729</v>
      </c>
      <c r="T10" s="21">
        <v>3962</v>
      </c>
      <c r="U10" s="20">
        <f>IF(T10&gt;0,(T10-T11-$Q10),"")</f>
        <v>-7478</v>
      </c>
      <c r="V10" s="21">
        <v>5378</v>
      </c>
      <c r="W10" s="20">
        <f>IF(V10&gt;0,(V10-V11-$Q10),"")</f>
        <v>-6062</v>
      </c>
      <c r="X10" s="21">
        <v>7478</v>
      </c>
      <c r="Y10" s="20">
        <f>IF(X10&gt;0,(X10-X11-$Q10),"")</f>
        <v>-4615</v>
      </c>
      <c r="Z10" s="21">
        <v>7478</v>
      </c>
      <c r="AA10" s="20">
        <f>IF(Z10&gt;0,(Z10-Z11-$Q10),"")</f>
        <v>-4615</v>
      </c>
      <c r="AB10" s="21">
        <v>7478</v>
      </c>
      <c r="AC10" s="22">
        <f>IF(AB10&gt;0,(AB10-AB11-$Q10),"")</f>
        <v>-4615</v>
      </c>
      <c r="AD10" s="21">
        <v>7478</v>
      </c>
      <c r="AE10" s="22">
        <f>IF(AD10&gt;0,(AD10-AD11-$Q10),"")</f>
        <v>-4615</v>
      </c>
    </row>
    <row r="11" spans="2:42" x14ac:dyDescent="0.3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15</v>
      </c>
      <c r="P11" s="93" t="s">
        <v>33</v>
      </c>
      <c r="Q11" s="24"/>
      <c r="R11" s="30">
        <v>80</v>
      </c>
      <c r="S11" s="24"/>
      <c r="T11" s="30">
        <v>2109</v>
      </c>
      <c r="U11" s="24"/>
      <c r="V11" s="30">
        <v>2109</v>
      </c>
      <c r="W11" s="24"/>
      <c r="X11" s="30">
        <v>2762</v>
      </c>
      <c r="Y11" s="24"/>
      <c r="Z11" s="30">
        <v>2762</v>
      </c>
      <c r="AA11" s="24"/>
      <c r="AB11" s="30">
        <v>2762</v>
      </c>
      <c r="AC11" s="26"/>
      <c r="AD11" s="30">
        <v>2762</v>
      </c>
      <c r="AE11" s="26"/>
    </row>
    <row r="12" spans="2:42" x14ac:dyDescent="0.3">
      <c r="B12" s="16" t="s">
        <v>34</v>
      </c>
      <c r="C12" s="17">
        <v>1688</v>
      </c>
      <c r="E12" s="29" t="s">
        <v>35</v>
      </c>
      <c r="F12" s="119">
        <v>12516</v>
      </c>
      <c r="G12" s="117">
        <v>12810.46</v>
      </c>
      <c r="H12" s="117">
        <v>10870.360044540001</v>
      </c>
      <c r="I12" s="19">
        <f>G12+H12</f>
        <v>23680.82004454</v>
      </c>
      <c r="J12" s="119">
        <v>12374</v>
      </c>
      <c r="K12" s="117">
        <v>12442.574000000001</v>
      </c>
      <c r="L12" s="117">
        <v>10304.00698842</v>
      </c>
      <c r="M12" s="19">
        <f>K12+L12</f>
        <v>22746.580988419999</v>
      </c>
      <c r="N12" s="88">
        <v>40</v>
      </c>
      <c r="O12" s="88">
        <v>31</v>
      </c>
      <c r="P12" s="92"/>
      <c r="Q12" s="20">
        <f>J12-P12</f>
        <v>12374</v>
      </c>
      <c r="R12" s="21">
        <v>1341</v>
      </c>
      <c r="S12" s="20">
        <f>IF(R12&gt;0,(R12-R13-$Q12),"")</f>
        <v>-11033</v>
      </c>
      <c r="T12" s="21">
        <v>3634</v>
      </c>
      <c r="U12" s="20">
        <f>IF(T12&gt;0,(T12-T13-$Q12),"")</f>
        <v>-9613</v>
      </c>
      <c r="V12" s="21">
        <v>5541</v>
      </c>
      <c r="W12" s="20">
        <f>IF(V12&gt;0,(V12-V13-$Q12),"")</f>
        <v>-7744</v>
      </c>
      <c r="X12" s="21">
        <v>9241</v>
      </c>
      <c r="Y12" s="20">
        <f>IF(X12&gt;0,(X12-X13-$Q12),"")</f>
        <v>-4236</v>
      </c>
      <c r="Z12" s="21">
        <v>9241</v>
      </c>
      <c r="AA12" s="20">
        <f>IF(Z12&gt;0,(Z12-Z13-$Q12),"")</f>
        <v>-4236</v>
      </c>
      <c r="AB12" s="21">
        <v>9241</v>
      </c>
      <c r="AC12" s="22">
        <f>IF(AB12&gt;0,(AB12-AB13-$Q12),"")</f>
        <v>-4236</v>
      </c>
      <c r="AD12" s="21">
        <v>9241</v>
      </c>
      <c r="AE12" s="22">
        <f>IF(AD12&gt;0,(AD12-AD13-$Q12),"")</f>
        <v>-4236</v>
      </c>
    </row>
    <row r="13" spans="2:42" x14ac:dyDescent="0.3">
      <c r="B13" s="16" t="s">
        <v>36</v>
      </c>
      <c r="C13" s="17">
        <v>4869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0</v>
      </c>
      <c r="S13" s="24"/>
      <c r="T13" s="30">
        <v>873</v>
      </c>
      <c r="U13" s="24"/>
      <c r="V13" s="30">
        <v>911</v>
      </c>
      <c r="W13" s="24"/>
      <c r="X13" s="30">
        <v>1103</v>
      </c>
      <c r="Y13" s="24"/>
      <c r="Z13" s="30">
        <v>1103</v>
      </c>
      <c r="AA13" s="24"/>
      <c r="AB13" s="30">
        <v>1103</v>
      </c>
      <c r="AC13" s="26"/>
      <c r="AD13" s="30">
        <v>1103</v>
      </c>
      <c r="AE13" s="26"/>
    </row>
    <row r="14" spans="2:42" x14ac:dyDescent="0.3">
      <c r="B14" s="16" t="s">
        <v>38</v>
      </c>
      <c r="C14" s="17">
        <v>10384</v>
      </c>
      <c r="E14" s="18" t="s">
        <v>39</v>
      </c>
      <c r="F14" s="119">
        <v>12738</v>
      </c>
      <c r="G14" s="117">
        <v>17084.625</v>
      </c>
      <c r="H14" s="117">
        <v>21079.01478292001</v>
      </c>
      <c r="I14" s="19">
        <f>G14+H14</f>
        <v>38163.639782920014</v>
      </c>
      <c r="J14" s="119">
        <v>12763</v>
      </c>
      <c r="K14" s="117">
        <v>17116.375</v>
      </c>
      <c r="L14" s="117">
        <v>20444.552955219999</v>
      </c>
      <c r="M14" s="19">
        <f>K14+L14</f>
        <v>37560.927955220002</v>
      </c>
      <c r="N14" s="88">
        <v>61</v>
      </c>
      <c r="O14" s="88">
        <v>48</v>
      </c>
      <c r="P14" s="92"/>
      <c r="Q14" s="20">
        <f>J14-P14</f>
        <v>12763</v>
      </c>
      <c r="R14" s="21">
        <v>291</v>
      </c>
      <c r="S14" s="20">
        <f>IF(R14&gt;0,(R14-R15-$Q14),"")</f>
        <v>-12472</v>
      </c>
      <c r="T14" s="21">
        <v>608</v>
      </c>
      <c r="U14" s="20">
        <f>IF(T14&gt;0,(T14-T15-$Q14),"")</f>
        <v>-12155</v>
      </c>
      <c r="V14" s="21">
        <v>608</v>
      </c>
      <c r="W14" s="20">
        <f>IF(V14&gt;0,(V14-V15-$Q14),"")</f>
        <v>-12155</v>
      </c>
      <c r="X14" s="21">
        <v>2097</v>
      </c>
      <c r="Y14" s="20">
        <f>IF(X14&gt;0,(X14-X15-$Q14),"")</f>
        <v>-10666</v>
      </c>
      <c r="Z14" s="21">
        <v>13257</v>
      </c>
      <c r="AA14" s="20">
        <f>IF(Z14&gt;0,(Z14-Z15-$Q14),"")</f>
        <v>-9679</v>
      </c>
      <c r="AB14" s="21">
        <v>13257</v>
      </c>
      <c r="AC14" s="22">
        <f>IF(AB14&gt;0,(AB14-AB15-$Q14),"")</f>
        <v>-9679</v>
      </c>
      <c r="AD14" s="21">
        <v>13257</v>
      </c>
      <c r="AE14" s="22">
        <f>IF(AD14&gt;0,(AD14-AD15-$Q14),"")</f>
        <v>-9679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10173</v>
      </c>
      <c r="AA15" s="24"/>
      <c r="AB15" s="25">
        <v>10173</v>
      </c>
      <c r="AC15" s="26"/>
      <c r="AD15" s="25">
        <v>10173</v>
      </c>
      <c r="AE15" s="26"/>
    </row>
    <row r="16" spans="2:42" ht="15" customHeight="1" thickBot="1" x14ac:dyDescent="0.35">
      <c r="B16" s="28" t="s">
        <v>42</v>
      </c>
      <c r="C16" s="17">
        <v>11235</v>
      </c>
      <c r="E16" s="84"/>
      <c r="F16" s="31">
        <f t="shared" ref="F16:N16" si="0">SUM(F6:F15)</f>
        <v>70618</v>
      </c>
      <c r="G16" s="31">
        <f t="shared" si="0"/>
        <v>61494.80049999999</v>
      </c>
      <c r="H16" s="31">
        <f t="shared" si="0"/>
        <v>49367.923366840012</v>
      </c>
      <c r="I16" s="32">
        <f t="shared" si="0"/>
        <v>110862.72386684001</v>
      </c>
      <c r="J16" s="33">
        <f t="shared" si="0"/>
        <v>69989</v>
      </c>
      <c r="K16" s="33">
        <f t="shared" si="0"/>
        <v>59616.489249999991</v>
      </c>
      <c r="L16" s="33">
        <f t="shared" si="0"/>
        <v>47446.743754059993</v>
      </c>
      <c r="M16" s="33">
        <f t="shared" si="0"/>
        <v>107063.23300405998</v>
      </c>
      <c r="N16" s="31">
        <f t="shared" si="0"/>
        <v>230</v>
      </c>
      <c r="O16" s="31">
        <f>SUM(O14,O12,O10,O8,O6)</f>
        <v>169</v>
      </c>
      <c r="P16" s="34">
        <f>SUM(P6:P15)</f>
        <v>0</v>
      </c>
      <c r="Q16" s="34">
        <f>SUM(Q6:Q15)</f>
        <v>69989</v>
      </c>
      <c r="R16" s="35">
        <f>R6+R8+R10+R12+R14-R7-R9-R11-R13-R15</f>
        <v>3234</v>
      </c>
      <c r="S16" s="36">
        <f>IF(R16&gt;1,(R16-$Q16),"")</f>
        <v>-66755</v>
      </c>
      <c r="T16" s="35">
        <f>T6+T8+T10+T12+T14-T7-T9-T11-T13-T15</f>
        <v>9659</v>
      </c>
      <c r="U16" s="36">
        <f>IF(T16&gt;1,(T16-$Q16),"")</f>
        <v>-60330</v>
      </c>
      <c r="V16" s="35">
        <f>V6+V8+V10+V12+V14-V7-V9-V11-V13-V15</f>
        <v>16580</v>
      </c>
      <c r="W16" s="36">
        <f>IF(V16&gt;1,(V16-$Q16),"")</f>
        <v>-53409</v>
      </c>
      <c r="X16" s="35">
        <f>X6+X8+X10+X12+X14-X7-X9-X11-X13-X15</f>
        <v>35773</v>
      </c>
      <c r="Y16" s="36">
        <f>IF(X16&gt;1,(X16-$Q16),"")</f>
        <v>-34216</v>
      </c>
      <c r="Z16" s="35">
        <f>Z6+Z8+Z10+Z12+Z14-Z7-Z9-Z11-Z13-Z15</f>
        <v>42249</v>
      </c>
      <c r="AA16" s="36">
        <f>IF(Z16&gt;1,(Z16-$Q16),"")</f>
        <v>-27740</v>
      </c>
      <c r="AB16" s="35">
        <f>AB6+AB8+AB10+AB12+AB14-AB7-AB9-AB11-AB13-AB15</f>
        <v>42249</v>
      </c>
      <c r="AC16" s="37">
        <f>IF(AB16&gt;1,(AB16-$Q16),"")</f>
        <v>-27740</v>
      </c>
      <c r="AD16" s="35">
        <f>AD6+AD8+AD10+AD12+AD14-AD7-AD9-AD11-AD13-AD15</f>
        <v>42249</v>
      </c>
      <c r="AE16" s="37">
        <f>IF(AD16&gt;1,(AD16-$Q16),"")</f>
        <v>-27740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80</v>
      </c>
      <c r="S17" s="41"/>
      <c r="T17" s="40">
        <f>T15+T13+T11+T9+T7</f>
        <v>2982</v>
      </c>
      <c r="U17" s="41"/>
      <c r="V17" s="40">
        <f>V15+V13+V11+V9+V7</f>
        <v>3020</v>
      </c>
      <c r="W17" s="41"/>
      <c r="X17" s="40">
        <f>X15+X13+X11+X9+X7</f>
        <v>3866</v>
      </c>
      <c r="Y17" s="41"/>
      <c r="Z17" s="40">
        <f>Z15+Z13+Z11+Z9+Z7</f>
        <v>14039</v>
      </c>
      <c r="AA17" s="41"/>
      <c r="AB17" s="40">
        <f>AB15+AB13+AB11+AB9+AB7</f>
        <v>14039</v>
      </c>
      <c r="AC17" s="42"/>
      <c r="AD17" s="40">
        <f>AD15+AD13+AD11+AD9+AD7</f>
        <v>14039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1617</v>
      </c>
      <c r="S18" s="46"/>
      <c r="T18" s="47">
        <f>IF(T16&gt;0,(T16-R16)/2,"")</f>
        <v>3212.5</v>
      </c>
      <c r="U18" s="46"/>
      <c r="V18" s="47">
        <f>IF(V16&gt;0,(V16-T16)/2,"")</f>
        <v>3460.5</v>
      </c>
      <c r="W18" s="46"/>
      <c r="X18" s="47">
        <f>IF(X16&gt;0,(X16-V16)/2,"")</f>
        <v>9596.5</v>
      </c>
      <c r="Y18" s="46"/>
      <c r="Z18" s="47">
        <f>IF(Z16&gt;0,(Z16-X16)/2,"")</f>
        <v>3238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6403</v>
      </c>
      <c r="S20" s="36"/>
      <c r="T20" s="35">
        <v>19228</v>
      </c>
      <c r="U20" s="36"/>
      <c r="V20" s="35">
        <v>29309</v>
      </c>
      <c r="W20" s="36"/>
      <c r="X20" s="35">
        <v>37360</v>
      </c>
      <c r="Y20" s="36"/>
      <c r="Z20" s="35">
        <v>42178</v>
      </c>
      <c r="AA20" s="36"/>
      <c r="AB20" s="35">
        <v>45387</v>
      </c>
      <c r="AC20" s="37"/>
      <c r="AD20" s="35">
        <v>45387</v>
      </c>
      <c r="AE20" s="37">
        <v>-38434</v>
      </c>
    </row>
    <row r="21" spans="2:43" ht="15" customHeight="1" thickBot="1" x14ac:dyDescent="0.35">
      <c r="B21" s="16" t="s">
        <v>50</v>
      </c>
      <c r="C21" s="17">
        <v>8767</v>
      </c>
      <c r="L21" s="4"/>
      <c r="M21" s="4"/>
      <c r="Q21" s="52"/>
      <c r="R21" s="40">
        <v>1369</v>
      </c>
      <c r="S21" s="41"/>
      <c r="T21" s="40">
        <v>2378</v>
      </c>
      <c r="U21" s="41"/>
      <c r="V21" s="40">
        <v>3699</v>
      </c>
      <c r="W21" s="41"/>
      <c r="X21" s="40">
        <v>4095</v>
      </c>
      <c r="Y21" s="41"/>
      <c r="Z21" s="40">
        <v>4752</v>
      </c>
      <c r="AA21" s="41"/>
      <c r="AB21" s="40">
        <v>14446</v>
      </c>
      <c r="AC21" s="42"/>
      <c r="AD21" s="40">
        <v>14446</v>
      </c>
      <c r="AE21" s="42"/>
    </row>
    <row r="22" spans="2:43" ht="15" customHeight="1" thickBot="1" x14ac:dyDescent="0.35">
      <c r="B22" s="16" t="s">
        <v>51</v>
      </c>
      <c r="C22" s="17">
        <v>1595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4328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-3169</v>
      </c>
      <c r="S24" s="60"/>
      <c r="T24" s="60">
        <f>IF(T16&gt;0,T16-T20,"")</f>
        <v>-9569</v>
      </c>
      <c r="U24" s="60"/>
      <c r="V24" s="60">
        <f>IF(V16&gt;0,V16-V20,"")</f>
        <v>-12729</v>
      </c>
      <c r="W24" s="60"/>
      <c r="X24" s="60">
        <f>IF(X16&gt;0,X16-X20,"")</f>
        <v>-1587</v>
      </c>
      <c r="Y24" s="60"/>
      <c r="Z24" s="60">
        <f>IF(Z16&gt;0,Z16-Z20,"")</f>
        <v>71</v>
      </c>
      <c r="AA24" s="60"/>
      <c r="AB24" s="60">
        <f>IF(AB16&gt;0,AB16-AB20,"")</f>
        <v>-3138</v>
      </c>
      <c r="AC24" s="61"/>
      <c r="AD24" s="60">
        <f>IF(AD16&gt;0,AD16-AD20,"")</f>
        <v>-3138</v>
      </c>
      <c r="AE24" s="61"/>
    </row>
    <row r="25" spans="2:43" x14ac:dyDescent="0.3">
      <c r="L25" s="4"/>
      <c r="M25" s="4"/>
      <c r="Q25" s="62"/>
      <c r="R25" s="63">
        <f>IF(R17&gt;=0,R17-R21,"")</f>
        <v>-1289</v>
      </c>
      <c r="S25" s="64"/>
      <c r="T25" s="63">
        <f>IF(T17&gt;=0,T17-T21,"")</f>
        <v>604</v>
      </c>
      <c r="U25" s="64"/>
      <c r="V25" s="63">
        <f>IF(V17&gt;=0,V17-V21,"")</f>
        <v>-679</v>
      </c>
      <c r="W25" s="64"/>
      <c r="X25" s="63">
        <f>IF(X17&gt;=0,X17-X21,"")</f>
        <v>-229</v>
      </c>
      <c r="Y25" s="64"/>
      <c r="Z25" s="63">
        <f>IF(Z17&gt;=0,Z17-Z21,"")</f>
        <v>9287</v>
      </c>
      <c r="AA25" s="64"/>
      <c r="AB25" s="63">
        <f>IF(AB17&gt;=0,AB17-AB21,"")</f>
        <v>-407</v>
      </c>
      <c r="AC25" s="65"/>
      <c r="AD25" s="63">
        <f>IF(AD17&gt;=0,AD17-AD21,"")</f>
        <v>-407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-2876.5</v>
      </c>
      <c r="S26" s="55"/>
      <c r="T26" s="67">
        <f>IFERROR(IF(T18&gt;0,T18-T22,""),"")</f>
        <v>1652.5</v>
      </c>
      <c r="U26" s="55"/>
      <c r="V26" s="67">
        <f>IFERROR(IF(V18&gt;0,V18-V22,""),"")</f>
        <v>403.5</v>
      </c>
      <c r="W26" s="55"/>
      <c r="X26" s="67">
        <f>IFERROR(IF(X18&gt;0,X18-X22,""),"")</f>
        <v>6589.5</v>
      </c>
      <c r="Y26" s="55"/>
      <c r="Z26" s="67">
        <f>IFERROR(IF(Z18&gt;0,Z18-Z22,""),"")</f>
        <v>363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10392</v>
      </c>
      <c r="D29" s="76">
        <f>C14</f>
        <v>10384</v>
      </c>
      <c r="E29" s="77">
        <f t="shared" ref="E29:E34" si="1">D29-C29</f>
        <v>-8</v>
      </c>
      <c r="M29" s="4"/>
      <c r="O29" s="4"/>
    </row>
    <row r="30" spans="2:43" x14ac:dyDescent="0.3">
      <c r="B30" s="74" t="s">
        <v>56</v>
      </c>
      <c r="C30" s="75">
        <v>24663</v>
      </c>
      <c r="D30" s="76">
        <f>C7+C15+C16+C19+C20</f>
        <v>11235</v>
      </c>
      <c r="E30" s="77">
        <f t="shared" si="1"/>
        <v>-13428</v>
      </c>
      <c r="J30" s="53"/>
      <c r="L30" s="53"/>
      <c r="M30" s="4"/>
      <c r="O30" s="4"/>
    </row>
    <row r="31" spans="2:43" x14ac:dyDescent="0.3">
      <c r="B31" s="74" t="s">
        <v>21</v>
      </c>
      <c r="C31" s="75">
        <v>3476</v>
      </c>
      <c r="D31" s="76">
        <f>C6</f>
        <v>3476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10767</v>
      </c>
      <c r="D32" s="76">
        <f>C10+C11+C12+C13</f>
        <v>10767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15280</v>
      </c>
      <c r="D34" s="76">
        <f>C21+C22+C23</f>
        <v>14690</v>
      </c>
      <c r="E34" s="77">
        <f t="shared" si="1"/>
        <v>-590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5099</v>
      </c>
      <c r="D35" s="80">
        <f>SUM(C8+C9)</f>
        <v>5154</v>
      </c>
      <c r="E35" s="81">
        <f>C35-D35</f>
        <v>-55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2428</v>
      </c>
      <c r="R36" s="104">
        <v>0</v>
      </c>
      <c r="S36" s="104">
        <f t="shared" ref="S36:S65" si="2">IF(T36&gt;0,(T36-R36)/2,"")</f>
        <v>358</v>
      </c>
      <c r="T36" s="104">
        <v>716</v>
      </c>
      <c r="U36" s="104">
        <f t="shared" ref="U36:U65" si="3">IF(V36&gt;0,(V36-T36)/2,"")</f>
        <v>0</v>
      </c>
      <c r="V36" s="104">
        <v>716</v>
      </c>
      <c r="W36" s="104">
        <f t="shared" ref="W36:W65" si="4">IF(X36&gt;0,(X36-V36)/2,"")</f>
        <v>297.5</v>
      </c>
      <c r="X36" s="104">
        <v>1311</v>
      </c>
      <c r="Y36" s="104">
        <f t="shared" ref="Y36:Y65" si="5">IF(Z36&gt;0,(Z36-X36)/2,"")</f>
        <v>7.5</v>
      </c>
      <c r="Z36" s="104">
        <v>1326</v>
      </c>
      <c r="AA36" s="104">
        <f t="shared" ref="AA36:AA65" si="6">IF(AB36&gt;0,(AB36-Z36)/2,"")</f>
        <v>0</v>
      </c>
      <c r="AB36" s="104">
        <v>1326</v>
      </c>
      <c r="AC36" s="104">
        <f t="shared" ref="AC36:AC65" si="7">IF(AD36&gt;0,(AD36-AB36)/2,"")</f>
        <v>0</v>
      </c>
      <c r="AD36" s="104">
        <v>1326</v>
      </c>
      <c r="AE36" s="105">
        <f t="shared" ref="AE36:AE65" si="8">AD36-Q36</f>
        <v>-1102</v>
      </c>
    </row>
    <row r="37" spans="2:31" ht="15.6" customHeight="1" x14ac:dyDescent="0.3">
      <c r="N37" s="212"/>
      <c r="O37" s="95" t="s">
        <v>66</v>
      </c>
      <c r="P37" s="106"/>
      <c r="Q37" s="106">
        <v>999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253</v>
      </c>
      <c r="X37" s="106">
        <v>506</v>
      </c>
      <c r="Y37" s="106">
        <f t="shared" si="5"/>
        <v>258.5</v>
      </c>
      <c r="Z37" s="106">
        <v>1023</v>
      </c>
      <c r="AA37" s="106">
        <f t="shared" si="6"/>
        <v>0</v>
      </c>
      <c r="AB37" s="106">
        <v>1023</v>
      </c>
      <c r="AC37" s="106">
        <f t="shared" si="7"/>
        <v>0</v>
      </c>
      <c r="AD37" s="106">
        <v>1023</v>
      </c>
      <c r="AE37" s="107">
        <f t="shared" si="8"/>
        <v>24</v>
      </c>
    </row>
    <row r="38" spans="2:31" ht="15.6" customHeight="1" x14ac:dyDescent="0.3">
      <c r="N38" s="212"/>
      <c r="O38" s="94" t="s">
        <v>67</v>
      </c>
      <c r="P38" s="108"/>
      <c r="Q38" s="108">
        <v>1740</v>
      </c>
      <c r="R38" s="108">
        <v>0</v>
      </c>
      <c r="S38" s="108" t="str">
        <f t="shared" si="2"/>
        <v/>
      </c>
      <c r="T38" s="108">
        <v>0</v>
      </c>
      <c r="U38" s="108">
        <f t="shared" si="3"/>
        <v>138</v>
      </c>
      <c r="V38" s="108">
        <v>276</v>
      </c>
      <c r="W38" s="108">
        <f t="shared" si="4"/>
        <v>137.5</v>
      </c>
      <c r="X38" s="108">
        <v>551</v>
      </c>
      <c r="Y38" s="108">
        <f t="shared" si="5"/>
        <v>135</v>
      </c>
      <c r="Z38" s="108">
        <v>821</v>
      </c>
      <c r="AA38" s="108">
        <f t="shared" si="6"/>
        <v>0</v>
      </c>
      <c r="AB38" s="108">
        <v>821</v>
      </c>
      <c r="AC38" s="108">
        <f t="shared" si="7"/>
        <v>0</v>
      </c>
      <c r="AD38" s="108">
        <v>821</v>
      </c>
      <c r="AE38" s="109">
        <f t="shared" si="8"/>
        <v>-919</v>
      </c>
    </row>
    <row r="39" spans="2:31" ht="15.6" customHeight="1" x14ac:dyDescent="0.3">
      <c r="N39" s="212"/>
      <c r="O39" s="95" t="s">
        <v>68</v>
      </c>
      <c r="P39" s="106"/>
      <c r="Q39" s="106">
        <v>2649</v>
      </c>
      <c r="R39" s="106">
        <v>0</v>
      </c>
      <c r="S39" s="106">
        <f t="shared" si="2"/>
        <v>667.5</v>
      </c>
      <c r="T39" s="106">
        <v>1335</v>
      </c>
      <c r="U39" s="106">
        <f t="shared" si="3"/>
        <v>231.5</v>
      </c>
      <c r="V39" s="106">
        <v>1798</v>
      </c>
      <c r="W39" s="106">
        <f t="shared" si="4"/>
        <v>551.5</v>
      </c>
      <c r="X39" s="106">
        <v>2901</v>
      </c>
      <c r="Y39" s="106">
        <f t="shared" si="5"/>
        <v>0</v>
      </c>
      <c r="Z39" s="106">
        <v>2901</v>
      </c>
      <c r="AA39" s="106">
        <f t="shared" si="6"/>
        <v>0</v>
      </c>
      <c r="AB39" s="106">
        <v>2901</v>
      </c>
      <c r="AC39" s="106">
        <f t="shared" si="7"/>
        <v>0</v>
      </c>
      <c r="AD39" s="106">
        <v>2901</v>
      </c>
      <c r="AE39" s="107">
        <f t="shared" si="8"/>
        <v>252</v>
      </c>
    </row>
    <row r="40" spans="2:31" ht="15.6" customHeight="1" x14ac:dyDescent="0.3">
      <c r="N40" s="212"/>
      <c r="O40" s="94" t="s">
        <v>69</v>
      </c>
      <c r="P40" s="108"/>
      <c r="Q40" s="108">
        <v>0</v>
      </c>
      <c r="R40" s="108">
        <v>0</v>
      </c>
      <c r="S40" s="108" t="str">
        <f t="shared" si="2"/>
        <v/>
      </c>
      <c r="T40" s="108">
        <v>0</v>
      </c>
      <c r="U40" s="108" t="str">
        <f t="shared" si="3"/>
        <v/>
      </c>
      <c r="V40" s="108">
        <v>0</v>
      </c>
      <c r="W40" s="108">
        <f t="shared" si="4"/>
        <v>859.5</v>
      </c>
      <c r="X40" s="108">
        <v>1719</v>
      </c>
      <c r="Y40" s="108">
        <f t="shared" si="5"/>
        <v>394.5</v>
      </c>
      <c r="Z40" s="108">
        <v>2508</v>
      </c>
      <c r="AA40" s="108">
        <f t="shared" si="6"/>
        <v>0</v>
      </c>
      <c r="AB40" s="108">
        <v>2508</v>
      </c>
      <c r="AC40" s="108">
        <f t="shared" si="7"/>
        <v>0</v>
      </c>
      <c r="AD40" s="108">
        <v>2508</v>
      </c>
      <c r="AE40" s="109">
        <f t="shared" si="8"/>
        <v>2508</v>
      </c>
    </row>
    <row r="41" spans="2:31" ht="15.6" customHeight="1" x14ac:dyDescent="0.3">
      <c r="N41" s="212"/>
      <c r="O41" s="95" t="s">
        <v>70</v>
      </c>
      <c r="P41" s="106"/>
      <c r="Q41" s="106">
        <v>2831</v>
      </c>
      <c r="R41" s="106">
        <v>0</v>
      </c>
      <c r="S41" s="106" t="str">
        <f t="shared" si="2"/>
        <v/>
      </c>
      <c r="T41" s="106">
        <v>0</v>
      </c>
      <c r="U41" s="106">
        <f t="shared" si="3"/>
        <v>167</v>
      </c>
      <c r="V41" s="106">
        <v>334</v>
      </c>
      <c r="W41" s="106">
        <f t="shared" si="4"/>
        <v>73.5</v>
      </c>
      <c r="X41" s="106">
        <v>481</v>
      </c>
      <c r="Y41" s="106">
        <f t="shared" si="5"/>
        <v>92.5</v>
      </c>
      <c r="Z41" s="106">
        <v>666</v>
      </c>
      <c r="AA41" s="106">
        <f t="shared" si="6"/>
        <v>0</v>
      </c>
      <c r="AB41" s="106">
        <v>666</v>
      </c>
      <c r="AC41" s="106">
        <f t="shared" si="7"/>
        <v>0</v>
      </c>
      <c r="AD41" s="106">
        <v>666</v>
      </c>
      <c r="AE41" s="107">
        <f t="shared" si="8"/>
        <v>-2165</v>
      </c>
    </row>
    <row r="42" spans="2:31" ht="15.6" customHeight="1" x14ac:dyDescent="0.3">
      <c r="N42" s="212"/>
      <c r="O42" s="94" t="s">
        <v>71</v>
      </c>
      <c r="P42" s="108"/>
      <c r="Q42" s="108">
        <v>1163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335.5</v>
      </c>
      <c r="V42" s="108">
        <v>671</v>
      </c>
      <c r="W42" s="108">
        <f t="shared" si="4"/>
        <v>0</v>
      </c>
      <c r="X42" s="108">
        <v>671</v>
      </c>
      <c r="Y42" s="108">
        <f t="shared" si="5"/>
        <v>0</v>
      </c>
      <c r="Z42" s="108">
        <v>671</v>
      </c>
      <c r="AA42" s="108">
        <f t="shared" si="6"/>
        <v>0</v>
      </c>
      <c r="AB42" s="108">
        <v>671</v>
      </c>
      <c r="AC42" s="108">
        <f t="shared" si="7"/>
        <v>0</v>
      </c>
      <c r="AD42" s="108">
        <v>671</v>
      </c>
      <c r="AE42" s="109">
        <f t="shared" si="8"/>
        <v>-492</v>
      </c>
    </row>
    <row r="43" spans="2:31" ht="15.6" customHeight="1" x14ac:dyDescent="0.3">
      <c r="N43" s="212"/>
      <c r="O43" s="95" t="s">
        <v>72</v>
      </c>
      <c r="P43" s="106"/>
      <c r="Q43" s="106">
        <v>1641</v>
      </c>
      <c r="R43" s="106">
        <v>0</v>
      </c>
      <c r="S43" s="106">
        <f t="shared" si="2"/>
        <v>180</v>
      </c>
      <c r="T43" s="106">
        <v>360</v>
      </c>
      <c r="U43" s="106">
        <f t="shared" si="3"/>
        <v>0</v>
      </c>
      <c r="V43" s="106">
        <v>360</v>
      </c>
      <c r="W43" s="106">
        <f t="shared" si="4"/>
        <v>386.5</v>
      </c>
      <c r="X43" s="106">
        <v>1133</v>
      </c>
      <c r="Y43" s="106">
        <f t="shared" si="5"/>
        <v>0</v>
      </c>
      <c r="Z43" s="106">
        <v>1133</v>
      </c>
      <c r="AA43" s="106">
        <f t="shared" si="6"/>
        <v>0</v>
      </c>
      <c r="AB43" s="106">
        <v>1133</v>
      </c>
      <c r="AC43" s="106">
        <f t="shared" si="7"/>
        <v>0</v>
      </c>
      <c r="AD43" s="106">
        <v>1133</v>
      </c>
      <c r="AE43" s="107">
        <f t="shared" si="8"/>
        <v>-508</v>
      </c>
    </row>
    <row r="44" spans="2:31" ht="15.6" customHeight="1" thickBot="1" x14ac:dyDescent="0.35">
      <c r="N44" s="213"/>
      <c r="O44" s="97" t="s">
        <v>73</v>
      </c>
      <c r="P44" s="110"/>
      <c r="Q44" s="110">
        <v>0</v>
      </c>
      <c r="R44" s="110">
        <v>0</v>
      </c>
      <c r="S44" s="110" t="str">
        <f t="shared" si="2"/>
        <v/>
      </c>
      <c r="T44" s="110">
        <v>0</v>
      </c>
      <c r="U44" s="110" t="str">
        <f t="shared" si="3"/>
        <v/>
      </c>
      <c r="V44" s="110">
        <v>0</v>
      </c>
      <c r="W44" s="110">
        <f t="shared" si="4"/>
        <v>639.5</v>
      </c>
      <c r="X44" s="110">
        <v>1279</v>
      </c>
      <c r="Y44" s="110">
        <f t="shared" si="5"/>
        <v>47</v>
      </c>
      <c r="Z44" s="110">
        <v>1373</v>
      </c>
      <c r="AA44" s="110">
        <f t="shared" si="6"/>
        <v>0</v>
      </c>
      <c r="AB44" s="110">
        <v>1373</v>
      </c>
      <c r="AC44" s="110">
        <f t="shared" si="7"/>
        <v>0</v>
      </c>
      <c r="AD44" s="110">
        <v>1373</v>
      </c>
      <c r="AE44" s="111">
        <f t="shared" si="8"/>
        <v>1373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513</v>
      </c>
      <c r="T45" s="112">
        <v>2026</v>
      </c>
      <c r="U45" s="112">
        <f t="shared" si="3"/>
        <v>0</v>
      </c>
      <c r="V45" s="112">
        <v>2026</v>
      </c>
      <c r="W45" s="112">
        <f t="shared" si="4"/>
        <v>934</v>
      </c>
      <c r="X45" s="112">
        <v>3894</v>
      </c>
      <c r="Y45" s="112">
        <f t="shared" si="5"/>
        <v>500.5</v>
      </c>
      <c r="Z45" s="112">
        <v>4895</v>
      </c>
      <c r="AA45" s="112">
        <f t="shared" si="6"/>
        <v>0</v>
      </c>
      <c r="AB45" s="112">
        <v>4895</v>
      </c>
      <c r="AC45" s="112">
        <f t="shared" si="7"/>
        <v>0</v>
      </c>
      <c r="AD45" s="112">
        <v>4895</v>
      </c>
      <c r="AE45" s="113">
        <f t="shared" si="8"/>
        <v>4895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495</v>
      </c>
      <c r="V46" s="108">
        <v>990</v>
      </c>
      <c r="W46" s="108">
        <f t="shared" si="4"/>
        <v>707</v>
      </c>
      <c r="X46" s="108">
        <v>2404</v>
      </c>
      <c r="Y46" s="108">
        <f t="shared" si="5"/>
        <v>645.5</v>
      </c>
      <c r="Z46" s="108">
        <v>3695</v>
      </c>
      <c r="AA46" s="108">
        <f t="shared" si="6"/>
        <v>0</v>
      </c>
      <c r="AB46" s="108">
        <v>3695</v>
      </c>
      <c r="AC46" s="108">
        <f t="shared" si="7"/>
        <v>0</v>
      </c>
      <c r="AD46" s="108">
        <v>3695</v>
      </c>
      <c r="AE46" s="109">
        <f t="shared" si="8"/>
        <v>3695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142</v>
      </c>
      <c r="V47" s="106">
        <v>284</v>
      </c>
      <c r="W47" s="106">
        <f t="shared" si="4"/>
        <v>143</v>
      </c>
      <c r="X47" s="106">
        <v>570</v>
      </c>
      <c r="Y47" s="106">
        <f t="shared" si="5"/>
        <v>663.5</v>
      </c>
      <c r="Z47" s="106">
        <v>1897</v>
      </c>
      <c r="AA47" s="106">
        <f t="shared" si="6"/>
        <v>0</v>
      </c>
      <c r="AB47" s="106">
        <v>1897</v>
      </c>
      <c r="AC47" s="106">
        <f t="shared" si="7"/>
        <v>0</v>
      </c>
      <c r="AD47" s="106">
        <v>1897</v>
      </c>
      <c r="AE47" s="107">
        <f t="shared" si="8"/>
        <v>1897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309</v>
      </c>
      <c r="V48" s="110">
        <v>618</v>
      </c>
      <c r="W48" s="110">
        <f t="shared" si="4"/>
        <v>1392.5</v>
      </c>
      <c r="X48" s="110">
        <v>3403</v>
      </c>
      <c r="Y48" s="110">
        <f t="shared" si="5"/>
        <v>0</v>
      </c>
      <c r="Z48" s="110">
        <v>3403</v>
      </c>
      <c r="AA48" s="110">
        <f t="shared" si="6"/>
        <v>0</v>
      </c>
      <c r="AB48" s="110">
        <v>3403</v>
      </c>
      <c r="AC48" s="110">
        <f t="shared" si="7"/>
        <v>0</v>
      </c>
      <c r="AD48" s="110">
        <v>3403</v>
      </c>
      <c r="AE48" s="111">
        <f t="shared" si="8"/>
        <v>3403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80</v>
      </c>
      <c r="R49" s="112">
        <v>80</v>
      </c>
      <c r="S49" s="112">
        <f t="shared" si="2"/>
        <v>89</v>
      </c>
      <c r="T49" s="112">
        <v>258</v>
      </c>
      <c r="U49" s="112">
        <f t="shared" si="3"/>
        <v>0</v>
      </c>
      <c r="V49" s="112">
        <v>258</v>
      </c>
      <c r="W49" s="112">
        <f t="shared" si="4"/>
        <v>0</v>
      </c>
      <c r="X49" s="112">
        <v>258</v>
      </c>
      <c r="Y49" s="112">
        <f t="shared" si="5"/>
        <v>0</v>
      </c>
      <c r="Z49" s="112">
        <v>258</v>
      </c>
      <c r="AA49" s="112">
        <f t="shared" si="6"/>
        <v>0</v>
      </c>
      <c r="AB49" s="112">
        <v>258</v>
      </c>
      <c r="AC49" s="112">
        <f t="shared" si="7"/>
        <v>0</v>
      </c>
      <c r="AD49" s="112">
        <v>258</v>
      </c>
      <c r="AE49" s="113">
        <f t="shared" si="8"/>
        <v>178</v>
      </c>
    </row>
    <row r="50" spans="14:31" ht="15.6" customHeight="1" x14ac:dyDescent="0.3">
      <c r="N50" s="212"/>
      <c r="O50" s="94" t="s">
        <v>66</v>
      </c>
      <c r="P50" s="108"/>
      <c r="Q50" s="108">
        <v>0</v>
      </c>
      <c r="R50" s="108">
        <v>0</v>
      </c>
      <c r="S50" s="108">
        <f t="shared" si="2"/>
        <v>150</v>
      </c>
      <c r="T50" s="108">
        <v>300</v>
      </c>
      <c r="U50" s="108">
        <f t="shared" si="3"/>
        <v>0</v>
      </c>
      <c r="V50" s="108">
        <v>300</v>
      </c>
      <c r="W50" s="108">
        <f t="shared" si="4"/>
        <v>0</v>
      </c>
      <c r="X50" s="108">
        <v>300</v>
      </c>
      <c r="Y50" s="108">
        <f t="shared" si="5"/>
        <v>0</v>
      </c>
      <c r="Z50" s="108">
        <v>300</v>
      </c>
      <c r="AA50" s="108">
        <f t="shared" si="6"/>
        <v>0</v>
      </c>
      <c r="AB50" s="108">
        <v>300</v>
      </c>
      <c r="AC50" s="108">
        <f t="shared" si="7"/>
        <v>0</v>
      </c>
      <c r="AD50" s="108">
        <v>300</v>
      </c>
      <c r="AE50" s="109">
        <f t="shared" si="8"/>
        <v>300</v>
      </c>
    </row>
    <row r="51" spans="14:31" ht="15.6" customHeight="1" x14ac:dyDescent="0.3">
      <c r="N51" s="212"/>
      <c r="O51" s="95" t="s">
        <v>67</v>
      </c>
      <c r="P51" s="106"/>
      <c r="Q51" s="106">
        <v>1513</v>
      </c>
      <c r="R51" s="106">
        <v>0</v>
      </c>
      <c r="S51" s="106">
        <f t="shared" si="2"/>
        <v>639.5</v>
      </c>
      <c r="T51" s="106">
        <v>1279</v>
      </c>
      <c r="U51" s="106">
        <f t="shared" si="3"/>
        <v>151.5</v>
      </c>
      <c r="V51" s="106">
        <v>1582</v>
      </c>
      <c r="W51" s="106">
        <f t="shared" si="4"/>
        <v>32.5</v>
      </c>
      <c r="X51" s="106">
        <v>1647</v>
      </c>
      <c r="Y51" s="106">
        <f t="shared" si="5"/>
        <v>0</v>
      </c>
      <c r="Z51" s="106">
        <v>1647</v>
      </c>
      <c r="AA51" s="106">
        <f t="shared" si="6"/>
        <v>0</v>
      </c>
      <c r="AB51" s="106">
        <v>1647</v>
      </c>
      <c r="AC51" s="106">
        <f t="shared" si="7"/>
        <v>0</v>
      </c>
      <c r="AD51" s="106">
        <v>1647</v>
      </c>
      <c r="AE51" s="107">
        <f t="shared" si="8"/>
        <v>134</v>
      </c>
    </row>
    <row r="52" spans="14:31" ht="15.6" customHeight="1" x14ac:dyDescent="0.3">
      <c r="N52" s="212"/>
      <c r="O52" s="94" t="s">
        <v>68</v>
      </c>
      <c r="P52" s="108"/>
      <c r="Q52" s="108">
        <v>1104</v>
      </c>
      <c r="R52" s="108">
        <v>0</v>
      </c>
      <c r="S52" s="108">
        <f t="shared" si="2"/>
        <v>175</v>
      </c>
      <c r="T52" s="108">
        <v>350</v>
      </c>
      <c r="U52" s="108">
        <f t="shared" si="3"/>
        <v>97.5</v>
      </c>
      <c r="V52" s="108">
        <v>545</v>
      </c>
      <c r="W52" s="108">
        <f t="shared" si="4"/>
        <v>110</v>
      </c>
      <c r="X52" s="108">
        <v>765</v>
      </c>
      <c r="Y52" s="108">
        <f t="shared" si="5"/>
        <v>0</v>
      </c>
      <c r="Z52" s="108">
        <v>765</v>
      </c>
      <c r="AA52" s="108">
        <f t="shared" si="6"/>
        <v>0</v>
      </c>
      <c r="AB52" s="108">
        <v>765</v>
      </c>
      <c r="AC52" s="108">
        <f t="shared" si="7"/>
        <v>0</v>
      </c>
      <c r="AD52" s="108">
        <v>765</v>
      </c>
      <c r="AE52" s="109">
        <f t="shared" si="8"/>
        <v>-339</v>
      </c>
    </row>
    <row r="53" spans="14:31" ht="15.6" customHeight="1" x14ac:dyDescent="0.3">
      <c r="N53" s="212"/>
      <c r="O53" s="95" t="s">
        <v>69</v>
      </c>
      <c r="P53" s="106"/>
      <c r="Q53" s="106">
        <v>2763</v>
      </c>
      <c r="R53" s="106">
        <v>0</v>
      </c>
      <c r="S53" s="106">
        <f t="shared" si="2"/>
        <v>375</v>
      </c>
      <c r="T53" s="106">
        <v>750</v>
      </c>
      <c r="U53" s="106">
        <f t="shared" si="3"/>
        <v>370</v>
      </c>
      <c r="V53" s="106">
        <v>1490</v>
      </c>
      <c r="W53" s="106">
        <f t="shared" si="4"/>
        <v>398</v>
      </c>
      <c r="X53" s="106">
        <v>2286</v>
      </c>
      <c r="Y53" s="106">
        <f t="shared" si="5"/>
        <v>0</v>
      </c>
      <c r="Z53" s="106">
        <v>2286</v>
      </c>
      <c r="AA53" s="106">
        <f t="shared" si="6"/>
        <v>0</v>
      </c>
      <c r="AB53" s="106">
        <v>2286</v>
      </c>
      <c r="AC53" s="106">
        <f t="shared" si="7"/>
        <v>0</v>
      </c>
      <c r="AD53" s="106">
        <v>2286</v>
      </c>
      <c r="AE53" s="107">
        <f t="shared" si="8"/>
        <v>-477</v>
      </c>
    </row>
    <row r="54" spans="14:31" ht="15.6" customHeight="1" x14ac:dyDescent="0.3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509.5</v>
      </c>
      <c r="X54" s="108">
        <v>1019</v>
      </c>
      <c r="Y54" s="108">
        <f t="shared" si="5"/>
        <v>0</v>
      </c>
      <c r="Z54" s="108">
        <v>1019</v>
      </c>
      <c r="AA54" s="108">
        <f t="shared" si="6"/>
        <v>0</v>
      </c>
      <c r="AB54" s="108">
        <v>1019</v>
      </c>
      <c r="AC54" s="108">
        <f t="shared" si="7"/>
        <v>0</v>
      </c>
      <c r="AD54" s="108">
        <v>1019</v>
      </c>
      <c r="AE54" s="109">
        <f t="shared" si="8"/>
        <v>1019</v>
      </c>
    </row>
    <row r="55" spans="14:31" ht="15.6" customHeight="1" x14ac:dyDescent="0.3">
      <c r="N55" s="212"/>
      <c r="O55" s="95" t="s">
        <v>71</v>
      </c>
      <c r="P55" s="106"/>
      <c r="Q55" s="106">
        <v>602</v>
      </c>
      <c r="R55" s="106">
        <v>602</v>
      </c>
      <c r="S55" s="106">
        <f t="shared" si="2"/>
        <v>125</v>
      </c>
      <c r="T55" s="106">
        <v>852</v>
      </c>
      <c r="U55" s="106">
        <f t="shared" si="3"/>
        <v>0</v>
      </c>
      <c r="V55" s="106">
        <v>852</v>
      </c>
      <c r="W55" s="106">
        <f t="shared" si="4"/>
        <v>0</v>
      </c>
      <c r="X55" s="106">
        <v>852</v>
      </c>
      <c r="Y55" s="106">
        <f t="shared" si="5"/>
        <v>0</v>
      </c>
      <c r="Z55" s="106">
        <v>852</v>
      </c>
      <c r="AA55" s="106">
        <f t="shared" si="6"/>
        <v>0</v>
      </c>
      <c r="AB55" s="106">
        <v>852</v>
      </c>
      <c r="AC55" s="106">
        <f t="shared" si="7"/>
        <v>0</v>
      </c>
      <c r="AD55" s="106">
        <v>852</v>
      </c>
      <c r="AE55" s="107">
        <f t="shared" si="8"/>
        <v>250</v>
      </c>
    </row>
    <row r="56" spans="14:31" ht="15.6" customHeight="1" x14ac:dyDescent="0.3">
      <c r="N56" s="212"/>
      <c r="O56" s="94" t="s">
        <v>72</v>
      </c>
      <c r="P56" s="108"/>
      <c r="Q56" s="108">
        <v>0</v>
      </c>
      <c r="R56" s="108">
        <v>0</v>
      </c>
      <c r="S56" s="108">
        <f t="shared" si="2"/>
        <v>86.5</v>
      </c>
      <c r="T56" s="108">
        <v>173</v>
      </c>
      <c r="U56" s="108">
        <f t="shared" si="3"/>
        <v>89</v>
      </c>
      <c r="V56" s="108">
        <v>351</v>
      </c>
      <c r="W56" s="108">
        <f t="shared" si="4"/>
        <v>0</v>
      </c>
      <c r="X56" s="108">
        <v>351</v>
      </c>
      <c r="Y56" s="108">
        <f t="shared" si="5"/>
        <v>0</v>
      </c>
      <c r="Z56" s="108">
        <v>351</v>
      </c>
      <c r="AA56" s="108">
        <f t="shared" si="6"/>
        <v>0</v>
      </c>
      <c r="AB56" s="108">
        <v>351</v>
      </c>
      <c r="AC56" s="108">
        <f t="shared" si="7"/>
        <v>0</v>
      </c>
      <c r="AD56" s="108">
        <v>351</v>
      </c>
      <c r="AE56" s="109">
        <f t="shared" si="8"/>
        <v>351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2793</v>
      </c>
      <c r="R58" s="104">
        <v>283</v>
      </c>
      <c r="S58" s="104">
        <f t="shared" si="2"/>
        <v>168.5</v>
      </c>
      <c r="T58" s="104">
        <v>620</v>
      </c>
      <c r="U58" s="104">
        <f t="shared" si="3"/>
        <v>727.5</v>
      </c>
      <c r="V58" s="104">
        <v>2075</v>
      </c>
      <c r="W58" s="104">
        <f t="shared" si="4"/>
        <v>891</v>
      </c>
      <c r="X58" s="104">
        <v>3857</v>
      </c>
      <c r="Y58" s="104">
        <f t="shared" si="5"/>
        <v>0</v>
      </c>
      <c r="Z58" s="104">
        <v>3857</v>
      </c>
      <c r="AA58" s="104">
        <f t="shared" si="6"/>
        <v>0</v>
      </c>
      <c r="AB58" s="104">
        <v>3857</v>
      </c>
      <c r="AC58" s="104">
        <f t="shared" si="7"/>
        <v>0</v>
      </c>
      <c r="AD58" s="104">
        <v>3857</v>
      </c>
      <c r="AE58" s="105">
        <f t="shared" si="8"/>
        <v>1064</v>
      </c>
    </row>
    <row r="59" spans="14:31" ht="15.6" customHeight="1" x14ac:dyDescent="0.3">
      <c r="N59" s="212"/>
      <c r="O59" s="95" t="s">
        <v>66</v>
      </c>
      <c r="P59" s="106"/>
      <c r="Q59" s="106">
        <v>1440</v>
      </c>
      <c r="R59" s="106">
        <v>1058</v>
      </c>
      <c r="S59" s="106">
        <f t="shared" si="2"/>
        <v>608</v>
      </c>
      <c r="T59" s="106">
        <v>2274</v>
      </c>
      <c r="U59" s="106">
        <f t="shared" si="3"/>
        <v>226</v>
      </c>
      <c r="V59" s="106">
        <v>2726</v>
      </c>
      <c r="W59" s="106">
        <f t="shared" si="4"/>
        <v>380.5</v>
      </c>
      <c r="X59" s="106">
        <v>3487</v>
      </c>
      <c r="Y59" s="106">
        <f t="shared" si="5"/>
        <v>0</v>
      </c>
      <c r="Z59" s="106">
        <v>3487</v>
      </c>
      <c r="AA59" s="106">
        <f t="shared" si="6"/>
        <v>0</v>
      </c>
      <c r="AB59" s="106">
        <v>3487</v>
      </c>
      <c r="AC59" s="106">
        <f t="shared" si="7"/>
        <v>0</v>
      </c>
      <c r="AD59" s="106">
        <v>3487</v>
      </c>
      <c r="AE59" s="107">
        <f t="shared" si="8"/>
        <v>2047</v>
      </c>
    </row>
    <row r="60" spans="14:31" ht="15.6" customHeight="1" x14ac:dyDescent="0.3">
      <c r="N60" s="212"/>
      <c r="O60" s="94" t="s">
        <v>67</v>
      </c>
      <c r="P60" s="108"/>
      <c r="Q60" s="108">
        <v>1870</v>
      </c>
      <c r="R60" s="108">
        <v>0</v>
      </c>
      <c r="S60" s="108">
        <f t="shared" si="2"/>
        <v>370</v>
      </c>
      <c r="T60" s="108">
        <v>740</v>
      </c>
      <c r="U60" s="108">
        <f t="shared" si="3"/>
        <v>0</v>
      </c>
      <c r="V60" s="108">
        <v>740</v>
      </c>
      <c r="W60" s="108">
        <f t="shared" si="4"/>
        <v>578.5</v>
      </c>
      <c r="X60" s="108">
        <v>1897</v>
      </c>
      <c r="Y60" s="108">
        <f t="shared" si="5"/>
        <v>0</v>
      </c>
      <c r="Z60" s="108">
        <v>1897</v>
      </c>
      <c r="AA60" s="108">
        <f t="shared" si="6"/>
        <v>0</v>
      </c>
      <c r="AB60" s="108">
        <v>1897</v>
      </c>
      <c r="AC60" s="108">
        <f t="shared" si="7"/>
        <v>0</v>
      </c>
      <c r="AD60" s="108">
        <v>1897</v>
      </c>
      <c r="AE60" s="109">
        <f t="shared" si="8"/>
        <v>27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3488</v>
      </c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>
        <f t="shared" si="4"/>
        <v>434</v>
      </c>
      <c r="X62" s="104">
        <v>868</v>
      </c>
      <c r="Y62" s="104">
        <f t="shared" si="5"/>
        <v>1435</v>
      </c>
      <c r="Z62" s="104">
        <v>3738</v>
      </c>
      <c r="AA62" s="104">
        <f t="shared" si="6"/>
        <v>0</v>
      </c>
      <c r="AB62" s="104">
        <v>3738</v>
      </c>
      <c r="AC62" s="104">
        <f t="shared" si="7"/>
        <v>0</v>
      </c>
      <c r="AD62" s="104">
        <v>3738</v>
      </c>
      <c r="AE62" s="105">
        <f t="shared" si="8"/>
        <v>250</v>
      </c>
    </row>
    <row r="63" spans="14:31" ht="15.6" customHeight="1" x14ac:dyDescent="0.3">
      <c r="N63" s="212"/>
      <c r="O63" s="95" t="s">
        <v>66</v>
      </c>
      <c r="P63" s="106"/>
      <c r="Q63" s="106">
        <v>4872</v>
      </c>
      <c r="R63" s="106">
        <v>291</v>
      </c>
      <c r="S63" s="106">
        <f t="shared" si="2"/>
        <v>158.5</v>
      </c>
      <c r="T63" s="106">
        <v>608</v>
      </c>
      <c r="U63" s="106">
        <f t="shared" si="3"/>
        <v>0</v>
      </c>
      <c r="V63" s="106">
        <v>608</v>
      </c>
      <c r="W63" s="106">
        <f t="shared" si="4"/>
        <v>101</v>
      </c>
      <c r="X63" s="106">
        <v>810</v>
      </c>
      <c r="Y63" s="106">
        <f t="shared" si="5"/>
        <v>1997</v>
      </c>
      <c r="Z63" s="106">
        <v>4804</v>
      </c>
      <c r="AA63" s="106">
        <f t="shared" si="6"/>
        <v>0</v>
      </c>
      <c r="AB63" s="106">
        <v>4804</v>
      </c>
      <c r="AC63" s="106">
        <f t="shared" si="7"/>
        <v>0</v>
      </c>
      <c r="AD63" s="106">
        <v>4804</v>
      </c>
      <c r="AE63" s="107">
        <f t="shared" si="8"/>
        <v>-68</v>
      </c>
    </row>
    <row r="64" spans="14:31" ht="15.6" customHeight="1" x14ac:dyDescent="0.3">
      <c r="N64" s="212"/>
      <c r="O64" s="94" t="s">
        <v>67</v>
      </c>
      <c r="P64" s="108"/>
      <c r="Q64" s="108">
        <v>3487</v>
      </c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>
        <f t="shared" si="4"/>
        <v>99.5</v>
      </c>
      <c r="X64" s="108">
        <v>199</v>
      </c>
      <c r="Y64" s="108">
        <f t="shared" si="5"/>
        <v>1751.5</v>
      </c>
      <c r="Z64" s="108">
        <v>3702</v>
      </c>
      <c r="AA64" s="108">
        <f t="shared" si="6"/>
        <v>0</v>
      </c>
      <c r="AB64" s="108">
        <v>3702</v>
      </c>
      <c r="AC64" s="108">
        <f t="shared" si="7"/>
        <v>0</v>
      </c>
      <c r="AD64" s="108">
        <v>3702</v>
      </c>
      <c r="AE64" s="109">
        <f t="shared" si="8"/>
        <v>215</v>
      </c>
    </row>
    <row r="65" spans="14:31" ht="15.6" customHeight="1" thickBot="1" x14ac:dyDescent="0.35">
      <c r="N65" s="213"/>
      <c r="O65" s="99" t="s">
        <v>68</v>
      </c>
      <c r="P65" s="114"/>
      <c r="Q65" s="114">
        <v>660</v>
      </c>
      <c r="R65" s="114">
        <v>0</v>
      </c>
      <c r="S65" s="114" t="str">
        <f t="shared" si="2"/>
        <v/>
      </c>
      <c r="T65" s="114">
        <v>0</v>
      </c>
      <c r="U65" s="114" t="str">
        <f t="shared" si="3"/>
        <v/>
      </c>
      <c r="V65" s="114">
        <v>0</v>
      </c>
      <c r="W65" s="114">
        <f t="shared" si="4"/>
        <v>110</v>
      </c>
      <c r="X65" s="114">
        <v>220</v>
      </c>
      <c r="Y65" s="114">
        <f t="shared" si="5"/>
        <v>264</v>
      </c>
      <c r="Z65" s="114">
        <v>748</v>
      </c>
      <c r="AA65" s="114">
        <f t="shared" si="6"/>
        <v>0</v>
      </c>
      <c r="AB65" s="114">
        <v>748</v>
      </c>
      <c r="AC65" s="114">
        <f t="shared" si="7"/>
        <v>0</v>
      </c>
      <c r="AD65" s="114">
        <v>748</v>
      </c>
      <c r="AE65" s="115">
        <f t="shared" si="8"/>
        <v>88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83" priority="11" operator="lessThan">
      <formula>0</formula>
    </cfRule>
    <cfRule type="cellIs" dxfId="1882" priority="12" operator="greaterThan">
      <formula>0</formula>
    </cfRule>
  </conditionalFormatting>
  <conditionalFormatting sqref="R25:AC25">
    <cfRule type="cellIs" dxfId="1881" priority="9" operator="lessThan">
      <formula>0</formula>
    </cfRule>
    <cfRule type="cellIs" dxfId="1880" priority="10" operator="greaterThan">
      <formula>0</formula>
    </cfRule>
  </conditionalFormatting>
  <conditionalFormatting sqref="R26 T26 V26 X26 Z26 AB26">
    <cfRule type="cellIs" dxfId="1879" priority="7" operator="lessThan">
      <formula>0</formula>
    </cfRule>
    <cfRule type="cellIs" dxfId="1878" priority="8" operator="greaterThan">
      <formula>0</formula>
    </cfRule>
  </conditionalFormatting>
  <conditionalFormatting sqref="AD24:AE24">
    <cfRule type="cellIs" dxfId="1877" priority="5" operator="lessThan">
      <formula>0</formula>
    </cfRule>
    <cfRule type="cellIs" dxfId="1876" priority="6" operator="greaterThan">
      <formula>0</formula>
    </cfRule>
  </conditionalFormatting>
  <conditionalFormatting sqref="AD25:AE25">
    <cfRule type="cellIs" dxfId="1875" priority="3" operator="lessThan">
      <formula>0</formula>
    </cfRule>
    <cfRule type="cellIs" dxfId="1874" priority="4" operator="greaterThan">
      <formula>0</formula>
    </cfRule>
  </conditionalFormatting>
  <conditionalFormatting sqref="AD26">
    <cfRule type="cellIs" dxfId="1873" priority="1" operator="lessThan">
      <formula>0</formula>
    </cfRule>
    <cfRule type="cellIs" dxfId="18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1"/>
    <pageSetUpPr fitToPage="1"/>
  </sheetPr>
  <dimension ref="B1:AQ65"/>
  <sheetViews>
    <sheetView topLeftCell="D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44362</v>
      </c>
    </row>
    <row r="3" spans="2:42" ht="18.75" customHeight="1" thickBot="1" x14ac:dyDescent="0.35">
      <c r="B3" t="s">
        <v>1</v>
      </c>
      <c r="C3" s="3">
        <f>C2+1</f>
        <v>44363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6546</v>
      </c>
      <c r="E6" s="18" t="s">
        <v>22</v>
      </c>
      <c r="F6" s="119">
        <v>18760</v>
      </c>
      <c r="G6" s="117">
        <v>17429.591</v>
      </c>
      <c r="H6" s="117">
        <v>11549.323905380001</v>
      </c>
      <c r="I6" s="19">
        <f>G6+H6</f>
        <v>28978.914905379999</v>
      </c>
      <c r="J6" s="119">
        <v>18614</v>
      </c>
      <c r="K6" s="117">
        <v>15720.22675</v>
      </c>
      <c r="L6" s="117">
        <v>10858.725474119999</v>
      </c>
      <c r="M6" s="19">
        <f>K6+L6</f>
        <v>26578.952224119999</v>
      </c>
      <c r="N6" s="85">
        <v>60</v>
      </c>
      <c r="O6" s="85">
        <v>55</v>
      </c>
      <c r="P6" s="92"/>
      <c r="Q6" s="20">
        <f>J6-P6</f>
        <v>18614</v>
      </c>
      <c r="R6" s="21">
        <v>8014</v>
      </c>
      <c r="S6" s="20">
        <f>IF(R6&gt;0,(R6-R7-$Q6),"")</f>
        <v>-11184</v>
      </c>
      <c r="T6" s="21">
        <v>8014</v>
      </c>
      <c r="U6" s="20">
        <f>IF(T6&gt;0,(T6-T7-$Q6),"")</f>
        <v>-11184</v>
      </c>
      <c r="V6" s="21">
        <v>12558</v>
      </c>
      <c r="W6" s="20">
        <f>IF(V6&gt;0,(V6-V7-$Q6),"")</f>
        <v>-6646</v>
      </c>
      <c r="X6" s="21">
        <v>16369</v>
      </c>
      <c r="Y6" s="20">
        <f>IF(X6&gt;0,(X6-X7-$Q6),"")</f>
        <v>-2858</v>
      </c>
      <c r="Z6" s="21">
        <v>16646</v>
      </c>
      <c r="AA6" s="20">
        <f>IF(Z6&gt;0,(Z6-Z7-$Q6),"")</f>
        <v>-2581</v>
      </c>
      <c r="AB6" s="21">
        <v>16646</v>
      </c>
      <c r="AC6" s="22">
        <f>IF(AB6&gt;0,(AB6-AB7-$Q6),"")</f>
        <v>-2581</v>
      </c>
      <c r="AD6" s="21">
        <v>16646</v>
      </c>
      <c r="AE6" s="22">
        <f>IF(AD6&gt;0,(AD6-AD7-$Q6),"")</f>
        <v>-2581</v>
      </c>
    </row>
    <row r="7" spans="2:42" x14ac:dyDescent="0.3">
      <c r="B7" s="16" t="s">
        <v>23</v>
      </c>
      <c r="C7" s="17">
        <v>2647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>
        <v>584</v>
      </c>
      <c r="S7" s="24"/>
      <c r="T7" s="25">
        <v>584</v>
      </c>
      <c r="U7" s="24"/>
      <c r="V7" s="25">
        <v>590</v>
      </c>
      <c r="W7" s="24"/>
      <c r="X7" s="25">
        <v>613</v>
      </c>
      <c r="Y7" s="24"/>
      <c r="Z7" s="25">
        <v>613</v>
      </c>
      <c r="AA7" s="24"/>
      <c r="AB7" s="25">
        <v>613</v>
      </c>
      <c r="AC7" s="26"/>
      <c r="AD7" s="25">
        <v>613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3088</v>
      </c>
      <c r="E8" s="29" t="s">
        <v>27</v>
      </c>
      <c r="F8" s="119">
        <v>14965</v>
      </c>
      <c r="G8" s="117">
        <v>6452.241</v>
      </c>
      <c r="H8" s="117">
        <v>1465.6181354</v>
      </c>
      <c r="I8" s="19">
        <f>G8+H8</f>
        <v>7917.8591354</v>
      </c>
      <c r="J8" s="119">
        <v>15428</v>
      </c>
      <c r="K8" s="117">
        <v>6626.1545000000006</v>
      </c>
      <c r="L8" s="117">
        <v>1500.1281527000001</v>
      </c>
      <c r="M8" s="19">
        <f>K8+L8</f>
        <v>8126.2826527000007</v>
      </c>
      <c r="N8" s="87">
        <v>30</v>
      </c>
      <c r="O8" s="87">
        <v>20</v>
      </c>
      <c r="P8" s="92"/>
      <c r="Q8" s="20">
        <f>J8-P8</f>
        <v>15428</v>
      </c>
      <c r="R8" s="21">
        <v>1800</v>
      </c>
      <c r="S8" s="20">
        <f>IF(R8&gt;0,(R8-R9-$Q8),"")</f>
        <v>-13628</v>
      </c>
      <c r="T8" s="21">
        <v>2442</v>
      </c>
      <c r="U8" s="20">
        <f>IF(T8&gt;0,(T8-T9-$Q8),"")</f>
        <v>-12986</v>
      </c>
      <c r="V8" s="21">
        <v>3555</v>
      </c>
      <c r="W8" s="20">
        <f>IF(V8&gt;0,(V8-V9-$Q8),"")</f>
        <v>-11873</v>
      </c>
      <c r="X8" s="21">
        <v>11415</v>
      </c>
      <c r="Y8" s="20">
        <f>IF(X8&gt;0,(X8-X9-$Q8),"")</f>
        <v>-5330</v>
      </c>
      <c r="Z8" s="21">
        <v>13074</v>
      </c>
      <c r="AA8" s="20">
        <f>IF(Z8&gt;0,(Z8-Z9-$Q8),"")</f>
        <v>-3671</v>
      </c>
      <c r="AB8" s="21">
        <v>13074</v>
      </c>
      <c r="AC8" s="22">
        <f>IF(AB8&gt;0,(AB8-AB9-$Q8),"")</f>
        <v>-3671</v>
      </c>
      <c r="AD8" s="21">
        <v>13074</v>
      </c>
      <c r="AE8" s="22">
        <f>IF(AD8&gt;0,(AD8-AD9-$Q8),"")</f>
        <v>-3671</v>
      </c>
    </row>
    <row r="9" spans="2:42" x14ac:dyDescent="0.3">
      <c r="B9" s="28" t="s">
        <v>28</v>
      </c>
      <c r="C9" s="17">
        <v>1653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1317</v>
      </c>
      <c r="Y9" s="24"/>
      <c r="Z9" s="30">
        <v>1317</v>
      </c>
      <c r="AA9" s="24"/>
      <c r="AB9" s="30">
        <v>1317</v>
      </c>
      <c r="AC9" s="26"/>
      <c r="AD9" s="30">
        <v>1317</v>
      </c>
      <c r="AE9" s="26"/>
    </row>
    <row r="10" spans="2:42" x14ac:dyDescent="0.3">
      <c r="B10" s="16" t="s">
        <v>30</v>
      </c>
      <c r="C10" s="17">
        <v>6548</v>
      </c>
      <c r="E10" s="18" t="s">
        <v>31</v>
      </c>
      <c r="F10" s="119">
        <v>18328</v>
      </c>
      <c r="G10" s="117">
        <v>13909.26</v>
      </c>
      <c r="H10" s="117">
        <v>1484.7853625</v>
      </c>
      <c r="I10" s="19">
        <f>G10+H10</f>
        <v>15394.045362500001</v>
      </c>
      <c r="J10" s="119">
        <v>18591</v>
      </c>
      <c r="K10" s="117">
        <v>14065.244000000001</v>
      </c>
      <c r="L10" s="117">
        <v>1474.8251949999999</v>
      </c>
      <c r="M10" s="19">
        <f>K10+L10</f>
        <v>15540.069195</v>
      </c>
      <c r="N10" s="88">
        <v>47</v>
      </c>
      <c r="O10" s="88">
        <v>34</v>
      </c>
      <c r="P10" s="92"/>
      <c r="Q10" s="20">
        <f>J10-P10</f>
        <v>18591</v>
      </c>
      <c r="R10" s="21">
        <v>3333</v>
      </c>
      <c r="S10" s="20">
        <f>IF(R10&gt;0,(R10-R11-$Q10),"")</f>
        <v>-15386</v>
      </c>
      <c r="T10" s="21">
        <v>3617</v>
      </c>
      <c r="U10" s="20">
        <f>IF(T10&gt;0,(T10-T11-$Q10),"")</f>
        <v>-15456</v>
      </c>
      <c r="V10" s="21">
        <v>6291</v>
      </c>
      <c r="W10" s="20">
        <f>IF(V10&gt;0,(V10-V11-$Q10),"")</f>
        <v>-13950</v>
      </c>
      <c r="X10" s="21">
        <v>9522</v>
      </c>
      <c r="Y10" s="20">
        <f>IF(X10&gt;0,(X10-X11-$Q10),"")</f>
        <v>-10719</v>
      </c>
      <c r="Z10" s="21">
        <v>12620</v>
      </c>
      <c r="AA10" s="20">
        <f>IF(Z10&gt;0,(Z10-Z11-$Q10),"")</f>
        <v>-7843</v>
      </c>
      <c r="AB10" s="21">
        <v>14186</v>
      </c>
      <c r="AC10" s="22">
        <f>IF(AB10&gt;0,(AB10-AB11-$Q10),"")</f>
        <v>-6943</v>
      </c>
      <c r="AD10" s="21">
        <v>14186</v>
      </c>
      <c r="AE10" s="22">
        <f>IF(AD10&gt;0,(AD10-AD11-$Q10),"")</f>
        <v>-6943</v>
      </c>
    </row>
    <row r="11" spans="2:42" x14ac:dyDescent="0.3">
      <c r="B11" s="16" t="s">
        <v>32</v>
      </c>
      <c r="C11" s="17">
        <v>2143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128</v>
      </c>
      <c r="S11" s="24"/>
      <c r="T11" s="30">
        <v>482</v>
      </c>
      <c r="U11" s="24"/>
      <c r="V11" s="30">
        <v>1650</v>
      </c>
      <c r="W11" s="24"/>
      <c r="X11" s="30">
        <v>1650</v>
      </c>
      <c r="Y11" s="24"/>
      <c r="Z11" s="30">
        <v>1872</v>
      </c>
      <c r="AA11" s="24"/>
      <c r="AB11" s="30">
        <v>2538</v>
      </c>
      <c r="AC11" s="26"/>
      <c r="AD11" s="30">
        <v>2538</v>
      </c>
      <c r="AE11" s="26"/>
    </row>
    <row r="12" spans="2:42" x14ac:dyDescent="0.3">
      <c r="B12" s="16" t="s">
        <v>34</v>
      </c>
      <c r="C12" s="17">
        <v>1662</v>
      </c>
      <c r="E12" s="29" t="s">
        <v>35</v>
      </c>
      <c r="F12" s="119">
        <v>17056</v>
      </c>
      <c r="G12" s="117">
        <v>13178.92175</v>
      </c>
      <c r="H12" s="117">
        <v>12376.828173039999</v>
      </c>
      <c r="I12" s="19">
        <f>G12+H12</f>
        <v>25555.749923039999</v>
      </c>
      <c r="J12" s="119">
        <v>16855</v>
      </c>
      <c r="K12" s="117">
        <v>12382.416999999999</v>
      </c>
      <c r="L12" s="117">
        <v>11169.63556164</v>
      </c>
      <c r="M12" s="19">
        <f>K12+L12</f>
        <v>23552.052561639997</v>
      </c>
      <c r="N12" s="88">
        <v>40</v>
      </c>
      <c r="O12" s="88">
        <v>34</v>
      </c>
      <c r="P12" s="92"/>
      <c r="Q12" s="20">
        <f>J12-P12</f>
        <v>16855</v>
      </c>
      <c r="R12" s="21">
        <v>4742</v>
      </c>
      <c r="S12" s="20">
        <f>IF(R12&gt;0,(R12-R13-$Q12),"")</f>
        <v>-12985</v>
      </c>
      <c r="T12" s="21">
        <v>5806</v>
      </c>
      <c r="U12" s="20">
        <f>IF(T12&gt;0,(T12-T13-$Q12),"")</f>
        <v>-11921</v>
      </c>
      <c r="V12" s="21">
        <v>7584</v>
      </c>
      <c r="W12" s="20">
        <f>IF(V12&gt;0,(V12-V13-$Q12),"")</f>
        <v>-10152</v>
      </c>
      <c r="X12" s="21">
        <v>9440</v>
      </c>
      <c r="Y12" s="20">
        <f>IF(X12&gt;0,(X12-X13-$Q12),"")</f>
        <v>-8296</v>
      </c>
      <c r="Z12" s="21">
        <v>9722</v>
      </c>
      <c r="AA12" s="20">
        <f>IF(Z12&gt;0,(Z12-Z13-$Q12),"")</f>
        <v>-8014</v>
      </c>
      <c r="AB12" s="21">
        <v>9722</v>
      </c>
      <c r="AC12" s="22">
        <f>IF(AB12&gt;0,(AB12-AB13-$Q12),"")</f>
        <v>-8014</v>
      </c>
      <c r="AD12" s="21">
        <v>9722</v>
      </c>
      <c r="AE12" s="22">
        <f>IF(AD12&gt;0,(AD12-AD13-$Q12),"")</f>
        <v>-8014</v>
      </c>
    </row>
    <row r="13" spans="2:42" x14ac:dyDescent="0.3">
      <c r="B13" s="16" t="s">
        <v>36</v>
      </c>
      <c r="C13" s="17">
        <v>5130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872</v>
      </c>
      <c r="S13" s="24"/>
      <c r="T13" s="30">
        <v>872</v>
      </c>
      <c r="U13" s="24"/>
      <c r="V13" s="30">
        <v>881</v>
      </c>
      <c r="W13" s="24"/>
      <c r="X13" s="30">
        <v>881</v>
      </c>
      <c r="Y13" s="24"/>
      <c r="Z13" s="30">
        <v>881</v>
      </c>
      <c r="AA13" s="24"/>
      <c r="AB13" s="30">
        <v>881</v>
      </c>
      <c r="AC13" s="26"/>
      <c r="AD13" s="30">
        <v>881</v>
      </c>
      <c r="AE13" s="26"/>
    </row>
    <row r="14" spans="2:42" x14ac:dyDescent="0.3">
      <c r="B14" s="16" t="s">
        <v>38</v>
      </c>
      <c r="C14" s="17">
        <v>7820</v>
      </c>
      <c r="E14" s="18" t="s">
        <v>39</v>
      </c>
      <c r="F14" s="119">
        <v>23363</v>
      </c>
      <c r="G14" s="117">
        <v>18764</v>
      </c>
      <c r="H14" s="117">
        <v>26632.293628759999</v>
      </c>
      <c r="I14" s="19">
        <f>G14+H14</f>
        <v>45396.293628760002</v>
      </c>
      <c r="J14" s="119">
        <v>23659</v>
      </c>
      <c r="K14" s="117">
        <v>19163.25</v>
      </c>
      <c r="L14" s="117">
        <v>26384.163985579991</v>
      </c>
      <c r="M14" s="19">
        <f>K14+L14</f>
        <v>45547.413985579988</v>
      </c>
      <c r="N14" s="88">
        <v>64</v>
      </c>
      <c r="O14" s="88">
        <v>54</v>
      </c>
      <c r="P14" s="92"/>
      <c r="Q14" s="20">
        <f>J14-P14</f>
        <v>23659</v>
      </c>
      <c r="R14" s="21">
        <v>1026</v>
      </c>
      <c r="S14" s="20">
        <f>IF(R14&gt;0,(R14-R15-$Q14),"")</f>
        <v>-22633</v>
      </c>
      <c r="T14" s="21">
        <v>1026</v>
      </c>
      <c r="U14" s="20">
        <f>IF(T14&gt;0,(T14-T15-$Q14),"")</f>
        <v>-22633</v>
      </c>
      <c r="V14" s="21">
        <v>1026</v>
      </c>
      <c r="W14" s="20">
        <f>IF(V14&gt;0,(V14-V15-$Q14),"")</f>
        <v>-22633</v>
      </c>
      <c r="X14" s="21">
        <v>1731</v>
      </c>
      <c r="Y14" s="20">
        <f>IF(X14&gt;0,(X14-X15-$Q14),"")</f>
        <v>-21928</v>
      </c>
      <c r="Z14" s="21">
        <v>4475</v>
      </c>
      <c r="AA14" s="20">
        <f>IF(Z14&gt;0,(Z14-Z15-$Q14),"")</f>
        <v>-19184</v>
      </c>
      <c r="AB14" s="21">
        <v>14407</v>
      </c>
      <c r="AC14" s="22">
        <f>IF(AB14&gt;0,(AB14-AB15-$Q14),"")</f>
        <v>-17541</v>
      </c>
      <c r="AD14" s="21">
        <v>14407</v>
      </c>
      <c r="AE14" s="22">
        <f>IF(AD14&gt;0,(AD14-AD15-$Q14),"")</f>
        <v>-17541</v>
      </c>
    </row>
    <row r="15" spans="2:42" ht="15" customHeight="1" thickBot="1" x14ac:dyDescent="0.35">
      <c r="B15" s="16" t="s">
        <v>40</v>
      </c>
      <c r="C15" s="17">
        <v>2600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8289</v>
      </c>
      <c r="AC15" s="26"/>
      <c r="AD15" s="25">
        <v>8289</v>
      </c>
      <c r="AE15" s="26"/>
    </row>
    <row r="16" spans="2:42" ht="15" customHeight="1" thickBot="1" x14ac:dyDescent="0.35">
      <c r="B16" s="28" t="s">
        <v>42</v>
      </c>
      <c r="C16" s="17">
        <v>11147</v>
      </c>
      <c r="E16" s="84"/>
      <c r="F16" s="31">
        <f t="shared" ref="F16:M16" si="0">SUM(F6:F15)</f>
        <v>92472</v>
      </c>
      <c r="G16" s="31">
        <f t="shared" si="0"/>
        <v>69734.013750000013</v>
      </c>
      <c r="H16" s="31">
        <f t="shared" si="0"/>
        <v>53508.849205079998</v>
      </c>
      <c r="I16" s="32">
        <f t="shared" si="0"/>
        <v>123242.86295508</v>
      </c>
      <c r="J16" s="33">
        <f t="shared" si="0"/>
        <v>93147</v>
      </c>
      <c r="K16" s="33">
        <f t="shared" si="0"/>
        <v>67957.292249999999</v>
      </c>
      <c r="L16" s="33">
        <f t="shared" si="0"/>
        <v>51387.478369039993</v>
      </c>
      <c r="M16" s="33">
        <f t="shared" si="0"/>
        <v>119344.77061903999</v>
      </c>
      <c r="N16" s="31">
        <f>SUM(N14,N12,N10,N8,N6)</f>
        <v>241</v>
      </c>
      <c r="O16" s="31">
        <f>SUM(O14,O12,O10,O8,O6)</f>
        <v>197</v>
      </c>
      <c r="P16" s="34">
        <f>SUM(P6:P15)</f>
        <v>0</v>
      </c>
      <c r="Q16" s="34">
        <f>SUM(Q6:Q15)</f>
        <v>93147</v>
      </c>
      <c r="R16" s="35">
        <f>R6+R8+R10+R12+R14-R7-R9-R11-R13-R15</f>
        <v>17331</v>
      </c>
      <c r="S16" s="36">
        <f>IF(R16&gt;1,(R16-$Q16),"")</f>
        <v>-75816</v>
      </c>
      <c r="T16" s="35">
        <f>T6+T8+T10+T12+T14-T7-T9-T11-T13-T15</f>
        <v>18967</v>
      </c>
      <c r="U16" s="36">
        <f>IF(T16&gt;1,(T16-$Q16),"")</f>
        <v>-74180</v>
      </c>
      <c r="V16" s="35">
        <f>V6+V8+V10+V12+V14-V7-V9-V11-V13-V15</f>
        <v>27893</v>
      </c>
      <c r="W16" s="36">
        <f>IF(V16&gt;1,(V16-$Q16),"")</f>
        <v>-65254</v>
      </c>
      <c r="X16" s="35">
        <f>X6+X8+X10+X12+X14-X7-X9-X11-X13-X15</f>
        <v>44016</v>
      </c>
      <c r="Y16" s="36">
        <f>IF(X16&gt;1,(X16-$Q16),"")</f>
        <v>-49131</v>
      </c>
      <c r="Z16" s="35">
        <f>Z6+Z8+Z10+Z12+Z14-Z7-Z9-Z11-Z13-Z15</f>
        <v>51854</v>
      </c>
      <c r="AA16" s="36">
        <f>IF(Z16&gt;1,(Z16-$Q16),"")</f>
        <v>-41293</v>
      </c>
      <c r="AB16" s="35">
        <f>AB6+AB8+AB10+AB12+AB14-AB7-AB9-AB11-AB13-AB15</f>
        <v>54397</v>
      </c>
      <c r="AC16" s="37">
        <f>IF(AB16&gt;1,(AB16-$Q16),"")</f>
        <v>-38750</v>
      </c>
      <c r="AD16" s="35">
        <f>AD6+AD8+AD10+AD12+AD14-AD7-AD9-AD11-AD13-AD15</f>
        <v>54397</v>
      </c>
      <c r="AE16" s="37">
        <f>IF(AD16&gt;1,(AD16-$Q16),"")</f>
        <v>-38750</v>
      </c>
    </row>
    <row r="17" spans="2:43" s="4" customFormat="1" ht="15" customHeight="1" thickBot="1" x14ac:dyDescent="0.3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1584</v>
      </c>
      <c r="S17" s="41"/>
      <c r="T17" s="40">
        <f>T15+T13+T11+T9+T7</f>
        <v>1938</v>
      </c>
      <c r="U17" s="41"/>
      <c r="V17" s="40">
        <f>V15+V13+V11+V9+V7</f>
        <v>3121</v>
      </c>
      <c r="W17" s="41"/>
      <c r="X17" s="40">
        <f>X15+X13+X11+X9+X7</f>
        <v>4461</v>
      </c>
      <c r="Y17" s="41"/>
      <c r="Z17" s="40">
        <f>Z15+Z13+Z11+Z9+Z7</f>
        <v>4683</v>
      </c>
      <c r="AA17" s="41"/>
      <c r="AB17" s="40">
        <f>AB15+AB13+AB11+AB9+AB7</f>
        <v>13638</v>
      </c>
      <c r="AC17" s="42"/>
      <c r="AD17" s="40">
        <f>AD15+AD13+AD11+AD9+AD7</f>
        <v>13638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8665.5</v>
      </c>
      <c r="S18" s="46"/>
      <c r="T18" s="47">
        <f>IF(T16&gt;0,(T16-R16)/2,"")</f>
        <v>818</v>
      </c>
      <c r="U18" s="46"/>
      <c r="V18" s="47">
        <f>IF(V16&gt;0,(V16-T16)/2,"")</f>
        <v>4463</v>
      </c>
      <c r="W18" s="46"/>
      <c r="X18" s="47">
        <f>IF(X16&gt;0,(X16-V16)/2,"")</f>
        <v>8061.5</v>
      </c>
      <c r="Y18" s="46"/>
      <c r="Z18" s="47">
        <f>IF(Z16&gt;0,(Z16-X16)/2,"")</f>
        <v>3919</v>
      </c>
      <c r="AA18" s="46"/>
      <c r="AB18" s="47">
        <f>IF(AB16&gt;0,(AB16-Z16)/2,"")</f>
        <v>1271.5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1310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559</v>
      </c>
      <c r="L20" s="4"/>
      <c r="M20" s="4"/>
      <c r="Q20" s="51" t="s">
        <v>49</v>
      </c>
      <c r="R20" s="35">
        <v>3234</v>
      </c>
      <c r="S20" s="36"/>
      <c r="T20" s="35">
        <v>9659</v>
      </c>
      <c r="U20" s="36"/>
      <c r="V20" s="35">
        <v>16580</v>
      </c>
      <c r="W20" s="36"/>
      <c r="X20" s="35">
        <v>35773</v>
      </c>
      <c r="Y20" s="36"/>
      <c r="Z20" s="35">
        <v>42249</v>
      </c>
      <c r="AA20" s="36"/>
      <c r="AB20" s="35">
        <v>42249</v>
      </c>
      <c r="AC20" s="37"/>
      <c r="AD20" s="35">
        <v>42249</v>
      </c>
      <c r="AE20" s="37"/>
    </row>
    <row r="21" spans="2:43" ht="15" customHeight="1" thickBot="1" x14ac:dyDescent="0.35">
      <c r="B21" s="16" t="s">
        <v>50</v>
      </c>
      <c r="C21" s="17">
        <v>4623</v>
      </c>
      <c r="L21" s="4"/>
      <c r="M21" s="4"/>
      <c r="Q21" s="52"/>
      <c r="R21" s="40">
        <v>80</v>
      </c>
      <c r="S21" s="41"/>
      <c r="T21" s="40">
        <v>2982</v>
      </c>
      <c r="U21" s="41"/>
      <c r="V21" s="40">
        <v>3020</v>
      </c>
      <c r="W21" s="41"/>
      <c r="X21" s="40">
        <v>3866</v>
      </c>
      <c r="Y21" s="41"/>
      <c r="Z21" s="40">
        <v>14039</v>
      </c>
      <c r="AA21" s="41"/>
      <c r="AB21" s="40">
        <v>14039</v>
      </c>
      <c r="AC21" s="42"/>
      <c r="AD21" s="40">
        <v>14039</v>
      </c>
      <c r="AE21" s="42"/>
    </row>
    <row r="22" spans="2:43" ht="15" customHeight="1" thickBot="1" x14ac:dyDescent="0.35">
      <c r="B22" s="16" t="s">
        <v>51</v>
      </c>
      <c r="C22" s="17">
        <v>1112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9284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14097</v>
      </c>
      <c r="S24" s="60"/>
      <c r="T24" s="60">
        <f>IF(T16&gt;0,T16-T20,"")</f>
        <v>9308</v>
      </c>
      <c r="U24" s="60"/>
      <c r="V24" s="60">
        <f>IF(V16&gt;0,V16-V20,"")</f>
        <v>11313</v>
      </c>
      <c r="W24" s="60"/>
      <c r="X24" s="60">
        <f>IF(X16&gt;0,X16-X20,"")</f>
        <v>8243</v>
      </c>
      <c r="Y24" s="60"/>
      <c r="Z24" s="60">
        <f>IF(Z16&gt;0,Z16-Z20,"")</f>
        <v>9605</v>
      </c>
      <c r="AA24" s="60"/>
      <c r="AB24" s="60">
        <f>IF(AB16&gt;0,AB16-AB20,"")</f>
        <v>12148</v>
      </c>
      <c r="AC24" s="61"/>
      <c r="AD24" s="60">
        <f>IF(AD16&gt;0,AD16-AD20,"")</f>
        <v>12148</v>
      </c>
      <c r="AE24" s="61"/>
    </row>
    <row r="25" spans="2:43" x14ac:dyDescent="0.3">
      <c r="L25" s="4"/>
      <c r="M25" s="4"/>
      <c r="Q25" s="62"/>
      <c r="R25" s="63">
        <f>IF(R17&gt;=0,R17-R21,"")</f>
        <v>1504</v>
      </c>
      <c r="S25" s="64"/>
      <c r="T25" s="63">
        <f>IF(T17&gt;=0,T17-T21,"")</f>
        <v>-1044</v>
      </c>
      <c r="U25" s="64"/>
      <c r="V25" s="63">
        <f>IF(V17&gt;=0,V17-V21,"")</f>
        <v>101</v>
      </c>
      <c r="W25" s="64"/>
      <c r="X25" s="63">
        <f>IF(X17&gt;=0,X17-X21,"")</f>
        <v>595</v>
      </c>
      <c r="Y25" s="64"/>
      <c r="Z25" s="63">
        <f>IF(Z17&gt;=0,Z17-Z21,"")</f>
        <v>-9356</v>
      </c>
      <c r="AA25" s="64"/>
      <c r="AB25" s="63">
        <f>IF(AB17&gt;=0,AB17-AB21,"")</f>
        <v>-401</v>
      </c>
      <c r="AC25" s="65"/>
      <c r="AD25" s="63">
        <f>IF(AD17&gt;=0,AD17-AD21,"")</f>
        <v>-401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8665.5</v>
      </c>
      <c r="S26" s="55"/>
      <c r="T26" s="67">
        <f>IFERROR(IF(T18&gt;0,T18-T22,""),"")</f>
        <v>818</v>
      </c>
      <c r="U26" s="55"/>
      <c r="V26" s="67">
        <f>IFERROR(IF(V18&gt;0,V18-V22,""),"")</f>
        <v>4463</v>
      </c>
      <c r="W26" s="55"/>
      <c r="X26" s="67">
        <f>IFERROR(IF(X18&gt;0,X18-X22,""),"")</f>
        <v>8061.5</v>
      </c>
      <c r="Y26" s="55"/>
      <c r="Z26" s="67">
        <f>IFERROR(IF(Z18&gt;0,Z18-Z22,""),"")</f>
        <v>3919</v>
      </c>
      <c r="AA26" s="55"/>
      <c r="AB26" s="67">
        <f>IFERROR(IF(AB18&gt;0,AB18-AB22,""),"")</f>
        <v>1271.5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7403</v>
      </c>
      <c r="D29" s="76">
        <f>C14</f>
        <v>7820</v>
      </c>
      <c r="E29" s="77">
        <f t="shared" ref="E29:E34" si="1">D29-C29</f>
        <v>417</v>
      </c>
      <c r="M29" s="4"/>
      <c r="O29" s="4"/>
    </row>
    <row r="30" spans="2:43" x14ac:dyDescent="0.3">
      <c r="B30" s="74" t="s">
        <v>56</v>
      </c>
      <c r="C30" s="75">
        <v>32154</v>
      </c>
      <c r="D30" s="76">
        <f>C7+C15+C16+C19+C20</f>
        <v>18263</v>
      </c>
      <c r="E30" s="77">
        <f t="shared" si="1"/>
        <v>-13891</v>
      </c>
      <c r="J30" s="53"/>
      <c r="L30" s="53"/>
      <c r="M30" s="4"/>
      <c r="O30" s="4"/>
    </row>
    <row r="31" spans="2:43" x14ac:dyDescent="0.3">
      <c r="B31" s="74" t="s">
        <v>21</v>
      </c>
      <c r="C31" s="75">
        <v>6546</v>
      </c>
      <c r="D31" s="76">
        <f>C6</f>
        <v>6546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15483</v>
      </c>
      <c r="D32" s="76">
        <f>C10+C11+C12+C13</f>
        <v>15483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14557</v>
      </c>
      <c r="D34" s="76">
        <f>C21+C22+C23</f>
        <v>15019</v>
      </c>
      <c r="E34" s="77">
        <f t="shared" si="1"/>
        <v>462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4741</v>
      </c>
      <c r="D35" s="80">
        <f>SUM(C8+C9)</f>
        <v>4741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3199</v>
      </c>
      <c r="R36" s="104">
        <v>988</v>
      </c>
      <c r="S36" s="104">
        <f t="shared" ref="S36:S65" si="2">IF(T36&gt;0,(T36-R36)/2,"")</f>
        <v>0</v>
      </c>
      <c r="T36" s="104">
        <v>988</v>
      </c>
      <c r="U36" s="104">
        <f t="shared" ref="U36:U65" si="3">IF(V36&gt;0,(V36-T36)/2,"")</f>
        <v>508.5</v>
      </c>
      <c r="V36" s="104">
        <v>2005</v>
      </c>
      <c r="W36" s="104">
        <f t="shared" ref="W36:W65" si="4">IF(X36&gt;0,(X36-V36)/2,"")</f>
        <v>97</v>
      </c>
      <c r="X36" s="104">
        <v>2199</v>
      </c>
      <c r="Y36" s="104">
        <f t="shared" ref="Y36:Y65" si="5">IF(Z36&gt;0,(Z36-X36)/2,"")</f>
        <v>0</v>
      </c>
      <c r="Z36" s="104">
        <v>2199</v>
      </c>
      <c r="AA36" s="104">
        <f t="shared" ref="AA36:AA65" si="6">IF(AB36&gt;0,(AB36-Z36)/2,"")</f>
        <v>0</v>
      </c>
      <c r="AB36" s="104">
        <v>2199</v>
      </c>
      <c r="AC36" s="104">
        <f t="shared" ref="AC36:AC65" si="7">IF(AD36&gt;0,(AD36-AB36)/2,"")</f>
        <v>0</v>
      </c>
      <c r="AD36" s="104">
        <v>2199</v>
      </c>
      <c r="AE36" s="105">
        <f t="shared" ref="AE36:AE65" si="8">AD36-Q36</f>
        <v>-1000</v>
      </c>
    </row>
    <row r="37" spans="2:31" ht="15.6" customHeight="1" x14ac:dyDescent="0.3">
      <c r="N37" s="212"/>
      <c r="O37" s="95" t="s">
        <v>66</v>
      </c>
      <c r="P37" s="106"/>
      <c r="Q37" s="106">
        <v>1550</v>
      </c>
      <c r="R37" s="106">
        <v>988</v>
      </c>
      <c r="S37" s="106">
        <f t="shared" si="2"/>
        <v>0</v>
      </c>
      <c r="T37" s="106">
        <v>988</v>
      </c>
      <c r="U37" s="106">
        <f t="shared" si="3"/>
        <v>271.5</v>
      </c>
      <c r="V37" s="106">
        <v>1531</v>
      </c>
      <c r="W37" s="106">
        <f t="shared" si="4"/>
        <v>45</v>
      </c>
      <c r="X37" s="106">
        <v>1621</v>
      </c>
      <c r="Y37" s="106">
        <f t="shared" si="5"/>
        <v>0</v>
      </c>
      <c r="Z37" s="106">
        <v>1621</v>
      </c>
      <c r="AA37" s="106">
        <f t="shared" si="6"/>
        <v>0</v>
      </c>
      <c r="AB37" s="106">
        <v>1621</v>
      </c>
      <c r="AC37" s="106">
        <f t="shared" si="7"/>
        <v>0</v>
      </c>
      <c r="AD37" s="106">
        <v>1621</v>
      </c>
      <c r="AE37" s="107">
        <f t="shared" si="8"/>
        <v>71</v>
      </c>
    </row>
    <row r="38" spans="2:31" ht="15.6" customHeight="1" x14ac:dyDescent="0.3">
      <c r="N38" s="212"/>
      <c r="O38" s="94" t="s">
        <v>67</v>
      </c>
      <c r="P38" s="108"/>
      <c r="Q38" s="108">
        <v>2632</v>
      </c>
      <c r="R38" s="108">
        <v>1242</v>
      </c>
      <c r="S38" s="108">
        <f t="shared" si="2"/>
        <v>0</v>
      </c>
      <c r="T38" s="108">
        <v>1242</v>
      </c>
      <c r="U38" s="108">
        <f t="shared" si="3"/>
        <v>126</v>
      </c>
      <c r="V38" s="108">
        <v>1494</v>
      </c>
      <c r="W38" s="108">
        <f t="shared" si="4"/>
        <v>525</v>
      </c>
      <c r="X38" s="108">
        <v>2544</v>
      </c>
      <c r="Y38" s="108">
        <f t="shared" si="5"/>
        <v>5</v>
      </c>
      <c r="Z38" s="108">
        <v>2554</v>
      </c>
      <c r="AA38" s="108">
        <f t="shared" si="6"/>
        <v>0</v>
      </c>
      <c r="AB38" s="108">
        <v>2554</v>
      </c>
      <c r="AC38" s="108">
        <f t="shared" si="7"/>
        <v>0</v>
      </c>
      <c r="AD38" s="108">
        <v>2554</v>
      </c>
      <c r="AE38" s="109">
        <f t="shared" si="8"/>
        <v>-78</v>
      </c>
    </row>
    <row r="39" spans="2:31" ht="15.6" customHeight="1" x14ac:dyDescent="0.3">
      <c r="N39" s="212"/>
      <c r="O39" s="95" t="s">
        <v>68</v>
      </c>
      <c r="P39" s="106"/>
      <c r="Q39" s="106">
        <v>2911</v>
      </c>
      <c r="R39" s="106">
        <v>1331</v>
      </c>
      <c r="S39" s="106">
        <f t="shared" si="2"/>
        <v>0</v>
      </c>
      <c r="T39" s="106">
        <v>1331</v>
      </c>
      <c r="U39" s="106">
        <f t="shared" si="3"/>
        <v>393.5</v>
      </c>
      <c r="V39" s="106">
        <v>2118</v>
      </c>
      <c r="W39" s="106">
        <f t="shared" si="4"/>
        <v>276</v>
      </c>
      <c r="X39" s="106">
        <v>2670</v>
      </c>
      <c r="Y39" s="106">
        <f t="shared" si="5"/>
        <v>128.5</v>
      </c>
      <c r="Z39" s="106">
        <v>2927</v>
      </c>
      <c r="AA39" s="106">
        <f t="shared" si="6"/>
        <v>0</v>
      </c>
      <c r="AB39" s="106">
        <v>2927</v>
      </c>
      <c r="AC39" s="106">
        <f t="shared" si="7"/>
        <v>0</v>
      </c>
      <c r="AD39" s="106">
        <v>2927</v>
      </c>
      <c r="AE39" s="107">
        <f t="shared" si="8"/>
        <v>16</v>
      </c>
    </row>
    <row r="40" spans="2:31" ht="15.6" customHeight="1" x14ac:dyDescent="0.3">
      <c r="N40" s="212"/>
      <c r="O40" s="94" t="s">
        <v>69</v>
      </c>
      <c r="P40" s="108"/>
      <c r="Q40" s="108">
        <v>3078</v>
      </c>
      <c r="R40" s="108">
        <v>920</v>
      </c>
      <c r="S40" s="108">
        <f t="shared" si="2"/>
        <v>0</v>
      </c>
      <c r="T40" s="108">
        <v>920</v>
      </c>
      <c r="U40" s="108">
        <f t="shared" si="3"/>
        <v>539</v>
      </c>
      <c r="V40" s="108">
        <v>1998</v>
      </c>
      <c r="W40" s="108">
        <f t="shared" si="4"/>
        <v>536.5</v>
      </c>
      <c r="X40" s="108">
        <v>3071</v>
      </c>
      <c r="Y40" s="108">
        <f t="shared" si="5"/>
        <v>0</v>
      </c>
      <c r="Z40" s="108">
        <v>3071</v>
      </c>
      <c r="AA40" s="108">
        <f t="shared" si="6"/>
        <v>0</v>
      </c>
      <c r="AB40" s="108">
        <v>3071</v>
      </c>
      <c r="AC40" s="108">
        <f t="shared" si="7"/>
        <v>0</v>
      </c>
      <c r="AD40" s="108">
        <v>3071</v>
      </c>
      <c r="AE40" s="109">
        <f t="shared" si="8"/>
        <v>-7</v>
      </c>
    </row>
    <row r="41" spans="2:31" ht="15.6" customHeight="1" x14ac:dyDescent="0.3">
      <c r="N41" s="212"/>
      <c r="O41" s="95" t="s">
        <v>70</v>
      </c>
      <c r="P41" s="106"/>
      <c r="Q41" s="106">
        <v>693</v>
      </c>
      <c r="R41" s="106">
        <v>368</v>
      </c>
      <c r="S41" s="106">
        <f t="shared" si="2"/>
        <v>0</v>
      </c>
      <c r="T41" s="106">
        <v>368</v>
      </c>
      <c r="U41" s="106">
        <f t="shared" si="3"/>
        <v>0</v>
      </c>
      <c r="V41" s="106">
        <v>368</v>
      </c>
      <c r="W41" s="106">
        <f t="shared" si="4"/>
        <v>195</v>
      </c>
      <c r="X41" s="106">
        <v>758</v>
      </c>
      <c r="Y41" s="106">
        <f t="shared" si="5"/>
        <v>0</v>
      </c>
      <c r="Z41" s="106">
        <v>758</v>
      </c>
      <c r="AA41" s="106">
        <f t="shared" si="6"/>
        <v>0</v>
      </c>
      <c r="AB41" s="106">
        <v>758</v>
      </c>
      <c r="AC41" s="106">
        <f t="shared" si="7"/>
        <v>0</v>
      </c>
      <c r="AD41" s="106">
        <v>758</v>
      </c>
      <c r="AE41" s="107">
        <f t="shared" si="8"/>
        <v>65</v>
      </c>
    </row>
    <row r="42" spans="2:31" ht="15.6" customHeight="1" x14ac:dyDescent="0.3">
      <c r="N42" s="212"/>
      <c r="O42" s="94" t="s">
        <v>71</v>
      </c>
      <c r="P42" s="108"/>
      <c r="Q42" s="108">
        <v>1262</v>
      </c>
      <c r="R42" s="108">
        <v>750</v>
      </c>
      <c r="S42" s="108">
        <f t="shared" si="2"/>
        <v>0</v>
      </c>
      <c r="T42" s="108">
        <v>750</v>
      </c>
      <c r="U42" s="108">
        <f t="shared" si="3"/>
        <v>0</v>
      </c>
      <c r="V42" s="108">
        <v>750</v>
      </c>
      <c r="W42" s="108">
        <f t="shared" si="4"/>
        <v>0</v>
      </c>
      <c r="X42" s="108">
        <v>750</v>
      </c>
      <c r="Y42" s="108">
        <f t="shared" si="5"/>
        <v>0</v>
      </c>
      <c r="Z42" s="108">
        <v>750</v>
      </c>
      <c r="AA42" s="108">
        <f t="shared" si="6"/>
        <v>0</v>
      </c>
      <c r="AB42" s="108">
        <v>750</v>
      </c>
      <c r="AC42" s="108">
        <f t="shared" si="7"/>
        <v>0</v>
      </c>
      <c r="AD42" s="108">
        <v>750</v>
      </c>
      <c r="AE42" s="109">
        <f t="shared" si="8"/>
        <v>-512</v>
      </c>
    </row>
    <row r="43" spans="2:31" ht="15.6" customHeight="1" x14ac:dyDescent="0.3">
      <c r="N43" s="212"/>
      <c r="O43" s="95" t="s">
        <v>72</v>
      </c>
      <c r="P43" s="106"/>
      <c r="Q43" s="106">
        <v>1688</v>
      </c>
      <c r="R43" s="106">
        <v>390</v>
      </c>
      <c r="S43" s="106">
        <f t="shared" si="2"/>
        <v>0</v>
      </c>
      <c r="T43" s="106">
        <v>390</v>
      </c>
      <c r="U43" s="106">
        <f t="shared" si="3"/>
        <v>189</v>
      </c>
      <c r="V43" s="106">
        <v>768</v>
      </c>
      <c r="W43" s="106">
        <f t="shared" si="4"/>
        <v>192</v>
      </c>
      <c r="X43" s="106">
        <v>1152</v>
      </c>
      <c r="Y43" s="106">
        <f t="shared" si="5"/>
        <v>5</v>
      </c>
      <c r="Z43" s="106">
        <v>1162</v>
      </c>
      <c r="AA43" s="106">
        <f t="shared" si="6"/>
        <v>0</v>
      </c>
      <c r="AB43" s="106">
        <v>1162</v>
      </c>
      <c r="AC43" s="106">
        <f t="shared" si="7"/>
        <v>0</v>
      </c>
      <c r="AD43" s="106">
        <v>1162</v>
      </c>
      <c r="AE43" s="107">
        <f t="shared" si="8"/>
        <v>-526</v>
      </c>
    </row>
    <row r="44" spans="2:31" ht="15.6" customHeight="1" thickBot="1" x14ac:dyDescent="0.35">
      <c r="N44" s="213"/>
      <c r="O44" s="97" t="s">
        <v>73</v>
      </c>
      <c r="P44" s="110"/>
      <c r="Q44" s="110">
        <v>1601</v>
      </c>
      <c r="R44" s="110">
        <v>1037</v>
      </c>
      <c r="S44" s="110">
        <f t="shared" si="2"/>
        <v>0</v>
      </c>
      <c r="T44" s="110">
        <v>1037</v>
      </c>
      <c r="U44" s="110">
        <f t="shared" si="3"/>
        <v>244.5</v>
      </c>
      <c r="V44" s="110">
        <v>1526</v>
      </c>
      <c r="W44" s="110">
        <f t="shared" si="4"/>
        <v>39</v>
      </c>
      <c r="X44" s="110">
        <v>1604</v>
      </c>
      <c r="Y44" s="110">
        <f t="shared" si="5"/>
        <v>0</v>
      </c>
      <c r="Z44" s="110">
        <v>1604</v>
      </c>
      <c r="AA44" s="110">
        <f t="shared" si="6"/>
        <v>0</v>
      </c>
      <c r="AB44" s="110">
        <v>1604</v>
      </c>
      <c r="AC44" s="110">
        <f t="shared" si="7"/>
        <v>0</v>
      </c>
      <c r="AD44" s="110">
        <v>1604</v>
      </c>
      <c r="AE44" s="111">
        <f t="shared" si="8"/>
        <v>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5034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0</v>
      </c>
      <c r="V45" s="112">
        <v>1000</v>
      </c>
      <c r="W45" s="112">
        <f t="shared" si="4"/>
        <v>1481.5</v>
      </c>
      <c r="X45" s="112">
        <v>3963</v>
      </c>
      <c r="Y45" s="112">
        <f t="shared" si="5"/>
        <v>0</v>
      </c>
      <c r="Z45" s="112">
        <v>3963</v>
      </c>
      <c r="AA45" s="112">
        <f t="shared" si="6"/>
        <v>0</v>
      </c>
      <c r="AB45" s="112">
        <v>3963</v>
      </c>
      <c r="AC45" s="112">
        <f t="shared" si="7"/>
        <v>0</v>
      </c>
      <c r="AD45" s="112">
        <v>3963</v>
      </c>
      <c r="AE45" s="113">
        <f t="shared" si="8"/>
        <v>-1071</v>
      </c>
    </row>
    <row r="46" spans="2:31" ht="15.6" customHeight="1" x14ac:dyDescent="0.3">
      <c r="N46" s="212"/>
      <c r="O46" s="94" t="s">
        <v>66</v>
      </c>
      <c r="P46" s="108"/>
      <c r="Q46" s="108">
        <v>3782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1232.5</v>
      </c>
      <c r="X46" s="108">
        <v>2465</v>
      </c>
      <c r="Y46" s="108">
        <f t="shared" si="5"/>
        <v>0</v>
      </c>
      <c r="Z46" s="108">
        <v>2465</v>
      </c>
      <c r="AA46" s="108">
        <f t="shared" si="6"/>
        <v>0</v>
      </c>
      <c r="AB46" s="108">
        <v>2465</v>
      </c>
      <c r="AC46" s="108">
        <f t="shared" si="7"/>
        <v>0</v>
      </c>
      <c r="AD46" s="108">
        <v>2465</v>
      </c>
      <c r="AE46" s="109">
        <f t="shared" si="8"/>
        <v>-1317</v>
      </c>
    </row>
    <row r="47" spans="2:31" ht="15.6" customHeight="1" x14ac:dyDescent="0.3">
      <c r="N47" s="212"/>
      <c r="O47" s="95" t="s">
        <v>67</v>
      </c>
      <c r="P47" s="106"/>
      <c r="Q47" s="106">
        <v>2266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134.5</v>
      </c>
      <c r="V47" s="106">
        <v>269</v>
      </c>
      <c r="W47" s="106">
        <f t="shared" si="4"/>
        <v>0</v>
      </c>
      <c r="X47" s="106">
        <v>269</v>
      </c>
      <c r="Y47" s="106">
        <f t="shared" si="5"/>
        <v>357</v>
      </c>
      <c r="Z47" s="106">
        <v>983</v>
      </c>
      <c r="AA47" s="106">
        <f t="shared" si="6"/>
        <v>0</v>
      </c>
      <c r="AB47" s="106">
        <v>983</v>
      </c>
      <c r="AC47" s="106">
        <f t="shared" si="7"/>
        <v>0</v>
      </c>
      <c r="AD47" s="106">
        <v>983</v>
      </c>
      <c r="AE47" s="107">
        <f t="shared" si="8"/>
        <v>-1283</v>
      </c>
    </row>
    <row r="48" spans="2:31" ht="15.6" customHeight="1" thickBot="1" x14ac:dyDescent="0.35">
      <c r="N48" s="213"/>
      <c r="O48" s="97" t="s">
        <v>68</v>
      </c>
      <c r="P48" s="110"/>
      <c r="Q48" s="110">
        <v>4346</v>
      </c>
      <c r="R48" s="110">
        <v>800</v>
      </c>
      <c r="S48" s="110">
        <f t="shared" si="2"/>
        <v>321</v>
      </c>
      <c r="T48" s="110">
        <v>1442</v>
      </c>
      <c r="U48" s="110">
        <f t="shared" si="3"/>
        <v>422</v>
      </c>
      <c r="V48" s="110">
        <v>2286</v>
      </c>
      <c r="W48" s="110">
        <f t="shared" si="4"/>
        <v>1216</v>
      </c>
      <c r="X48" s="110">
        <v>4718</v>
      </c>
      <c r="Y48" s="110">
        <f t="shared" si="5"/>
        <v>472.5</v>
      </c>
      <c r="Z48" s="110">
        <v>5663</v>
      </c>
      <c r="AA48" s="110">
        <f t="shared" si="6"/>
        <v>0</v>
      </c>
      <c r="AB48" s="110">
        <v>5663</v>
      </c>
      <c r="AC48" s="110">
        <f t="shared" si="7"/>
        <v>0</v>
      </c>
      <c r="AD48" s="110">
        <v>5663</v>
      </c>
      <c r="AE48" s="111">
        <f t="shared" si="8"/>
        <v>1317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2134</v>
      </c>
      <c r="R49" s="112">
        <v>960</v>
      </c>
      <c r="S49" s="112">
        <f t="shared" si="2"/>
        <v>443</v>
      </c>
      <c r="T49" s="112">
        <v>1846</v>
      </c>
      <c r="U49" s="112">
        <f t="shared" si="3"/>
        <v>0</v>
      </c>
      <c r="V49" s="112">
        <v>1846</v>
      </c>
      <c r="W49" s="112">
        <f t="shared" si="4"/>
        <v>0</v>
      </c>
      <c r="X49" s="112">
        <v>1846</v>
      </c>
      <c r="Y49" s="112">
        <f t="shared" si="5"/>
        <v>80</v>
      </c>
      <c r="Z49" s="112">
        <v>2006</v>
      </c>
      <c r="AA49" s="112">
        <f t="shared" si="6"/>
        <v>57.5</v>
      </c>
      <c r="AB49" s="112">
        <v>2121</v>
      </c>
      <c r="AC49" s="112">
        <f t="shared" si="7"/>
        <v>0</v>
      </c>
      <c r="AD49" s="112">
        <v>2121</v>
      </c>
      <c r="AE49" s="113">
        <f t="shared" si="8"/>
        <v>-13</v>
      </c>
    </row>
    <row r="50" spans="14:31" ht="15.6" customHeight="1" x14ac:dyDescent="0.3">
      <c r="N50" s="212"/>
      <c r="O50" s="94" t="s">
        <v>66</v>
      </c>
      <c r="P50" s="108"/>
      <c r="Q50" s="108">
        <v>3692</v>
      </c>
      <c r="R50" s="108">
        <v>900</v>
      </c>
      <c r="S50" s="108">
        <f t="shared" si="2"/>
        <v>204</v>
      </c>
      <c r="T50" s="108">
        <v>1308</v>
      </c>
      <c r="U50" s="108">
        <f t="shared" si="3"/>
        <v>0</v>
      </c>
      <c r="V50" s="108">
        <v>1308</v>
      </c>
      <c r="W50" s="108">
        <f t="shared" si="4"/>
        <v>483</v>
      </c>
      <c r="X50" s="108">
        <v>2274</v>
      </c>
      <c r="Y50" s="108">
        <f t="shared" si="5"/>
        <v>711.5</v>
      </c>
      <c r="Z50" s="108">
        <v>3697</v>
      </c>
      <c r="AA50" s="108">
        <f t="shared" si="6"/>
        <v>0</v>
      </c>
      <c r="AB50" s="108">
        <v>3697</v>
      </c>
      <c r="AC50" s="108">
        <f t="shared" si="7"/>
        <v>0</v>
      </c>
      <c r="AD50" s="108">
        <v>3697</v>
      </c>
      <c r="AE50" s="109">
        <f t="shared" si="8"/>
        <v>5</v>
      </c>
    </row>
    <row r="51" spans="14:31" ht="15.6" customHeight="1" x14ac:dyDescent="0.3">
      <c r="N51" s="212"/>
      <c r="O51" s="95" t="s">
        <v>67</v>
      </c>
      <c r="P51" s="106"/>
      <c r="Q51" s="106">
        <v>1448</v>
      </c>
      <c r="R51" s="106">
        <v>241</v>
      </c>
      <c r="S51" s="106">
        <f t="shared" si="2"/>
        <v>195</v>
      </c>
      <c r="T51" s="106">
        <v>631</v>
      </c>
      <c r="U51" s="106">
        <f t="shared" si="3"/>
        <v>225</v>
      </c>
      <c r="V51" s="106">
        <v>1081</v>
      </c>
      <c r="W51" s="106">
        <f t="shared" si="4"/>
        <v>0</v>
      </c>
      <c r="X51" s="106">
        <v>1081</v>
      </c>
      <c r="Y51" s="106">
        <f t="shared" si="5"/>
        <v>94</v>
      </c>
      <c r="Z51" s="106">
        <v>1269</v>
      </c>
      <c r="AA51" s="106">
        <f t="shared" si="6"/>
        <v>24</v>
      </c>
      <c r="AB51" s="106">
        <v>1317</v>
      </c>
      <c r="AC51" s="106">
        <f t="shared" si="7"/>
        <v>0</v>
      </c>
      <c r="AD51" s="106">
        <v>1317</v>
      </c>
      <c r="AE51" s="107">
        <f t="shared" si="8"/>
        <v>-131</v>
      </c>
    </row>
    <row r="52" spans="14:31" ht="15.6" customHeight="1" x14ac:dyDescent="0.3">
      <c r="N52" s="212"/>
      <c r="O52" s="94" t="s">
        <v>68</v>
      </c>
      <c r="P52" s="108"/>
      <c r="Q52" s="108">
        <v>2263</v>
      </c>
      <c r="R52" s="108">
        <v>32</v>
      </c>
      <c r="S52" s="108" t="str">
        <f t="shared" si="2"/>
        <v/>
      </c>
      <c r="T52" s="108">
        <v>-1368</v>
      </c>
      <c r="U52" s="108" t="str">
        <f t="shared" si="3"/>
        <v/>
      </c>
      <c r="V52" s="108">
        <v>-1368</v>
      </c>
      <c r="W52" s="108" t="str">
        <f t="shared" si="4"/>
        <v/>
      </c>
      <c r="X52" s="108">
        <v>-745</v>
      </c>
      <c r="Y52" s="108" t="str">
        <f t="shared" si="5"/>
        <v/>
      </c>
      <c r="Z52" s="108">
        <v>-745</v>
      </c>
      <c r="AA52" s="108" t="str">
        <f t="shared" si="6"/>
        <v/>
      </c>
      <c r="AB52" s="108">
        <v>-745</v>
      </c>
      <c r="AC52" s="108" t="str">
        <f t="shared" si="7"/>
        <v/>
      </c>
      <c r="AD52" s="108">
        <v>-745</v>
      </c>
      <c r="AE52" s="109">
        <f t="shared" si="8"/>
        <v>-3008</v>
      </c>
    </row>
    <row r="53" spans="14:31" ht="15.6" customHeight="1" x14ac:dyDescent="0.3">
      <c r="N53" s="212"/>
      <c r="O53" s="95" t="s">
        <v>69</v>
      </c>
      <c r="P53" s="106"/>
      <c r="Q53" s="106">
        <v>2839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393</v>
      </c>
      <c r="V53" s="106">
        <v>786</v>
      </c>
      <c r="W53" s="106">
        <f t="shared" si="4"/>
        <v>199</v>
      </c>
      <c r="X53" s="106">
        <v>1184</v>
      </c>
      <c r="Y53" s="106">
        <f t="shared" si="5"/>
        <v>221</v>
      </c>
      <c r="Z53" s="106">
        <v>1626</v>
      </c>
      <c r="AA53" s="106">
        <f t="shared" si="6"/>
        <v>317.5</v>
      </c>
      <c r="AB53" s="106">
        <v>2261</v>
      </c>
      <c r="AC53" s="106">
        <f t="shared" si="7"/>
        <v>0</v>
      </c>
      <c r="AD53" s="106">
        <v>2261</v>
      </c>
      <c r="AE53" s="107">
        <f t="shared" si="8"/>
        <v>-578</v>
      </c>
    </row>
    <row r="54" spans="14:31" ht="15.6" customHeight="1" x14ac:dyDescent="0.3">
      <c r="N54" s="212"/>
      <c r="O54" s="94" t="s">
        <v>70</v>
      </c>
      <c r="P54" s="108"/>
      <c r="Q54" s="108">
        <v>1493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312.5</v>
      </c>
      <c r="Z54" s="108">
        <v>625</v>
      </c>
      <c r="AA54" s="108">
        <f t="shared" si="6"/>
        <v>289.5</v>
      </c>
      <c r="AB54" s="108">
        <v>1204</v>
      </c>
      <c r="AC54" s="108">
        <f t="shared" si="7"/>
        <v>0</v>
      </c>
      <c r="AD54" s="108">
        <v>1204</v>
      </c>
      <c r="AE54" s="109">
        <f t="shared" si="8"/>
        <v>-289</v>
      </c>
    </row>
    <row r="55" spans="14:31" ht="15.6" customHeight="1" x14ac:dyDescent="0.3">
      <c r="N55" s="212"/>
      <c r="O55" s="95" t="s">
        <v>71</v>
      </c>
      <c r="P55" s="106"/>
      <c r="Q55" s="106">
        <v>1810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150</v>
      </c>
      <c r="V55" s="106">
        <v>300</v>
      </c>
      <c r="W55" s="106">
        <f t="shared" si="4"/>
        <v>622</v>
      </c>
      <c r="X55" s="106">
        <v>1544</v>
      </c>
      <c r="Y55" s="106">
        <f t="shared" si="5"/>
        <v>115</v>
      </c>
      <c r="Z55" s="106">
        <v>1774</v>
      </c>
      <c r="AA55" s="106">
        <f t="shared" si="6"/>
        <v>0</v>
      </c>
      <c r="AB55" s="106">
        <v>1774</v>
      </c>
      <c r="AC55" s="106">
        <f t="shared" si="7"/>
        <v>0</v>
      </c>
      <c r="AD55" s="106">
        <v>1774</v>
      </c>
      <c r="AE55" s="107">
        <f t="shared" si="8"/>
        <v>-36</v>
      </c>
    </row>
    <row r="56" spans="14:31" ht="15.6" customHeight="1" x14ac:dyDescent="0.3">
      <c r="N56" s="212"/>
      <c r="O56" s="94" t="s">
        <v>72</v>
      </c>
      <c r="P56" s="108"/>
      <c r="Q56" s="108">
        <v>2832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569</v>
      </c>
      <c r="V56" s="108">
        <v>2338</v>
      </c>
      <c r="W56" s="108">
        <f t="shared" si="4"/>
        <v>0</v>
      </c>
      <c r="X56" s="108">
        <v>2338</v>
      </c>
      <c r="Y56" s="108">
        <f t="shared" si="5"/>
        <v>15</v>
      </c>
      <c r="Z56" s="108">
        <v>2368</v>
      </c>
      <c r="AA56" s="108">
        <f t="shared" si="6"/>
        <v>94.5</v>
      </c>
      <c r="AB56" s="108">
        <v>2557</v>
      </c>
      <c r="AC56" s="108">
        <f t="shared" si="7"/>
        <v>0</v>
      </c>
      <c r="AD56" s="108">
        <v>2557</v>
      </c>
      <c r="AE56" s="109">
        <f t="shared" si="8"/>
        <v>-275</v>
      </c>
    </row>
    <row r="57" spans="14:31" ht="15.6" customHeight="1" thickBot="1" x14ac:dyDescent="0.3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-80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6846</v>
      </c>
      <c r="R58" s="104">
        <v>1496</v>
      </c>
      <c r="S58" s="104">
        <f t="shared" si="2"/>
        <v>299</v>
      </c>
      <c r="T58" s="104">
        <v>2094</v>
      </c>
      <c r="U58" s="104">
        <f t="shared" si="3"/>
        <v>538.5</v>
      </c>
      <c r="V58" s="104">
        <v>3171</v>
      </c>
      <c r="W58" s="104">
        <f t="shared" si="4"/>
        <v>0</v>
      </c>
      <c r="X58" s="104">
        <v>3171</v>
      </c>
      <c r="Y58" s="104">
        <f t="shared" si="5"/>
        <v>141</v>
      </c>
      <c r="Z58" s="104">
        <v>3453</v>
      </c>
      <c r="AA58" s="104">
        <f t="shared" si="6"/>
        <v>0</v>
      </c>
      <c r="AB58" s="104">
        <v>3453</v>
      </c>
      <c r="AC58" s="104">
        <f t="shared" si="7"/>
        <v>0</v>
      </c>
      <c r="AD58" s="104">
        <v>3453</v>
      </c>
      <c r="AE58" s="105">
        <f t="shared" si="8"/>
        <v>-3393</v>
      </c>
    </row>
    <row r="59" spans="14:31" ht="15.6" customHeight="1" x14ac:dyDescent="0.3">
      <c r="N59" s="212"/>
      <c r="O59" s="95" t="s">
        <v>66</v>
      </c>
      <c r="P59" s="106"/>
      <c r="Q59" s="106">
        <v>4380</v>
      </c>
      <c r="R59" s="106">
        <v>2548</v>
      </c>
      <c r="S59" s="106">
        <f t="shared" si="2"/>
        <v>195.5</v>
      </c>
      <c r="T59" s="106">
        <v>2939</v>
      </c>
      <c r="U59" s="106">
        <f t="shared" si="3"/>
        <v>338.5</v>
      </c>
      <c r="V59" s="106">
        <v>3616</v>
      </c>
      <c r="W59" s="106">
        <f t="shared" si="4"/>
        <v>149</v>
      </c>
      <c r="X59" s="106">
        <v>3914</v>
      </c>
      <c r="Y59" s="106">
        <f t="shared" si="5"/>
        <v>0</v>
      </c>
      <c r="Z59" s="106">
        <v>3914</v>
      </c>
      <c r="AA59" s="106">
        <f t="shared" si="6"/>
        <v>0</v>
      </c>
      <c r="AB59" s="106">
        <v>3914</v>
      </c>
      <c r="AC59" s="106">
        <f t="shared" si="7"/>
        <v>0</v>
      </c>
      <c r="AD59" s="106">
        <v>3914</v>
      </c>
      <c r="AE59" s="107">
        <f t="shared" si="8"/>
        <v>-466</v>
      </c>
    </row>
    <row r="60" spans="14:31" ht="15.6" customHeight="1" x14ac:dyDescent="0.3">
      <c r="N60" s="212"/>
      <c r="O60" s="94" t="s">
        <v>67</v>
      </c>
      <c r="P60" s="108"/>
      <c r="Q60" s="108">
        <v>5629</v>
      </c>
      <c r="R60" s="108">
        <v>698</v>
      </c>
      <c r="S60" s="108">
        <f t="shared" si="2"/>
        <v>37.5</v>
      </c>
      <c r="T60" s="108">
        <v>773</v>
      </c>
      <c r="U60" s="108">
        <f t="shared" si="3"/>
        <v>12</v>
      </c>
      <c r="V60" s="108">
        <v>797</v>
      </c>
      <c r="W60" s="108">
        <f t="shared" si="4"/>
        <v>779</v>
      </c>
      <c r="X60" s="108">
        <v>2355</v>
      </c>
      <c r="Y60" s="108">
        <f t="shared" si="5"/>
        <v>0</v>
      </c>
      <c r="Z60" s="108">
        <v>2355</v>
      </c>
      <c r="AA60" s="108">
        <f t="shared" si="6"/>
        <v>0</v>
      </c>
      <c r="AB60" s="108">
        <v>2355</v>
      </c>
      <c r="AC60" s="108">
        <f t="shared" si="7"/>
        <v>0</v>
      </c>
      <c r="AD60" s="108">
        <v>2355</v>
      </c>
      <c r="AE60" s="109">
        <f t="shared" si="8"/>
        <v>-3274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5587</v>
      </c>
      <c r="R62" s="104">
        <v>798</v>
      </c>
      <c r="S62" s="104">
        <f t="shared" si="2"/>
        <v>0</v>
      </c>
      <c r="T62" s="104">
        <v>798</v>
      </c>
      <c r="U62" s="104">
        <f t="shared" si="3"/>
        <v>0</v>
      </c>
      <c r="V62" s="104">
        <v>798</v>
      </c>
      <c r="W62" s="104">
        <f t="shared" si="4"/>
        <v>0</v>
      </c>
      <c r="X62" s="104">
        <v>798</v>
      </c>
      <c r="Y62" s="104">
        <f t="shared" si="5"/>
        <v>498.5</v>
      </c>
      <c r="Z62" s="104">
        <v>1795</v>
      </c>
      <c r="AA62" s="104">
        <f t="shared" si="6"/>
        <v>715.5</v>
      </c>
      <c r="AB62" s="104">
        <v>3226</v>
      </c>
      <c r="AC62" s="104">
        <f t="shared" si="7"/>
        <v>0</v>
      </c>
      <c r="AD62" s="104">
        <v>3226</v>
      </c>
      <c r="AE62" s="105">
        <f t="shared" si="8"/>
        <v>-2361</v>
      </c>
    </row>
    <row r="63" spans="14:31" ht="15.6" customHeight="1" x14ac:dyDescent="0.3">
      <c r="N63" s="212"/>
      <c r="O63" s="95" t="s">
        <v>66</v>
      </c>
      <c r="P63" s="106"/>
      <c r="Q63" s="106">
        <v>10164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>
        <f t="shared" si="4"/>
        <v>117</v>
      </c>
      <c r="X63" s="106">
        <v>234</v>
      </c>
      <c r="Y63" s="106">
        <f t="shared" si="5"/>
        <v>352.5</v>
      </c>
      <c r="Z63" s="106">
        <v>939</v>
      </c>
      <c r="AA63" s="106">
        <f t="shared" si="6"/>
        <v>2621.5</v>
      </c>
      <c r="AB63" s="106">
        <v>6182</v>
      </c>
      <c r="AC63" s="106">
        <f t="shared" si="7"/>
        <v>0</v>
      </c>
      <c r="AD63" s="106">
        <v>6182</v>
      </c>
      <c r="AE63" s="107">
        <f t="shared" si="8"/>
        <v>-3982</v>
      </c>
    </row>
    <row r="64" spans="14:31" ht="15.6" customHeight="1" x14ac:dyDescent="0.3">
      <c r="N64" s="212"/>
      <c r="O64" s="94" t="s">
        <v>67</v>
      </c>
      <c r="P64" s="108"/>
      <c r="Q64" s="108">
        <v>6089</v>
      </c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>
        <f t="shared" si="4"/>
        <v>171</v>
      </c>
      <c r="X64" s="108">
        <v>342</v>
      </c>
      <c r="Y64" s="108">
        <f t="shared" si="5"/>
        <v>423</v>
      </c>
      <c r="Z64" s="108">
        <v>1188</v>
      </c>
      <c r="AA64" s="108">
        <f t="shared" si="6"/>
        <v>1348.5</v>
      </c>
      <c r="AB64" s="108">
        <v>3885</v>
      </c>
      <c r="AC64" s="108">
        <f t="shared" si="7"/>
        <v>0</v>
      </c>
      <c r="AD64" s="108">
        <v>3885</v>
      </c>
      <c r="AE64" s="109">
        <f t="shared" si="8"/>
        <v>-2204</v>
      </c>
    </row>
    <row r="65" spans="14:31" ht="15.6" customHeight="1" thickBot="1" x14ac:dyDescent="0.35">
      <c r="N65" s="213"/>
      <c r="O65" s="99" t="s">
        <v>68</v>
      </c>
      <c r="P65" s="114"/>
      <c r="Q65" s="114">
        <v>1584</v>
      </c>
      <c r="R65" s="114">
        <v>228</v>
      </c>
      <c r="S65" s="114">
        <f t="shared" si="2"/>
        <v>0</v>
      </c>
      <c r="T65" s="114">
        <v>228</v>
      </c>
      <c r="U65" s="114">
        <f t="shared" si="3"/>
        <v>0</v>
      </c>
      <c r="V65" s="114">
        <v>228</v>
      </c>
      <c r="W65" s="114">
        <f t="shared" si="4"/>
        <v>0</v>
      </c>
      <c r="X65" s="114">
        <v>228</v>
      </c>
      <c r="Y65" s="114">
        <f t="shared" si="5"/>
        <v>98</v>
      </c>
      <c r="Z65" s="114">
        <v>424</v>
      </c>
      <c r="AA65" s="114">
        <f t="shared" si="6"/>
        <v>232.5</v>
      </c>
      <c r="AB65" s="114">
        <v>889</v>
      </c>
      <c r="AC65" s="114">
        <f t="shared" si="7"/>
        <v>0</v>
      </c>
      <c r="AD65" s="114">
        <v>889</v>
      </c>
      <c r="AE65" s="115">
        <f t="shared" si="8"/>
        <v>-695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71" priority="11" operator="lessThan">
      <formula>0</formula>
    </cfRule>
    <cfRule type="cellIs" dxfId="1870" priority="12" operator="greaterThan">
      <formula>0</formula>
    </cfRule>
  </conditionalFormatting>
  <conditionalFormatting sqref="R25:AC25">
    <cfRule type="cellIs" dxfId="1869" priority="9" operator="lessThan">
      <formula>0</formula>
    </cfRule>
    <cfRule type="cellIs" dxfId="1868" priority="10" operator="greaterThan">
      <formula>0</formula>
    </cfRule>
  </conditionalFormatting>
  <conditionalFormatting sqref="R26 T26 V26 X26 Z26 AB26">
    <cfRule type="cellIs" dxfId="1867" priority="7" operator="lessThan">
      <formula>0</formula>
    </cfRule>
    <cfRule type="cellIs" dxfId="1866" priority="8" operator="greaterThan">
      <formula>0</formula>
    </cfRule>
  </conditionalFormatting>
  <conditionalFormatting sqref="AD24:AE24">
    <cfRule type="cellIs" dxfId="1865" priority="5" operator="lessThan">
      <formula>0</formula>
    </cfRule>
    <cfRule type="cellIs" dxfId="1864" priority="6" operator="greaterThan">
      <formula>0</formula>
    </cfRule>
  </conditionalFormatting>
  <conditionalFormatting sqref="AD25:AE25">
    <cfRule type="cellIs" dxfId="1863" priority="3" operator="lessThan">
      <formula>0</formula>
    </cfRule>
    <cfRule type="cellIs" dxfId="1862" priority="4" operator="greaterThan">
      <formula>0</formula>
    </cfRule>
  </conditionalFormatting>
  <conditionalFormatting sqref="AD26">
    <cfRule type="cellIs" dxfId="1861" priority="1" operator="lessThan">
      <formula>0</formula>
    </cfRule>
    <cfRule type="cellIs" dxfId="18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1"/>
    <pageSetUpPr fitToPage="1"/>
  </sheetPr>
  <dimension ref="B1:AQ65"/>
  <sheetViews>
    <sheetView topLeftCell="G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44363</v>
      </c>
    </row>
    <row r="3" spans="2:42" ht="18.75" customHeight="1" thickBot="1" x14ac:dyDescent="0.35">
      <c r="B3" t="s">
        <v>1</v>
      </c>
      <c r="C3" s="3">
        <f>C2+1</f>
        <v>44364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20997</v>
      </c>
      <c r="G6" s="117">
        <v>18605.770874999998</v>
      </c>
      <c r="H6" s="117">
        <v>14102.09046153999</v>
      </c>
      <c r="I6" s="19">
        <f>G6+H6</f>
        <v>32707.861336539987</v>
      </c>
      <c r="J6" s="119">
        <v>20106</v>
      </c>
      <c r="K6" s="117">
        <v>16380.43525</v>
      </c>
      <c r="L6" s="117">
        <v>12471.0792915</v>
      </c>
      <c r="M6" s="19">
        <f>K6+L6</f>
        <v>28851.514541500001</v>
      </c>
      <c r="N6" s="85">
        <v>57</v>
      </c>
      <c r="O6" s="85">
        <v>45</v>
      </c>
      <c r="P6" s="92"/>
      <c r="Q6" s="20">
        <f>J6-P6</f>
        <v>20106</v>
      </c>
      <c r="R6" s="21">
        <v>7878</v>
      </c>
      <c r="S6" s="20">
        <f>IF(R6&gt;0,(R6-R7-$Q6),"")</f>
        <v>-12726</v>
      </c>
      <c r="T6" s="21">
        <v>7878</v>
      </c>
      <c r="U6" s="20">
        <f>IF(T6&gt;0,(T6-T7-$Q6),"")</f>
        <v>-12726</v>
      </c>
      <c r="V6" s="21">
        <v>12921</v>
      </c>
      <c r="W6" s="20">
        <f>IF(V6&gt;0,(V6-V7-$Q6),"")</f>
        <v>-7790</v>
      </c>
      <c r="X6" s="21">
        <v>13689</v>
      </c>
      <c r="Y6" s="20">
        <f>IF(X6&gt;0,(X6-X7-$Q6),"")</f>
        <v>-7027</v>
      </c>
      <c r="Z6" s="21">
        <v>13689</v>
      </c>
      <c r="AA6" s="20">
        <f>IF(Z6&gt;0,(Z6-Z7-$Q6),"")</f>
        <v>-7027</v>
      </c>
      <c r="AB6" s="21">
        <v>13689</v>
      </c>
      <c r="AC6" s="22">
        <f>IF(AB6&gt;0,(AB6-AB7-$Q6),"")</f>
        <v>-7027</v>
      </c>
      <c r="AD6" s="21">
        <v>13689</v>
      </c>
      <c r="AE6" s="22">
        <f>IF(AD6&gt;0,(AD6-AD7-$Q6),"")</f>
        <v>-7027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498</v>
      </c>
      <c r="S7" s="24"/>
      <c r="T7" s="25">
        <v>498</v>
      </c>
      <c r="U7" s="24"/>
      <c r="V7" s="25">
        <v>605</v>
      </c>
      <c r="W7" s="24"/>
      <c r="X7" s="25">
        <v>610</v>
      </c>
      <c r="Y7" s="24"/>
      <c r="Z7" s="25">
        <v>610</v>
      </c>
      <c r="AA7" s="24"/>
      <c r="AB7" s="25">
        <v>610</v>
      </c>
      <c r="AC7" s="26"/>
      <c r="AD7" s="25">
        <v>610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3158</v>
      </c>
      <c r="E8" s="29" t="s">
        <v>27</v>
      </c>
      <c r="F8" s="119">
        <v>16680</v>
      </c>
      <c r="G8" s="117">
        <v>7153.5749999999989</v>
      </c>
      <c r="H8" s="117">
        <v>1580.8552044999999</v>
      </c>
      <c r="I8" s="19">
        <f>G8+H8</f>
        <v>8734.4302044999986</v>
      </c>
      <c r="J8" s="119">
        <v>17179</v>
      </c>
      <c r="K8" s="117">
        <v>7356.6034999999993</v>
      </c>
      <c r="L8" s="117">
        <v>1627.7622183000001</v>
      </c>
      <c r="M8" s="19">
        <f>K8+L8</f>
        <v>8984.3657182999996</v>
      </c>
      <c r="N8" s="87">
        <v>25</v>
      </c>
      <c r="O8" s="87">
        <v>16</v>
      </c>
      <c r="P8" s="92"/>
      <c r="Q8" s="20">
        <f>J8-P8</f>
        <v>17179</v>
      </c>
      <c r="R8" s="21">
        <v>1800</v>
      </c>
      <c r="S8" s="20">
        <f>IF(R8&gt;0,(R8-R9-$Q8),"")</f>
        <v>-15379</v>
      </c>
      <c r="T8" s="21">
        <v>1800</v>
      </c>
      <c r="U8" s="20">
        <f>IF(T8&gt;0,(T8-T9-$Q8),"")</f>
        <v>-15379</v>
      </c>
      <c r="V8" s="21">
        <v>3723</v>
      </c>
      <c r="W8" s="20">
        <f>IF(V8&gt;0,(V8-V9-$Q8),"")</f>
        <v>-13456</v>
      </c>
      <c r="X8" s="21">
        <v>12124</v>
      </c>
      <c r="Y8" s="20">
        <f>IF(X8&gt;0,(X8-X9-$Q8),"")</f>
        <v>-5055</v>
      </c>
      <c r="Z8" s="21">
        <v>12124</v>
      </c>
      <c r="AA8" s="20">
        <f>IF(Z8&gt;0,(Z8-Z9-$Q8),"")</f>
        <v>-5055</v>
      </c>
      <c r="AB8" s="21">
        <v>12124</v>
      </c>
      <c r="AC8" s="22">
        <f>IF(AB8&gt;0,(AB8-AB9-$Q8),"")</f>
        <v>-5055</v>
      </c>
      <c r="AD8" s="21">
        <v>12124</v>
      </c>
      <c r="AE8" s="22">
        <f>IF(AD8&gt;0,(AD8-AD9-$Q8),"")</f>
        <v>-5055</v>
      </c>
    </row>
    <row r="9" spans="2:42" x14ac:dyDescent="0.3">
      <c r="B9" s="28" t="s">
        <v>28</v>
      </c>
      <c r="C9" s="17">
        <v>2170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3980</v>
      </c>
      <c r="E10" s="18" t="s">
        <v>31</v>
      </c>
      <c r="F10" s="119">
        <v>8183</v>
      </c>
      <c r="G10" s="117">
        <v>6497.8672499999993</v>
      </c>
      <c r="H10" s="117">
        <v>1823.6310000000001</v>
      </c>
      <c r="I10" s="19">
        <f>G10+H10</f>
        <v>8321.4982499999987</v>
      </c>
      <c r="J10" s="119">
        <v>8051</v>
      </c>
      <c r="K10" s="117">
        <v>6341.8597500000014</v>
      </c>
      <c r="L10" s="117">
        <v>1753.027855</v>
      </c>
      <c r="M10" s="19">
        <f>K10+L10</f>
        <v>8094.8876050000017</v>
      </c>
      <c r="N10" s="88">
        <v>36</v>
      </c>
      <c r="O10" s="88">
        <v>27</v>
      </c>
      <c r="P10" s="92"/>
      <c r="Q10" s="20">
        <f>J10-P10</f>
        <v>8051</v>
      </c>
      <c r="R10" s="21">
        <v>1103</v>
      </c>
      <c r="S10" s="20">
        <f>IF(R10&gt;0,(R10-R11-$Q10),"")</f>
        <v>-7169</v>
      </c>
      <c r="T10" s="21">
        <v>1263</v>
      </c>
      <c r="U10" s="20">
        <f>IF(T10&gt;0,(T10-T11-$Q10),"")</f>
        <v>-7169</v>
      </c>
      <c r="V10" s="21">
        <v>4775</v>
      </c>
      <c r="W10" s="20">
        <f>IF(V10&gt;0,(V10-V11-$Q10),"")</f>
        <v>-4776</v>
      </c>
      <c r="X10" s="21">
        <v>7610</v>
      </c>
      <c r="Y10" s="20">
        <f>IF(X10&gt;0,(X10-X11-$Q10),"")</f>
        <v>-2665</v>
      </c>
      <c r="Z10" s="21">
        <v>7610</v>
      </c>
      <c r="AA10" s="20">
        <f>IF(Z10&gt;0,(Z10-Z11-$Q10),"")</f>
        <v>-2665</v>
      </c>
      <c r="AB10" s="21">
        <v>7610</v>
      </c>
      <c r="AC10" s="22">
        <f>IF(AB10&gt;0,(AB10-AB11-$Q10),"")</f>
        <v>-2665</v>
      </c>
      <c r="AD10" s="21">
        <v>7610</v>
      </c>
      <c r="AE10" s="22">
        <f>IF(AD10&gt;0,(AD10-AD11-$Q10),"")</f>
        <v>-2665</v>
      </c>
    </row>
    <row r="11" spans="2:42" x14ac:dyDescent="0.3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221</v>
      </c>
      <c r="S11" s="24"/>
      <c r="T11" s="30">
        <v>381</v>
      </c>
      <c r="U11" s="24"/>
      <c r="V11" s="30">
        <v>1500</v>
      </c>
      <c r="W11" s="24"/>
      <c r="X11" s="30">
        <v>2224</v>
      </c>
      <c r="Y11" s="24"/>
      <c r="Z11" s="30">
        <v>2224</v>
      </c>
      <c r="AA11" s="24"/>
      <c r="AB11" s="30">
        <v>2224</v>
      </c>
      <c r="AC11" s="26"/>
      <c r="AD11" s="30">
        <v>2224</v>
      </c>
      <c r="AE11" s="26"/>
    </row>
    <row r="12" spans="2:42" x14ac:dyDescent="0.3">
      <c r="B12" s="16" t="s">
        <v>34</v>
      </c>
      <c r="C12" s="17">
        <v>1653</v>
      </c>
      <c r="E12" s="29" t="s">
        <v>35</v>
      </c>
      <c r="F12" s="119">
        <v>11471</v>
      </c>
      <c r="G12" s="117">
        <v>12594.97925</v>
      </c>
      <c r="H12" s="117">
        <v>12245.76807998</v>
      </c>
      <c r="I12" s="19">
        <f>G12+H12</f>
        <v>24840.74732998</v>
      </c>
      <c r="J12" s="119">
        <v>11175</v>
      </c>
      <c r="K12" s="117">
        <v>11980.523999999999</v>
      </c>
      <c r="L12" s="117">
        <v>11152.71216698</v>
      </c>
      <c r="M12" s="19">
        <f>K12+L12</f>
        <v>23133.236166980001</v>
      </c>
      <c r="N12" s="88">
        <v>37</v>
      </c>
      <c r="O12" s="88">
        <v>26</v>
      </c>
      <c r="P12" s="92"/>
      <c r="Q12" s="20">
        <f>J12-P12</f>
        <v>11175</v>
      </c>
      <c r="R12" s="21">
        <v>4701</v>
      </c>
      <c r="S12" s="20">
        <f>IF(R12&gt;0,(R12-R13-$Q12),"")</f>
        <v>-7688</v>
      </c>
      <c r="T12" s="21">
        <v>5769</v>
      </c>
      <c r="U12" s="20">
        <f>IF(T12&gt;0,(T12-T13-$Q12),"")</f>
        <v>-6620</v>
      </c>
      <c r="V12" s="21">
        <v>8456</v>
      </c>
      <c r="W12" s="20">
        <f>IF(V12&gt;0,(V12-V13-$Q12),"")</f>
        <v>-3933</v>
      </c>
      <c r="X12" s="21">
        <v>10993</v>
      </c>
      <c r="Y12" s="20">
        <f>IF(X12&gt;0,(X12-X13-$Q12),"")</f>
        <v>-1649</v>
      </c>
      <c r="Z12" s="21">
        <v>10993</v>
      </c>
      <c r="AA12" s="20">
        <f>IF(Z12&gt;0,(Z12-Z13-$Q12),"")</f>
        <v>-1649</v>
      </c>
      <c r="AB12" s="21">
        <v>10993</v>
      </c>
      <c r="AC12" s="22">
        <f>IF(AB12&gt;0,(AB12-AB13-$Q12),"")</f>
        <v>-1649</v>
      </c>
      <c r="AD12" s="21">
        <v>10993</v>
      </c>
      <c r="AE12" s="22">
        <f>IF(AD12&gt;0,(AD12-AD13-$Q12),"")</f>
        <v>-1649</v>
      </c>
    </row>
    <row r="13" spans="2:42" x14ac:dyDescent="0.3">
      <c r="B13" s="16" t="s">
        <v>36</v>
      </c>
      <c r="C13" s="17">
        <v>5164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1214</v>
      </c>
      <c r="S13" s="24"/>
      <c r="T13" s="30">
        <v>1214</v>
      </c>
      <c r="U13" s="24"/>
      <c r="V13" s="30">
        <v>1214</v>
      </c>
      <c r="W13" s="24"/>
      <c r="X13" s="30">
        <v>1467</v>
      </c>
      <c r="Y13" s="24"/>
      <c r="Z13" s="30">
        <v>1467</v>
      </c>
      <c r="AA13" s="24"/>
      <c r="AB13" s="30">
        <v>1467</v>
      </c>
      <c r="AC13" s="26"/>
      <c r="AD13" s="30">
        <v>1467</v>
      </c>
      <c r="AE13" s="26"/>
    </row>
    <row r="14" spans="2:42" x14ac:dyDescent="0.3">
      <c r="B14" s="16" t="s">
        <v>38</v>
      </c>
      <c r="C14" s="17">
        <v>7305</v>
      </c>
      <c r="E14" s="18" t="s">
        <v>39</v>
      </c>
      <c r="F14" s="119">
        <v>17583</v>
      </c>
      <c r="G14" s="117">
        <v>17812.625</v>
      </c>
      <c r="H14" s="117">
        <v>23161.409165739999</v>
      </c>
      <c r="I14" s="19">
        <f>G14+H14</f>
        <v>40974.034165739999</v>
      </c>
      <c r="J14" s="119">
        <v>17583</v>
      </c>
      <c r="K14" s="117">
        <v>17812.625</v>
      </c>
      <c r="L14" s="117">
        <v>22267.613699099998</v>
      </c>
      <c r="M14" s="19">
        <f>K14+L14</f>
        <v>40080.238699099995</v>
      </c>
      <c r="N14" s="88">
        <v>64</v>
      </c>
      <c r="O14" s="88">
        <v>42</v>
      </c>
      <c r="P14" s="92"/>
      <c r="Q14" s="20">
        <f>J14-P14</f>
        <v>17583</v>
      </c>
      <c r="R14" s="21">
        <v>1094</v>
      </c>
      <c r="S14" s="20">
        <f>IF(R14&gt;0,(R14-R15-$Q14),"")</f>
        <v>-16564</v>
      </c>
      <c r="T14" s="21">
        <v>1094</v>
      </c>
      <c r="U14" s="20">
        <f>IF(T14&gt;0,(T14-T15-$Q14),"")</f>
        <v>-16564</v>
      </c>
      <c r="V14" s="21">
        <v>1244</v>
      </c>
      <c r="W14" s="20">
        <f>IF(V14&gt;0,(V14-V15-$Q14),"")</f>
        <v>-16414</v>
      </c>
      <c r="X14" s="21">
        <v>2451</v>
      </c>
      <c r="Y14" s="20">
        <f>IF(X14&gt;0,(X14-X15-$Q14),"")</f>
        <v>-15207</v>
      </c>
      <c r="Z14" s="21">
        <v>14409</v>
      </c>
      <c r="AA14" s="20">
        <f>IF(Z14&gt;0,(Z14-Z15-$Q14),"")</f>
        <v>-12891</v>
      </c>
      <c r="AB14" s="21">
        <v>14583</v>
      </c>
      <c r="AC14" s="22">
        <f>IF(AB14&gt;0,(AB14-AB15-$Q14),"")</f>
        <v>-12717</v>
      </c>
      <c r="AD14" s="21">
        <v>14583</v>
      </c>
      <c r="AE14" s="22">
        <f>IF(AD14&gt;0,(AD14-AD15-$Q14),"")</f>
        <v>-12717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75</v>
      </c>
      <c r="S15" s="24"/>
      <c r="T15" s="25">
        <v>75</v>
      </c>
      <c r="U15" s="24"/>
      <c r="V15" s="25">
        <v>75</v>
      </c>
      <c r="W15" s="24"/>
      <c r="X15" s="25">
        <v>75</v>
      </c>
      <c r="Y15" s="24"/>
      <c r="Z15" s="25">
        <v>9717</v>
      </c>
      <c r="AA15" s="24"/>
      <c r="AB15" s="25">
        <v>9717</v>
      </c>
      <c r="AC15" s="26"/>
      <c r="AD15" s="25">
        <v>9717</v>
      </c>
      <c r="AE15" s="26"/>
    </row>
    <row r="16" spans="2:42" ht="15" customHeight="1" thickBot="1" x14ac:dyDescent="0.35">
      <c r="B16" s="28" t="s">
        <v>42</v>
      </c>
      <c r="C16" s="17">
        <v>11339</v>
      </c>
      <c r="E16" s="84"/>
      <c r="F16" s="31">
        <f t="shared" ref="F16:M16" si="0">SUM(F6:F15)</f>
        <v>74914</v>
      </c>
      <c r="G16" s="31">
        <f t="shared" si="0"/>
        <v>62664.817374999999</v>
      </c>
      <c r="H16" s="31">
        <f t="shared" si="0"/>
        <v>52913.753911759988</v>
      </c>
      <c r="I16" s="32">
        <f t="shared" si="0"/>
        <v>115578.57128675998</v>
      </c>
      <c r="J16" s="33">
        <f t="shared" si="0"/>
        <v>74094</v>
      </c>
      <c r="K16" s="33">
        <f t="shared" si="0"/>
        <v>59872.047500000001</v>
      </c>
      <c r="L16" s="33">
        <f t="shared" si="0"/>
        <v>49272.195230879996</v>
      </c>
      <c r="M16" s="33">
        <f t="shared" si="0"/>
        <v>109144.24273088</v>
      </c>
      <c r="N16" s="31">
        <f>SUM(N14,N12,N10,N8,N6)</f>
        <v>219</v>
      </c>
      <c r="O16" s="31">
        <f>SUM(O14,O12,O10,O8,O6)</f>
        <v>156</v>
      </c>
      <c r="P16" s="34">
        <f>SUM(P6:P15)</f>
        <v>0</v>
      </c>
      <c r="Q16" s="34">
        <f>SUM(Q6:Q15)</f>
        <v>74094</v>
      </c>
      <c r="R16" s="35">
        <f>R6+R8+R10+R12+R14-R7-R9-R11-R13-R15</f>
        <v>14568</v>
      </c>
      <c r="S16" s="36">
        <f>IF(R16&gt;1,(R16-$Q16),"")</f>
        <v>-59526</v>
      </c>
      <c r="T16" s="35">
        <f>T6+T8+T10+T12+T14-T7-T9-T11-T13-T15</f>
        <v>15636</v>
      </c>
      <c r="U16" s="36">
        <f>IF(T16&gt;1,(T16-$Q16),"")</f>
        <v>-58458</v>
      </c>
      <c r="V16" s="35">
        <f>V6+V8+V10+V12+V14-V7-V9-V11-V13-V15</f>
        <v>27725</v>
      </c>
      <c r="W16" s="36">
        <f>IF(V16&gt;1,(V16-$Q16),"")</f>
        <v>-46369</v>
      </c>
      <c r="X16" s="35">
        <f>X6+X8+X10+X12+X14-X7-X9-X11-X13-X15</f>
        <v>42491</v>
      </c>
      <c r="Y16" s="36">
        <f>IF(X16&gt;1,(X16-$Q16),"")</f>
        <v>-31603</v>
      </c>
      <c r="Z16" s="35">
        <f>Z6+Z8+Z10+Z12+Z14-Z7-Z9-Z11-Z13-Z15</f>
        <v>44807</v>
      </c>
      <c r="AA16" s="36">
        <f>IF(Z16&gt;1,(Z16-$Q16),"")</f>
        <v>-29287</v>
      </c>
      <c r="AB16" s="35">
        <f>AB6+AB8+AB10+AB12+AB14-AB7-AB9-AB11-AB13-AB15</f>
        <v>44981</v>
      </c>
      <c r="AC16" s="37">
        <f>IF(AB16&gt;1,(AB16-$Q16),"")</f>
        <v>-29113</v>
      </c>
      <c r="AD16" s="35">
        <f>AD6+AD8+AD10+AD12+AD14-AD7-AD9-AD11-AD13-AD15</f>
        <v>44981</v>
      </c>
      <c r="AE16" s="37">
        <f>IF(AD16&gt;1,(AD16-$Q16),"")</f>
        <v>-29113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63</v>
      </c>
      <c r="P17" s="38" t="s">
        <v>44</v>
      </c>
      <c r="Q17" s="39"/>
      <c r="R17" s="40">
        <f>R15+R13+R11+R9+R7</f>
        <v>2008</v>
      </c>
      <c r="S17" s="41"/>
      <c r="T17" s="40">
        <f>T15+T13+T11+T9+T7</f>
        <v>2168</v>
      </c>
      <c r="U17" s="41"/>
      <c r="V17" s="40">
        <f>V15+V13+V11+V9+V7</f>
        <v>3394</v>
      </c>
      <c r="W17" s="41"/>
      <c r="X17" s="40">
        <f>X15+X13+X11+X9+X7</f>
        <v>4376</v>
      </c>
      <c r="Y17" s="41"/>
      <c r="Z17" s="40">
        <f>Z15+Z13+Z11+Z9+Z7</f>
        <v>14018</v>
      </c>
      <c r="AA17" s="41"/>
      <c r="AB17" s="40">
        <f>AB15+AB13+AB11+AB9+AB7</f>
        <v>14018</v>
      </c>
      <c r="AC17" s="42"/>
      <c r="AD17" s="40">
        <f>AD15+AD13+AD11+AD9+AD7</f>
        <v>14018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7284</v>
      </c>
      <c r="S18" s="46"/>
      <c r="T18" s="47">
        <f>IF(T16&gt;0,(T16-R16)/2,"")</f>
        <v>534</v>
      </c>
      <c r="U18" s="46"/>
      <c r="V18" s="47">
        <f>IF(V16&gt;0,(V16-T16)/2,"")</f>
        <v>6044.5</v>
      </c>
      <c r="W18" s="46"/>
      <c r="X18" s="47">
        <f>IF(X16&gt;0,(X16-V16)/2,"")</f>
        <v>7383</v>
      </c>
      <c r="Y18" s="46"/>
      <c r="Z18" s="47">
        <f>IF(Z16&gt;0,(Z16-X16)/2,"")</f>
        <v>1158</v>
      </c>
      <c r="AA18" s="46"/>
      <c r="AB18" s="47">
        <f>IF(AB16&gt;0,(AB16-Z16)/2,"")</f>
        <v>87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17331</v>
      </c>
      <c r="S20" s="36"/>
      <c r="T20" s="35">
        <v>18967</v>
      </c>
      <c r="U20" s="36"/>
      <c r="V20" s="35">
        <v>27893</v>
      </c>
      <c r="W20" s="36"/>
      <c r="X20" s="35">
        <v>44016</v>
      </c>
      <c r="Y20" s="36"/>
      <c r="Z20" s="35">
        <v>51854</v>
      </c>
      <c r="AA20" s="36"/>
      <c r="AB20" s="35">
        <v>54397</v>
      </c>
      <c r="AC20" s="37"/>
      <c r="AD20" s="35">
        <v>54397</v>
      </c>
      <c r="AE20" s="37"/>
    </row>
    <row r="21" spans="2:43" ht="15" customHeight="1" thickBot="1" x14ac:dyDescent="0.35">
      <c r="B21" s="16" t="s">
        <v>50</v>
      </c>
      <c r="C21" s="17">
        <v>8946</v>
      </c>
      <c r="L21" s="4"/>
      <c r="M21" s="4"/>
      <c r="Q21" s="52"/>
      <c r="R21" s="40">
        <v>1584</v>
      </c>
      <c r="S21" s="41"/>
      <c r="T21" s="40">
        <v>1938</v>
      </c>
      <c r="U21" s="41"/>
      <c r="V21" s="40">
        <v>3121</v>
      </c>
      <c r="W21" s="41"/>
      <c r="X21" s="40">
        <v>4461</v>
      </c>
      <c r="Y21" s="41"/>
      <c r="Z21" s="40">
        <v>4683</v>
      </c>
      <c r="AA21" s="41"/>
      <c r="AB21" s="40">
        <v>13638</v>
      </c>
      <c r="AC21" s="42"/>
      <c r="AD21" s="40">
        <v>13638</v>
      </c>
      <c r="AE21" s="42"/>
    </row>
    <row r="22" spans="2:43" ht="15" customHeight="1" thickBot="1" x14ac:dyDescent="0.35">
      <c r="B22" s="16" t="s">
        <v>51</v>
      </c>
      <c r="C22" s="17">
        <v>2887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4775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-2763</v>
      </c>
      <c r="S24" s="60"/>
      <c r="T24" s="60">
        <f>IF(T16&gt;0,T16-T20,"")</f>
        <v>-3331</v>
      </c>
      <c r="U24" s="60"/>
      <c r="V24" s="60">
        <f>IF(V16&gt;0,V16-V20,"")</f>
        <v>-168</v>
      </c>
      <c r="W24" s="60"/>
      <c r="X24" s="60">
        <f>IF(X16&gt;0,X16-X20,"")</f>
        <v>-1525</v>
      </c>
      <c r="Y24" s="60"/>
      <c r="Z24" s="60">
        <f>IF(Z16&gt;0,Z16-Z20,"")</f>
        <v>-7047</v>
      </c>
      <c r="AA24" s="60"/>
      <c r="AB24" s="60">
        <f>IF(AB16&gt;0,AB16-AB20,"")</f>
        <v>-9416</v>
      </c>
      <c r="AC24" s="61"/>
      <c r="AD24" s="60">
        <f>IF(AD16&gt;0,AD16-AD20,"")</f>
        <v>-9416</v>
      </c>
      <c r="AE24" s="61"/>
    </row>
    <row r="25" spans="2:43" x14ac:dyDescent="0.3">
      <c r="L25" s="4"/>
      <c r="M25" s="4"/>
      <c r="Q25" s="62"/>
      <c r="R25" s="63">
        <f>IF(R17&gt;=0,R17-R21,"")</f>
        <v>424</v>
      </c>
      <c r="S25" s="64"/>
      <c r="T25" s="63">
        <f>IF(T17&gt;=0,T17-T21,"")</f>
        <v>230</v>
      </c>
      <c r="U25" s="64"/>
      <c r="V25" s="63">
        <f>IF(V17&gt;=0,V17-V21,"")</f>
        <v>273</v>
      </c>
      <c r="W25" s="64"/>
      <c r="X25" s="63">
        <f>IF(X17&gt;=0,X17-X21,"")</f>
        <v>-85</v>
      </c>
      <c r="Y25" s="64"/>
      <c r="Z25" s="63">
        <f>IF(Z17&gt;=0,Z17-Z21,"")</f>
        <v>9335</v>
      </c>
      <c r="AA25" s="64"/>
      <c r="AB25" s="63">
        <f>IF(AB17&gt;=0,AB17-AB21,"")</f>
        <v>380</v>
      </c>
      <c r="AC25" s="65"/>
      <c r="AD25" s="63">
        <f>IF(AD17&gt;=0,AD17-AD21,"")</f>
        <v>380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7284</v>
      </c>
      <c r="S26" s="55"/>
      <c r="T26" s="67">
        <f>IFERROR(IF(T18&gt;0,T18-T22,""),"")</f>
        <v>534</v>
      </c>
      <c r="U26" s="55"/>
      <c r="V26" s="67">
        <f>IFERROR(IF(V18&gt;0,V18-V22,""),"")</f>
        <v>6044.5</v>
      </c>
      <c r="W26" s="55"/>
      <c r="X26" s="67">
        <f>IFERROR(IF(X18&gt;0,X18-X22,""),"")</f>
        <v>7383</v>
      </c>
      <c r="Y26" s="55"/>
      <c r="Z26" s="67">
        <f>IFERROR(IF(Z18&gt;0,Z18-Z22,""),"")</f>
        <v>1158</v>
      </c>
      <c r="AA26" s="55"/>
      <c r="AB26" s="67">
        <f>IFERROR(IF(AB18&gt;0,AB18-AB22,""),"")</f>
        <v>87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11555</v>
      </c>
      <c r="D29" s="76">
        <f>C14</f>
        <v>7305</v>
      </c>
      <c r="E29" s="77">
        <f t="shared" ref="E29:E34" si="1">D29-C29</f>
        <v>-4250</v>
      </c>
      <c r="M29" s="4"/>
      <c r="O29" s="4"/>
    </row>
    <row r="30" spans="2:43" x14ac:dyDescent="0.3">
      <c r="B30" s="74" t="s">
        <v>56</v>
      </c>
      <c r="C30" s="75">
        <v>24288</v>
      </c>
      <c r="D30" s="76">
        <f>C7+C15+C16+C19+C20</f>
        <v>11339</v>
      </c>
      <c r="E30" s="77">
        <f t="shared" si="1"/>
        <v>-12949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12888</v>
      </c>
      <c r="D32" s="76">
        <f>C10+C11+C12+C13</f>
        <v>12888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16140</v>
      </c>
      <c r="D34" s="76">
        <f>C21+C22+C23</f>
        <v>16608</v>
      </c>
      <c r="E34" s="77">
        <f t="shared" si="1"/>
        <v>468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5328</v>
      </c>
      <c r="D35" s="80">
        <f>SUM(C8+C9)</f>
        <v>5328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1969</v>
      </c>
      <c r="R36" s="104">
        <v>728</v>
      </c>
      <c r="S36" s="104">
        <f t="shared" ref="S36:S65" si="2">IF(T36&gt;0,(T36-R36)/2,"")</f>
        <v>0</v>
      </c>
      <c r="T36" s="104">
        <v>728</v>
      </c>
      <c r="U36" s="104">
        <f t="shared" ref="U36:U65" si="3">IF(V36&gt;0,(V36-T36)/2,"")</f>
        <v>302</v>
      </c>
      <c r="V36" s="104">
        <v>1332</v>
      </c>
      <c r="W36" s="104">
        <f t="shared" ref="W36:W65" si="4">IF(X36&gt;0,(X36-V36)/2,"")</f>
        <v>0</v>
      </c>
      <c r="X36" s="104">
        <v>1332</v>
      </c>
      <c r="Y36" s="104">
        <f t="shared" ref="Y36:Y65" si="5">IF(Z36&gt;0,(Z36-X36)/2,"")</f>
        <v>0</v>
      </c>
      <c r="Z36" s="104">
        <v>1332</v>
      </c>
      <c r="AA36" s="104">
        <f t="shared" ref="AA36:AA65" si="6">IF(AB36&gt;0,(AB36-Z36)/2,"")</f>
        <v>0</v>
      </c>
      <c r="AB36" s="104">
        <v>1332</v>
      </c>
      <c r="AC36" s="104">
        <f t="shared" ref="AC36:AC65" si="7">IF(AD36&gt;0,(AD36-AB36)/2,"")</f>
        <v>0</v>
      </c>
      <c r="AD36" s="104">
        <v>1332</v>
      </c>
      <c r="AE36" s="105">
        <f t="shared" ref="AE36:AE65" si="8">AD36-Q36</f>
        <v>-637</v>
      </c>
    </row>
    <row r="37" spans="2:31" ht="15.6" customHeight="1" x14ac:dyDescent="0.3">
      <c r="N37" s="212"/>
      <c r="O37" s="95" t="s">
        <v>66</v>
      </c>
      <c r="P37" s="106"/>
      <c r="Q37" s="106">
        <v>1021</v>
      </c>
      <c r="R37" s="106">
        <v>726</v>
      </c>
      <c r="S37" s="106">
        <f t="shared" si="2"/>
        <v>0</v>
      </c>
      <c r="T37" s="106">
        <v>726</v>
      </c>
      <c r="U37" s="106">
        <f t="shared" si="3"/>
        <v>311.5</v>
      </c>
      <c r="V37" s="106">
        <v>1349</v>
      </c>
      <c r="W37" s="106">
        <f t="shared" si="4"/>
        <v>55</v>
      </c>
      <c r="X37" s="106">
        <v>1459</v>
      </c>
      <c r="Y37" s="106">
        <f t="shared" si="5"/>
        <v>0</v>
      </c>
      <c r="Z37" s="106">
        <v>1459</v>
      </c>
      <c r="AA37" s="106">
        <f t="shared" si="6"/>
        <v>0</v>
      </c>
      <c r="AB37" s="106">
        <v>1459</v>
      </c>
      <c r="AC37" s="106">
        <f t="shared" si="7"/>
        <v>0</v>
      </c>
      <c r="AD37" s="106">
        <v>1459</v>
      </c>
      <c r="AE37" s="107">
        <f t="shared" si="8"/>
        <v>438</v>
      </c>
    </row>
    <row r="38" spans="2:31" ht="15.6" customHeight="1" x14ac:dyDescent="0.3">
      <c r="N38" s="212"/>
      <c r="O38" s="94" t="s">
        <v>67</v>
      </c>
      <c r="P38" s="108"/>
      <c r="Q38" s="108">
        <v>1757</v>
      </c>
      <c r="R38" s="108">
        <v>692</v>
      </c>
      <c r="S38" s="108">
        <f t="shared" si="2"/>
        <v>0</v>
      </c>
      <c r="T38" s="108">
        <v>692</v>
      </c>
      <c r="U38" s="108">
        <f t="shared" si="3"/>
        <v>66</v>
      </c>
      <c r="V38" s="108">
        <v>824</v>
      </c>
      <c r="W38" s="108">
        <f t="shared" si="4"/>
        <v>0</v>
      </c>
      <c r="X38" s="108">
        <v>824</v>
      </c>
      <c r="Y38" s="108">
        <f t="shared" si="5"/>
        <v>0</v>
      </c>
      <c r="Z38" s="108">
        <v>824</v>
      </c>
      <c r="AA38" s="108">
        <f t="shared" si="6"/>
        <v>0</v>
      </c>
      <c r="AB38" s="108">
        <v>824</v>
      </c>
      <c r="AC38" s="108">
        <f t="shared" si="7"/>
        <v>0</v>
      </c>
      <c r="AD38" s="108">
        <v>824</v>
      </c>
      <c r="AE38" s="109">
        <f t="shared" si="8"/>
        <v>-933</v>
      </c>
    </row>
    <row r="39" spans="2:31" ht="15.6" customHeight="1" x14ac:dyDescent="0.3">
      <c r="N39" s="212"/>
      <c r="O39" s="95" t="s">
        <v>68</v>
      </c>
      <c r="P39" s="106"/>
      <c r="Q39" s="106">
        <v>2158</v>
      </c>
      <c r="R39" s="106">
        <v>1411</v>
      </c>
      <c r="S39" s="106">
        <f t="shared" si="2"/>
        <v>0</v>
      </c>
      <c r="T39" s="106">
        <v>1411</v>
      </c>
      <c r="U39" s="106">
        <f t="shared" si="3"/>
        <v>585.5</v>
      </c>
      <c r="V39" s="106">
        <v>2582</v>
      </c>
      <c r="W39" s="106">
        <f t="shared" si="4"/>
        <v>247.5</v>
      </c>
      <c r="X39" s="106">
        <v>3077</v>
      </c>
      <c r="Y39" s="106">
        <f t="shared" si="5"/>
        <v>0</v>
      </c>
      <c r="Z39" s="106">
        <v>3077</v>
      </c>
      <c r="AA39" s="106">
        <f t="shared" si="6"/>
        <v>0</v>
      </c>
      <c r="AB39" s="106">
        <v>3077</v>
      </c>
      <c r="AC39" s="106">
        <f t="shared" si="7"/>
        <v>0</v>
      </c>
      <c r="AD39" s="106">
        <v>3077</v>
      </c>
      <c r="AE39" s="107">
        <f t="shared" si="8"/>
        <v>919</v>
      </c>
    </row>
    <row r="40" spans="2:31" ht="15.6" customHeight="1" x14ac:dyDescent="0.3">
      <c r="N40" s="212"/>
      <c r="O40" s="94" t="s">
        <v>69</v>
      </c>
      <c r="P40" s="108"/>
      <c r="Q40" s="108">
        <v>0</v>
      </c>
      <c r="R40" s="108">
        <v>1749</v>
      </c>
      <c r="S40" s="108">
        <f t="shared" si="2"/>
        <v>0</v>
      </c>
      <c r="T40" s="108">
        <v>1749</v>
      </c>
      <c r="U40" s="108">
        <f t="shared" si="3"/>
        <v>628.5</v>
      </c>
      <c r="V40" s="108">
        <v>3006</v>
      </c>
      <c r="W40" s="108">
        <f t="shared" si="4"/>
        <v>0</v>
      </c>
      <c r="X40" s="108">
        <v>3006</v>
      </c>
      <c r="Y40" s="108">
        <f t="shared" si="5"/>
        <v>0</v>
      </c>
      <c r="Z40" s="108">
        <v>3006</v>
      </c>
      <c r="AA40" s="108">
        <f t="shared" si="6"/>
        <v>0</v>
      </c>
      <c r="AB40" s="108">
        <v>3006</v>
      </c>
      <c r="AC40" s="108">
        <f t="shared" si="7"/>
        <v>0</v>
      </c>
      <c r="AD40" s="108">
        <v>3006</v>
      </c>
      <c r="AE40" s="109">
        <f t="shared" si="8"/>
        <v>3006</v>
      </c>
    </row>
    <row r="41" spans="2:31" ht="15.6" customHeight="1" x14ac:dyDescent="0.3">
      <c r="N41" s="212"/>
      <c r="O41" s="95" t="s">
        <v>70</v>
      </c>
      <c r="P41" s="106"/>
      <c r="Q41" s="106">
        <v>0</v>
      </c>
      <c r="R41" s="106">
        <v>339</v>
      </c>
      <c r="S41" s="106">
        <f t="shared" si="2"/>
        <v>0</v>
      </c>
      <c r="T41" s="106">
        <v>339</v>
      </c>
      <c r="U41" s="106">
        <f t="shared" si="3"/>
        <v>178.5</v>
      </c>
      <c r="V41" s="106">
        <v>696</v>
      </c>
      <c r="W41" s="106">
        <f t="shared" si="4"/>
        <v>0</v>
      </c>
      <c r="X41" s="106">
        <v>696</v>
      </c>
      <c r="Y41" s="106">
        <f t="shared" si="5"/>
        <v>0</v>
      </c>
      <c r="Z41" s="106">
        <v>696</v>
      </c>
      <c r="AA41" s="106">
        <f t="shared" si="6"/>
        <v>0</v>
      </c>
      <c r="AB41" s="106">
        <v>696</v>
      </c>
      <c r="AC41" s="106">
        <f t="shared" si="7"/>
        <v>0</v>
      </c>
      <c r="AD41" s="106">
        <v>696</v>
      </c>
      <c r="AE41" s="107">
        <f t="shared" si="8"/>
        <v>696</v>
      </c>
    </row>
    <row r="42" spans="2:31" ht="15.6" customHeight="1" x14ac:dyDescent="0.3">
      <c r="N42" s="212"/>
      <c r="O42" s="94" t="s">
        <v>71</v>
      </c>
      <c r="P42" s="108"/>
      <c r="Q42" s="108">
        <v>1228</v>
      </c>
      <c r="R42" s="108">
        <v>701</v>
      </c>
      <c r="S42" s="108">
        <f t="shared" si="2"/>
        <v>0</v>
      </c>
      <c r="T42" s="108">
        <v>701</v>
      </c>
      <c r="U42" s="108">
        <f t="shared" si="3"/>
        <v>23.5</v>
      </c>
      <c r="V42" s="108">
        <v>748</v>
      </c>
      <c r="W42" s="108">
        <f t="shared" si="4"/>
        <v>0</v>
      </c>
      <c r="X42" s="108">
        <v>748</v>
      </c>
      <c r="Y42" s="108">
        <f t="shared" si="5"/>
        <v>0</v>
      </c>
      <c r="Z42" s="108">
        <v>748</v>
      </c>
      <c r="AA42" s="108">
        <f t="shared" si="6"/>
        <v>0</v>
      </c>
      <c r="AB42" s="108">
        <v>748</v>
      </c>
      <c r="AC42" s="108">
        <f t="shared" si="7"/>
        <v>0</v>
      </c>
      <c r="AD42" s="108">
        <v>748</v>
      </c>
      <c r="AE42" s="109">
        <f t="shared" si="8"/>
        <v>-480</v>
      </c>
    </row>
    <row r="43" spans="2:31" ht="15.6" customHeight="1" x14ac:dyDescent="0.3">
      <c r="N43" s="212"/>
      <c r="O43" s="95" t="s">
        <v>72</v>
      </c>
      <c r="P43" s="106"/>
      <c r="Q43" s="106">
        <v>1655</v>
      </c>
      <c r="R43" s="106">
        <v>380</v>
      </c>
      <c r="S43" s="106">
        <f t="shared" si="2"/>
        <v>0</v>
      </c>
      <c r="T43" s="106">
        <v>380</v>
      </c>
      <c r="U43" s="106">
        <f t="shared" si="3"/>
        <v>384</v>
      </c>
      <c r="V43" s="106">
        <v>1148</v>
      </c>
      <c r="W43" s="106">
        <f t="shared" si="4"/>
        <v>0</v>
      </c>
      <c r="X43" s="106">
        <v>1148</v>
      </c>
      <c r="Y43" s="106">
        <f t="shared" si="5"/>
        <v>0</v>
      </c>
      <c r="Z43" s="106">
        <v>1148</v>
      </c>
      <c r="AA43" s="106">
        <f t="shared" si="6"/>
        <v>0</v>
      </c>
      <c r="AB43" s="106">
        <v>1148</v>
      </c>
      <c r="AC43" s="106">
        <f t="shared" si="7"/>
        <v>0</v>
      </c>
      <c r="AD43" s="106">
        <v>1148</v>
      </c>
      <c r="AE43" s="107">
        <f t="shared" si="8"/>
        <v>-507</v>
      </c>
    </row>
    <row r="44" spans="2:31" ht="15.6" customHeight="1" thickBot="1" x14ac:dyDescent="0.35">
      <c r="N44" s="213"/>
      <c r="O44" s="97" t="s">
        <v>73</v>
      </c>
      <c r="P44" s="110"/>
      <c r="Q44" s="110">
        <v>0</v>
      </c>
      <c r="R44" s="110">
        <v>1152</v>
      </c>
      <c r="S44" s="110">
        <f t="shared" si="2"/>
        <v>0</v>
      </c>
      <c r="T44" s="110">
        <v>1152</v>
      </c>
      <c r="U44" s="110">
        <f t="shared" si="3"/>
        <v>42</v>
      </c>
      <c r="V44" s="110">
        <v>1236</v>
      </c>
      <c r="W44" s="110">
        <f t="shared" si="4"/>
        <v>81.5</v>
      </c>
      <c r="X44" s="110">
        <v>1399</v>
      </c>
      <c r="Y44" s="110">
        <f t="shared" si="5"/>
        <v>0</v>
      </c>
      <c r="Z44" s="110">
        <v>1399</v>
      </c>
      <c r="AA44" s="110">
        <f t="shared" si="6"/>
        <v>0</v>
      </c>
      <c r="AB44" s="110">
        <v>1399</v>
      </c>
      <c r="AC44" s="110">
        <f t="shared" si="7"/>
        <v>0</v>
      </c>
      <c r="AD44" s="110">
        <v>1399</v>
      </c>
      <c r="AE44" s="111">
        <f t="shared" si="8"/>
        <v>1399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0</v>
      </c>
      <c r="V45" s="112">
        <v>1000</v>
      </c>
      <c r="W45" s="112">
        <f t="shared" si="4"/>
        <v>1581</v>
      </c>
      <c r="X45" s="112">
        <v>4162</v>
      </c>
      <c r="Y45" s="112">
        <f t="shared" si="5"/>
        <v>0</v>
      </c>
      <c r="Z45" s="112">
        <v>4162</v>
      </c>
      <c r="AA45" s="112">
        <f t="shared" si="6"/>
        <v>0</v>
      </c>
      <c r="AB45" s="112">
        <v>4162</v>
      </c>
      <c r="AC45" s="112">
        <f t="shared" si="7"/>
        <v>0</v>
      </c>
      <c r="AD45" s="112">
        <v>4162</v>
      </c>
      <c r="AE45" s="113">
        <f t="shared" si="8"/>
        <v>4162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546.5</v>
      </c>
      <c r="X46" s="108">
        <v>1093</v>
      </c>
      <c r="Y46" s="108">
        <f t="shared" si="5"/>
        <v>0</v>
      </c>
      <c r="Z46" s="108">
        <v>1093</v>
      </c>
      <c r="AA46" s="108">
        <f t="shared" si="6"/>
        <v>0</v>
      </c>
      <c r="AB46" s="108">
        <v>1093</v>
      </c>
      <c r="AC46" s="108">
        <f t="shared" si="7"/>
        <v>0</v>
      </c>
      <c r="AD46" s="108">
        <v>1093</v>
      </c>
      <c r="AE46" s="109">
        <f t="shared" si="8"/>
        <v>1093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1113</v>
      </c>
      <c r="X47" s="106">
        <v>2226</v>
      </c>
      <c r="Y47" s="106">
        <f t="shared" si="5"/>
        <v>0</v>
      </c>
      <c r="Z47" s="106">
        <v>2226</v>
      </c>
      <c r="AA47" s="106">
        <f t="shared" si="6"/>
        <v>0</v>
      </c>
      <c r="AB47" s="106">
        <v>2226</v>
      </c>
      <c r="AC47" s="106">
        <f t="shared" si="7"/>
        <v>0</v>
      </c>
      <c r="AD47" s="106">
        <v>2226</v>
      </c>
      <c r="AE47" s="107">
        <f t="shared" si="8"/>
        <v>2226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800</v>
      </c>
      <c r="S48" s="110">
        <f t="shared" si="2"/>
        <v>0</v>
      </c>
      <c r="T48" s="110">
        <v>800</v>
      </c>
      <c r="U48" s="110">
        <f t="shared" si="3"/>
        <v>961.5</v>
      </c>
      <c r="V48" s="110">
        <v>2723</v>
      </c>
      <c r="W48" s="110">
        <f t="shared" si="4"/>
        <v>960</v>
      </c>
      <c r="X48" s="110">
        <v>4643</v>
      </c>
      <c r="Y48" s="110">
        <f t="shared" si="5"/>
        <v>0</v>
      </c>
      <c r="Z48" s="110">
        <v>4643</v>
      </c>
      <c r="AA48" s="110">
        <f t="shared" si="6"/>
        <v>0</v>
      </c>
      <c r="AB48" s="110">
        <v>4643</v>
      </c>
      <c r="AC48" s="110">
        <f t="shared" si="7"/>
        <v>0</v>
      </c>
      <c r="AD48" s="110">
        <v>4643</v>
      </c>
      <c r="AE48" s="111">
        <f t="shared" si="8"/>
        <v>4643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85</v>
      </c>
      <c r="R49" s="112">
        <v>0</v>
      </c>
      <c r="S49" s="112" t="str">
        <f t="shared" si="2"/>
        <v/>
      </c>
      <c r="T49" s="112">
        <v>0</v>
      </c>
      <c r="U49" s="112">
        <f t="shared" si="3"/>
        <v>79.5</v>
      </c>
      <c r="V49" s="112">
        <v>159</v>
      </c>
      <c r="W49" s="112">
        <f t="shared" si="4"/>
        <v>48.5</v>
      </c>
      <c r="X49" s="112">
        <v>256</v>
      </c>
      <c r="Y49" s="112">
        <f t="shared" si="5"/>
        <v>0</v>
      </c>
      <c r="Z49" s="112">
        <v>256</v>
      </c>
      <c r="AA49" s="112">
        <f t="shared" si="6"/>
        <v>0</v>
      </c>
      <c r="AB49" s="112">
        <v>256</v>
      </c>
      <c r="AC49" s="112">
        <f t="shared" si="7"/>
        <v>0</v>
      </c>
      <c r="AD49" s="112">
        <v>256</v>
      </c>
      <c r="AE49" s="113">
        <f t="shared" si="8"/>
        <v>171</v>
      </c>
    </row>
    <row r="50" spans="14:31" ht="15.6" customHeight="1" x14ac:dyDescent="0.3">
      <c r="N50" s="212"/>
      <c r="O50" s="94" t="s">
        <v>66</v>
      </c>
      <c r="P50" s="108"/>
      <c r="Q50" s="108">
        <v>0</v>
      </c>
      <c r="R50" s="108">
        <v>357</v>
      </c>
      <c r="S50" s="108">
        <f t="shared" si="2"/>
        <v>0</v>
      </c>
      <c r="T50" s="108">
        <v>357</v>
      </c>
      <c r="U50" s="108">
        <f t="shared" si="3"/>
        <v>0</v>
      </c>
      <c r="V50" s="108">
        <v>357</v>
      </c>
      <c r="W50" s="108">
        <f t="shared" si="4"/>
        <v>4</v>
      </c>
      <c r="X50" s="108">
        <v>365</v>
      </c>
      <c r="Y50" s="108">
        <f t="shared" si="5"/>
        <v>0</v>
      </c>
      <c r="Z50" s="108">
        <v>365</v>
      </c>
      <c r="AA50" s="108">
        <f t="shared" si="6"/>
        <v>0</v>
      </c>
      <c r="AB50" s="108">
        <v>365</v>
      </c>
      <c r="AC50" s="108">
        <f t="shared" si="7"/>
        <v>0</v>
      </c>
      <c r="AD50" s="108">
        <v>365</v>
      </c>
      <c r="AE50" s="109">
        <f t="shared" si="8"/>
        <v>365</v>
      </c>
    </row>
    <row r="51" spans="14:31" ht="15.6" customHeight="1" x14ac:dyDescent="0.3">
      <c r="N51" s="212"/>
      <c r="O51" s="95" t="s">
        <v>67</v>
      </c>
      <c r="P51" s="106"/>
      <c r="Q51" s="106">
        <v>1250</v>
      </c>
      <c r="R51" s="106">
        <v>316</v>
      </c>
      <c r="S51" s="106">
        <f t="shared" si="2"/>
        <v>80</v>
      </c>
      <c r="T51" s="106">
        <v>476</v>
      </c>
      <c r="U51" s="106">
        <f t="shared" si="3"/>
        <v>262.5</v>
      </c>
      <c r="V51" s="106">
        <v>1001</v>
      </c>
      <c r="W51" s="106">
        <f t="shared" si="4"/>
        <v>87.5</v>
      </c>
      <c r="X51" s="106">
        <v>1176</v>
      </c>
      <c r="Y51" s="106">
        <f t="shared" si="5"/>
        <v>0</v>
      </c>
      <c r="Z51" s="106">
        <v>1176</v>
      </c>
      <c r="AA51" s="106">
        <f t="shared" si="6"/>
        <v>0</v>
      </c>
      <c r="AB51" s="106">
        <v>1176</v>
      </c>
      <c r="AC51" s="106">
        <f t="shared" si="7"/>
        <v>0</v>
      </c>
      <c r="AD51" s="106">
        <v>1176</v>
      </c>
      <c r="AE51" s="107">
        <f t="shared" si="8"/>
        <v>-74</v>
      </c>
    </row>
    <row r="52" spans="14:31" ht="15.6" customHeight="1" x14ac:dyDescent="0.3">
      <c r="N52" s="212"/>
      <c r="O52" s="94" t="s">
        <v>68</v>
      </c>
      <c r="P52" s="108"/>
      <c r="Q52" s="108">
        <v>0</v>
      </c>
      <c r="R52" s="108">
        <v>405</v>
      </c>
      <c r="S52" s="108">
        <f t="shared" si="2"/>
        <v>0</v>
      </c>
      <c r="T52" s="108">
        <v>405</v>
      </c>
      <c r="U52" s="108">
        <f t="shared" si="3"/>
        <v>162.5</v>
      </c>
      <c r="V52" s="108">
        <v>730</v>
      </c>
      <c r="W52" s="108">
        <f t="shared" si="4"/>
        <v>14</v>
      </c>
      <c r="X52" s="108">
        <v>758</v>
      </c>
      <c r="Y52" s="108">
        <f t="shared" si="5"/>
        <v>0</v>
      </c>
      <c r="Z52" s="108">
        <v>758</v>
      </c>
      <c r="AA52" s="108">
        <f t="shared" si="6"/>
        <v>0</v>
      </c>
      <c r="AB52" s="108">
        <v>758</v>
      </c>
      <c r="AC52" s="108">
        <f t="shared" si="7"/>
        <v>0</v>
      </c>
      <c r="AD52" s="108">
        <v>758</v>
      </c>
      <c r="AE52" s="109">
        <f t="shared" si="8"/>
        <v>758</v>
      </c>
    </row>
    <row r="53" spans="14:31" ht="15.6" customHeight="1" x14ac:dyDescent="0.3">
      <c r="N53" s="212"/>
      <c r="O53" s="95" t="s">
        <v>69</v>
      </c>
      <c r="P53" s="106"/>
      <c r="Q53" s="106">
        <v>2572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821</v>
      </c>
      <c r="V53" s="106">
        <v>1642</v>
      </c>
      <c r="W53" s="106">
        <f t="shared" si="4"/>
        <v>280.5</v>
      </c>
      <c r="X53" s="106">
        <v>2203</v>
      </c>
      <c r="Y53" s="106">
        <f t="shared" si="5"/>
        <v>0</v>
      </c>
      <c r="Z53" s="106">
        <v>2203</v>
      </c>
      <c r="AA53" s="106">
        <f t="shared" si="6"/>
        <v>0</v>
      </c>
      <c r="AB53" s="106">
        <v>2203</v>
      </c>
      <c r="AC53" s="106">
        <f t="shared" si="7"/>
        <v>0</v>
      </c>
      <c r="AD53" s="106">
        <v>2203</v>
      </c>
      <c r="AE53" s="107">
        <f t="shared" si="8"/>
        <v>-369</v>
      </c>
    </row>
    <row r="54" spans="14:31" ht="15.6" customHeight="1" x14ac:dyDescent="0.3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758</v>
      </c>
      <c r="X54" s="108">
        <v>1516</v>
      </c>
      <c r="Y54" s="108">
        <f t="shared" si="5"/>
        <v>0</v>
      </c>
      <c r="Z54" s="108">
        <v>1516</v>
      </c>
      <c r="AA54" s="108">
        <f t="shared" si="6"/>
        <v>0</v>
      </c>
      <c r="AB54" s="108">
        <v>1516</v>
      </c>
      <c r="AC54" s="108">
        <f t="shared" si="7"/>
        <v>0</v>
      </c>
      <c r="AD54" s="108">
        <v>1516</v>
      </c>
      <c r="AE54" s="109">
        <f t="shared" si="8"/>
        <v>1516</v>
      </c>
    </row>
    <row r="55" spans="14:31" ht="15.6" customHeight="1" x14ac:dyDescent="0.3">
      <c r="N55" s="212"/>
      <c r="O55" s="95" t="s">
        <v>71</v>
      </c>
      <c r="P55" s="106"/>
      <c r="Q55" s="106">
        <v>611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317</v>
      </c>
      <c r="V55" s="106">
        <v>634</v>
      </c>
      <c r="W55" s="106">
        <f t="shared" si="4"/>
        <v>123</v>
      </c>
      <c r="X55" s="106">
        <v>880</v>
      </c>
      <c r="Y55" s="106">
        <f t="shared" si="5"/>
        <v>0</v>
      </c>
      <c r="Z55" s="106">
        <v>880</v>
      </c>
      <c r="AA55" s="106">
        <f t="shared" si="6"/>
        <v>0</v>
      </c>
      <c r="AB55" s="106">
        <v>880</v>
      </c>
      <c r="AC55" s="106">
        <f t="shared" si="7"/>
        <v>0</v>
      </c>
      <c r="AD55" s="106">
        <v>880</v>
      </c>
      <c r="AE55" s="107">
        <f t="shared" si="8"/>
        <v>269</v>
      </c>
    </row>
    <row r="56" spans="14:31" ht="15.6" customHeight="1" x14ac:dyDescent="0.3">
      <c r="N56" s="212"/>
      <c r="O56" s="94" t="s">
        <v>72</v>
      </c>
      <c r="P56" s="108"/>
      <c r="Q56" s="108">
        <v>0</v>
      </c>
      <c r="R56" s="108">
        <v>25</v>
      </c>
      <c r="S56" s="108">
        <f t="shared" si="2"/>
        <v>0</v>
      </c>
      <c r="T56" s="108">
        <v>25</v>
      </c>
      <c r="U56" s="108">
        <f t="shared" si="3"/>
        <v>113.5</v>
      </c>
      <c r="V56" s="108">
        <v>252</v>
      </c>
      <c r="W56" s="108">
        <f t="shared" si="4"/>
        <v>102</v>
      </c>
      <c r="X56" s="108">
        <v>456</v>
      </c>
      <c r="Y56" s="108">
        <f t="shared" si="5"/>
        <v>0</v>
      </c>
      <c r="Z56" s="108">
        <v>456</v>
      </c>
      <c r="AA56" s="108">
        <f t="shared" si="6"/>
        <v>0</v>
      </c>
      <c r="AB56" s="108">
        <v>456</v>
      </c>
      <c r="AC56" s="108">
        <f t="shared" si="7"/>
        <v>0</v>
      </c>
      <c r="AD56" s="108">
        <v>456</v>
      </c>
      <c r="AE56" s="109">
        <f t="shared" si="8"/>
        <v>456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1798</v>
      </c>
      <c r="R58" s="104">
        <v>1182</v>
      </c>
      <c r="S58" s="104">
        <f t="shared" si="2"/>
        <v>198.5</v>
      </c>
      <c r="T58" s="104">
        <v>1579</v>
      </c>
      <c r="U58" s="104">
        <f t="shared" si="3"/>
        <v>787.5</v>
      </c>
      <c r="V58" s="104">
        <v>3154</v>
      </c>
      <c r="W58" s="104">
        <f t="shared" si="4"/>
        <v>665</v>
      </c>
      <c r="X58" s="104">
        <v>4484</v>
      </c>
      <c r="Y58" s="104">
        <f t="shared" si="5"/>
        <v>0</v>
      </c>
      <c r="Z58" s="104">
        <v>4484</v>
      </c>
      <c r="AA58" s="104">
        <f t="shared" si="6"/>
        <v>0</v>
      </c>
      <c r="AB58" s="104">
        <v>4484</v>
      </c>
      <c r="AC58" s="104">
        <f t="shared" si="7"/>
        <v>0</v>
      </c>
      <c r="AD58" s="104">
        <v>4484</v>
      </c>
      <c r="AE58" s="105">
        <f t="shared" si="8"/>
        <v>2686</v>
      </c>
    </row>
    <row r="59" spans="14:31" ht="15.6" customHeight="1" x14ac:dyDescent="0.3">
      <c r="N59" s="212"/>
      <c r="O59" s="95" t="s">
        <v>66</v>
      </c>
      <c r="P59" s="106"/>
      <c r="Q59" s="106">
        <v>1349</v>
      </c>
      <c r="R59" s="106">
        <v>2099</v>
      </c>
      <c r="S59" s="106">
        <f t="shared" si="2"/>
        <v>0</v>
      </c>
      <c r="T59" s="106">
        <v>2099</v>
      </c>
      <c r="U59" s="106">
        <f t="shared" si="3"/>
        <v>455</v>
      </c>
      <c r="V59" s="106">
        <v>3009</v>
      </c>
      <c r="W59" s="106">
        <f t="shared" si="4"/>
        <v>603.5</v>
      </c>
      <c r="X59" s="106">
        <v>4216</v>
      </c>
      <c r="Y59" s="106">
        <f t="shared" si="5"/>
        <v>0</v>
      </c>
      <c r="Z59" s="106">
        <v>4216</v>
      </c>
      <c r="AA59" s="106">
        <f t="shared" si="6"/>
        <v>0</v>
      </c>
      <c r="AB59" s="106">
        <v>4216</v>
      </c>
      <c r="AC59" s="106">
        <f t="shared" si="7"/>
        <v>0</v>
      </c>
      <c r="AD59" s="106">
        <v>4216</v>
      </c>
      <c r="AE59" s="107">
        <f t="shared" si="8"/>
        <v>2867</v>
      </c>
    </row>
    <row r="60" spans="14:31" ht="15.6" customHeight="1" x14ac:dyDescent="0.3">
      <c r="N60" s="212"/>
      <c r="O60" s="94" t="s">
        <v>67</v>
      </c>
      <c r="P60" s="108"/>
      <c r="Q60" s="108">
        <v>1056</v>
      </c>
      <c r="R60" s="108">
        <v>1420</v>
      </c>
      <c r="S60" s="108">
        <f t="shared" si="2"/>
        <v>335.5</v>
      </c>
      <c r="T60" s="108">
        <v>2091</v>
      </c>
      <c r="U60" s="108">
        <f t="shared" si="3"/>
        <v>101</v>
      </c>
      <c r="V60" s="108">
        <v>2293</v>
      </c>
      <c r="W60" s="108">
        <f t="shared" si="4"/>
        <v>0</v>
      </c>
      <c r="X60" s="108">
        <v>2293</v>
      </c>
      <c r="Y60" s="108">
        <f t="shared" si="5"/>
        <v>0</v>
      </c>
      <c r="Z60" s="108">
        <v>2293</v>
      </c>
      <c r="AA60" s="108">
        <f t="shared" si="6"/>
        <v>0</v>
      </c>
      <c r="AB60" s="108">
        <v>2293</v>
      </c>
      <c r="AC60" s="108">
        <f t="shared" si="7"/>
        <v>0</v>
      </c>
      <c r="AD60" s="108">
        <v>2293</v>
      </c>
      <c r="AE60" s="109">
        <f t="shared" si="8"/>
        <v>1237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4727</v>
      </c>
      <c r="R62" s="104">
        <v>537</v>
      </c>
      <c r="S62" s="104">
        <f t="shared" si="2"/>
        <v>0</v>
      </c>
      <c r="T62" s="104">
        <v>537</v>
      </c>
      <c r="U62" s="104">
        <f t="shared" si="3"/>
        <v>0</v>
      </c>
      <c r="V62" s="104">
        <v>537</v>
      </c>
      <c r="W62" s="104">
        <f t="shared" si="4"/>
        <v>333.5</v>
      </c>
      <c r="X62" s="104">
        <v>1204</v>
      </c>
      <c r="Y62" s="104">
        <f t="shared" si="5"/>
        <v>1488.5</v>
      </c>
      <c r="Z62" s="104">
        <v>4181</v>
      </c>
      <c r="AA62" s="104">
        <f t="shared" si="6"/>
        <v>0</v>
      </c>
      <c r="AB62" s="104">
        <v>4181</v>
      </c>
      <c r="AC62" s="104">
        <f t="shared" si="7"/>
        <v>0</v>
      </c>
      <c r="AD62" s="104">
        <v>4181</v>
      </c>
      <c r="AE62" s="105">
        <f t="shared" si="8"/>
        <v>-546</v>
      </c>
    </row>
    <row r="63" spans="14:31" ht="15.6" customHeight="1" x14ac:dyDescent="0.3">
      <c r="N63" s="212"/>
      <c r="O63" s="95" t="s">
        <v>66</v>
      </c>
      <c r="P63" s="106"/>
      <c r="Q63" s="106">
        <v>7055</v>
      </c>
      <c r="R63" s="106">
        <v>104</v>
      </c>
      <c r="S63" s="106">
        <f t="shared" si="2"/>
        <v>0</v>
      </c>
      <c r="T63" s="106">
        <v>104</v>
      </c>
      <c r="U63" s="106">
        <f t="shared" si="3"/>
        <v>0</v>
      </c>
      <c r="V63" s="106">
        <v>104</v>
      </c>
      <c r="W63" s="106">
        <f t="shared" si="4"/>
        <v>270</v>
      </c>
      <c r="X63" s="106">
        <v>644</v>
      </c>
      <c r="Y63" s="106">
        <f t="shared" si="5"/>
        <v>2532.5</v>
      </c>
      <c r="Z63" s="106">
        <v>5709</v>
      </c>
      <c r="AA63" s="106">
        <f t="shared" si="6"/>
        <v>87</v>
      </c>
      <c r="AB63" s="106">
        <v>5883</v>
      </c>
      <c r="AC63" s="106">
        <f t="shared" si="7"/>
        <v>0</v>
      </c>
      <c r="AD63" s="106">
        <v>5883</v>
      </c>
      <c r="AE63" s="107">
        <f t="shared" si="8"/>
        <v>-1172</v>
      </c>
    </row>
    <row r="64" spans="14:31" ht="15.6" customHeight="1" x14ac:dyDescent="0.3">
      <c r="N64" s="212"/>
      <c r="O64" s="94" t="s">
        <v>67</v>
      </c>
      <c r="P64" s="108"/>
      <c r="Q64" s="108">
        <v>4173</v>
      </c>
      <c r="R64" s="108">
        <v>238</v>
      </c>
      <c r="S64" s="108">
        <f t="shared" si="2"/>
        <v>0</v>
      </c>
      <c r="T64" s="108">
        <v>238</v>
      </c>
      <c r="U64" s="108">
        <f t="shared" si="3"/>
        <v>0</v>
      </c>
      <c r="V64" s="108">
        <v>238</v>
      </c>
      <c r="W64" s="108">
        <f t="shared" si="4"/>
        <v>0</v>
      </c>
      <c r="X64" s="108">
        <v>238</v>
      </c>
      <c r="Y64" s="108">
        <f t="shared" si="5"/>
        <v>1542.5</v>
      </c>
      <c r="Z64" s="108">
        <v>3323</v>
      </c>
      <c r="AA64" s="108">
        <f t="shared" si="6"/>
        <v>0</v>
      </c>
      <c r="AB64" s="108">
        <v>3323</v>
      </c>
      <c r="AC64" s="108">
        <f t="shared" si="7"/>
        <v>0</v>
      </c>
      <c r="AD64" s="108">
        <v>3323</v>
      </c>
      <c r="AE64" s="109">
        <f t="shared" si="8"/>
        <v>-850</v>
      </c>
    </row>
    <row r="65" spans="14:31" ht="15.6" customHeight="1" thickBot="1" x14ac:dyDescent="0.35">
      <c r="N65" s="213"/>
      <c r="O65" s="99" t="s">
        <v>68</v>
      </c>
      <c r="P65" s="114"/>
      <c r="Q65" s="114">
        <v>1378</v>
      </c>
      <c r="R65" s="114">
        <v>215</v>
      </c>
      <c r="S65" s="114">
        <f t="shared" si="2"/>
        <v>0</v>
      </c>
      <c r="T65" s="114">
        <v>215</v>
      </c>
      <c r="U65" s="114">
        <f t="shared" si="3"/>
        <v>0</v>
      </c>
      <c r="V65" s="114">
        <v>215</v>
      </c>
      <c r="W65" s="114">
        <f t="shared" si="4"/>
        <v>0</v>
      </c>
      <c r="X65" s="114">
        <v>215</v>
      </c>
      <c r="Y65" s="114">
        <f t="shared" si="5"/>
        <v>348.5</v>
      </c>
      <c r="Z65" s="114">
        <v>912</v>
      </c>
      <c r="AA65" s="114">
        <f t="shared" si="6"/>
        <v>0</v>
      </c>
      <c r="AB65" s="114">
        <v>912</v>
      </c>
      <c r="AC65" s="114">
        <f t="shared" si="7"/>
        <v>0</v>
      </c>
      <c r="AD65" s="114">
        <v>912</v>
      </c>
      <c r="AE65" s="115">
        <f t="shared" si="8"/>
        <v>-466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59" priority="11" operator="lessThan">
      <formula>0</formula>
    </cfRule>
    <cfRule type="cellIs" dxfId="1858" priority="12" operator="greaterThan">
      <formula>0</formula>
    </cfRule>
  </conditionalFormatting>
  <conditionalFormatting sqref="R25:AC25">
    <cfRule type="cellIs" dxfId="1857" priority="9" operator="lessThan">
      <formula>0</formula>
    </cfRule>
    <cfRule type="cellIs" dxfId="1856" priority="10" operator="greaterThan">
      <formula>0</formula>
    </cfRule>
  </conditionalFormatting>
  <conditionalFormatting sqref="R26 T26 V26 X26 Z26 AB26">
    <cfRule type="cellIs" dxfId="1855" priority="7" operator="lessThan">
      <formula>0</formula>
    </cfRule>
    <cfRule type="cellIs" dxfId="1854" priority="8" operator="greaterThan">
      <formula>0</formula>
    </cfRule>
  </conditionalFormatting>
  <conditionalFormatting sqref="AD24:AE24">
    <cfRule type="cellIs" dxfId="1853" priority="5" operator="lessThan">
      <formula>0</formula>
    </cfRule>
    <cfRule type="cellIs" dxfId="1852" priority="6" operator="greaterThan">
      <formula>0</formula>
    </cfRule>
  </conditionalFormatting>
  <conditionalFormatting sqref="AD25:AE25">
    <cfRule type="cellIs" dxfId="1851" priority="3" operator="lessThan">
      <formula>0</formula>
    </cfRule>
    <cfRule type="cellIs" dxfId="1850" priority="4" operator="greaterThan">
      <formula>0</formula>
    </cfRule>
  </conditionalFormatting>
  <conditionalFormatting sqref="AD26">
    <cfRule type="cellIs" dxfId="1849" priority="1" operator="lessThan">
      <formula>0</formula>
    </cfRule>
    <cfRule type="cellIs" dxfId="184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1"/>
    <pageSetUpPr fitToPage="1"/>
  </sheetPr>
  <dimension ref="B1:AQ65"/>
  <sheetViews>
    <sheetView topLeftCell="F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44364</v>
      </c>
    </row>
    <row r="3" spans="2:42" ht="18.75" customHeight="1" thickBot="1" x14ac:dyDescent="0.35">
      <c r="B3" t="s">
        <v>1</v>
      </c>
      <c r="C3" s="3">
        <f>C2+1</f>
        <v>44365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7138</v>
      </c>
      <c r="E6" s="18" t="s">
        <v>22</v>
      </c>
      <c r="F6" s="119">
        <v>22490</v>
      </c>
      <c r="G6" s="117">
        <v>19934.043750000001</v>
      </c>
      <c r="H6" s="117">
        <v>16381.072061299999</v>
      </c>
      <c r="I6" s="19">
        <f>G6+H6</f>
        <v>36315.115811299998</v>
      </c>
      <c r="J6" s="119">
        <v>19230</v>
      </c>
      <c r="K6" s="117">
        <v>16289.2515</v>
      </c>
      <c r="L6" s="117">
        <v>11420.30170706</v>
      </c>
      <c r="M6" s="19">
        <f>K6+L6</f>
        <v>27709.553207060002</v>
      </c>
      <c r="N6" s="85">
        <v>64</v>
      </c>
      <c r="O6" s="85">
        <v>54</v>
      </c>
      <c r="P6" s="92"/>
      <c r="Q6" s="20">
        <f>J6-P6</f>
        <v>19230</v>
      </c>
      <c r="R6" s="21">
        <v>6894</v>
      </c>
      <c r="S6" s="20">
        <f>IF(R6&gt;0,(R6-R7-$Q6),"")</f>
        <v>-12357</v>
      </c>
      <c r="T6" s="21">
        <v>8125</v>
      </c>
      <c r="U6" s="20">
        <f>IF(T6&gt;0,(T6-T7-$Q6),"")</f>
        <v>-11126</v>
      </c>
      <c r="V6" s="21">
        <v>12330</v>
      </c>
      <c r="W6" s="20">
        <f>IF(V6&gt;0,(V6-V7-$Q6),"")</f>
        <v>-7462</v>
      </c>
      <c r="X6" s="21">
        <v>14419</v>
      </c>
      <c r="Y6" s="20">
        <f>IF(X6&gt;0,(X6-X7-$Q6),"")</f>
        <v>-5370</v>
      </c>
      <c r="Z6" s="21">
        <v>17092</v>
      </c>
      <c r="AA6" s="20">
        <f>IF(Z6&gt;0,(Z6-Z7-$Q6),"")</f>
        <v>-2701</v>
      </c>
      <c r="AB6" s="21">
        <v>17092</v>
      </c>
      <c r="AC6" s="22">
        <f>IF(AB6&gt;0,(AB6-AB7-$Q6),"")</f>
        <v>-2701</v>
      </c>
      <c r="AD6" s="21">
        <v>17092</v>
      </c>
      <c r="AE6" s="22">
        <f>IF(AD6&gt;0,(AD6-AD7-$Q6),"")</f>
        <v>-2701</v>
      </c>
    </row>
    <row r="7" spans="2:42" x14ac:dyDescent="0.3">
      <c r="B7" s="16" t="s">
        <v>23</v>
      </c>
      <c r="C7" s="17">
        <v>2349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21</v>
      </c>
      <c r="S7" s="24"/>
      <c r="T7" s="25">
        <v>21</v>
      </c>
      <c r="U7" s="24"/>
      <c r="V7" s="25">
        <v>562</v>
      </c>
      <c r="W7" s="24"/>
      <c r="X7" s="25">
        <v>559</v>
      </c>
      <c r="Y7" s="24"/>
      <c r="Z7" s="25">
        <v>563</v>
      </c>
      <c r="AA7" s="24"/>
      <c r="AB7" s="25">
        <v>563</v>
      </c>
      <c r="AC7" s="26"/>
      <c r="AD7" s="25">
        <v>563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2756</v>
      </c>
      <c r="E8" s="29" t="s">
        <v>27</v>
      </c>
      <c r="F8" s="119">
        <v>15692</v>
      </c>
      <c r="G8" s="117">
        <v>6676.7034999999996</v>
      </c>
      <c r="H8" s="117">
        <v>1464.1060755000001</v>
      </c>
      <c r="I8" s="19">
        <f>G8+H8</f>
        <v>8140.8095754999995</v>
      </c>
      <c r="J8" s="119">
        <v>15533</v>
      </c>
      <c r="K8" s="117">
        <v>6594.9639999999999</v>
      </c>
      <c r="L8" s="117">
        <v>1467.5286043999999</v>
      </c>
      <c r="M8" s="19">
        <f>K8+L8</f>
        <v>8062.4926044000003</v>
      </c>
      <c r="N8" s="87">
        <v>26</v>
      </c>
      <c r="O8" s="87">
        <v>22</v>
      </c>
      <c r="P8" s="92"/>
      <c r="Q8" s="20">
        <f>J8-P8</f>
        <v>15533</v>
      </c>
      <c r="R8" s="21">
        <v>1800</v>
      </c>
      <c r="S8" s="20">
        <f>IF(R8&gt;0,(R8-R9-$Q8),"")</f>
        <v>-15533</v>
      </c>
      <c r="T8" s="21">
        <v>1800</v>
      </c>
      <c r="U8" s="20">
        <f>IF(T8&gt;0,(T8-T9-$Q8),"")</f>
        <v>-13733</v>
      </c>
      <c r="V8" s="21">
        <v>3473</v>
      </c>
      <c r="W8" s="20">
        <f>IF(V8&gt;0,(V8-V9-$Q8),"")</f>
        <v>-12060</v>
      </c>
      <c r="X8" s="21">
        <v>13434</v>
      </c>
      <c r="Y8" s="20">
        <f>IF(X8&gt;0,(X8-X9-$Q8),"")</f>
        <v>-2099</v>
      </c>
      <c r="Z8" s="21">
        <v>14979</v>
      </c>
      <c r="AA8" s="20">
        <f>IF(Z8&gt;0,(Z8-Z9-$Q8),"")</f>
        <v>-554</v>
      </c>
      <c r="AB8" s="21">
        <v>14979</v>
      </c>
      <c r="AC8" s="22">
        <f>IF(AB8&gt;0,(AB8-AB9-$Q8),"")</f>
        <v>-554</v>
      </c>
      <c r="AD8" s="21">
        <v>14979</v>
      </c>
      <c r="AE8" s="22">
        <f>IF(AD8&gt;0,(AD8-AD9-$Q8),"")</f>
        <v>-554</v>
      </c>
    </row>
    <row r="9" spans="2:42" x14ac:dyDescent="0.3">
      <c r="B9" s="28" t="s">
        <v>28</v>
      </c>
      <c r="C9" s="17">
        <v>2337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1800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4524</v>
      </c>
      <c r="E10" s="18" t="s">
        <v>31</v>
      </c>
      <c r="F10" s="119">
        <v>19491</v>
      </c>
      <c r="G10" s="117">
        <v>14848.40525</v>
      </c>
      <c r="H10" s="117">
        <v>1909.5889775000001</v>
      </c>
      <c r="I10" s="19">
        <f>G10+H10</f>
        <v>16757.994227499999</v>
      </c>
      <c r="J10" s="119">
        <v>19761</v>
      </c>
      <c r="K10" s="117">
        <v>15080.654500000001</v>
      </c>
      <c r="L10" s="117">
        <v>1621.3078224999999</v>
      </c>
      <c r="M10" s="19">
        <f>K10+L10</f>
        <v>16701.9623225</v>
      </c>
      <c r="N10" s="88">
        <v>46</v>
      </c>
      <c r="O10" s="88">
        <v>38</v>
      </c>
      <c r="P10" s="92"/>
      <c r="Q10" s="20">
        <f>J10-P10</f>
        <v>19761</v>
      </c>
      <c r="R10" s="21">
        <v>4787</v>
      </c>
      <c r="S10" s="20">
        <f>IF(R10&gt;0,(R10-R11-$Q10),"")</f>
        <v>-15922</v>
      </c>
      <c r="T10" s="21">
        <v>6917</v>
      </c>
      <c r="U10" s="20">
        <f>IF(T10&gt;0,(T10-T11-$Q10),"")</f>
        <v>-13792</v>
      </c>
      <c r="V10" s="21">
        <v>9497</v>
      </c>
      <c r="W10" s="20">
        <f>IF(V10&gt;0,(V10-V11-$Q10),"")</f>
        <v>-12207</v>
      </c>
      <c r="X10" s="21">
        <v>9369</v>
      </c>
      <c r="Y10" s="20">
        <f>IF(X10&gt;0,(X10-X11-$Q10),"")</f>
        <v>-11266</v>
      </c>
      <c r="Z10" s="21">
        <v>16716</v>
      </c>
      <c r="AA10" s="20">
        <f>IF(Z10&gt;0,(Z10-Z11-$Q10),"")</f>
        <v>-6132</v>
      </c>
      <c r="AB10" s="21">
        <v>18082</v>
      </c>
      <c r="AC10" s="22">
        <f>IF(AB10&gt;0,(AB10-AB11-$Q10),"")</f>
        <v>-4766</v>
      </c>
      <c r="AD10" s="21">
        <v>18082</v>
      </c>
      <c r="AE10" s="22">
        <f>IF(AD10&gt;0,(AD10-AD11-$Q10),"")</f>
        <v>-4766</v>
      </c>
    </row>
    <row r="11" spans="2:42" x14ac:dyDescent="0.3">
      <c r="B11" s="16" t="s">
        <v>32</v>
      </c>
      <c r="C11" s="17">
        <v>2096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948</v>
      </c>
      <c r="S11" s="24"/>
      <c r="T11" s="30">
        <v>948</v>
      </c>
      <c r="U11" s="24"/>
      <c r="V11" s="30">
        <v>1943</v>
      </c>
      <c r="W11" s="24"/>
      <c r="X11" s="30">
        <v>874</v>
      </c>
      <c r="Y11" s="24"/>
      <c r="Z11" s="30">
        <v>3087</v>
      </c>
      <c r="AA11" s="24"/>
      <c r="AB11" s="30">
        <v>3087</v>
      </c>
      <c r="AC11" s="26"/>
      <c r="AD11" s="30">
        <v>3087</v>
      </c>
      <c r="AE11" s="26"/>
    </row>
    <row r="12" spans="2:42" x14ac:dyDescent="0.3">
      <c r="B12" s="16" t="s">
        <v>34</v>
      </c>
      <c r="C12" s="17">
        <v>1679</v>
      </c>
      <c r="E12" s="29" t="s">
        <v>35</v>
      </c>
      <c r="F12" s="119">
        <v>15899</v>
      </c>
      <c r="G12" s="117">
        <v>13931.596250000001</v>
      </c>
      <c r="H12" s="117">
        <v>13332.43282826</v>
      </c>
      <c r="I12" s="19">
        <f>G12+H12</f>
        <v>27264.029078259999</v>
      </c>
      <c r="J12" s="119">
        <v>16182</v>
      </c>
      <c r="K12" s="117">
        <v>14079.82425</v>
      </c>
      <c r="L12" s="117">
        <v>13080.649137539989</v>
      </c>
      <c r="M12" s="19">
        <f>K12+L12</f>
        <v>27160.473387539991</v>
      </c>
      <c r="N12" s="88">
        <v>36</v>
      </c>
      <c r="O12" s="88">
        <v>29</v>
      </c>
      <c r="P12" s="92"/>
      <c r="Q12" s="20">
        <f>J12-P12</f>
        <v>16182</v>
      </c>
      <c r="R12" s="21">
        <v>3472</v>
      </c>
      <c r="S12" s="20">
        <f>IF(R12&gt;0,(R12-R13-$Q12),"")</f>
        <v>-13472</v>
      </c>
      <c r="T12" s="21">
        <v>5608</v>
      </c>
      <c r="U12" s="20">
        <f>IF(T12&gt;0,(T12-T13-$Q12),"")</f>
        <v>-12026</v>
      </c>
      <c r="V12" s="21">
        <v>8687</v>
      </c>
      <c r="W12" s="20">
        <f>IF(V12&gt;0,(V12-V13-$Q12),"")</f>
        <v>-9467</v>
      </c>
      <c r="X12" s="21">
        <v>11308</v>
      </c>
      <c r="Y12" s="20">
        <f>IF(X12&gt;0,(X12-X13-$Q12),"")</f>
        <v>-7474</v>
      </c>
      <c r="Z12" s="21">
        <v>13245</v>
      </c>
      <c r="AA12" s="20">
        <f>IF(Z12&gt;0,(Z12-Z13-$Q12),"")</f>
        <v>-5901</v>
      </c>
      <c r="AB12" s="21">
        <v>13245</v>
      </c>
      <c r="AC12" s="22">
        <f>IF(AB12&gt;0,(AB12-AB13-$Q12),"")</f>
        <v>-5901</v>
      </c>
      <c r="AD12" s="21">
        <v>13245</v>
      </c>
      <c r="AE12" s="22">
        <f>IF(AD12&gt;0,(AD12-AD13-$Q12),"")</f>
        <v>-5901</v>
      </c>
    </row>
    <row r="13" spans="2:42" x14ac:dyDescent="0.3">
      <c r="B13" s="16" t="s">
        <v>36</v>
      </c>
      <c r="C13" s="17">
        <v>4913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762</v>
      </c>
      <c r="S13" s="24"/>
      <c r="T13" s="30">
        <v>1452</v>
      </c>
      <c r="U13" s="24"/>
      <c r="V13" s="30">
        <v>1972</v>
      </c>
      <c r="W13" s="24"/>
      <c r="X13" s="30">
        <v>2600</v>
      </c>
      <c r="Y13" s="24"/>
      <c r="Z13" s="30">
        <v>2964</v>
      </c>
      <c r="AA13" s="24"/>
      <c r="AB13" s="30">
        <v>2964</v>
      </c>
      <c r="AC13" s="26"/>
      <c r="AD13" s="30">
        <v>2964</v>
      </c>
      <c r="AE13" s="26"/>
    </row>
    <row r="14" spans="2:42" x14ac:dyDescent="0.3">
      <c r="B14" s="16" t="s">
        <v>38</v>
      </c>
      <c r="C14" s="17">
        <v>8880</v>
      </c>
      <c r="E14" s="18" t="s">
        <v>39</v>
      </c>
      <c r="F14" s="119">
        <v>20854</v>
      </c>
      <c r="G14" s="117">
        <v>20627.25</v>
      </c>
      <c r="H14" s="117">
        <v>27936.918358220009</v>
      </c>
      <c r="I14" s="19">
        <f>G14+H14</f>
        <v>48564.168358220006</v>
      </c>
      <c r="J14" s="119">
        <v>20920</v>
      </c>
      <c r="K14" s="117">
        <v>20784.75</v>
      </c>
      <c r="L14" s="117">
        <v>27278.01906336</v>
      </c>
      <c r="M14" s="19">
        <f>K14+L14</f>
        <v>48062.76906336</v>
      </c>
      <c r="N14" s="88">
        <v>62</v>
      </c>
      <c r="O14" s="88">
        <v>47</v>
      </c>
      <c r="P14" s="92"/>
      <c r="Q14" s="20">
        <f>J14-P14</f>
        <v>20920</v>
      </c>
      <c r="R14" s="21">
        <v>765</v>
      </c>
      <c r="S14" s="20">
        <f>IF(R14&gt;0,(R14-R15-$Q14),"")</f>
        <v>-20155</v>
      </c>
      <c r="T14" s="21">
        <v>1234</v>
      </c>
      <c r="U14" s="20">
        <f>IF(T14&gt;0,(T14-T15-$Q14),"")</f>
        <v>-19686</v>
      </c>
      <c r="V14" s="21">
        <v>1690</v>
      </c>
      <c r="W14" s="20">
        <f>IF(V14&gt;0,(V14-V15-$Q14),"")</f>
        <v>-19230</v>
      </c>
      <c r="X14" s="21">
        <v>0</v>
      </c>
      <c r="Y14" s="20" t="str">
        <f>IF(X14&gt;0,(X14-X15-$Q14),"")</f>
        <v/>
      </c>
      <c r="Z14" s="21">
        <v>15843</v>
      </c>
      <c r="AA14" s="20">
        <f>IF(Z14&gt;0,(Z14-Z15-$Q14),"")</f>
        <v>-15724</v>
      </c>
      <c r="AB14" s="21">
        <v>15843</v>
      </c>
      <c r="AC14" s="22">
        <f>IF(AB14&gt;0,(AB14-AB15-$Q14),"")</f>
        <v>-15724</v>
      </c>
      <c r="AD14" s="21">
        <v>15843</v>
      </c>
      <c r="AE14" s="22">
        <f>IF(AD14&gt;0,(AD14-AD15-$Q14),"")</f>
        <v>-15724</v>
      </c>
    </row>
    <row r="15" spans="2:42" ht="15" customHeight="1" thickBot="1" x14ac:dyDescent="0.35">
      <c r="B15" s="16" t="s">
        <v>40</v>
      </c>
      <c r="C15" s="17">
        <v>2705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15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10647</v>
      </c>
      <c r="AA15" s="24"/>
      <c r="AB15" s="25">
        <v>10647</v>
      </c>
      <c r="AC15" s="26"/>
      <c r="AD15" s="25">
        <v>10647</v>
      </c>
      <c r="AE15" s="26"/>
    </row>
    <row r="16" spans="2:42" ht="15" customHeight="1" thickBot="1" x14ac:dyDescent="0.35">
      <c r="B16" s="28" t="s">
        <v>42</v>
      </c>
      <c r="C16" s="17">
        <v>13296</v>
      </c>
      <c r="E16" s="84"/>
      <c r="F16" s="31">
        <f t="shared" ref="F16:M16" si="0">SUM(F6:F15)</f>
        <v>94426</v>
      </c>
      <c r="G16" s="31">
        <f t="shared" si="0"/>
        <v>76017.998749999999</v>
      </c>
      <c r="H16" s="31">
        <f t="shared" si="0"/>
        <v>61024.118300780014</v>
      </c>
      <c r="I16" s="32">
        <f t="shared" si="0"/>
        <v>137042.11705077998</v>
      </c>
      <c r="J16" s="33">
        <f t="shared" si="0"/>
        <v>91626</v>
      </c>
      <c r="K16" s="33">
        <f t="shared" si="0"/>
        <v>72829.44425</v>
      </c>
      <c r="L16" s="33">
        <f t="shared" si="0"/>
        <v>54867.80633485999</v>
      </c>
      <c r="M16" s="33">
        <f t="shared" si="0"/>
        <v>127697.25058485998</v>
      </c>
      <c r="N16" s="31">
        <f>SUM(N14,N12,N10,N8,N6)</f>
        <v>234</v>
      </c>
      <c r="O16" s="31">
        <f>SUM(O14,O12,O10,O8,O6)</f>
        <v>190</v>
      </c>
      <c r="P16" s="34">
        <f>SUM(P6:P15)</f>
        <v>0</v>
      </c>
      <c r="Q16" s="34">
        <f>SUM(Q6:Q15)</f>
        <v>91626</v>
      </c>
      <c r="R16" s="35">
        <f>R6+R8+R10+R12+R14-R7-R9-R11-R13-R15</f>
        <v>14187</v>
      </c>
      <c r="S16" s="36">
        <f>IF(R16&gt;1,(R16-$Q16),"")</f>
        <v>-77439</v>
      </c>
      <c r="T16" s="35">
        <f>T6+T8+T10+T12+T14-T7-T9-T11-T13-T15</f>
        <v>21263</v>
      </c>
      <c r="U16" s="36">
        <f>IF(T16&gt;1,(T16-$Q16),"")</f>
        <v>-70363</v>
      </c>
      <c r="V16" s="35">
        <f>V6+V8+V10+V12+V14-V7-V9-V11-V13-V15</f>
        <v>31200</v>
      </c>
      <c r="W16" s="36">
        <f>IF(V16&gt;1,(V16-$Q16),"")</f>
        <v>-60426</v>
      </c>
      <c r="X16" s="35">
        <f>X6+X8+X10+X12+X14-X7-X9-X11-X13-X15</f>
        <v>44497</v>
      </c>
      <c r="Y16" s="36">
        <f>IF(X16&gt;1,(X16-$Q16),"")</f>
        <v>-47129</v>
      </c>
      <c r="Z16" s="35">
        <f>Z6+Z8+Z10+Z12+Z14-Z7-Z9-Z11-Z13-Z15</f>
        <v>60614</v>
      </c>
      <c r="AA16" s="36">
        <f>IF(Z16&gt;1,(Z16-$Q16),"")</f>
        <v>-31012</v>
      </c>
      <c r="AB16" s="35">
        <f>AB6+AB8+AB10+AB12+AB14-AB7-AB9-AB11-AB13-AB15</f>
        <v>61980</v>
      </c>
      <c r="AC16" s="37">
        <f>IF(AB16&gt;1,(AB16-$Q16),"")</f>
        <v>-29646</v>
      </c>
      <c r="AD16" s="35">
        <f>AD6+AD8+AD10+AD12+AD14-AD7-AD9-AD11-AD13-AD15</f>
        <v>61980</v>
      </c>
      <c r="AE16" s="37">
        <f>IF(AD16&gt;1,(AD16-$Q16),"")</f>
        <v>-29646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3531</v>
      </c>
      <c r="S17" s="41"/>
      <c r="T17" s="40">
        <f>T15+T13+T11+T9+T7</f>
        <v>2421</v>
      </c>
      <c r="U17" s="41"/>
      <c r="V17" s="40">
        <f>V15+V13+V11+V9+V7</f>
        <v>4477</v>
      </c>
      <c r="W17" s="41"/>
      <c r="X17" s="40">
        <f>X15+X13+X11+X9+X7</f>
        <v>4033</v>
      </c>
      <c r="Y17" s="41"/>
      <c r="Z17" s="40">
        <f>Z15+Z13+Z11+Z9+Z7</f>
        <v>17261</v>
      </c>
      <c r="AA17" s="41"/>
      <c r="AB17" s="40">
        <f>AB15+AB13+AB11+AB9+AB7</f>
        <v>17261</v>
      </c>
      <c r="AC17" s="42"/>
      <c r="AD17" s="40">
        <f>AD15+AD13+AD11+AD9+AD7</f>
        <v>17261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7093.5</v>
      </c>
      <c r="S18" s="46"/>
      <c r="T18" s="47">
        <f>IF(T16&gt;0,(T16-R16)/2,"")</f>
        <v>3538</v>
      </c>
      <c r="U18" s="46"/>
      <c r="V18" s="47">
        <f>IF(V16&gt;0,(V16-T16)/2,"")</f>
        <v>4968.5</v>
      </c>
      <c r="W18" s="46"/>
      <c r="X18" s="47">
        <f>IF(X16&gt;0,(X16-V16)/2,"")</f>
        <v>6648.5</v>
      </c>
      <c r="Y18" s="46"/>
      <c r="Z18" s="47">
        <f>IF(Z16&gt;0,(Z16-X16)/2,"")</f>
        <v>8058.5</v>
      </c>
      <c r="AA18" s="46"/>
      <c r="AB18" s="47">
        <f>IF(AB16&gt;0,(AB16-Z16)/2,"")</f>
        <v>683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1131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559</v>
      </c>
      <c r="L20" s="4"/>
      <c r="M20" s="4"/>
      <c r="Q20" s="51" t="s">
        <v>49</v>
      </c>
      <c r="R20" s="35">
        <v>14568</v>
      </c>
      <c r="S20" s="36"/>
      <c r="T20" s="35">
        <v>15636</v>
      </c>
      <c r="U20" s="36"/>
      <c r="V20" s="35">
        <v>27725</v>
      </c>
      <c r="W20" s="36"/>
      <c r="X20" s="35">
        <v>42491</v>
      </c>
      <c r="Y20" s="36"/>
      <c r="Z20" s="35">
        <v>44807</v>
      </c>
      <c r="AA20" s="36"/>
      <c r="AB20" s="35">
        <v>44981</v>
      </c>
      <c r="AC20" s="37"/>
      <c r="AD20" s="35">
        <v>44981</v>
      </c>
      <c r="AE20" s="37"/>
    </row>
    <row r="21" spans="2:43" ht="15" customHeight="1" thickBot="1" x14ac:dyDescent="0.35">
      <c r="B21" s="16" t="s">
        <v>50</v>
      </c>
      <c r="C21" s="17">
        <v>8794</v>
      </c>
      <c r="L21" s="4"/>
      <c r="M21" s="4"/>
      <c r="Q21" s="52"/>
      <c r="R21" s="40">
        <v>2008</v>
      </c>
      <c r="S21" s="41"/>
      <c r="T21" s="40">
        <v>2168</v>
      </c>
      <c r="U21" s="41"/>
      <c r="V21" s="40">
        <v>3394</v>
      </c>
      <c r="W21" s="41"/>
      <c r="X21" s="40">
        <v>4376</v>
      </c>
      <c r="Y21" s="41"/>
      <c r="Z21" s="40">
        <v>14018</v>
      </c>
      <c r="AA21" s="41"/>
      <c r="AB21" s="40">
        <v>14018</v>
      </c>
      <c r="AC21" s="42"/>
      <c r="AD21" s="40">
        <v>14018</v>
      </c>
      <c r="AE21" s="42"/>
    </row>
    <row r="22" spans="2:43" ht="15" customHeight="1" thickBot="1" x14ac:dyDescent="0.35">
      <c r="B22" s="16" t="s">
        <v>51</v>
      </c>
      <c r="C22" s="17">
        <v>1856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4365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-381</v>
      </c>
      <c r="S24" s="60"/>
      <c r="T24" s="60">
        <f>IF(T16&gt;0,T16-T20,"")</f>
        <v>5627</v>
      </c>
      <c r="U24" s="60"/>
      <c r="V24" s="60">
        <f>IF(V16&gt;0,V16-V20,"")</f>
        <v>3475</v>
      </c>
      <c r="W24" s="60"/>
      <c r="X24" s="60">
        <f>IF(X16&gt;0,X16-X20,"")</f>
        <v>2006</v>
      </c>
      <c r="Y24" s="60"/>
      <c r="Z24" s="60">
        <f>IF(Z16&gt;0,Z16-Z20,"")</f>
        <v>15807</v>
      </c>
      <c r="AA24" s="60"/>
      <c r="AB24" s="60">
        <f>IF(AB16&gt;0,AB16-AB20,"")</f>
        <v>16999</v>
      </c>
      <c r="AC24" s="61"/>
      <c r="AD24" s="60">
        <f>IF(AD16&gt;0,AD16-AD20,"")</f>
        <v>16999</v>
      </c>
      <c r="AE24" s="61"/>
    </row>
    <row r="25" spans="2:43" x14ac:dyDescent="0.3">
      <c r="L25" s="4"/>
      <c r="M25" s="4"/>
      <c r="Q25" s="62"/>
      <c r="R25" s="63">
        <f>IF(R17&gt;=0,R17-R21,"")</f>
        <v>1523</v>
      </c>
      <c r="S25" s="64"/>
      <c r="T25" s="63">
        <f>IF(T17&gt;=0,T17-T21,"")</f>
        <v>253</v>
      </c>
      <c r="U25" s="64"/>
      <c r="V25" s="63">
        <f>IF(V17&gt;=0,V17-V21,"")</f>
        <v>1083</v>
      </c>
      <c r="W25" s="64"/>
      <c r="X25" s="63">
        <f>IF(X17&gt;=0,X17-X21,"")</f>
        <v>-343</v>
      </c>
      <c r="Y25" s="64"/>
      <c r="Z25" s="63">
        <f>IF(Z17&gt;=0,Z17-Z21,"")</f>
        <v>3243</v>
      </c>
      <c r="AA25" s="64"/>
      <c r="AB25" s="63">
        <f>IF(AB17&gt;=0,AB17-AB21,"")</f>
        <v>3243</v>
      </c>
      <c r="AC25" s="65"/>
      <c r="AD25" s="63">
        <f>IF(AD17&gt;=0,AD17-AD21,"")</f>
        <v>3243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7093.5</v>
      </c>
      <c r="S26" s="55"/>
      <c r="T26" s="67">
        <f>IFERROR(IF(T18&gt;0,T18-T22,""),"")</f>
        <v>3538</v>
      </c>
      <c r="U26" s="55"/>
      <c r="V26" s="67">
        <f>IFERROR(IF(V18&gt;0,V18-V22,""),"")</f>
        <v>4968.5</v>
      </c>
      <c r="W26" s="55"/>
      <c r="X26" s="67">
        <f>IFERROR(IF(X18&gt;0,X18-X22,""),"")</f>
        <v>6648.5</v>
      </c>
      <c r="Y26" s="55"/>
      <c r="Z26" s="67">
        <f>IFERROR(IF(Z18&gt;0,Z18-Z22,""),"")</f>
        <v>8058.5</v>
      </c>
      <c r="AA26" s="55"/>
      <c r="AB26" s="67">
        <f>IFERROR(IF(AB18&gt;0,AB18-AB22,""),"")</f>
        <v>683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12160</v>
      </c>
      <c r="D29" s="76">
        <f>C14</f>
        <v>8880</v>
      </c>
      <c r="E29" s="77">
        <f t="shared" ref="E29:E34" si="1">D29-C29</f>
        <v>-3280</v>
      </c>
      <c r="M29" s="4"/>
      <c r="O29" s="4"/>
    </row>
    <row r="30" spans="2:43" x14ac:dyDescent="0.3">
      <c r="B30" s="74" t="s">
        <v>56</v>
      </c>
      <c r="C30" s="75">
        <v>34640</v>
      </c>
      <c r="D30" s="76">
        <f>C7+C15+C16+C19+C20</f>
        <v>20040</v>
      </c>
      <c r="E30" s="77">
        <f t="shared" si="1"/>
        <v>-14600</v>
      </c>
      <c r="J30" s="53"/>
      <c r="L30" s="53"/>
      <c r="M30" s="4"/>
      <c r="O30" s="4"/>
    </row>
    <row r="31" spans="2:43" x14ac:dyDescent="0.3">
      <c r="B31" s="74" t="s">
        <v>21</v>
      </c>
      <c r="C31" s="75">
        <v>7138</v>
      </c>
      <c r="D31" s="76">
        <f>C6</f>
        <v>7138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13212</v>
      </c>
      <c r="D32" s="76">
        <f>C10+C11+C12+C13</f>
        <v>13212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15167</v>
      </c>
      <c r="D34" s="76">
        <f>C21+C22+C23</f>
        <v>15015</v>
      </c>
      <c r="E34" s="77">
        <f t="shared" si="1"/>
        <v>-152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5093</v>
      </c>
      <c r="D35" s="80">
        <f>SUM(C8+C9)</f>
        <v>5093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3103</v>
      </c>
      <c r="R36" s="104">
        <v>1386</v>
      </c>
      <c r="S36" s="104">
        <f t="shared" ref="S36:S65" si="2">IF(T36&gt;0,(T36-R36)/2,"")</f>
        <v>0</v>
      </c>
      <c r="T36" s="104">
        <v>1386</v>
      </c>
      <c r="U36" s="104">
        <f t="shared" ref="U36:U65" si="3">IF(V36&gt;0,(V36-T36)/2,"")</f>
        <v>282</v>
      </c>
      <c r="V36" s="104">
        <v>1950</v>
      </c>
      <c r="W36" s="104">
        <f t="shared" ref="W36:W65" si="4">IF(X36&gt;0,(X36-V36)/2,"")</f>
        <v>350.5</v>
      </c>
      <c r="X36" s="104">
        <v>2651</v>
      </c>
      <c r="Y36" s="104">
        <f t="shared" ref="Y36:Y65" si="5">IF(Z36&gt;0,(Z36-X36)/2,"")</f>
        <v>15</v>
      </c>
      <c r="Z36" s="104">
        <v>2681</v>
      </c>
      <c r="AA36" s="104">
        <f t="shared" ref="AA36:AA65" si="6">IF(AB36&gt;0,(AB36-Z36)/2,"")</f>
        <v>0</v>
      </c>
      <c r="AB36" s="104">
        <v>2681</v>
      </c>
      <c r="AC36" s="104">
        <f t="shared" ref="AC36:AC65" si="7">IF(AD36&gt;0,(AD36-AB36)/2,"")</f>
        <v>0</v>
      </c>
      <c r="AD36" s="104">
        <v>2681</v>
      </c>
      <c r="AE36" s="105">
        <f t="shared" ref="AE36:AE65" si="8">AD36-Q36</f>
        <v>-422</v>
      </c>
    </row>
    <row r="37" spans="2:31" ht="15.6" customHeight="1" x14ac:dyDescent="0.3">
      <c r="N37" s="212"/>
      <c r="O37" s="95" t="s">
        <v>66</v>
      </c>
      <c r="P37" s="106"/>
      <c r="Q37" s="106">
        <v>1573</v>
      </c>
      <c r="R37" s="106">
        <v>490</v>
      </c>
      <c r="S37" s="106">
        <f t="shared" si="2"/>
        <v>0</v>
      </c>
      <c r="T37" s="106">
        <v>490</v>
      </c>
      <c r="U37" s="106">
        <f t="shared" si="3"/>
        <v>280.5</v>
      </c>
      <c r="V37" s="106">
        <v>1051</v>
      </c>
      <c r="W37" s="106">
        <f t="shared" si="4"/>
        <v>-6.5</v>
      </c>
      <c r="X37" s="106">
        <v>1038</v>
      </c>
      <c r="Y37" s="106">
        <f t="shared" si="5"/>
        <v>28</v>
      </c>
      <c r="Z37" s="106">
        <v>1094</v>
      </c>
      <c r="AA37" s="106">
        <f t="shared" si="6"/>
        <v>0</v>
      </c>
      <c r="AB37" s="106">
        <v>1094</v>
      </c>
      <c r="AC37" s="106">
        <f t="shared" si="7"/>
        <v>0</v>
      </c>
      <c r="AD37" s="106">
        <v>1094</v>
      </c>
      <c r="AE37" s="107">
        <f t="shared" si="8"/>
        <v>-479</v>
      </c>
    </row>
    <row r="38" spans="2:31" ht="15.6" customHeight="1" x14ac:dyDescent="0.3">
      <c r="N38" s="212"/>
      <c r="O38" s="94" t="s">
        <v>67</v>
      </c>
      <c r="P38" s="108"/>
      <c r="Q38" s="108">
        <v>2816</v>
      </c>
      <c r="R38" s="108">
        <v>300</v>
      </c>
      <c r="S38" s="108">
        <f t="shared" si="2"/>
        <v>205.5</v>
      </c>
      <c r="T38" s="108">
        <v>711</v>
      </c>
      <c r="U38" s="108">
        <f t="shared" si="3"/>
        <v>585</v>
      </c>
      <c r="V38" s="108">
        <v>1881</v>
      </c>
      <c r="W38" s="108">
        <f t="shared" si="4"/>
        <v>88.5</v>
      </c>
      <c r="X38" s="108">
        <v>2058</v>
      </c>
      <c r="Y38" s="108">
        <f t="shared" si="5"/>
        <v>0</v>
      </c>
      <c r="Z38" s="108">
        <v>2058</v>
      </c>
      <c r="AA38" s="108">
        <f t="shared" si="6"/>
        <v>0</v>
      </c>
      <c r="AB38" s="108">
        <v>2058</v>
      </c>
      <c r="AC38" s="108">
        <f t="shared" si="7"/>
        <v>0</v>
      </c>
      <c r="AD38" s="108">
        <v>2058</v>
      </c>
      <c r="AE38" s="109">
        <f t="shared" si="8"/>
        <v>-758</v>
      </c>
    </row>
    <row r="39" spans="2:31" ht="15.6" customHeight="1" x14ac:dyDescent="0.3">
      <c r="N39" s="212"/>
      <c r="O39" s="95" t="s">
        <v>68</v>
      </c>
      <c r="P39" s="106"/>
      <c r="Q39" s="106">
        <v>3148</v>
      </c>
      <c r="R39" s="106">
        <v>1412</v>
      </c>
      <c r="S39" s="106">
        <f t="shared" si="2"/>
        <v>0</v>
      </c>
      <c r="T39" s="106">
        <v>1412</v>
      </c>
      <c r="U39" s="106">
        <f t="shared" si="3"/>
        <v>420.5</v>
      </c>
      <c r="V39" s="106">
        <v>2253</v>
      </c>
      <c r="W39" s="106">
        <f t="shared" si="4"/>
        <v>-97</v>
      </c>
      <c r="X39" s="106">
        <v>2059</v>
      </c>
      <c r="Y39" s="106">
        <f t="shared" si="5"/>
        <v>546</v>
      </c>
      <c r="Z39" s="106">
        <v>3151</v>
      </c>
      <c r="AA39" s="106">
        <f t="shared" si="6"/>
        <v>0</v>
      </c>
      <c r="AB39" s="106">
        <v>3151</v>
      </c>
      <c r="AC39" s="106">
        <f t="shared" si="7"/>
        <v>0</v>
      </c>
      <c r="AD39" s="106">
        <v>3151</v>
      </c>
      <c r="AE39" s="107">
        <f t="shared" si="8"/>
        <v>3</v>
      </c>
    </row>
    <row r="40" spans="2:31" ht="15.6" customHeight="1" x14ac:dyDescent="0.3">
      <c r="N40" s="212"/>
      <c r="O40" s="94" t="s">
        <v>69</v>
      </c>
      <c r="P40" s="108"/>
      <c r="Q40" s="108">
        <v>3155</v>
      </c>
      <c r="R40" s="108">
        <v>1059</v>
      </c>
      <c r="S40" s="108">
        <f t="shared" si="2"/>
        <v>0</v>
      </c>
      <c r="T40" s="108">
        <v>1059</v>
      </c>
      <c r="U40" s="108">
        <f t="shared" si="3"/>
        <v>274.5</v>
      </c>
      <c r="V40" s="108">
        <v>1608</v>
      </c>
      <c r="W40" s="108">
        <f t="shared" si="4"/>
        <v>303</v>
      </c>
      <c r="X40" s="108">
        <v>2214</v>
      </c>
      <c r="Y40" s="108">
        <f t="shared" si="5"/>
        <v>466.5</v>
      </c>
      <c r="Z40" s="108">
        <v>3147</v>
      </c>
      <c r="AA40" s="108">
        <f t="shared" si="6"/>
        <v>0</v>
      </c>
      <c r="AB40" s="108">
        <v>3147</v>
      </c>
      <c r="AC40" s="108">
        <f t="shared" si="7"/>
        <v>0</v>
      </c>
      <c r="AD40" s="108">
        <v>3147</v>
      </c>
      <c r="AE40" s="109">
        <f t="shared" si="8"/>
        <v>-8</v>
      </c>
    </row>
    <row r="41" spans="2:31" ht="15.6" customHeight="1" x14ac:dyDescent="0.3">
      <c r="N41" s="212"/>
      <c r="O41" s="95" t="s">
        <v>70</v>
      </c>
      <c r="P41" s="106"/>
      <c r="Q41" s="106">
        <v>869</v>
      </c>
      <c r="R41" s="106">
        <v>417</v>
      </c>
      <c r="S41" s="106">
        <f t="shared" si="2"/>
        <v>0</v>
      </c>
      <c r="T41" s="106">
        <v>417</v>
      </c>
      <c r="U41" s="106">
        <f t="shared" si="3"/>
        <v>0</v>
      </c>
      <c r="V41" s="106">
        <v>417</v>
      </c>
      <c r="W41" s="106">
        <f t="shared" si="4"/>
        <v>226</v>
      </c>
      <c r="X41" s="106">
        <v>869</v>
      </c>
      <c r="Y41" s="106">
        <f t="shared" si="5"/>
        <v>0</v>
      </c>
      <c r="Z41" s="106">
        <v>869</v>
      </c>
      <c r="AA41" s="106">
        <f t="shared" si="6"/>
        <v>0</v>
      </c>
      <c r="AB41" s="106">
        <v>869</v>
      </c>
      <c r="AC41" s="106">
        <f t="shared" si="7"/>
        <v>0</v>
      </c>
      <c r="AD41" s="106">
        <v>869</v>
      </c>
      <c r="AE41" s="107">
        <f t="shared" si="8"/>
        <v>0</v>
      </c>
    </row>
    <row r="42" spans="2:31" ht="15.6" customHeight="1" x14ac:dyDescent="0.3">
      <c r="N42" s="212"/>
      <c r="O42" s="94" t="s">
        <v>71</v>
      </c>
      <c r="P42" s="108"/>
      <c r="Q42" s="108">
        <v>1172</v>
      </c>
      <c r="R42" s="108">
        <v>257</v>
      </c>
      <c r="S42" s="108">
        <f t="shared" si="2"/>
        <v>209</v>
      </c>
      <c r="T42" s="108">
        <v>675</v>
      </c>
      <c r="U42" s="108">
        <f t="shared" si="3"/>
        <v>0</v>
      </c>
      <c r="V42" s="108">
        <v>675</v>
      </c>
      <c r="W42" s="108">
        <f t="shared" si="4"/>
        <v>9.5</v>
      </c>
      <c r="X42" s="108">
        <v>694</v>
      </c>
      <c r="Y42" s="108">
        <f t="shared" si="5"/>
        <v>0</v>
      </c>
      <c r="Z42" s="108">
        <v>694</v>
      </c>
      <c r="AA42" s="108">
        <f t="shared" si="6"/>
        <v>0</v>
      </c>
      <c r="AB42" s="108">
        <v>694</v>
      </c>
      <c r="AC42" s="108">
        <f t="shared" si="7"/>
        <v>0</v>
      </c>
      <c r="AD42" s="108">
        <v>694</v>
      </c>
      <c r="AE42" s="109">
        <f t="shared" si="8"/>
        <v>-478</v>
      </c>
    </row>
    <row r="43" spans="2:31" ht="15.6" customHeight="1" x14ac:dyDescent="0.3">
      <c r="N43" s="212"/>
      <c r="O43" s="95" t="s">
        <v>72</v>
      </c>
      <c r="P43" s="106"/>
      <c r="Q43" s="106">
        <v>1673</v>
      </c>
      <c r="R43" s="106">
        <v>515</v>
      </c>
      <c r="S43" s="106">
        <f t="shared" si="2"/>
        <v>185.5</v>
      </c>
      <c r="T43" s="106">
        <v>886</v>
      </c>
      <c r="U43" s="106">
        <f t="shared" si="3"/>
        <v>0</v>
      </c>
      <c r="V43" s="106">
        <v>886</v>
      </c>
      <c r="W43" s="106">
        <f t="shared" si="4"/>
        <v>394</v>
      </c>
      <c r="X43" s="106">
        <v>1674</v>
      </c>
      <c r="Y43" s="106">
        <f t="shared" si="5"/>
        <v>0</v>
      </c>
      <c r="Z43" s="106">
        <v>1674</v>
      </c>
      <c r="AA43" s="106">
        <f t="shared" si="6"/>
        <v>0</v>
      </c>
      <c r="AB43" s="106">
        <v>1674</v>
      </c>
      <c r="AC43" s="106">
        <f t="shared" si="7"/>
        <v>0</v>
      </c>
      <c r="AD43" s="106">
        <v>1674</v>
      </c>
      <c r="AE43" s="107">
        <f t="shared" si="8"/>
        <v>1</v>
      </c>
    </row>
    <row r="44" spans="2:31" ht="15.6" customHeight="1" thickBot="1" x14ac:dyDescent="0.35">
      <c r="N44" s="213"/>
      <c r="O44" s="97" t="s">
        <v>73</v>
      </c>
      <c r="P44" s="110"/>
      <c r="Q44" s="110">
        <v>1721</v>
      </c>
      <c r="R44" s="110">
        <v>1058</v>
      </c>
      <c r="S44" s="110">
        <f t="shared" si="2"/>
        <v>15.5</v>
      </c>
      <c r="T44" s="110">
        <v>1089</v>
      </c>
      <c r="U44" s="110">
        <f t="shared" si="3"/>
        <v>260</v>
      </c>
      <c r="V44" s="110">
        <v>1609</v>
      </c>
      <c r="W44" s="110">
        <f t="shared" si="4"/>
        <v>-223.5</v>
      </c>
      <c r="X44" s="110">
        <v>1162</v>
      </c>
      <c r="Y44" s="110">
        <f t="shared" si="5"/>
        <v>281</v>
      </c>
      <c r="Z44" s="110">
        <v>1724</v>
      </c>
      <c r="AA44" s="110">
        <f t="shared" si="6"/>
        <v>0</v>
      </c>
      <c r="AB44" s="110">
        <v>1724</v>
      </c>
      <c r="AC44" s="110">
        <f t="shared" si="7"/>
        <v>0</v>
      </c>
      <c r="AD44" s="110">
        <v>1724</v>
      </c>
      <c r="AE44" s="111">
        <f t="shared" si="8"/>
        <v>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470</v>
      </c>
      <c r="V45" s="112">
        <v>1940</v>
      </c>
      <c r="W45" s="112">
        <f t="shared" si="4"/>
        <v>1456</v>
      </c>
      <c r="X45" s="112">
        <v>4852</v>
      </c>
      <c r="Y45" s="112">
        <f t="shared" si="5"/>
        <v>0</v>
      </c>
      <c r="Z45" s="112">
        <v>4852</v>
      </c>
      <c r="AA45" s="112">
        <f t="shared" si="6"/>
        <v>0</v>
      </c>
      <c r="AB45" s="112">
        <v>4852</v>
      </c>
      <c r="AC45" s="112">
        <f t="shared" si="7"/>
        <v>0</v>
      </c>
      <c r="AD45" s="112">
        <v>4852</v>
      </c>
      <c r="AE45" s="113">
        <f t="shared" si="8"/>
        <v>4852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1964.5</v>
      </c>
      <c r="X46" s="108">
        <v>3929</v>
      </c>
      <c r="Y46" s="108">
        <f t="shared" si="5"/>
        <v>0</v>
      </c>
      <c r="Z46" s="108">
        <v>3929</v>
      </c>
      <c r="AA46" s="108">
        <f t="shared" si="6"/>
        <v>0</v>
      </c>
      <c r="AB46" s="108">
        <v>3929</v>
      </c>
      <c r="AC46" s="108">
        <f t="shared" si="7"/>
        <v>0</v>
      </c>
      <c r="AD46" s="108">
        <v>3929</v>
      </c>
      <c r="AE46" s="109">
        <f t="shared" si="8"/>
        <v>3929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1033</v>
      </c>
      <c r="X47" s="106">
        <v>2066</v>
      </c>
      <c r="Y47" s="106">
        <f t="shared" si="5"/>
        <v>0</v>
      </c>
      <c r="Z47" s="106">
        <v>2066</v>
      </c>
      <c r="AA47" s="106">
        <f t="shared" si="6"/>
        <v>0</v>
      </c>
      <c r="AB47" s="106">
        <v>2066</v>
      </c>
      <c r="AC47" s="106">
        <f t="shared" si="7"/>
        <v>0</v>
      </c>
      <c r="AD47" s="106">
        <v>2066</v>
      </c>
      <c r="AE47" s="107">
        <f t="shared" si="8"/>
        <v>2066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800</v>
      </c>
      <c r="S48" s="110">
        <f t="shared" si="2"/>
        <v>0</v>
      </c>
      <c r="T48" s="110">
        <v>800</v>
      </c>
      <c r="U48" s="110">
        <f t="shared" si="3"/>
        <v>366.5</v>
      </c>
      <c r="V48" s="110">
        <v>1533</v>
      </c>
      <c r="W48" s="110">
        <f t="shared" si="4"/>
        <v>527</v>
      </c>
      <c r="X48" s="110">
        <v>2587</v>
      </c>
      <c r="Y48" s="110">
        <f t="shared" si="5"/>
        <v>772.5</v>
      </c>
      <c r="Z48" s="110">
        <v>4132</v>
      </c>
      <c r="AA48" s="110">
        <f t="shared" si="6"/>
        <v>0</v>
      </c>
      <c r="AB48" s="110">
        <v>4132</v>
      </c>
      <c r="AC48" s="110">
        <f t="shared" si="7"/>
        <v>0</v>
      </c>
      <c r="AD48" s="110">
        <v>4132</v>
      </c>
      <c r="AE48" s="111">
        <f t="shared" si="8"/>
        <v>4132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2108</v>
      </c>
      <c r="R49" s="112">
        <v>992</v>
      </c>
      <c r="S49" s="112">
        <f t="shared" si="2"/>
        <v>343</v>
      </c>
      <c r="T49" s="112">
        <v>1678</v>
      </c>
      <c r="U49" s="112">
        <f t="shared" si="3"/>
        <v>0</v>
      </c>
      <c r="V49" s="112">
        <v>1678</v>
      </c>
      <c r="W49" s="112">
        <f t="shared" si="4"/>
        <v>0</v>
      </c>
      <c r="X49" s="112">
        <v>1678</v>
      </c>
      <c r="Y49" s="112">
        <f t="shared" si="5"/>
        <v>77</v>
      </c>
      <c r="Z49" s="112">
        <v>1832</v>
      </c>
      <c r="AA49" s="112">
        <f t="shared" si="6"/>
        <v>108.5</v>
      </c>
      <c r="AB49" s="112">
        <v>2049</v>
      </c>
      <c r="AC49" s="112">
        <f t="shared" si="7"/>
        <v>0</v>
      </c>
      <c r="AD49" s="112">
        <v>2049</v>
      </c>
      <c r="AE49" s="113">
        <f t="shared" si="8"/>
        <v>-59</v>
      </c>
    </row>
    <row r="50" spans="14:31" ht="15.6" customHeight="1" x14ac:dyDescent="0.3">
      <c r="N50" s="212"/>
      <c r="O50" s="94" t="s">
        <v>66</v>
      </c>
      <c r="P50" s="108"/>
      <c r="Q50" s="108">
        <v>3735</v>
      </c>
      <c r="R50" s="108">
        <v>1050</v>
      </c>
      <c r="S50" s="108">
        <f t="shared" si="2"/>
        <v>140</v>
      </c>
      <c r="T50" s="108">
        <v>1330</v>
      </c>
      <c r="U50" s="108">
        <f t="shared" si="3"/>
        <v>0</v>
      </c>
      <c r="V50" s="108">
        <v>1330</v>
      </c>
      <c r="W50" s="108">
        <f t="shared" si="4"/>
        <v>0</v>
      </c>
      <c r="X50" s="108">
        <v>1330</v>
      </c>
      <c r="Y50" s="108">
        <f t="shared" si="5"/>
        <v>1202.5</v>
      </c>
      <c r="Z50" s="108">
        <v>3735</v>
      </c>
      <c r="AA50" s="108">
        <f t="shared" si="6"/>
        <v>0</v>
      </c>
      <c r="AB50" s="108">
        <v>3735</v>
      </c>
      <c r="AC50" s="108">
        <f t="shared" si="7"/>
        <v>0</v>
      </c>
      <c r="AD50" s="108">
        <v>3735</v>
      </c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>
        <v>1643</v>
      </c>
      <c r="R51" s="106">
        <v>669</v>
      </c>
      <c r="S51" s="106">
        <f t="shared" si="2"/>
        <v>0</v>
      </c>
      <c r="T51" s="106">
        <v>669</v>
      </c>
      <c r="U51" s="106">
        <f t="shared" si="3"/>
        <v>331.5</v>
      </c>
      <c r="V51" s="106">
        <v>1332</v>
      </c>
      <c r="W51" s="106" t="str">
        <f t="shared" si="4"/>
        <v/>
      </c>
      <c r="X51" s="106">
        <v>0</v>
      </c>
      <c r="Y51" s="106">
        <f t="shared" si="5"/>
        <v>846</v>
      </c>
      <c r="Z51" s="106">
        <v>1692</v>
      </c>
      <c r="AA51" s="106">
        <f t="shared" si="6"/>
        <v>0</v>
      </c>
      <c r="AB51" s="106">
        <v>1692</v>
      </c>
      <c r="AC51" s="106">
        <f t="shared" si="7"/>
        <v>0</v>
      </c>
      <c r="AD51" s="106">
        <v>1692</v>
      </c>
      <c r="AE51" s="107">
        <f t="shared" si="8"/>
        <v>49</v>
      </c>
    </row>
    <row r="52" spans="14:31" ht="15.6" customHeight="1" x14ac:dyDescent="0.3">
      <c r="N52" s="212"/>
      <c r="O52" s="94" t="s">
        <v>68</v>
      </c>
      <c r="P52" s="108"/>
      <c r="Q52" s="108">
        <v>2878</v>
      </c>
      <c r="R52" s="108">
        <v>471</v>
      </c>
      <c r="S52" s="108">
        <f t="shared" si="2"/>
        <v>504</v>
      </c>
      <c r="T52" s="108">
        <v>1479</v>
      </c>
      <c r="U52" s="108">
        <f t="shared" si="3"/>
        <v>0</v>
      </c>
      <c r="V52" s="108">
        <v>1479</v>
      </c>
      <c r="W52" s="108">
        <f t="shared" si="4"/>
        <v>50.5</v>
      </c>
      <c r="X52" s="108">
        <v>1580</v>
      </c>
      <c r="Y52" s="108">
        <f t="shared" si="5"/>
        <v>73.5</v>
      </c>
      <c r="Z52" s="108">
        <v>1727</v>
      </c>
      <c r="AA52" s="108">
        <f t="shared" si="6"/>
        <v>0</v>
      </c>
      <c r="AB52" s="108">
        <v>1727</v>
      </c>
      <c r="AC52" s="108">
        <f t="shared" si="7"/>
        <v>0</v>
      </c>
      <c r="AD52" s="108">
        <v>1727</v>
      </c>
      <c r="AE52" s="109">
        <f t="shared" si="8"/>
        <v>-1151</v>
      </c>
    </row>
    <row r="53" spans="14:31" ht="15.6" customHeight="1" x14ac:dyDescent="0.3">
      <c r="N53" s="212"/>
      <c r="O53" s="95" t="s">
        <v>69</v>
      </c>
      <c r="P53" s="106"/>
      <c r="Q53" s="106">
        <v>2964</v>
      </c>
      <c r="R53" s="106">
        <v>405</v>
      </c>
      <c r="S53" s="106">
        <f t="shared" si="2"/>
        <v>78</v>
      </c>
      <c r="T53" s="106">
        <v>561</v>
      </c>
      <c r="U53" s="106">
        <f t="shared" si="3"/>
        <v>377</v>
      </c>
      <c r="V53" s="106">
        <v>1315</v>
      </c>
      <c r="W53" s="106">
        <f t="shared" si="4"/>
        <v>-221.5</v>
      </c>
      <c r="X53" s="106">
        <v>872</v>
      </c>
      <c r="Y53" s="106">
        <f t="shared" si="5"/>
        <v>787</v>
      </c>
      <c r="Z53" s="106">
        <v>2446</v>
      </c>
      <c r="AA53" s="106">
        <f t="shared" si="6"/>
        <v>0</v>
      </c>
      <c r="AB53" s="106">
        <v>2446</v>
      </c>
      <c r="AC53" s="106">
        <f t="shared" si="7"/>
        <v>0</v>
      </c>
      <c r="AD53" s="106">
        <v>2446</v>
      </c>
      <c r="AE53" s="107">
        <f t="shared" si="8"/>
        <v>-518</v>
      </c>
    </row>
    <row r="54" spans="14:31" ht="15.6" customHeight="1" x14ac:dyDescent="0.3">
      <c r="N54" s="212"/>
      <c r="O54" s="94" t="s">
        <v>70</v>
      </c>
      <c r="P54" s="108"/>
      <c r="Q54" s="108">
        <v>1751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540</v>
      </c>
      <c r="Z54" s="108">
        <v>1080</v>
      </c>
      <c r="AA54" s="108">
        <f t="shared" si="6"/>
        <v>335.5</v>
      </c>
      <c r="AB54" s="108">
        <v>1751</v>
      </c>
      <c r="AC54" s="108">
        <f t="shared" si="7"/>
        <v>0</v>
      </c>
      <c r="AD54" s="108">
        <v>1751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1847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773</v>
      </c>
      <c r="X55" s="106">
        <v>1546</v>
      </c>
      <c r="Y55" s="106">
        <f t="shared" si="5"/>
        <v>136</v>
      </c>
      <c r="Z55" s="106">
        <v>1818</v>
      </c>
      <c r="AA55" s="106">
        <f t="shared" si="6"/>
        <v>14.5</v>
      </c>
      <c r="AB55" s="106">
        <v>1847</v>
      </c>
      <c r="AC55" s="106">
        <f t="shared" si="7"/>
        <v>0</v>
      </c>
      <c r="AD55" s="106">
        <v>1847</v>
      </c>
      <c r="AE55" s="107">
        <f t="shared" si="8"/>
        <v>0</v>
      </c>
    </row>
    <row r="56" spans="14:31" ht="15.6" customHeight="1" x14ac:dyDescent="0.3">
      <c r="N56" s="212"/>
      <c r="O56" s="94" t="s">
        <v>72</v>
      </c>
      <c r="P56" s="108"/>
      <c r="Q56" s="108">
        <v>2835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581.5</v>
      </c>
      <c r="V56" s="108">
        <v>2363</v>
      </c>
      <c r="W56" s="108">
        <f t="shared" si="4"/>
        <v>0</v>
      </c>
      <c r="X56" s="108">
        <v>2363</v>
      </c>
      <c r="Y56" s="108">
        <f t="shared" si="5"/>
        <v>11.5</v>
      </c>
      <c r="Z56" s="108">
        <v>2386</v>
      </c>
      <c r="AA56" s="108">
        <f t="shared" si="6"/>
        <v>224.5</v>
      </c>
      <c r="AB56" s="108">
        <v>2835</v>
      </c>
      <c r="AC56" s="108">
        <f t="shared" si="7"/>
        <v>0</v>
      </c>
      <c r="AD56" s="108">
        <v>2835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6303</v>
      </c>
      <c r="R58" s="104">
        <v>1456</v>
      </c>
      <c r="S58" s="104">
        <f t="shared" si="2"/>
        <v>585.5</v>
      </c>
      <c r="T58" s="104">
        <v>2627</v>
      </c>
      <c r="U58" s="104">
        <f t="shared" si="3"/>
        <v>387</v>
      </c>
      <c r="V58" s="104">
        <v>3401</v>
      </c>
      <c r="W58" s="104">
        <f t="shared" si="4"/>
        <v>-153</v>
      </c>
      <c r="X58" s="104">
        <v>3095</v>
      </c>
      <c r="Y58" s="104">
        <f t="shared" si="5"/>
        <v>246</v>
      </c>
      <c r="Z58" s="104">
        <v>3587</v>
      </c>
      <c r="AA58" s="104">
        <f t="shared" si="6"/>
        <v>0</v>
      </c>
      <c r="AB58" s="104">
        <v>3587</v>
      </c>
      <c r="AC58" s="104">
        <f t="shared" si="7"/>
        <v>0</v>
      </c>
      <c r="AD58" s="104">
        <v>3587</v>
      </c>
      <c r="AE58" s="105">
        <f t="shared" si="8"/>
        <v>-2716</v>
      </c>
    </row>
    <row r="59" spans="14:31" ht="15.6" customHeight="1" x14ac:dyDescent="0.3">
      <c r="N59" s="212"/>
      <c r="O59" s="95" t="s">
        <v>66</v>
      </c>
      <c r="P59" s="106"/>
      <c r="Q59" s="106">
        <v>4637</v>
      </c>
      <c r="R59" s="106">
        <v>2016</v>
      </c>
      <c r="S59" s="106">
        <f t="shared" si="2"/>
        <v>21</v>
      </c>
      <c r="T59" s="106">
        <v>2058</v>
      </c>
      <c r="U59" s="106">
        <f t="shared" si="3"/>
        <v>1032.5</v>
      </c>
      <c r="V59" s="106">
        <v>4123</v>
      </c>
      <c r="W59" s="106">
        <f t="shared" si="4"/>
        <v>241.5</v>
      </c>
      <c r="X59" s="106">
        <v>4606</v>
      </c>
      <c r="Y59" s="106">
        <f t="shared" si="5"/>
        <v>486</v>
      </c>
      <c r="Z59" s="106">
        <v>5578</v>
      </c>
      <c r="AA59" s="106">
        <f t="shared" si="6"/>
        <v>0</v>
      </c>
      <c r="AB59" s="106">
        <v>5578</v>
      </c>
      <c r="AC59" s="106">
        <f t="shared" si="7"/>
        <v>0</v>
      </c>
      <c r="AD59" s="106">
        <v>5578</v>
      </c>
      <c r="AE59" s="107">
        <f t="shared" si="8"/>
        <v>941</v>
      </c>
    </row>
    <row r="60" spans="14:31" ht="15.6" customHeight="1" x14ac:dyDescent="0.3">
      <c r="N60" s="212"/>
      <c r="O60" s="94" t="s">
        <v>67</v>
      </c>
      <c r="P60" s="108"/>
      <c r="Q60" s="108">
        <v>5242</v>
      </c>
      <c r="R60" s="108">
        <v>0</v>
      </c>
      <c r="S60" s="108">
        <f t="shared" si="2"/>
        <v>461.5</v>
      </c>
      <c r="T60" s="108">
        <v>923</v>
      </c>
      <c r="U60" s="108">
        <f t="shared" si="3"/>
        <v>120</v>
      </c>
      <c r="V60" s="108">
        <v>1163</v>
      </c>
      <c r="W60" s="108">
        <f t="shared" si="4"/>
        <v>1222</v>
      </c>
      <c r="X60" s="108">
        <v>3607</v>
      </c>
      <c r="Y60" s="108">
        <f t="shared" si="5"/>
        <v>236.5</v>
      </c>
      <c r="Z60" s="108">
        <v>4080</v>
      </c>
      <c r="AA60" s="108">
        <f t="shared" si="6"/>
        <v>0</v>
      </c>
      <c r="AB60" s="108">
        <v>4080</v>
      </c>
      <c r="AC60" s="108">
        <f t="shared" si="7"/>
        <v>0</v>
      </c>
      <c r="AD60" s="108">
        <v>4080</v>
      </c>
      <c r="AE60" s="109">
        <f t="shared" si="8"/>
        <v>-1162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6564</v>
      </c>
      <c r="R62" s="104">
        <v>609</v>
      </c>
      <c r="S62" s="104">
        <f t="shared" si="2"/>
        <v>122</v>
      </c>
      <c r="T62" s="104">
        <v>853</v>
      </c>
      <c r="U62" s="104">
        <f t="shared" si="3"/>
        <v>97.5</v>
      </c>
      <c r="V62" s="104">
        <v>1048</v>
      </c>
      <c r="W62" s="104" t="str">
        <f t="shared" si="4"/>
        <v/>
      </c>
      <c r="X62" s="104">
        <v>0</v>
      </c>
      <c r="Y62" s="104">
        <f t="shared" si="5"/>
        <v>2169.5</v>
      </c>
      <c r="Z62" s="104">
        <v>4339</v>
      </c>
      <c r="AA62" s="104">
        <f t="shared" si="6"/>
        <v>0</v>
      </c>
      <c r="AB62" s="104">
        <v>4339</v>
      </c>
      <c r="AC62" s="104">
        <f t="shared" si="7"/>
        <v>0</v>
      </c>
      <c r="AD62" s="104">
        <v>4339</v>
      </c>
      <c r="AE62" s="105">
        <f t="shared" si="8"/>
        <v>-2225</v>
      </c>
    </row>
    <row r="63" spans="14:31" ht="15.6" customHeight="1" x14ac:dyDescent="0.3">
      <c r="N63" s="212"/>
      <c r="O63" s="95" t="s">
        <v>66</v>
      </c>
      <c r="P63" s="106"/>
      <c r="Q63" s="106">
        <v>7311</v>
      </c>
      <c r="R63" s="106">
        <v>0</v>
      </c>
      <c r="S63" s="106" t="str">
        <f t="shared" si="2"/>
        <v/>
      </c>
      <c r="T63" s="106">
        <v>0</v>
      </c>
      <c r="U63" s="106">
        <f t="shared" si="3"/>
        <v>130.5</v>
      </c>
      <c r="V63" s="106">
        <v>261</v>
      </c>
      <c r="W63" s="106" t="str">
        <f t="shared" si="4"/>
        <v/>
      </c>
      <c r="X63" s="106">
        <v>0</v>
      </c>
      <c r="Y63" s="106">
        <f t="shared" si="5"/>
        <v>3081</v>
      </c>
      <c r="Z63" s="106">
        <v>6162</v>
      </c>
      <c r="AA63" s="106">
        <f t="shared" si="6"/>
        <v>0</v>
      </c>
      <c r="AB63" s="106">
        <v>6162</v>
      </c>
      <c r="AC63" s="106">
        <f t="shared" si="7"/>
        <v>0</v>
      </c>
      <c r="AD63" s="106">
        <v>6162</v>
      </c>
      <c r="AE63" s="107">
        <f t="shared" si="8"/>
        <v>-1149</v>
      </c>
    </row>
    <row r="64" spans="14:31" ht="15.6" customHeight="1" x14ac:dyDescent="0.3">
      <c r="N64" s="212"/>
      <c r="O64" s="94" t="s">
        <v>67</v>
      </c>
      <c r="P64" s="108"/>
      <c r="Q64" s="108">
        <v>5540</v>
      </c>
      <c r="R64" s="108">
        <v>0</v>
      </c>
      <c r="S64" s="108">
        <f t="shared" si="2"/>
        <v>112.5</v>
      </c>
      <c r="T64" s="108">
        <v>225</v>
      </c>
      <c r="U64" s="108">
        <f t="shared" si="3"/>
        <v>0</v>
      </c>
      <c r="V64" s="108">
        <v>225</v>
      </c>
      <c r="W64" s="108" t="str">
        <f t="shared" si="4"/>
        <v/>
      </c>
      <c r="X64" s="108">
        <v>0</v>
      </c>
      <c r="Y64" s="108">
        <f t="shared" si="5"/>
        <v>2117</v>
      </c>
      <c r="Z64" s="108">
        <v>4234</v>
      </c>
      <c r="AA64" s="108">
        <f t="shared" si="6"/>
        <v>0</v>
      </c>
      <c r="AB64" s="108">
        <v>4234</v>
      </c>
      <c r="AC64" s="108">
        <f t="shared" si="7"/>
        <v>0</v>
      </c>
      <c r="AD64" s="108">
        <v>4234</v>
      </c>
      <c r="AE64" s="109">
        <f t="shared" si="8"/>
        <v>-1306</v>
      </c>
    </row>
    <row r="65" spans="14:31" ht="15.6" customHeight="1" thickBot="1" x14ac:dyDescent="0.35">
      <c r="N65" s="213"/>
      <c r="O65" s="99" t="s">
        <v>68</v>
      </c>
      <c r="P65" s="114"/>
      <c r="Q65" s="114">
        <v>1243</v>
      </c>
      <c r="R65" s="114">
        <v>156</v>
      </c>
      <c r="S65" s="114">
        <f t="shared" si="2"/>
        <v>0</v>
      </c>
      <c r="T65" s="114">
        <v>156</v>
      </c>
      <c r="U65" s="114">
        <f t="shared" si="3"/>
        <v>0</v>
      </c>
      <c r="V65" s="114">
        <v>156</v>
      </c>
      <c r="W65" s="114" t="str">
        <f t="shared" si="4"/>
        <v/>
      </c>
      <c r="X65" s="114">
        <v>0</v>
      </c>
      <c r="Y65" s="114">
        <f t="shared" si="5"/>
        <v>466</v>
      </c>
      <c r="Z65" s="114">
        <v>932</v>
      </c>
      <c r="AA65" s="114">
        <f t="shared" si="6"/>
        <v>0</v>
      </c>
      <c r="AB65" s="114">
        <v>932</v>
      </c>
      <c r="AC65" s="114">
        <f t="shared" si="7"/>
        <v>0</v>
      </c>
      <c r="AD65" s="114">
        <v>932</v>
      </c>
      <c r="AE65" s="115">
        <f t="shared" si="8"/>
        <v>-311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47" priority="11" operator="lessThan">
      <formula>0</formula>
    </cfRule>
    <cfRule type="cellIs" dxfId="1846" priority="12" operator="greaterThan">
      <formula>0</formula>
    </cfRule>
  </conditionalFormatting>
  <conditionalFormatting sqref="R25:AC25">
    <cfRule type="cellIs" dxfId="1845" priority="9" operator="lessThan">
      <formula>0</formula>
    </cfRule>
    <cfRule type="cellIs" dxfId="1844" priority="10" operator="greaterThan">
      <formula>0</formula>
    </cfRule>
  </conditionalFormatting>
  <conditionalFormatting sqref="R26 T26 V26 X26 Z26 AB26">
    <cfRule type="cellIs" dxfId="1843" priority="7" operator="lessThan">
      <formula>0</formula>
    </cfRule>
    <cfRule type="cellIs" dxfId="1842" priority="8" operator="greaterThan">
      <formula>0</formula>
    </cfRule>
  </conditionalFormatting>
  <conditionalFormatting sqref="AD24:AE24">
    <cfRule type="cellIs" dxfId="1841" priority="5" operator="lessThan">
      <formula>0</formula>
    </cfRule>
    <cfRule type="cellIs" dxfId="1840" priority="6" operator="greaterThan">
      <formula>0</formula>
    </cfRule>
  </conditionalFormatting>
  <conditionalFormatting sqref="AD25:AE25">
    <cfRule type="cellIs" dxfId="1839" priority="3" operator="lessThan">
      <formula>0</formula>
    </cfRule>
    <cfRule type="cellIs" dxfId="1838" priority="4" operator="greaterThan">
      <formula>0</formula>
    </cfRule>
  </conditionalFormatting>
  <conditionalFormatting sqref="AD26">
    <cfRule type="cellIs" dxfId="1837" priority="1" operator="lessThan">
      <formula>0</formula>
    </cfRule>
    <cfRule type="cellIs" dxfId="183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1"/>
    <pageSetUpPr fitToPage="1"/>
  </sheetPr>
  <dimension ref="B1:AQ65"/>
  <sheetViews>
    <sheetView topLeftCell="H1" zoomScale="85" zoomScaleNormal="85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44365</v>
      </c>
    </row>
    <row r="3" spans="2:42" ht="18.75" customHeight="1" thickBot="1" x14ac:dyDescent="0.35">
      <c r="B3" t="s">
        <v>1</v>
      </c>
      <c r="C3" s="3">
        <f>C2+1</f>
        <v>44366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21035</v>
      </c>
      <c r="G6" s="117">
        <v>18719.76525</v>
      </c>
      <c r="H6" s="117">
        <v>13945.001905720001</v>
      </c>
      <c r="I6" s="19">
        <f>G6+H6</f>
        <v>32664.767155720001</v>
      </c>
      <c r="J6" s="119">
        <v>17761</v>
      </c>
      <c r="K6" s="117">
        <v>15544.437125</v>
      </c>
      <c r="L6" s="117">
        <v>8549.5899381199979</v>
      </c>
      <c r="M6" s="19">
        <f>K6+L6</f>
        <v>24094.027063119996</v>
      </c>
      <c r="N6" s="85">
        <v>63</v>
      </c>
      <c r="O6" s="85">
        <v>45</v>
      </c>
      <c r="P6" s="92"/>
      <c r="Q6" s="20">
        <f>J6-P6</f>
        <v>17761</v>
      </c>
      <c r="R6" s="21">
        <v>3684</v>
      </c>
      <c r="S6" s="20">
        <f>IF(R6&gt;0,(R6-R7-$Q6),"")</f>
        <v>-14108</v>
      </c>
      <c r="T6" s="21">
        <v>3684</v>
      </c>
      <c r="U6" s="20">
        <f>IF(T6&gt;0,(T6-T7-$Q6),"")</f>
        <v>-14108</v>
      </c>
      <c r="V6" s="21">
        <v>5436</v>
      </c>
      <c r="W6" s="20">
        <f>IF(V6&gt;0,(V6-V7-$Q6),"")</f>
        <v>-12351</v>
      </c>
      <c r="X6" s="21">
        <v>13120</v>
      </c>
      <c r="Y6" s="20">
        <f>IF(X6&gt;0,(X6-X7-$Q6),"")</f>
        <v>-5105</v>
      </c>
      <c r="Z6" s="21">
        <v>14574</v>
      </c>
      <c r="AA6" s="20">
        <f>IF(Z6&gt;0,(Z6-Z7-$Q6),"")</f>
        <v>-3862</v>
      </c>
      <c r="AB6" s="21">
        <v>14574</v>
      </c>
      <c r="AC6" s="22">
        <f>IF(AB6&gt;0,(AB6-AB7-$Q6),"")</f>
        <v>-3862</v>
      </c>
      <c r="AD6" s="21">
        <v>14574</v>
      </c>
      <c r="AE6" s="22">
        <f>IF(AD6&gt;0,(AD6-AD7-$Q6),"")</f>
        <v>-3862</v>
      </c>
    </row>
    <row r="7" spans="2:42" x14ac:dyDescent="0.3">
      <c r="B7" s="16" t="s">
        <v>23</v>
      </c>
      <c r="C7" s="17">
        <v>280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31</v>
      </c>
      <c r="S7" s="24"/>
      <c r="T7" s="25">
        <v>31</v>
      </c>
      <c r="U7" s="24"/>
      <c r="V7" s="25">
        <v>26</v>
      </c>
      <c r="W7" s="24"/>
      <c r="X7" s="25">
        <v>464</v>
      </c>
      <c r="Y7" s="24"/>
      <c r="Z7" s="25">
        <v>675</v>
      </c>
      <c r="AA7" s="24"/>
      <c r="AB7" s="25">
        <v>675</v>
      </c>
      <c r="AC7" s="26"/>
      <c r="AD7" s="25">
        <v>675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3035</v>
      </c>
      <c r="E8" s="29" t="s">
        <v>27</v>
      </c>
      <c r="F8" s="119">
        <v>13152</v>
      </c>
      <c r="G8" s="117">
        <v>5650.4775</v>
      </c>
      <c r="H8" s="117">
        <v>1272.5149813</v>
      </c>
      <c r="I8" s="19">
        <f>G8+H8</f>
        <v>6922.9924812999998</v>
      </c>
      <c r="J8" s="119">
        <v>12784</v>
      </c>
      <c r="K8" s="117">
        <v>5476.2120000000004</v>
      </c>
      <c r="L8" s="117">
        <v>1212.6041471000001</v>
      </c>
      <c r="M8" s="19">
        <f>K8+L8</f>
        <v>6688.8161471000003</v>
      </c>
      <c r="N8" s="87">
        <v>32</v>
      </c>
      <c r="O8" s="87">
        <v>23</v>
      </c>
      <c r="P8" s="92"/>
      <c r="Q8" s="20">
        <f>J8-P8</f>
        <v>12784</v>
      </c>
      <c r="R8" s="21">
        <v>2630</v>
      </c>
      <c r="S8" s="20">
        <f>IF(R8&gt;0,(R8-R9-$Q8),"")</f>
        <v>-10213</v>
      </c>
      <c r="T8" s="21">
        <v>3268</v>
      </c>
      <c r="U8" s="20">
        <f>IF(T8&gt;0,(T8-T9-$Q8),"")</f>
        <v>-9575</v>
      </c>
      <c r="V8" s="21">
        <v>12207</v>
      </c>
      <c r="W8" s="20">
        <f>IF(V8&gt;0,(V8-V9-$Q8),"")</f>
        <v>-636</v>
      </c>
      <c r="X8" s="21">
        <v>12477</v>
      </c>
      <c r="Y8" s="20">
        <f>IF(X8&gt;0,(X8-X9-$Q8),"")</f>
        <v>-366</v>
      </c>
      <c r="Z8" s="21">
        <v>12477</v>
      </c>
      <c r="AA8" s="20">
        <f>IF(Z8&gt;0,(Z8-Z9-$Q8),"")</f>
        <v>-366</v>
      </c>
      <c r="AB8" s="21">
        <v>12477</v>
      </c>
      <c r="AC8" s="22">
        <f>IF(AB8&gt;0,(AB8-AB9-$Q8),"")</f>
        <v>-366</v>
      </c>
      <c r="AD8" s="21">
        <v>12477</v>
      </c>
      <c r="AE8" s="22">
        <f>IF(AD8&gt;0,(AD8-AD9-$Q8),"")</f>
        <v>-366</v>
      </c>
    </row>
    <row r="9" spans="2:42" x14ac:dyDescent="0.3">
      <c r="B9" s="28" t="s">
        <v>28</v>
      </c>
      <c r="C9" s="17">
        <v>1768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59</v>
      </c>
      <c r="S9" s="24"/>
      <c r="T9" s="30">
        <v>59</v>
      </c>
      <c r="U9" s="24"/>
      <c r="V9" s="30">
        <v>59</v>
      </c>
      <c r="W9" s="24"/>
      <c r="X9" s="30">
        <v>59</v>
      </c>
      <c r="Y9" s="24"/>
      <c r="Z9" s="30">
        <v>59</v>
      </c>
      <c r="AA9" s="24"/>
      <c r="AB9" s="30">
        <v>59</v>
      </c>
      <c r="AC9" s="26"/>
      <c r="AD9" s="30">
        <v>59</v>
      </c>
      <c r="AE9" s="26"/>
    </row>
    <row r="10" spans="2:42" x14ac:dyDescent="0.3">
      <c r="B10" s="16" t="s">
        <v>30</v>
      </c>
      <c r="C10" s="17">
        <v>4551</v>
      </c>
      <c r="E10" s="18" t="s">
        <v>31</v>
      </c>
      <c r="F10" s="119">
        <v>8993</v>
      </c>
      <c r="G10" s="117">
        <v>7106.5647499999995</v>
      </c>
      <c r="H10" s="117">
        <v>1790.3687500000001</v>
      </c>
      <c r="I10" s="19">
        <f>G10+H10</f>
        <v>8896.9334999999992</v>
      </c>
      <c r="J10" s="119">
        <v>8975</v>
      </c>
      <c r="K10" s="117">
        <v>7031.7757499999998</v>
      </c>
      <c r="L10" s="117">
        <v>1473.9831750000001</v>
      </c>
      <c r="M10" s="19">
        <f>K10+L10</f>
        <v>8505.7589250000001</v>
      </c>
      <c r="N10" s="88">
        <v>43</v>
      </c>
      <c r="O10" s="88">
        <v>35</v>
      </c>
      <c r="P10" s="92"/>
      <c r="Q10" s="20">
        <f>J10-P10</f>
        <v>8975</v>
      </c>
      <c r="R10" s="21">
        <v>2450</v>
      </c>
      <c r="S10" s="20">
        <f>IF(R10&gt;0,(R10-R11-$Q10),"")</f>
        <v>-8391</v>
      </c>
      <c r="T10" s="21">
        <v>2796</v>
      </c>
      <c r="U10" s="20">
        <f>IF(T10&gt;0,(T10-T11-$Q10),"")</f>
        <v>-8045</v>
      </c>
      <c r="V10" s="21">
        <v>5856</v>
      </c>
      <c r="W10" s="20">
        <f>IF(V10&gt;0,(V10-V11-$Q10),"")</f>
        <v>-5214</v>
      </c>
      <c r="X10" s="21">
        <v>8024</v>
      </c>
      <c r="Y10" s="20">
        <f>IF(X10&gt;0,(X10-X11-$Q10),"")</f>
        <v>-3778</v>
      </c>
      <c r="Z10" s="21">
        <v>8024</v>
      </c>
      <c r="AA10" s="20">
        <f>IF(Z10&gt;0,(Z10-Z11-$Q10),"")</f>
        <v>-3778</v>
      </c>
      <c r="AB10" s="21">
        <v>8024</v>
      </c>
      <c r="AC10" s="22">
        <f>IF(AB10&gt;0,(AB10-AB11-$Q10),"")</f>
        <v>-3778</v>
      </c>
      <c r="AD10" s="21">
        <v>8024</v>
      </c>
      <c r="AE10" s="22">
        <f>IF(AD10&gt;0,(AD10-AD11-$Q10),"")</f>
        <v>-3778</v>
      </c>
    </row>
    <row r="11" spans="2:42" x14ac:dyDescent="0.3">
      <c r="B11" s="16" t="s">
        <v>32</v>
      </c>
      <c r="C11" s="17">
        <v>2173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1866</v>
      </c>
      <c r="S11" s="24"/>
      <c r="T11" s="30">
        <v>1866</v>
      </c>
      <c r="U11" s="24"/>
      <c r="V11" s="30">
        <v>2095</v>
      </c>
      <c r="W11" s="24"/>
      <c r="X11" s="30">
        <v>2827</v>
      </c>
      <c r="Y11" s="24"/>
      <c r="Z11" s="30">
        <v>2827</v>
      </c>
      <c r="AA11" s="24"/>
      <c r="AB11" s="30">
        <v>2827</v>
      </c>
      <c r="AC11" s="26"/>
      <c r="AD11" s="30">
        <v>2827</v>
      </c>
      <c r="AE11" s="26"/>
    </row>
    <row r="12" spans="2:42" x14ac:dyDescent="0.3">
      <c r="B12" s="16" t="s">
        <v>34</v>
      </c>
      <c r="C12" s="17">
        <v>1733</v>
      </c>
      <c r="E12" s="29" t="s">
        <v>35</v>
      </c>
      <c r="F12" s="119">
        <v>13218</v>
      </c>
      <c r="G12" s="117">
        <v>13600.435750000001</v>
      </c>
      <c r="H12" s="117">
        <v>12704.57196712</v>
      </c>
      <c r="I12" s="19">
        <f>G12+H12</f>
        <v>26305.007717120003</v>
      </c>
      <c r="J12" s="119">
        <v>13426</v>
      </c>
      <c r="K12" s="117">
        <v>13981.15775</v>
      </c>
      <c r="L12" s="117">
        <v>12548.914066879999</v>
      </c>
      <c r="M12" s="19">
        <f>K12+L12</f>
        <v>26530.071816880001</v>
      </c>
      <c r="N12" s="88">
        <v>41</v>
      </c>
      <c r="O12" s="88">
        <v>27</v>
      </c>
      <c r="P12" s="92"/>
      <c r="Q12" s="20">
        <f>J12-P12</f>
        <v>13426</v>
      </c>
      <c r="R12" s="21">
        <v>3663</v>
      </c>
      <c r="S12" s="20">
        <f>IF(R12&gt;0,(R12-R13-$Q12),"")</f>
        <v>-10749</v>
      </c>
      <c r="T12" s="21">
        <v>3830</v>
      </c>
      <c r="U12" s="20">
        <f>IF(T12&gt;0,(T12-T13-$Q12),"")</f>
        <v>-10749</v>
      </c>
      <c r="V12" s="21">
        <v>7151</v>
      </c>
      <c r="W12" s="20">
        <f>IF(V12&gt;0,(V12-V13-$Q12),"")</f>
        <v>-7835</v>
      </c>
      <c r="X12" s="21">
        <v>9785</v>
      </c>
      <c r="Y12" s="20">
        <f>IF(X12&gt;0,(X12-X13-$Q12),"")</f>
        <v>-5201</v>
      </c>
      <c r="Z12" s="21">
        <v>13477</v>
      </c>
      <c r="AA12" s="20">
        <f>IF(Z12&gt;0,(Z12-Z13-$Q12),"")</f>
        <v>-2679</v>
      </c>
      <c r="AB12" s="21">
        <v>13477</v>
      </c>
      <c r="AC12" s="22">
        <f>IF(AB12&gt;0,(AB12-AB13-$Q12),"")</f>
        <v>-2679</v>
      </c>
      <c r="AD12" s="21">
        <v>13093</v>
      </c>
      <c r="AE12" s="22">
        <f>IF(AD12&gt;0,(AD12-AD13-$Q12),"")</f>
        <v>-3063</v>
      </c>
    </row>
    <row r="13" spans="2:42" x14ac:dyDescent="0.3">
      <c r="B13" s="16" t="s">
        <v>36</v>
      </c>
      <c r="C13" s="17">
        <v>5080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986</v>
      </c>
      <c r="S13" s="24"/>
      <c r="T13" s="30">
        <v>1153</v>
      </c>
      <c r="U13" s="24"/>
      <c r="V13" s="30">
        <v>1560</v>
      </c>
      <c r="W13" s="24"/>
      <c r="X13" s="30">
        <v>1560</v>
      </c>
      <c r="Y13" s="24"/>
      <c r="Z13" s="30">
        <v>2730</v>
      </c>
      <c r="AA13" s="24"/>
      <c r="AB13" s="30">
        <v>2730</v>
      </c>
      <c r="AC13" s="26"/>
      <c r="AD13" s="30">
        <v>2730</v>
      </c>
      <c r="AE13" s="26"/>
    </row>
    <row r="14" spans="2:42" x14ac:dyDescent="0.3">
      <c r="B14" s="16" t="s">
        <v>38</v>
      </c>
      <c r="C14" s="17">
        <v>8044</v>
      </c>
      <c r="E14" s="18" t="s">
        <v>39</v>
      </c>
      <c r="F14" s="119">
        <v>21576</v>
      </c>
      <c r="G14" s="117">
        <v>20456.40625</v>
      </c>
      <c r="H14" s="117">
        <v>26521.84987994</v>
      </c>
      <c r="I14" s="19">
        <f>G14+H14</f>
        <v>46978.256129939997</v>
      </c>
      <c r="J14" s="119">
        <v>21759</v>
      </c>
      <c r="K14" s="117">
        <v>20673.28125</v>
      </c>
      <c r="L14" s="117">
        <v>25490.77285057999</v>
      </c>
      <c r="M14" s="19">
        <f>K14+L14</f>
        <v>46164.05410057999</v>
      </c>
      <c r="N14" s="88">
        <v>65</v>
      </c>
      <c r="O14" s="88">
        <v>41</v>
      </c>
      <c r="P14" s="92"/>
      <c r="Q14" s="20">
        <f>J14-P14</f>
        <v>21759</v>
      </c>
      <c r="R14" s="21">
        <v>1958</v>
      </c>
      <c r="S14" s="20">
        <f>IF(R14&gt;0,(R14-R15-$Q14),"")</f>
        <v>-20867</v>
      </c>
      <c r="T14" s="21">
        <v>1958</v>
      </c>
      <c r="U14" s="20">
        <f>IF(T14&gt;0,(T14-T15-$Q14),"")</f>
        <v>-20867</v>
      </c>
      <c r="V14" s="21">
        <v>3222</v>
      </c>
      <c r="W14" s="20">
        <f>IF(V14&gt;0,(V14-V15-$Q14),"")</f>
        <v>-20614</v>
      </c>
      <c r="X14" s="21">
        <v>4985</v>
      </c>
      <c r="Y14" s="20">
        <f>IF(X14&gt;0,(X14-X15-$Q14),"")</f>
        <v>-20322</v>
      </c>
      <c r="Z14" s="21">
        <v>5972</v>
      </c>
      <c r="AA14" s="20">
        <f>IF(Z14&gt;0,(Z14-Z15-$Q14),"")</f>
        <v>-19335</v>
      </c>
      <c r="AB14" s="21">
        <v>7587</v>
      </c>
      <c r="AC14" s="22">
        <f>IF(AB14&gt;0,(AB14-AB15-$Q14),"")</f>
        <v>-17737</v>
      </c>
      <c r="AD14" s="21">
        <v>8892</v>
      </c>
      <c r="AE14" s="22">
        <f>IF(AD14&gt;0,(AD14-AD15-$Q14),"")</f>
        <v>-17500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24</v>
      </c>
      <c r="P15" s="93" t="s">
        <v>41</v>
      </c>
      <c r="Q15" s="24"/>
      <c r="R15" s="25">
        <v>1066</v>
      </c>
      <c r="S15" s="24"/>
      <c r="T15" s="25">
        <v>1066</v>
      </c>
      <c r="U15" s="24"/>
      <c r="V15" s="25">
        <v>2077</v>
      </c>
      <c r="W15" s="24"/>
      <c r="X15" s="25">
        <v>3548</v>
      </c>
      <c r="Y15" s="24"/>
      <c r="Z15" s="25">
        <v>3548</v>
      </c>
      <c r="AA15" s="24"/>
      <c r="AB15" s="25">
        <v>3565</v>
      </c>
      <c r="AC15" s="26"/>
      <c r="AD15" s="25">
        <v>4633</v>
      </c>
      <c r="AE15" s="26"/>
    </row>
    <row r="16" spans="2:42" ht="15" customHeight="1" thickBot="1" x14ac:dyDescent="0.35">
      <c r="B16" s="28" t="s">
        <v>42</v>
      </c>
      <c r="C16" s="17">
        <v>28180</v>
      </c>
      <c r="E16" s="84"/>
      <c r="F16" s="31">
        <f t="shared" ref="F16:N16" si="0">SUM(F6:F15)</f>
        <v>77974</v>
      </c>
      <c r="G16" s="31">
        <f t="shared" si="0"/>
        <v>65533.6495</v>
      </c>
      <c r="H16" s="31">
        <f t="shared" si="0"/>
        <v>56234.307484079996</v>
      </c>
      <c r="I16" s="32">
        <f t="shared" si="0"/>
        <v>121767.95698408001</v>
      </c>
      <c r="J16" s="33">
        <f t="shared" si="0"/>
        <v>74705</v>
      </c>
      <c r="K16" s="33">
        <f t="shared" si="0"/>
        <v>62706.863875000003</v>
      </c>
      <c r="L16" s="33">
        <f t="shared" si="0"/>
        <v>49275.864177679985</v>
      </c>
      <c r="M16" s="33">
        <f t="shared" si="0"/>
        <v>111982.72805267999</v>
      </c>
      <c r="N16" s="31">
        <f t="shared" si="0"/>
        <v>244</v>
      </c>
      <c r="O16" s="31">
        <f>SUM(O14,O12,O10,O8,O6)</f>
        <v>171</v>
      </c>
      <c r="P16" s="34">
        <f>SUM(P6:P15)</f>
        <v>0</v>
      </c>
      <c r="Q16" s="34">
        <f>SUM(Q6:Q15)</f>
        <v>74705</v>
      </c>
      <c r="R16" s="35">
        <f>R6+R8+R10+R12+R14-R7-R9-R11-R13-R15</f>
        <v>10377</v>
      </c>
      <c r="S16" s="36">
        <f>IF(R16&gt;1,(R16-$Q16),"")</f>
        <v>-64328</v>
      </c>
      <c r="T16" s="35">
        <f>T6+T8+T10+T12+T14-T7-T9-T11-T13-T15</f>
        <v>11361</v>
      </c>
      <c r="U16" s="36">
        <f>IF(T16&gt;1,(T16-$Q16),"")</f>
        <v>-63344</v>
      </c>
      <c r="V16" s="35">
        <f>V6+V8+V10+V12+V14-V7-V9-V11-V13-V15</f>
        <v>28055</v>
      </c>
      <c r="W16" s="36">
        <f>IF(V16&gt;1,(V16-$Q16),"")</f>
        <v>-46650</v>
      </c>
      <c r="X16" s="35">
        <f>X6+X8+X10+X12+X14-X7-X9-X11-X13-X15</f>
        <v>39933</v>
      </c>
      <c r="Y16" s="36">
        <f>IF(X16&gt;1,(X16-$Q16),"")</f>
        <v>-34772</v>
      </c>
      <c r="Z16" s="35">
        <f>Z6+Z8+Z10+Z12+Z14-Z7-Z9-Z11-Z13-Z15</f>
        <v>44685</v>
      </c>
      <c r="AA16" s="36">
        <f>IF(Z16&gt;1,(Z16-$Q16),"")</f>
        <v>-30020</v>
      </c>
      <c r="AB16" s="35">
        <f>AB6+AB8+AB10+AB12+AB14-AB7-AB9-AB11-AB13-AB15</f>
        <v>46283</v>
      </c>
      <c r="AC16" s="37">
        <f>IF(AB16&gt;1,(AB16-$Q16),"")</f>
        <v>-28422</v>
      </c>
      <c r="AD16" s="35">
        <f>AD6+AD8+AD10+AD12+AD14-AD7-AD9-AD11-AD13-AD15</f>
        <v>46136</v>
      </c>
      <c r="AE16" s="37">
        <f>IF(AD16&gt;1,(AD16-$Q16),"")</f>
        <v>-28569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73</v>
      </c>
      <c r="P17" s="38" t="s">
        <v>44</v>
      </c>
      <c r="Q17" s="39"/>
      <c r="R17" s="40">
        <f>R15+R13+R11+R9+R7</f>
        <v>4008</v>
      </c>
      <c r="S17" s="41"/>
      <c r="T17" s="40">
        <f>T15+T13+T11+T9+T7</f>
        <v>4175</v>
      </c>
      <c r="U17" s="41"/>
      <c r="V17" s="40">
        <f>V15+V13+V11+V9+V7</f>
        <v>5817</v>
      </c>
      <c r="W17" s="41"/>
      <c r="X17" s="40">
        <f>X15+X13+X11+X9+X7</f>
        <v>8458</v>
      </c>
      <c r="Y17" s="41"/>
      <c r="Z17" s="40">
        <f>Z15+Z13+Z11+Z9+Z7</f>
        <v>9839</v>
      </c>
      <c r="AA17" s="41"/>
      <c r="AB17" s="40">
        <f>AB15+AB13+AB11+AB9+AB7</f>
        <v>9856</v>
      </c>
      <c r="AC17" s="42"/>
      <c r="AD17" s="40">
        <f>AD15+AD13+AD11+AD9+AD7</f>
        <v>10924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5188.5</v>
      </c>
      <c r="S18" s="46"/>
      <c r="T18" s="47">
        <f>IF(T16&gt;0,(T16-R16)/2,"")</f>
        <v>492</v>
      </c>
      <c r="U18" s="46"/>
      <c r="V18" s="47">
        <f>IF(V16&gt;0,(V16-T16)/2,"")</f>
        <v>8347</v>
      </c>
      <c r="W18" s="46"/>
      <c r="X18" s="47">
        <f>IF(X16&gt;0,(X16-V16)/2,"")</f>
        <v>5939</v>
      </c>
      <c r="Y18" s="46"/>
      <c r="Z18" s="47">
        <f>IF(Z16&gt;0,(Z16-X16)/2,"")</f>
        <v>2376</v>
      </c>
      <c r="AA18" s="46"/>
      <c r="AB18" s="47">
        <f>IF(AB16&gt;0,(AB16-Z16)/2,"")</f>
        <v>799</v>
      </c>
      <c r="AC18" s="48"/>
      <c r="AD18" s="47">
        <f>IF(AD16&gt;0,(AD16-AB16)/2,"")</f>
        <v>-73.5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14187</v>
      </c>
      <c r="S20" s="36"/>
      <c r="T20" s="35">
        <v>21263</v>
      </c>
      <c r="U20" s="36"/>
      <c r="V20" s="35">
        <v>31200</v>
      </c>
      <c r="W20" s="36"/>
      <c r="X20" s="35">
        <v>44497</v>
      </c>
      <c r="Y20" s="36"/>
      <c r="Z20" s="35">
        <v>60614</v>
      </c>
      <c r="AA20" s="36"/>
      <c r="AB20" s="35">
        <v>61980</v>
      </c>
      <c r="AC20" s="37"/>
      <c r="AD20" s="35">
        <v>61980</v>
      </c>
      <c r="AE20" s="37"/>
    </row>
    <row r="21" spans="2:43" ht="15" customHeight="1" thickBot="1" x14ac:dyDescent="0.35">
      <c r="B21" s="16" t="s">
        <v>50</v>
      </c>
      <c r="C21" s="17">
        <v>7254</v>
      </c>
      <c r="L21" s="4"/>
      <c r="M21" s="4"/>
      <c r="Q21" s="52"/>
      <c r="R21" s="40">
        <v>3531</v>
      </c>
      <c r="S21" s="41"/>
      <c r="T21" s="40">
        <v>2421</v>
      </c>
      <c r="U21" s="41"/>
      <c r="V21" s="40">
        <v>4477</v>
      </c>
      <c r="W21" s="41"/>
      <c r="X21" s="40">
        <v>4033</v>
      </c>
      <c r="Y21" s="41"/>
      <c r="Z21" s="40">
        <v>17261</v>
      </c>
      <c r="AA21" s="41"/>
      <c r="AB21" s="40">
        <v>17261</v>
      </c>
      <c r="AC21" s="42"/>
      <c r="AD21" s="40">
        <v>17261</v>
      </c>
      <c r="AE21" s="42"/>
    </row>
    <row r="22" spans="2:43" ht="15" customHeight="1" thickBot="1" x14ac:dyDescent="0.35">
      <c r="B22" s="16" t="s">
        <v>51</v>
      </c>
      <c r="C22" s="17">
        <v>1086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4078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-3810</v>
      </c>
      <c r="S24" s="60"/>
      <c r="T24" s="60">
        <f>IF(T16&gt;0,T16-T20,"")</f>
        <v>-9902</v>
      </c>
      <c r="U24" s="60"/>
      <c r="V24" s="60">
        <f>IF(V16&gt;0,V16-V20,"")</f>
        <v>-3145</v>
      </c>
      <c r="W24" s="60"/>
      <c r="X24" s="60">
        <f>IF(X16&gt;0,X16-X20,"")</f>
        <v>-4564</v>
      </c>
      <c r="Y24" s="60"/>
      <c r="Z24" s="60">
        <f>IF(Z16&gt;0,Z16-Z20,"")</f>
        <v>-15929</v>
      </c>
      <c r="AA24" s="60"/>
      <c r="AB24" s="60">
        <f>IF(AB16&gt;0,AB16-AB20,"")</f>
        <v>-15697</v>
      </c>
      <c r="AC24" s="61"/>
      <c r="AD24" s="60">
        <f>IF(AD16&gt;0,AD16-AD20,"")</f>
        <v>-15844</v>
      </c>
      <c r="AE24" s="61"/>
    </row>
    <row r="25" spans="2:43" x14ac:dyDescent="0.3">
      <c r="L25" s="4"/>
      <c r="M25" s="4"/>
      <c r="Q25" s="62"/>
      <c r="R25" s="63">
        <f>IF(R17&gt;=0,R17-R21,"")</f>
        <v>477</v>
      </c>
      <c r="S25" s="64"/>
      <c r="T25" s="63">
        <f>IF(T17&gt;=0,T17-T21,"")</f>
        <v>1754</v>
      </c>
      <c r="U25" s="64"/>
      <c r="V25" s="63">
        <f>IF(V17&gt;=0,V17-V21,"")</f>
        <v>1340</v>
      </c>
      <c r="W25" s="64"/>
      <c r="X25" s="63">
        <f>IF(X17&gt;=0,X17-X21,"")</f>
        <v>4425</v>
      </c>
      <c r="Y25" s="64"/>
      <c r="Z25" s="63">
        <f>IF(Z17&gt;=0,Z17-Z21,"")</f>
        <v>-7422</v>
      </c>
      <c r="AA25" s="64"/>
      <c r="AB25" s="63">
        <f>IF(AB17&gt;=0,AB17-AB21,"")</f>
        <v>-7405</v>
      </c>
      <c r="AC25" s="65"/>
      <c r="AD25" s="63">
        <f>IF(AD17&gt;=0,AD17-AD21,"")</f>
        <v>-6337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5188.5</v>
      </c>
      <c r="S26" s="55"/>
      <c r="T26" s="67">
        <f>IFERROR(IF(T18&gt;0,T18-T22,""),"")</f>
        <v>492</v>
      </c>
      <c r="U26" s="55"/>
      <c r="V26" s="67">
        <f>IFERROR(IF(V18&gt;0,V18-V22,""),"")</f>
        <v>8347</v>
      </c>
      <c r="W26" s="55"/>
      <c r="X26" s="67">
        <f>IFERROR(IF(X18&gt;0,X18-X22,""),"")</f>
        <v>5939</v>
      </c>
      <c r="Y26" s="55"/>
      <c r="Z26" s="67">
        <f>IFERROR(IF(Z18&gt;0,Z18-Z22,""),"")</f>
        <v>2376</v>
      </c>
      <c r="AA26" s="55"/>
      <c r="AB26" s="67">
        <f>IFERROR(IF(AB18&gt;0,AB18-AB22,""),"")</f>
        <v>799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11393</v>
      </c>
      <c r="D29" s="76">
        <f>C14</f>
        <v>8044</v>
      </c>
      <c r="E29" s="77">
        <f t="shared" ref="E29:E34" si="1">D29-C29</f>
        <v>-3349</v>
      </c>
      <c r="M29" s="4"/>
      <c r="O29" s="4"/>
    </row>
    <row r="30" spans="2:43" x14ac:dyDescent="0.3">
      <c r="B30" s="74" t="s">
        <v>56</v>
      </c>
      <c r="C30" s="75">
        <v>28180</v>
      </c>
      <c r="D30" s="76">
        <f>C7+C15+C16+C19+C20</f>
        <v>28460</v>
      </c>
      <c r="E30" s="77">
        <f t="shared" si="1"/>
        <v>280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13537</v>
      </c>
      <c r="D32" s="76">
        <f>C10+C11+C12+C13</f>
        <v>13537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12769</v>
      </c>
      <c r="D34" s="76">
        <f>C21+C22+C23</f>
        <v>12418</v>
      </c>
      <c r="E34" s="77">
        <f t="shared" si="1"/>
        <v>-351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4803</v>
      </c>
      <c r="D35" s="80">
        <f>SUM(C8+C9)</f>
        <v>4803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2227</v>
      </c>
      <c r="R36" s="104">
        <v>200</v>
      </c>
      <c r="S36" s="104">
        <f t="shared" ref="S36:S65" si="2">IF(T36&gt;0,(T36-R36)/2,"")</f>
        <v>0</v>
      </c>
      <c r="T36" s="104">
        <v>200</v>
      </c>
      <c r="U36" s="104">
        <f t="shared" ref="U36:U65" si="3">IF(V36&gt;0,(V36-T36)/2,"")</f>
        <v>0</v>
      </c>
      <c r="V36" s="104">
        <v>200</v>
      </c>
      <c r="W36" s="104">
        <f t="shared" ref="W36:W65" si="4">IF(X36&gt;0,(X36-V36)/2,"")</f>
        <v>562</v>
      </c>
      <c r="X36" s="104">
        <v>1324</v>
      </c>
      <c r="Y36" s="104">
        <f t="shared" ref="Y36:Y65" si="5">IF(Z36&gt;0,(Z36-X36)/2,"")</f>
        <v>13.5</v>
      </c>
      <c r="Z36" s="104">
        <v>1351</v>
      </c>
      <c r="AA36" s="104">
        <f t="shared" ref="AA36:AA65" si="6">IF(AB36&gt;0,(AB36-Z36)/2,"")</f>
        <v>0</v>
      </c>
      <c r="AB36" s="104">
        <v>1351</v>
      </c>
      <c r="AC36" s="104">
        <f t="shared" ref="AC36:AC65" si="7">IF(AD36&gt;0,(AD36-AB36)/2,"")</f>
        <v>0</v>
      </c>
      <c r="AD36" s="104">
        <v>1351</v>
      </c>
      <c r="AE36" s="105">
        <f t="shared" ref="AE36:AE65" si="8">AD36-Q36</f>
        <v>-876</v>
      </c>
    </row>
    <row r="37" spans="2:31" ht="15.6" customHeight="1" x14ac:dyDescent="0.3">
      <c r="N37" s="212"/>
      <c r="O37" s="95" t="s">
        <v>66</v>
      </c>
      <c r="P37" s="106"/>
      <c r="Q37" s="106">
        <v>1525</v>
      </c>
      <c r="R37" s="106">
        <v>12</v>
      </c>
      <c r="S37" s="106">
        <f t="shared" si="2"/>
        <v>0</v>
      </c>
      <c r="T37" s="106">
        <v>12</v>
      </c>
      <c r="U37" s="106">
        <f t="shared" si="3"/>
        <v>110</v>
      </c>
      <c r="V37" s="106">
        <v>232</v>
      </c>
      <c r="W37" s="106">
        <f t="shared" si="4"/>
        <v>569.5</v>
      </c>
      <c r="X37" s="106">
        <v>1371</v>
      </c>
      <c r="Y37" s="106">
        <f t="shared" si="5"/>
        <v>77</v>
      </c>
      <c r="Z37" s="106">
        <v>1525</v>
      </c>
      <c r="AA37" s="106">
        <f t="shared" si="6"/>
        <v>0</v>
      </c>
      <c r="AB37" s="106">
        <v>1525</v>
      </c>
      <c r="AC37" s="106">
        <f t="shared" si="7"/>
        <v>0</v>
      </c>
      <c r="AD37" s="106">
        <v>1525</v>
      </c>
      <c r="AE37" s="107">
        <f t="shared" si="8"/>
        <v>0</v>
      </c>
    </row>
    <row r="38" spans="2:31" ht="15.6" customHeight="1" x14ac:dyDescent="0.3">
      <c r="N38" s="212"/>
      <c r="O38" s="94" t="s">
        <v>67</v>
      </c>
      <c r="P38" s="108"/>
      <c r="Q38" s="108">
        <v>2705</v>
      </c>
      <c r="R38" s="108">
        <v>265</v>
      </c>
      <c r="S38" s="108">
        <f t="shared" si="2"/>
        <v>0</v>
      </c>
      <c r="T38" s="108">
        <v>265</v>
      </c>
      <c r="U38" s="108">
        <f t="shared" si="3"/>
        <v>141</v>
      </c>
      <c r="V38" s="108">
        <v>547</v>
      </c>
      <c r="W38" s="108">
        <f t="shared" si="4"/>
        <v>153.5</v>
      </c>
      <c r="X38" s="108">
        <v>854</v>
      </c>
      <c r="Y38" s="108">
        <f t="shared" si="5"/>
        <v>0</v>
      </c>
      <c r="Z38" s="108">
        <v>854</v>
      </c>
      <c r="AA38" s="108">
        <f t="shared" si="6"/>
        <v>0</v>
      </c>
      <c r="AB38" s="108">
        <v>854</v>
      </c>
      <c r="AC38" s="108">
        <f t="shared" si="7"/>
        <v>0</v>
      </c>
      <c r="AD38" s="108">
        <v>854</v>
      </c>
      <c r="AE38" s="109">
        <f t="shared" si="8"/>
        <v>-1851</v>
      </c>
    </row>
    <row r="39" spans="2:31" ht="15.6" customHeight="1" x14ac:dyDescent="0.3">
      <c r="N39" s="212"/>
      <c r="O39" s="95" t="s">
        <v>68</v>
      </c>
      <c r="P39" s="106"/>
      <c r="Q39" s="106">
        <v>3018</v>
      </c>
      <c r="R39" s="106">
        <v>339</v>
      </c>
      <c r="S39" s="106">
        <f t="shared" si="2"/>
        <v>0</v>
      </c>
      <c r="T39" s="106">
        <v>339</v>
      </c>
      <c r="U39" s="106">
        <f t="shared" si="3"/>
        <v>157</v>
      </c>
      <c r="V39" s="106">
        <v>653</v>
      </c>
      <c r="W39" s="106">
        <f t="shared" si="4"/>
        <v>975</v>
      </c>
      <c r="X39" s="106">
        <v>2603</v>
      </c>
      <c r="Y39" s="106">
        <f t="shared" si="5"/>
        <v>0</v>
      </c>
      <c r="Z39" s="106">
        <v>2603</v>
      </c>
      <c r="AA39" s="106">
        <f t="shared" si="6"/>
        <v>0</v>
      </c>
      <c r="AB39" s="106">
        <v>2603</v>
      </c>
      <c r="AC39" s="106">
        <f t="shared" si="7"/>
        <v>0</v>
      </c>
      <c r="AD39" s="106">
        <v>2603</v>
      </c>
      <c r="AE39" s="107">
        <f t="shared" si="8"/>
        <v>-415</v>
      </c>
    </row>
    <row r="40" spans="2:31" ht="15.6" customHeight="1" x14ac:dyDescent="0.3">
      <c r="N40" s="212"/>
      <c r="O40" s="94" t="s">
        <v>69</v>
      </c>
      <c r="P40" s="108"/>
      <c r="Q40" s="108">
        <v>3100</v>
      </c>
      <c r="R40" s="108">
        <v>887</v>
      </c>
      <c r="S40" s="108">
        <f t="shared" si="2"/>
        <v>0</v>
      </c>
      <c r="T40" s="108">
        <v>887</v>
      </c>
      <c r="U40" s="108">
        <f t="shared" si="3"/>
        <v>0</v>
      </c>
      <c r="V40" s="108">
        <v>887</v>
      </c>
      <c r="W40" s="108">
        <f t="shared" si="4"/>
        <v>945</v>
      </c>
      <c r="X40" s="108">
        <v>2777</v>
      </c>
      <c r="Y40" s="108">
        <f t="shared" si="5"/>
        <v>348</v>
      </c>
      <c r="Z40" s="108">
        <v>3473</v>
      </c>
      <c r="AA40" s="108">
        <f t="shared" si="6"/>
        <v>0</v>
      </c>
      <c r="AB40" s="108">
        <v>3473</v>
      </c>
      <c r="AC40" s="108">
        <f t="shared" si="7"/>
        <v>0</v>
      </c>
      <c r="AD40" s="108">
        <v>3473</v>
      </c>
      <c r="AE40" s="109">
        <f t="shared" si="8"/>
        <v>373</v>
      </c>
    </row>
    <row r="41" spans="2:31" ht="15.6" customHeight="1" x14ac:dyDescent="0.3">
      <c r="N41" s="212"/>
      <c r="O41" s="95" t="s">
        <v>70</v>
      </c>
      <c r="P41" s="106"/>
      <c r="Q41" s="106">
        <v>710</v>
      </c>
      <c r="R41" s="106">
        <v>224</v>
      </c>
      <c r="S41" s="106">
        <f t="shared" si="2"/>
        <v>0</v>
      </c>
      <c r="T41" s="106">
        <v>224</v>
      </c>
      <c r="U41" s="106">
        <f t="shared" si="3"/>
        <v>63.5</v>
      </c>
      <c r="V41" s="106">
        <v>351</v>
      </c>
      <c r="W41" s="106">
        <f t="shared" si="4"/>
        <v>0</v>
      </c>
      <c r="X41" s="106">
        <v>351</v>
      </c>
      <c r="Y41" s="106">
        <f t="shared" si="5"/>
        <v>288.5</v>
      </c>
      <c r="Z41" s="106">
        <v>928</v>
      </c>
      <c r="AA41" s="106">
        <f t="shared" si="6"/>
        <v>0</v>
      </c>
      <c r="AB41" s="106">
        <v>928</v>
      </c>
      <c r="AC41" s="106">
        <f t="shared" si="7"/>
        <v>0</v>
      </c>
      <c r="AD41" s="106">
        <v>928</v>
      </c>
      <c r="AE41" s="107">
        <f t="shared" si="8"/>
        <v>218</v>
      </c>
    </row>
    <row r="42" spans="2:31" ht="15.6" customHeight="1" x14ac:dyDescent="0.3">
      <c r="N42" s="212"/>
      <c r="O42" s="94" t="s">
        <v>71</v>
      </c>
      <c r="P42" s="108"/>
      <c r="Q42" s="108">
        <v>1242</v>
      </c>
      <c r="R42" s="108">
        <v>266</v>
      </c>
      <c r="S42" s="108">
        <f t="shared" si="2"/>
        <v>0</v>
      </c>
      <c r="T42" s="108">
        <v>266</v>
      </c>
      <c r="U42" s="108">
        <f t="shared" si="3"/>
        <v>231.5</v>
      </c>
      <c r="V42" s="108">
        <v>729</v>
      </c>
      <c r="W42" s="108">
        <f t="shared" si="4"/>
        <v>0</v>
      </c>
      <c r="X42" s="108">
        <v>729</v>
      </c>
      <c r="Y42" s="108">
        <f t="shared" si="5"/>
        <v>0</v>
      </c>
      <c r="Z42" s="108">
        <v>729</v>
      </c>
      <c r="AA42" s="108">
        <f t="shared" si="6"/>
        <v>0</v>
      </c>
      <c r="AB42" s="108">
        <v>729</v>
      </c>
      <c r="AC42" s="108">
        <f t="shared" si="7"/>
        <v>0</v>
      </c>
      <c r="AD42" s="108">
        <v>729</v>
      </c>
      <c r="AE42" s="109">
        <f t="shared" si="8"/>
        <v>-513</v>
      </c>
    </row>
    <row r="43" spans="2:31" ht="15.6" customHeight="1" x14ac:dyDescent="0.3">
      <c r="N43" s="212"/>
      <c r="O43" s="95" t="s">
        <v>72</v>
      </c>
      <c r="P43" s="106"/>
      <c r="Q43" s="106">
        <v>1660</v>
      </c>
      <c r="R43" s="106">
        <v>513</v>
      </c>
      <c r="S43" s="106">
        <f t="shared" si="2"/>
        <v>0</v>
      </c>
      <c r="T43" s="106">
        <v>513</v>
      </c>
      <c r="U43" s="106">
        <f t="shared" si="3"/>
        <v>157.5</v>
      </c>
      <c r="V43" s="106">
        <v>828</v>
      </c>
      <c r="W43" s="106">
        <f t="shared" si="4"/>
        <v>391.5</v>
      </c>
      <c r="X43" s="106">
        <v>1611</v>
      </c>
      <c r="Y43" s="106">
        <f t="shared" si="5"/>
        <v>0</v>
      </c>
      <c r="Z43" s="106">
        <v>1611</v>
      </c>
      <c r="AA43" s="106">
        <f t="shared" si="6"/>
        <v>0</v>
      </c>
      <c r="AB43" s="106">
        <v>1611</v>
      </c>
      <c r="AC43" s="106">
        <f t="shared" si="7"/>
        <v>0</v>
      </c>
      <c r="AD43" s="106">
        <v>1611</v>
      </c>
      <c r="AE43" s="107">
        <f t="shared" si="8"/>
        <v>-49</v>
      </c>
    </row>
    <row r="44" spans="2:31" ht="15.6" customHeight="1" thickBot="1" x14ac:dyDescent="0.35">
      <c r="N44" s="213"/>
      <c r="O44" s="97" t="s">
        <v>73</v>
      </c>
      <c r="P44" s="110"/>
      <c r="Q44" s="110">
        <v>1574</v>
      </c>
      <c r="R44" s="110">
        <v>978</v>
      </c>
      <c r="S44" s="110">
        <f t="shared" si="2"/>
        <v>0</v>
      </c>
      <c r="T44" s="110">
        <v>978</v>
      </c>
      <c r="U44" s="110">
        <f t="shared" si="3"/>
        <v>15.5</v>
      </c>
      <c r="V44" s="110">
        <v>1009</v>
      </c>
      <c r="W44" s="110">
        <f t="shared" si="4"/>
        <v>245.5</v>
      </c>
      <c r="X44" s="110">
        <v>1500</v>
      </c>
      <c r="Y44" s="110">
        <f t="shared" si="5"/>
        <v>0</v>
      </c>
      <c r="Z44" s="110">
        <v>1500</v>
      </c>
      <c r="AA44" s="110">
        <f t="shared" si="6"/>
        <v>0</v>
      </c>
      <c r="AB44" s="110">
        <v>1500</v>
      </c>
      <c r="AC44" s="110">
        <f t="shared" si="7"/>
        <v>0</v>
      </c>
      <c r="AD44" s="110">
        <v>1500</v>
      </c>
      <c r="AE44" s="111">
        <f t="shared" si="8"/>
        <v>-74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4172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1586</v>
      </c>
      <c r="V45" s="112">
        <v>4172</v>
      </c>
      <c r="W45" s="112">
        <f t="shared" si="4"/>
        <v>0</v>
      </c>
      <c r="X45" s="112">
        <v>4172</v>
      </c>
      <c r="Y45" s="112">
        <f t="shared" si="5"/>
        <v>0</v>
      </c>
      <c r="Z45" s="112">
        <v>4172</v>
      </c>
      <c r="AA45" s="112">
        <f t="shared" si="6"/>
        <v>0</v>
      </c>
      <c r="AB45" s="112">
        <v>4172</v>
      </c>
      <c r="AC45" s="112">
        <f t="shared" si="7"/>
        <v>0</v>
      </c>
      <c r="AD45" s="112">
        <v>4172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3116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1558</v>
      </c>
      <c r="V46" s="108">
        <v>3116</v>
      </c>
      <c r="W46" s="108">
        <f t="shared" si="4"/>
        <v>0</v>
      </c>
      <c r="X46" s="108">
        <v>3116</v>
      </c>
      <c r="Y46" s="108">
        <f t="shared" si="5"/>
        <v>0</v>
      </c>
      <c r="Z46" s="108">
        <v>3116</v>
      </c>
      <c r="AA46" s="108">
        <f t="shared" si="6"/>
        <v>0</v>
      </c>
      <c r="AB46" s="108">
        <v>3116</v>
      </c>
      <c r="AC46" s="108">
        <f t="shared" si="7"/>
        <v>0</v>
      </c>
      <c r="AD46" s="108">
        <v>3116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1926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645</v>
      </c>
      <c r="V47" s="106">
        <v>1290</v>
      </c>
      <c r="W47" s="106">
        <f t="shared" si="4"/>
        <v>135</v>
      </c>
      <c r="X47" s="106">
        <v>1560</v>
      </c>
      <c r="Y47" s="106">
        <f t="shared" si="5"/>
        <v>0</v>
      </c>
      <c r="Z47" s="106">
        <v>1560</v>
      </c>
      <c r="AA47" s="106">
        <f t="shared" si="6"/>
        <v>0</v>
      </c>
      <c r="AB47" s="106">
        <v>1560</v>
      </c>
      <c r="AC47" s="106">
        <f t="shared" si="7"/>
        <v>0</v>
      </c>
      <c r="AD47" s="106">
        <v>1560</v>
      </c>
      <c r="AE47" s="107">
        <f t="shared" si="8"/>
        <v>-366</v>
      </c>
    </row>
    <row r="48" spans="2:31" ht="15.6" customHeight="1" thickBot="1" x14ac:dyDescent="0.35">
      <c r="N48" s="213"/>
      <c r="O48" s="97" t="s">
        <v>68</v>
      </c>
      <c r="P48" s="110"/>
      <c r="Q48" s="110">
        <v>3570</v>
      </c>
      <c r="R48" s="110">
        <v>1630</v>
      </c>
      <c r="S48" s="110">
        <f t="shared" si="2"/>
        <v>319</v>
      </c>
      <c r="T48" s="110">
        <v>2268</v>
      </c>
      <c r="U48" s="110">
        <f t="shared" si="3"/>
        <v>680.5</v>
      </c>
      <c r="V48" s="110">
        <v>3629</v>
      </c>
      <c r="W48" s="110">
        <f t="shared" si="4"/>
        <v>0</v>
      </c>
      <c r="X48" s="110">
        <v>3629</v>
      </c>
      <c r="Y48" s="110">
        <f t="shared" si="5"/>
        <v>0</v>
      </c>
      <c r="Z48" s="110">
        <v>3629</v>
      </c>
      <c r="AA48" s="110">
        <f t="shared" si="6"/>
        <v>0</v>
      </c>
      <c r="AB48" s="110">
        <v>3629</v>
      </c>
      <c r="AC48" s="110">
        <f t="shared" si="7"/>
        <v>0</v>
      </c>
      <c r="AD48" s="110">
        <v>3629</v>
      </c>
      <c r="AE48" s="111">
        <f t="shared" si="8"/>
        <v>59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379</v>
      </c>
      <c r="R49" s="112">
        <v>184</v>
      </c>
      <c r="S49" s="112">
        <f t="shared" si="2"/>
        <v>0</v>
      </c>
      <c r="T49" s="112">
        <v>184</v>
      </c>
      <c r="U49" s="112">
        <f t="shared" si="3"/>
        <v>18</v>
      </c>
      <c r="V49" s="112">
        <v>220</v>
      </c>
      <c r="W49" s="112">
        <f t="shared" si="4"/>
        <v>0</v>
      </c>
      <c r="X49" s="112">
        <v>220</v>
      </c>
      <c r="Y49" s="112">
        <f t="shared" si="5"/>
        <v>0</v>
      </c>
      <c r="Z49" s="112">
        <v>220</v>
      </c>
      <c r="AA49" s="112">
        <f t="shared" si="6"/>
        <v>0</v>
      </c>
      <c r="AB49" s="112">
        <v>220</v>
      </c>
      <c r="AC49" s="112">
        <f t="shared" si="7"/>
        <v>0</v>
      </c>
      <c r="AD49" s="112">
        <v>220</v>
      </c>
      <c r="AE49" s="113">
        <f t="shared" si="8"/>
        <v>-159</v>
      </c>
    </row>
    <row r="50" spans="14:31" ht="15.6" customHeight="1" x14ac:dyDescent="0.3">
      <c r="N50" s="212"/>
      <c r="O50" s="94" t="s">
        <v>66</v>
      </c>
      <c r="P50" s="108"/>
      <c r="Q50" s="108">
        <v>354</v>
      </c>
      <c r="R50" s="108">
        <v>0</v>
      </c>
      <c r="S50" s="108">
        <f t="shared" si="2"/>
        <v>173</v>
      </c>
      <c r="T50" s="108">
        <v>346</v>
      </c>
      <c r="U50" s="108">
        <f t="shared" si="3"/>
        <v>4</v>
      </c>
      <c r="V50" s="108">
        <v>354</v>
      </c>
      <c r="W50" s="108">
        <f t="shared" si="4"/>
        <v>0</v>
      </c>
      <c r="X50" s="108">
        <v>354</v>
      </c>
      <c r="Y50" s="108">
        <f t="shared" si="5"/>
        <v>0</v>
      </c>
      <c r="Z50" s="108">
        <v>354</v>
      </c>
      <c r="AA50" s="108">
        <f t="shared" si="6"/>
        <v>0</v>
      </c>
      <c r="AB50" s="108">
        <v>354</v>
      </c>
      <c r="AC50" s="108">
        <f t="shared" si="7"/>
        <v>0</v>
      </c>
      <c r="AD50" s="108">
        <v>354</v>
      </c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>
        <v>1531</v>
      </c>
      <c r="R51" s="106">
        <v>1020</v>
      </c>
      <c r="S51" s="106">
        <f t="shared" si="2"/>
        <v>0</v>
      </c>
      <c r="T51" s="106">
        <v>1020</v>
      </c>
      <c r="U51" s="106">
        <f t="shared" si="3"/>
        <v>142.5</v>
      </c>
      <c r="V51" s="106">
        <v>1305</v>
      </c>
      <c r="W51" s="106">
        <f t="shared" si="4"/>
        <v>82.5</v>
      </c>
      <c r="X51" s="106">
        <v>1470</v>
      </c>
      <c r="Y51" s="106">
        <f t="shared" si="5"/>
        <v>0</v>
      </c>
      <c r="Z51" s="106">
        <v>1470</v>
      </c>
      <c r="AA51" s="106">
        <f t="shared" si="6"/>
        <v>0</v>
      </c>
      <c r="AB51" s="106">
        <v>1470</v>
      </c>
      <c r="AC51" s="106">
        <f t="shared" si="7"/>
        <v>0</v>
      </c>
      <c r="AD51" s="106">
        <v>1470</v>
      </c>
      <c r="AE51" s="107">
        <f t="shared" si="8"/>
        <v>-61</v>
      </c>
    </row>
    <row r="52" spans="14:31" ht="15.6" customHeight="1" x14ac:dyDescent="0.3">
      <c r="N52" s="212"/>
      <c r="O52" s="94" t="s">
        <v>68</v>
      </c>
      <c r="P52" s="108"/>
      <c r="Q52" s="108">
        <v>832</v>
      </c>
      <c r="R52" s="108">
        <v>135</v>
      </c>
      <c r="S52" s="108">
        <f t="shared" si="2"/>
        <v>0</v>
      </c>
      <c r="T52" s="108">
        <v>135</v>
      </c>
      <c r="U52" s="108">
        <f t="shared" si="3"/>
        <v>151.5</v>
      </c>
      <c r="V52" s="108">
        <v>438</v>
      </c>
      <c r="W52" s="108">
        <f t="shared" si="4"/>
        <v>83</v>
      </c>
      <c r="X52" s="108">
        <v>604</v>
      </c>
      <c r="Y52" s="108">
        <f t="shared" si="5"/>
        <v>0</v>
      </c>
      <c r="Z52" s="108">
        <v>604</v>
      </c>
      <c r="AA52" s="108">
        <f t="shared" si="6"/>
        <v>0</v>
      </c>
      <c r="AB52" s="108">
        <v>604</v>
      </c>
      <c r="AC52" s="108">
        <f t="shared" si="7"/>
        <v>0</v>
      </c>
      <c r="AD52" s="108">
        <v>604</v>
      </c>
      <c r="AE52" s="109">
        <f t="shared" si="8"/>
        <v>-228</v>
      </c>
    </row>
    <row r="53" spans="14:31" ht="15.6" customHeight="1" x14ac:dyDescent="0.3">
      <c r="N53" s="212"/>
      <c r="O53" s="95" t="s">
        <v>69</v>
      </c>
      <c r="P53" s="106"/>
      <c r="Q53" s="106">
        <v>2948</v>
      </c>
      <c r="R53" s="106">
        <v>1111</v>
      </c>
      <c r="S53" s="106">
        <f t="shared" si="2"/>
        <v>0</v>
      </c>
      <c r="T53" s="106">
        <v>1111</v>
      </c>
      <c r="U53" s="106">
        <f t="shared" si="3"/>
        <v>304.5</v>
      </c>
      <c r="V53" s="106">
        <v>1720</v>
      </c>
      <c r="W53" s="106">
        <f t="shared" si="4"/>
        <v>294</v>
      </c>
      <c r="X53" s="106">
        <v>2308</v>
      </c>
      <c r="Y53" s="106">
        <f t="shared" si="5"/>
        <v>0</v>
      </c>
      <c r="Z53" s="106">
        <v>2308</v>
      </c>
      <c r="AA53" s="106">
        <f t="shared" si="6"/>
        <v>0</v>
      </c>
      <c r="AB53" s="106">
        <v>2308</v>
      </c>
      <c r="AC53" s="106">
        <f t="shared" si="7"/>
        <v>0</v>
      </c>
      <c r="AD53" s="106">
        <v>2308</v>
      </c>
      <c r="AE53" s="107">
        <f t="shared" si="8"/>
        <v>-640</v>
      </c>
    </row>
    <row r="54" spans="14:31" ht="15.6" customHeight="1" x14ac:dyDescent="0.3">
      <c r="N54" s="212"/>
      <c r="O54" s="94" t="s">
        <v>70</v>
      </c>
      <c r="P54" s="108"/>
      <c r="Q54" s="108">
        <v>1606</v>
      </c>
      <c r="R54" s="108">
        <v>0</v>
      </c>
      <c r="S54" s="108" t="str">
        <f t="shared" si="2"/>
        <v/>
      </c>
      <c r="T54" s="108">
        <v>0</v>
      </c>
      <c r="U54" s="108">
        <f t="shared" si="3"/>
        <v>320</v>
      </c>
      <c r="V54" s="108">
        <v>640</v>
      </c>
      <c r="W54" s="108">
        <f t="shared" si="4"/>
        <v>483</v>
      </c>
      <c r="X54" s="108">
        <v>1606</v>
      </c>
      <c r="Y54" s="108">
        <f t="shared" si="5"/>
        <v>0</v>
      </c>
      <c r="Z54" s="108">
        <v>1606</v>
      </c>
      <c r="AA54" s="108">
        <f t="shared" si="6"/>
        <v>0</v>
      </c>
      <c r="AB54" s="108">
        <v>1606</v>
      </c>
      <c r="AC54" s="108">
        <f t="shared" si="7"/>
        <v>0</v>
      </c>
      <c r="AD54" s="108">
        <v>1606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916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316.5</v>
      </c>
      <c r="V55" s="106">
        <v>633</v>
      </c>
      <c r="W55" s="106">
        <f t="shared" si="4"/>
        <v>141.5</v>
      </c>
      <c r="X55" s="106">
        <v>916</v>
      </c>
      <c r="Y55" s="106">
        <f t="shared" si="5"/>
        <v>0</v>
      </c>
      <c r="Z55" s="106">
        <v>916</v>
      </c>
      <c r="AA55" s="106">
        <f t="shared" si="6"/>
        <v>0</v>
      </c>
      <c r="AB55" s="106">
        <v>916</v>
      </c>
      <c r="AC55" s="106">
        <f t="shared" si="7"/>
        <v>0</v>
      </c>
      <c r="AD55" s="106">
        <v>916</v>
      </c>
      <c r="AE55" s="107">
        <f t="shared" si="8"/>
        <v>0</v>
      </c>
    </row>
    <row r="56" spans="14:31" ht="15.6" customHeight="1" x14ac:dyDescent="0.3">
      <c r="N56" s="212"/>
      <c r="O56" s="94" t="s">
        <v>72</v>
      </c>
      <c r="P56" s="108"/>
      <c r="Q56" s="108">
        <v>409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273</v>
      </c>
      <c r="V56" s="108">
        <v>546</v>
      </c>
      <c r="W56" s="108">
        <f t="shared" si="4"/>
        <v>0</v>
      </c>
      <c r="X56" s="108">
        <v>546</v>
      </c>
      <c r="Y56" s="108">
        <f t="shared" si="5"/>
        <v>0</v>
      </c>
      <c r="Z56" s="108">
        <v>546</v>
      </c>
      <c r="AA56" s="108">
        <f t="shared" si="6"/>
        <v>0</v>
      </c>
      <c r="AB56" s="108">
        <v>546</v>
      </c>
      <c r="AC56" s="108">
        <f t="shared" si="7"/>
        <v>0</v>
      </c>
      <c r="AD56" s="108">
        <v>546</v>
      </c>
      <c r="AE56" s="109">
        <f t="shared" si="8"/>
        <v>137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5114</v>
      </c>
      <c r="R58" s="104">
        <v>658</v>
      </c>
      <c r="S58" s="104">
        <f t="shared" si="2"/>
        <v>0</v>
      </c>
      <c r="T58" s="104">
        <v>658</v>
      </c>
      <c r="U58" s="104">
        <f t="shared" si="3"/>
        <v>1001.5</v>
      </c>
      <c r="V58" s="104">
        <v>2661</v>
      </c>
      <c r="W58" s="104">
        <f t="shared" si="4"/>
        <v>782.5</v>
      </c>
      <c r="X58" s="104">
        <v>4226</v>
      </c>
      <c r="Y58" s="104">
        <f t="shared" si="5"/>
        <v>267</v>
      </c>
      <c r="Z58" s="104">
        <v>4760</v>
      </c>
      <c r="AA58" s="104">
        <f t="shared" si="6"/>
        <v>0</v>
      </c>
      <c r="AB58" s="104">
        <v>4760</v>
      </c>
      <c r="AC58" s="104">
        <f t="shared" si="7"/>
        <v>0</v>
      </c>
      <c r="AD58" s="104">
        <v>4760</v>
      </c>
      <c r="AE58" s="105">
        <f t="shared" si="8"/>
        <v>-354</v>
      </c>
    </row>
    <row r="59" spans="14:31" ht="15.6" customHeight="1" x14ac:dyDescent="0.3">
      <c r="N59" s="212"/>
      <c r="O59" s="95" t="s">
        <v>66</v>
      </c>
      <c r="P59" s="106"/>
      <c r="Q59" s="106">
        <v>4489</v>
      </c>
      <c r="R59" s="106">
        <v>2231</v>
      </c>
      <c r="S59" s="106">
        <f t="shared" si="2"/>
        <v>0</v>
      </c>
      <c r="T59" s="106">
        <v>2231</v>
      </c>
      <c r="U59" s="106">
        <f t="shared" si="3"/>
        <v>418.5</v>
      </c>
      <c r="V59" s="106">
        <v>3068</v>
      </c>
      <c r="W59" s="106">
        <f t="shared" si="4"/>
        <v>534.5</v>
      </c>
      <c r="X59" s="106">
        <v>4137</v>
      </c>
      <c r="Y59" s="106">
        <f t="shared" si="5"/>
        <v>409</v>
      </c>
      <c r="Z59" s="106">
        <v>4955</v>
      </c>
      <c r="AA59" s="106">
        <f t="shared" si="6"/>
        <v>0</v>
      </c>
      <c r="AB59" s="106">
        <v>4955</v>
      </c>
      <c r="AC59" s="106">
        <f t="shared" si="7"/>
        <v>0</v>
      </c>
      <c r="AD59" s="106">
        <v>4955</v>
      </c>
      <c r="AE59" s="107">
        <f t="shared" si="8"/>
        <v>466</v>
      </c>
    </row>
    <row r="60" spans="14:31" ht="15.6" customHeight="1" x14ac:dyDescent="0.3">
      <c r="N60" s="212"/>
      <c r="O60" s="94" t="s">
        <v>67</v>
      </c>
      <c r="P60" s="108"/>
      <c r="Q60" s="108">
        <v>3823</v>
      </c>
      <c r="R60" s="108">
        <v>774</v>
      </c>
      <c r="S60" s="108">
        <f t="shared" si="2"/>
        <v>83.5</v>
      </c>
      <c r="T60" s="108">
        <v>941</v>
      </c>
      <c r="U60" s="108">
        <f t="shared" si="3"/>
        <v>240.5</v>
      </c>
      <c r="V60" s="108">
        <v>1422</v>
      </c>
      <c r="W60" s="108">
        <f t="shared" si="4"/>
        <v>0</v>
      </c>
      <c r="X60" s="108">
        <v>1422</v>
      </c>
      <c r="Y60" s="108">
        <f t="shared" si="5"/>
        <v>1170</v>
      </c>
      <c r="Z60" s="108">
        <v>3762</v>
      </c>
      <c r="AA60" s="108">
        <f t="shared" si="6"/>
        <v>0</v>
      </c>
      <c r="AB60" s="108">
        <v>3762</v>
      </c>
      <c r="AC60" s="108">
        <f t="shared" si="7"/>
        <v>0</v>
      </c>
      <c r="AD60" s="108">
        <v>3762</v>
      </c>
      <c r="AE60" s="109">
        <f t="shared" si="8"/>
        <v>-61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5831</v>
      </c>
      <c r="R62" s="104">
        <v>1108</v>
      </c>
      <c r="S62" s="104">
        <f t="shared" si="2"/>
        <v>0</v>
      </c>
      <c r="T62" s="104">
        <v>1108</v>
      </c>
      <c r="U62" s="104">
        <f t="shared" si="3"/>
        <v>0</v>
      </c>
      <c r="V62" s="104">
        <v>1108</v>
      </c>
      <c r="W62" s="104">
        <f t="shared" si="4"/>
        <v>36</v>
      </c>
      <c r="X62" s="104">
        <v>1180</v>
      </c>
      <c r="Y62" s="104">
        <f t="shared" si="5"/>
        <v>214.5</v>
      </c>
      <c r="Z62" s="104">
        <v>1609</v>
      </c>
      <c r="AA62" s="104">
        <f t="shared" si="6"/>
        <v>295</v>
      </c>
      <c r="AB62" s="104">
        <v>2199</v>
      </c>
      <c r="AC62" s="104">
        <f t="shared" si="7"/>
        <v>0</v>
      </c>
      <c r="AD62" s="104">
        <v>2199</v>
      </c>
      <c r="AE62" s="105">
        <f t="shared" si="8"/>
        <v>-3632</v>
      </c>
    </row>
    <row r="63" spans="14:31" ht="15.6" customHeight="1" x14ac:dyDescent="0.3">
      <c r="N63" s="212"/>
      <c r="O63" s="95" t="s">
        <v>66</v>
      </c>
      <c r="P63" s="106"/>
      <c r="Q63" s="106">
        <v>7890</v>
      </c>
      <c r="R63" s="106">
        <v>540</v>
      </c>
      <c r="S63" s="106">
        <f t="shared" si="2"/>
        <v>0</v>
      </c>
      <c r="T63" s="106">
        <v>540</v>
      </c>
      <c r="U63" s="106">
        <f t="shared" si="3"/>
        <v>411.5</v>
      </c>
      <c r="V63" s="106">
        <v>1363</v>
      </c>
      <c r="W63" s="106">
        <f t="shared" si="4"/>
        <v>418</v>
      </c>
      <c r="X63" s="106">
        <v>2199</v>
      </c>
      <c r="Y63" s="106">
        <f t="shared" si="5"/>
        <v>229.5</v>
      </c>
      <c r="Z63" s="106">
        <v>2658</v>
      </c>
      <c r="AA63" s="106">
        <f t="shared" si="6"/>
        <v>303.5</v>
      </c>
      <c r="AB63" s="106">
        <v>3265</v>
      </c>
      <c r="AC63" s="106">
        <f t="shared" si="7"/>
        <v>67.5</v>
      </c>
      <c r="AD63" s="106">
        <v>3400</v>
      </c>
      <c r="AE63" s="107">
        <f t="shared" si="8"/>
        <v>-4490</v>
      </c>
    </row>
    <row r="64" spans="14:31" ht="15.6" customHeight="1" x14ac:dyDescent="0.3">
      <c r="N64" s="212"/>
      <c r="O64" s="94" t="s">
        <v>67</v>
      </c>
      <c r="P64" s="108"/>
      <c r="Q64" s="108">
        <v>6238</v>
      </c>
      <c r="R64" s="108">
        <v>0</v>
      </c>
      <c r="S64" s="108" t="str">
        <f t="shared" si="2"/>
        <v/>
      </c>
      <c r="T64" s="108">
        <v>0</v>
      </c>
      <c r="U64" s="108">
        <f t="shared" si="3"/>
        <v>220.5</v>
      </c>
      <c r="V64" s="108">
        <v>441</v>
      </c>
      <c r="W64" s="108">
        <f t="shared" si="4"/>
        <v>427.5</v>
      </c>
      <c r="X64" s="108">
        <v>1296</v>
      </c>
      <c r="Y64" s="108">
        <f t="shared" si="5"/>
        <v>49.5</v>
      </c>
      <c r="Z64" s="108">
        <v>1395</v>
      </c>
      <c r="AA64" s="108">
        <f t="shared" si="6"/>
        <v>209</v>
      </c>
      <c r="AB64" s="108">
        <v>1813</v>
      </c>
      <c r="AC64" s="108">
        <f t="shared" si="7"/>
        <v>585</v>
      </c>
      <c r="AD64" s="108">
        <v>2983</v>
      </c>
      <c r="AE64" s="109">
        <f t="shared" si="8"/>
        <v>-3255</v>
      </c>
    </row>
    <row r="65" spans="14:31" ht="15.6" customHeight="1" thickBot="1" x14ac:dyDescent="0.35">
      <c r="N65" s="213"/>
      <c r="O65" s="99" t="s">
        <v>68</v>
      </c>
      <c r="P65" s="114"/>
      <c r="Q65" s="114">
        <v>1549</v>
      </c>
      <c r="R65" s="114">
        <v>180</v>
      </c>
      <c r="S65" s="114">
        <f t="shared" si="2"/>
        <v>0</v>
      </c>
      <c r="T65" s="114">
        <v>180</v>
      </c>
      <c r="U65" s="114">
        <f t="shared" si="3"/>
        <v>0</v>
      </c>
      <c r="V65" s="114">
        <v>180</v>
      </c>
      <c r="W65" s="114">
        <f t="shared" si="4"/>
        <v>0</v>
      </c>
      <c r="X65" s="114">
        <v>180</v>
      </c>
      <c r="Y65" s="114">
        <f t="shared" si="5"/>
        <v>0</v>
      </c>
      <c r="Z65" s="114">
        <v>180</v>
      </c>
      <c r="AA65" s="114">
        <f t="shared" si="6"/>
        <v>0</v>
      </c>
      <c r="AB65" s="114">
        <v>180</v>
      </c>
      <c r="AC65" s="114">
        <f t="shared" si="7"/>
        <v>0</v>
      </c>
      <c r="AD65" s="114">
        <v>180</v>
      </c>
      <c r="AE65" s="115">
        <f t="shared" si="8"/>
        <v>-1369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35" priority="11" operator="lessThan">
      <formula>0</formula>
    </cfRule>
    <cfRule type="cellIs" dxfId="1834" priority="12" operator="greaterThan">
      <formula>0</formula>
    </cfRule>
  </conditionalFormatting>
  <conditionalFormatting sqref="R25:AC25">
    <cfRule type="cellIs" dxfId="1833" priority="9" operator="lessThan">
      <formula>0</formula>
    </cfRule>
    <cfRule type="cellIs" dxfId="1832" priority="10" operator="greaterThan">
      <formula>0</formula>
    </cfRule>
  </conditionalFormatting>
  <conditionalFormatting sqref="R26 T26 V26 X26 Z26 AB26">
    <cfRule type="cellIs" dxfId="1831" priority="7" operator="lessThan">
      <formula>0</formula>
    </cfRule>
    <cfRule type="cellIs" dxfId="1830" priority="8" operator="greaterThan">
      <formula>0</formula>
    </cfRule>
  </conditionalFormatting>
  <conditionalFormatting sqref="AD24:AE24">
    <cfRule type="cellIs" dxfId="1829" priority="5" operator="lessThan">
      <formula>0</formula>
    </cfRule>
    <cfRule type="cellIs" dxfId="1828" priority="6" operator="greaterThan">
      <formula>0</formula>
    </cfRule>
  </conditionalFormatting>
  <conditionalFormatting sqref="AD25:AE25">
    <cfRule type="cellIs" dxfId="1827" priority="3" operator="lessThan">
      <formula>0</formula>
    </cfRule>
    <cfRule type="cellIs" dxfId="1826" priority="4" operator="greaterThan">
      <formula>0</formula>
    </cfRule>
  </conditionalFormatting>
  <conditionalFormatting sqref="AD26">
    <cfRule type="cellIs" dxfId="1825" priority="1" operator="lessThan">
      <formula>0</formula>
    </cfRule>
    <cfRule type="cellIs" dxfId="182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44366</v>
      </c>
    </row>
    <row r="3" spans="2:42" ht="18.75" customHeight="1" thickBot="1" x14ac:dyDescent="0.35">
      <c r="B3" t="s">
        <v>1</v>
      </c>
      <c r="C3" s="3">
        <f>C2+1</f>
        <v>44367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19874</v>
      </c>
      <c r="G6" s="117">
        <v>17538.033374999999</v>
      </c>
      <c r="H6" s="117">
        <v>13493.369542579991</v>
      </c>
      <c r="I6" s="19">
        <f>G6+H6</f>
        <v>31031.402917579988</v>
      </c>
      <c r="J6" s="119">
        <v>16647</v>
      </c>
      <c r="K6" s="117">
        <v>14628.129375</v>
      </c>
      <c r="L6" s="117">
        <v>8581.7604989399988</v>
      </c>
      <c r="M6" s="19">
        <f>K6+L6</f>
        <v>23209.889873939999</v>
      </c>
      <c r="N6" s="85">
        <v>79</v>
      </c>
      <c r="O6" s="85">
        <v>59</v>
      </c>
      <c r="P6" s="92"/>
      <c r="Q6" s="20">
        <f>J6-P6</f>
        <v>16647</v>
      </c>
      <c r="R6" s="21">
        <v>901</v>
      </c>
      <c r="S6" s="20">
        <f>IF(R6&gt;0,(R6-R7-$Q6),"")</f>
        <v>-15746</v>
      </c>
      <c r="T6" s="21">
        <v>4645</v>
      </c>
      <c r="U6" s="20">
        <f>IF(T6&gt;0,(T6-T7-$Q6),"")</f>
        <v>-12542</v>
      </c>
      <c r="V6" s="21">
        <v>10415</v>
      </c>
      <c r="W6" s="20">
        <f>IF(V6&gt;0,(V6-V7-$Q6),"")</f>
        <v>-6772</v>
      </c>
      <c r="X6" s="21">
        <v>14537</v>
      </c>
      <c r="Y6" s="20">
        <f>IF(X6&gt;0,(X6-X7-$Q6),"")</f>
        <v>-2693</v>
      </c>
      <c r="Z6" s="21">
        <v>16315</v>
      </c>
      <c r="AA6" s="20">
        <f>IF(Z6&gt;0,(Z6-Z7-$Q6),"")</f>
        <v>-926</v>
      </c>
      <c r="AB6" s="21">
        <v>16315</v>
      </c>
      <c r="AC6" s="22">
        <f>IF(AB6&gt;0,(AB6-AB7-$Q6),"")</f>
        <v>-926</v>
      </c>
      <c r="AD6" s="21">
        <v>16315</v>
      </c>
      <c r="AE6" s="22">
        <f>IF(AD6&gt;0,(AD6-AD7-$Q6),"")</f>
        <v>-926</v>
      </c>
    </row>
    <row r="7" spans="2:42" x14ac:dyDescent="0.3">
      <c r="B7" s="16" t="s">
        <v>23</v>
      </c>
      <c r="C7" s="17">
        <v>2193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0</v>
      </c>
      <c r="S7" s="24"/>
      <c r="T7" s="25">
        <v>540</v>
      </c>
      <c r="U7" s="24"/>
      <c r="V7" s="25">
        <v>540</v>
      </c>
      <c r="W7" s="24"/>
      <c r="X7" s="25">
        <v>583</v>
      </c>
      <c r="Y7" s="24"/>
      <c r="Z7" s="25">
        <v>594</v>
      </c>
      <c r="AA7" s="24"/>
      <c r="AB7" s="25">
        <v>594</v>
      </c>
      <c r="AC7" s="26"/>
      <c r="AD7" s="25">
        <v>594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3939</v>
      </c>
      <c r="E8" s="29" t="s">
        <v>27</v>
      </c>
      <c r="F8" s="119">
        <v>15228</v>
      </c>
      <c r="G8" s="117">
        <v>6517.6389999999992</v>
      </c>
      <c r="H8" s="117">
        <v>1454.261634</v>
      </c>
      <c r="I8" s="19">
        <f>G8+H8</f>
        <v>7971.9006339999996</v>
      </c>
      <c r="J8" s="119">
        <v>16573</v>
      </c>
      <c r="K8" s="117">
        <v>7112.3665000000001</v>
      </c>
      <c r="L8" s="117">
        <v>1644.1175171</v>
      </c>
      <c r="M8" s="19">
        <f>K8+L8</f>
        <v>8756.4840170999996</v>
      </c>
      <c r="N8" s="87">
        <v>42</v>
      </c>
      <c r="O8" s="87">
        <v>25</v>
      </c>
      <c r="P8" s="92"/>
      <c r="Q8" s="20">
        <f>J8-P8</f>
        <v>16573</v>
      </c>
      <c r="R8" s="21">
        <v>2750</v>
      </c>
      <c r="S8" s="20">
        <f>IF(R8&gt;0,(R8-R9-$Q8),"")</f>
        <v>-13823</v>
      </c>
      <c r="T8" s="21">
        <v>2750</v>
      </c>
      <c r="U8" s="20">
        <f>IF(T8&gt;0,(T8-T9-$Q8),"")</f>
        <v>-13823</v>
      </c>
      <c r="V8" s="21">
        <v>4745</v>
      </c>
      <c r="W8" s="20">
        <f>IF(V8&gt;0,(V8-V9-$Q8),"")</f>
        <v>-11828</v>
      </c>
      <c r="X8" s="21">
        <v>15629</v>
      </c>
      <c r="Y8" s="20">
        <f>IF(X8&gt;0,(X8-X9-$Q8),"")</f>
        <v>-944</v>
      </c>
      <c r="Z8" s="21">
        <v>15981</v>
      </c>
      <c r="AA8" s="20">
        <f>IF(Z8&gt;0,(Z8-Z9-$Q8),"")</f>
        <v>-592</v>
      </c>
      <c r="AB8" s="21">
        <v>15981</v>
      </c>
      <c r="AC8" s="22">
        <f>IF(AB8&gt;0,(AB8-AB9-$Q8),"")</f>
        <v>-592</v>
      </c>
      <c r="AD8" s="21">
        <v>15981</v>
      </c>
      <c r="AE8" s="22">
        <f>IF(AD8&gt;0,(AD8-AD9-$Q8),"")</f>
        <v>-592</v>
      </c>
    </row>
    <row r="9" spans="2:42" x14ac:dyDescent="0.3">
      <c r="B9" s="28" t="s">
        <v>28</v>
      </c>
      <c r="C9" s="17">
        <v>1473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4576</v>
      </c>
      <c r="E10" s="18" t="s">
        <v>31</v>
      </c>
      <c r="F10" s="119">
        <v>17686</v>
      </c>
      <c r="G10" s="117">
        <v>14073.00425</v>
      </c>
      <c r="H10" s="117">
        <v>1654.4253699999999</v>
      </c>
      <c r="I10" s="19">
        <f>G10+H10</f>
        <v>15727.429619999999</v>
      </c>
      <c r="J10" s="119">
        <v>17917</v>
      </c>
      <c r="K10" s="117">
        <v>14227.55025</v>
      </c>
      <c r="L10" s="117">
        <v>1341.06611</v>
      </c>
      <c r="M10" s="19">
        <f>K10+L10</f>
        <v>15568.61636</v>
      </c>
      <c r="N10" s="88">
        <v>48</v>
      </c>
      <c r="O10" s="88">
        <v>33</v>
      </c>
      <c r="P10" s="92"/>
      <c r="Q10" s="20">
        <f>J10-P10</f>
        <v>17917</v>
      </c>
      <c r="R10" s="21">
        <v>3060</v>
      </c>
      <c r="S10" s="20">
        <f>IF(R10&gt;0,(R10-R11-$Q10),"")</f>
        <v>-14857</v>
      </c>
      <c r="T10" s="21">
        <v>4651</v>
      </c>
      <c r="U10" s="20">
        <f>IF(T10&gt;0,(T10-T11-$Q10),"")</f>
        <v>-13573</v>
      </c>
      <c r="V10" s="21">
        <v>7062</v>
      </c>
      <c r="W10" s="20">
        <f>IF(V10&gt;0,(V10-V11-$Q10),"")</f>
        <v>-11623</v>
      </c>
      <c r="X10" s="21">
        <v>12013</v>
      </c>
      <c r="Y10" s="20">
        <f>IF(X10&gt;0,(X10-X11-$Q10),"")</f>
        <v>-7892</v>
      </c>
      <c r="Z10" s="21">
        <v>13936</v>
      </c>
      <c r="AA10" s="20">
        <f>IF(Z10&gt;0,(Z10-Z11-$Q10),"")</f>
        <v>-5969</v>
      </c>
      <c r="AB10" s="21">
        <v>15552</v>
      </c>
      <c r="AC10" s="22">
        <f>IF(AB10&gt;0,(AB10-AB11-$Q10),"")</f>
        <v>-5119</v>
      </c>
      <c r="AD10" s="21">
        <v>15552</v>
      </c>
      <c r="AE10" s="22">
        <f>IF(AD10&gt;0,(AD10-AD11-$Q10),"")</f>
        <v>-5119</v>
      </c>
    </row>
    <row r="11" spans="2:42" x14ac:dyDescent="0.3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15</v>
      </c>
      <c r="P11" s="93" t="s">
        <v>33</v>
      </c>
      <c r="Q11" s="24"/>
      <c r="R11" s="30">
        <v>0</v>
      </c>
      <c r="S11" s="24"/>
      <c r="T11" s="30">
        <v>307</v>
      </c>
      <c r="U11" s="24"/>
      <c r="V11" s="30">
        <v>768</v>
      </c>
      <c r="W11" s="24"/>
      <c r="X11" s="30">
        <v>1988</v>
      </c>
      <c r="Y11" s="24"/>
      <c r="Z11" s="30">
        <v>1988</v>
      </c>
      <c r="AA11" s="24"/>
      <c r="AB11" s="30">
        <v>2754</v>
      </c>
      <c r="AC11" s="26"/>
      <c r="AD11" s="30">
        <v>2754</v>
      </c>
      <c r="AE11" s="26"/>
    </row>
    <row r="12" spans="2:42" x14ac:dyDescent="0.3">
      <c r="B12" s="16" t="s">
        <v>34</v>
      </c>
      <c r="C12" s="17">
        <v>1721</v>
      </c>
      <c r="E12" s="29" t="s">
        <v>35</v>
      </c>
      <c r="F12" s="119">
        <v>11608</v>
      </c>
      <c r="G12" s="117">
        <v>11244.7565</v>
      </c>
      <c r="H12" s="117">
        <v>12901.770066640011</v>
      </c>
      <c r="I12" s="19">
        <f>G12+H12</f>
        <v>24146.526566640008</v>
      </c>
      <c r="J12" s="119">
        <v>11982</v>
      </c>
      <c r="K12" s="117">
        <v>11700.625249999999</v>
      </c>
      <c r="L12" s="117">
        <v>12993.262524</v>
      </c>
      <c r="M12" s="19">
        <f>K12+L12</f>
        <v>24693.887773999999</v>
      </c>
      <c r="N12" s="88">
        <v>43</v>
      </c>
      <c r="O12" s="88">
        <v>30</v>
      </c>
      <c r="P12" s="92"/>
      <c r="Q12" s="20">
        <f>J12-P12</f>
        <v>11982</v>
      </c>
      <c r="R12" s="21">
        <v>2780</v>
      </c>
      <c r="S12" s="20">
        <f>IF(R12&gt;0,(R12-R13-$Q12),"")</f>
        <v>-10124</v>
      </c>
      <c r="T12" s="21">
        <v>3860</v>
      </c>
      <c r="U12" s="20">
        <f>IF(T12&gt;0,(T12-T13-$Q12),"")</f>
        <v>-9165</v>
      </c>
      <c r="V12" s="21">
        <v>7063</v>
      </c>
      <c r="W12" s="20">
        <f>IF(V12&gt;0,(V12-V13-$Q12),"")</f>
        <v>-6196</v>
      </c>
      <c r="X12" s="21">
        <v>10360</v>
      </c>
      <c r="Y12" s="20">
        <f>IF(X12&gt;0,(X12-X13-$Q12),"")</f>
        <v>-3389</v>
      </c>
      <c r="Z12" s="21">
        <v>10360</v>
      </c>
      <c r="AA12" s="20">
        <f>IF(Z12&gt;0,(Z12-Z13-$Q12),"")</f>
        <v>-3389</v>
      </c>
      <c r="AB12" s="21">
        <v>10360</v>
      </c>
      <c r="AC12" s="22">
        <f>IF(AB12&gt;0,(AB12-AB13-$Q12),"")</f>
        <v>-3389</v>
      </c>
      <c r="AD12" s="21">
        <v>10360</v>
      </c>
      <c r="AE12" s="22">
        <f>IF(AD12&gt;0,(AD12-AD13-$Q12),"")</f>
        <v>-3389</v>
      </c>
    </row>
    <row r="13" spans="2:42" x14ac:dyDescent="0.3">
      <c r="B13" s="16" t="s">
        <v>36</v>
      </c>
      <c r="C13" s="17">
        <v>5002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922</v>
      </c>
      <c r="S13" s="24"/>
      <c r="T13" s="30">
        <v>1043</v>
      </c>
      <c r="U13" s="24"/>
      <c r="V13" s="30">
        <v>1277</v>
      </c>
      <c r="W13" s="24"/>
      <c r="X13" s="30">
        <v>1767</v>
      </c>
      <c r="Y13" s="24"/>
      <c r="Z13" s="30">
        <v>1767</v>
      </c>
      <c r="AA13" s="24"/>
      <c r="AB13" s="30">
        <v>1767</v>
      </c>
      <c r="AC13" s="26"/>
      <c r="AD13" s="30">
        <v>1767</v>
      </c>
      <c r="AE13" s="26"/>
    </row>
    <row r="14" spans="2:42" x14ac:dyDescent="0.3">
      <c r="B14" s="16" t="s">
        <v>38</v>
      </c>
      <c r="C14" s="17">
        <v>5674</v>
      </c>
      <c r="E14" s="18" t="s">
        <v>39</v>
      </c>
      <c r="F14" s="119">
        <v>21153</v>
      </c>
      <c r="G14" s="117">
        <v>20165.59375</v>
      </c>
      <c r="H14" s="117">
        <v>27198.03761950001</v>
      </c>
      <c r="I14" s="19">
        <f>G14+H14</f>
        <v>47363.631369500014</v>
      </c>
      <c r="J14" s="119">
        <v>21153</v>
      </c>
      <c r="K14" s="117">
        <v>20165.59375</v>
      </c>
      <c r="L14" s="117">
        <v>25969.329115439999</v>
      </c>
      <c r="M14" s="19">
        <f>K14+L14</f>
        <v>46134.922865439999</v>
      </c>
      <c r="N14" s="88">
        <v>77</v>
      </c>
      <c r="O14" s="88">
        <v>49</v>
      </c>
      <c r="P14" s="92"/>
      <c r="Q14" s="20">
        <f>J14-P14</f>
        <v>21153</v>
      </c>
      <c r="R14" s="21">
        <v>4868</v>
      </c>
      <c r="S14" s="20">
        <f>IF(R14&gt;0,(R14-R15-$Q14),"")</f>
        <v>-21153</v>
      </c>
      <c r="T14" s="21">
        <v>7711</v>
      </c>
      <c r="U14" s="20">
        <f>IF(T14&gt;0,(T14-T15-$Q14),"")</f>
        <v>-21153</v>
      </c>
      <c r="V14" s="21">
        <v>7711</v>
      </c>
      <c r="W14" s="20">
        <f>IF(V14&gt;0,(V14-V15-$Q14),"")</f>
        <v>-21153</v>
      </c>
      <c r="X14" s="21">
        <v>8287</v>
      </c>
      <c r="Y14" s="20">
        <f>IF(X14&gt;0,(X14-X15-$Q14),"")</f>
        <v>-20583</v>
      </c>
      <c r="Z14" s="21">
        <v>8422</v>
      </c>
      <c r="AA14" s="20">
        <f>IF(Z14&gt;0,(Z14-Z15-$Q14),"")</f>
        <v>-20448</v>
      </c>
      <c r="AB14" s="21">
        <v>8422</v>
      </c>
      <c r="AC14" s="22">
        <f>IF(AB14&gt;0,(AB14-AB15-$Q14),"")</f>
        <v>-20448</v>
      </c>
      <c r="AD14" s="21">
        <v>8422</v>
      </c>
      <c r="AE14" s="22">
        <f>IF(AD14&gt;0,(AD14-AD15-$Q14),"")</f>
        <v>-20448</v>
      </c>
    </row>
    <row r="15" spans="2:42" ht="15" customHeight="1" thickBot="1" x14ac:dyDescent="0.35">
      <c r="B15" s="16" t="s">
        <v>40</v>
      </c>
      <c r="C15" s="17">
        <v>2705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28</v>
      </c>
      <c r="P15" s="93" t="s">
        <v>41</v>
      </c>
      <c r="Q15" s="24"/>
      <c r="R15" s="25">
        <v>4868</v>
      </c>
      <c r="S15" s="24"/>
      <c r="T15" s="25">
        <v>7711</v>
      </c>
      <c r="U15" s="24"/>
      <c r="V15" s="25">
        <v>7711</v>
      </c>
      <c r="W15" s="24"/>
      <c r="X15" s="25">
        <v>7717</v>
      </c>
      <c r="Y15" s="24"/>
      <c r="Z15" s="25">
        <v>7717</v>
      </c>
      <c r="AA15" s="24"/>
      <c r="AB15" s="25">
        <v>7717</v>
      </c>
      <c r="AC15" s="26"/>
      <c r="AD15" s="25">
        <v>7717</v>
      </c>
      <c r="AE15" s="26"/>
    </row>
    <row r="16" spans="2:42" ht="15" customHeight="1" thickBot="1" x14ac:dyDescent="0.35">
      <c r="B16" s="28" t="s">
        <v>42</v>
      </c>
      <c r="C16" s="17">
        <v>12363</v>
      </c>
      <c r="E16" s="84"/>
      <c r="F16" s="31">
        <f t="shared" ref="F16:N16" si="0">SUM(F6:F15)</f>
        <v>85549</v>
      </c>
      <c r="G16" s="31">
        <f t="shared" si="0"/>
        <v>69539.026874999996</v>
      </c>
      <c r="H16" s="31">
        <f t="shared" si="0"/>
        <v>56701.864232720007</v>
      </c>
      <c r="I16" s="32">
        <f t="shared" si="0"/>
        <v>126240.89110772</v>
      </c>
      <c r="J16" s="33">
        <f t="shared" si="0"/>
        <v>84272</v>
      </c>
      <c r="K16" s="33">
        <f t="shared" si="0"/>
        <v>67834.265125000005</v>
      </c>
      <c r="L16" s="33">
        <f t="shared" si="0"/>
        <v>50529.535765479995</v>
      </c>
      <c r="M16" s="33">
        <f t="shared" si="0"/>
        <v>118363.80089047999</v>
      </c>
      <c r="N16" s="31">
        <f t="shared" si="0"/>
        <v>289</v>
      </c>
      <c r="O16" s="31">
        <f>SUM(O14,O12,O10,O8,O6)</f>
        <v>196</v>
      </c>
      <c r="P16" s="34">
        <f>SUM(P6:P15)</f>
        <v>0</v>
      </c>
      <c r="Q16" s="34">
        <f>SUM(Q6:Q15)</f>
        <v>84272</v>
      </c>
      <c r="R16" s="35">
        <f>R6+R8+R10+R12+R14-R7-R9-R11-R13-R15</f>
        <v>8569</v>
      </c>
      <c r="S16" s="36">
        <f>IF(R16&gt;1,(R16-$Q16),"")</f>
        <v>-75703</v>
      </c>
      <c r="T16" s="35">
        <f>T6+T8+T10+T12+T14-T7-T9-T11-T13-T15</f>
        <v>14016</v>
      </c>
      <c r="U16" s="36">
        <f>IF(T16&gt;1,(T16-$Q16),"")</f>
        <v>-70256</v>
      </c>
      <c r="V16" s="35">
        <f>V6+V8+V10+V12+V14-V7-V9-V11-V13-V15</f>
        <v>26700</v>
      </c>
      <c r="W16" s="36">
        <f>IF(V16&gt;1,(V16-$Q16),"")</f>
        <v>-57572</v>
      </c>
      <c r="X16" s="35">
        <f>X6+X8+X10+X12+X14-X7-X9-X11-X13-X15</f>
        <v>48771</v>
      </c>
      <c r="Y16" s="36">
        <f>IF(X16&gt;1,(X16-$Q16),"")</f>
        <v>-35501</v>
      </c>
      <c r="Z16" s="35">
        <f>Z6+Z8+Z10+Z12+Z14-Z7-Z9-Z11-Z13-Z15</f>
        <v>52948</v>
      </c>
      <c r="AA16" s="36">
        <f>IF(Z16&gt;1,(Z16-$Q16),"")</f>
        <v>-31324</v>
      </c>
      <c r="AB16" s="35">
        <f>AB6+AB8+AB10+AB12+AB14-AB7-AB9-AB11-AB13-AB15</f>
        <v>53798</v>
      </c>
      <c r="AC16" s="37">
        <f>IF(AB16&gt;1,(AB16-$Q16),"")</f>
        <v>-30474</v>
      </c>
      <c r="AD16" s="35">
        <f>AD6+AD8+AD10+AD12+AD14-AD7-AD9-AD11-AD13-AD15</f>
        <v>53798</v>
      </c>
      <c r="AE16" s="37">
        <f>IF(AD16&gt;1,(AD16-$Q16),"")</f>
        <v>-30474</v>
      </c>
    </row>
    <row r="17" spans="2:43" s="4" customFormat="1" ht="15" customHeight="1" thickBot="1" x14ac:dyDescent="0.3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93</v>
      </c>
      <c r="P17" s="38" t="s">
        <v>44</v>
      </c>
      <c r="Q17" s="39"/>
      <c r="R17" s="40">
        <f>R15+R13+R11+R9+R7</f>
        <v>5790</v>
      </c>
      <c r="S17" s="41"/>
      <c r="T17" s="40">
        <f>T15+T13+T11+T9+T7</f>
        <v>9601</v>
      </c>
      <c r="U17" s="41"/>
      <c r="V17" s="40">
        <f>V15+V13+V11+V9+V7</f>
        <v>10296</v>
      </c>
      <c r="W17" s="41"/>
      <c r="X17" s="40">
        <f>X15+X13+X11+X9+X7</f>
        <v>12055</v>
      </c>
      <c r="Y17" s="41"/>
      <c r="Z17" s="40">
        <f>Z15+Z13+Z11+Z9+Z7</f>
        <v>12066</v>
      </c>
      <c r="AA17" s="41"/>
      <c r="AB17" s="40">
        <f>AB15+AB13+AB11+AB9+AB7</f>
        <v>12832</v>
      </c>
      <c r="AC17" s="42"/>
      <c r="AD17" s="40">
        <f>AD15+AD13+AD11+AD9+AD7</f>
        <v>12832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4284.5</v>
      </c>
      <c r="S18" s="46"/>
      <c r="T18" s="47">
        <f>IF(T16&gt;0,(T16-R16)/2,"")</f>
        <v>2723.5</v>
      </c>
      <c r="U18" s="46"/>
      <c r="V18" s="47">
        <f>IF(V16&gt;0,(V16-T16)/2,"")</f>
        <v>6342</v>
      </c>
      <c r="W18" s="46"/>
      <c r="X18" s="47">
        <f>IF(X16&gt;0,(X16-V16)/2,"")</f>
        <v>11035.5</v>
      </c>
      <c r="Y18" s="46"/>
      <c r="Z18" s="47">
        <f>IF(Z16&gt;0,(Z16-X16)/2,"")</f>
        <v>2088.5</v>
      </c>
      <c r="AA18" s="46"/>
      <c r="AB18" s="47">
        <f>IF(AB16&gt;0,(AB16-Z16)/2,"")</f>
        <v>425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2229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559</v>
      </c>
      <c r="L20" s="4"/>
      <c r="M20" s="4"/>
      <c r="Q20" s="51" t="s">
        <v>49</v>
      </c>
      <c r="R20" s="35">
        <v>10377</v>
      </c>
      <c r="S20" s="36"/>
      <c r="T20" s="35">
        <v>11361</v>
      </c>
      <c r="U20" s="36"/>
      <c r="V20" s="35">
        <v>28055</v>
      </c>
      <c r="W20" s="36"/>
      <c r="X20" s="35">
        <v>39933</v>
      </c>
      <c r="Y20" s="36"/>
      <c r="Z20" s="35">
        <v>44685</v>
      </c>
      <c r="AA20" s="36"/>
      <c r="AB20" s="35">
        <v>46283</v>
      </c>
      <c r="AC20" s="37"/>
      <c r="AD20" s="35">
        <v>46136</v>
      </c>
      <c r="AE20" s="37">
        <v>-28569</v>
      </c>
    </row>
    <row r="21" spans="2:43" ht="15" customHeight="1" thickBot="1" x14ac:dyDescent="0.35">
      <c r="B21" s="16" t="s">
        <v>50</v>
      </c>
      <c r="C21" s="17">
        <v>9011</v>
      </c>
      <c r="L21" s="4"/>
      <c r="M21" s="4"/>
      <c r="Q21" s="52"/>
      <c r="R21" s="40">
        <v>4008</v>
      </c>
      <c r="S21" s="41"/>
      <c r="T21" s="40">
        <v>4175</v>
      </c>
      <c r="U21" s="41"/>
      <c r="V21" s="40">
        <v>5817</v>
      </c>
      <c r="W21" s="41"/>
      <c r="X21" s="40">
        <v>8458</v>
      </c>
      <c r="Y21" s="41"/>
      <c r="Z21" s="40">
        <v>9839</v>
      </c>
      <c r="AA21" s="41"/>
      <c r="AB21" s="40">
        <v>9856</v>
      </c>
      <c r="AC21" s="42"/>
      <c r="AD21" s="40">
        <v>10924</v>
      </c>
      <c r="AE21" s="42"/>
    </row>
    <row r="22" spans="2:43" ht="15" customHeight="1" thickBot="1" x14ac:dyDescent="0.35">
      <c r="B22" s="16" t="s">
        <v>51</v>
      </c>
      <c r="C22" s="17">
        <v>2782</v>
      </c>
      <c r="L22" s="4"/>
      <c r="M22" s="4"/>
      <c r="Q22" s="54"/>
      <c r="R22" s="55">
        <v>5188.5</v>
      </c>
      <c r="S22" s="55"/>
      <c r="T22" s="55">
        <v>492</v>
      </c>
      <c r="U22" s="55"/>
      <c r="V22" s="55">
        <v>8347</v>
      </c>
      <c r="W22" s="55"/>
      <c r="X22" s="55">
        <v>5939</v>
      </c>
      <c r="Y22" s="55"/>
      <c r="Z22" s="55">
        <v>2376</v>
      </c>
      <c r="AA22" s="55"/>
      <c r="AB22" s="55">
        <v>799</v>
      </c>
      <c r="AC22" s="56"/>
      <c r="AD22" s="55">
        <v>-73.5</v>
      </c>
      <c r="AE22" s="56"/>
    </row>
    <row r="23" spans="2:43" ht="15" customHeight="1" thickBot="1" x14ac:dyDescent="0.35">
      <c r="B23" s="57" t="s">
        <v>52</v>
      </c>
      <c r="C23" s="58">
        <v>4249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-1808</v>
      </c>
      <c r="S24" s="60"/>
      <c r="T24" s="60">
        <f>IF(T16&gt;0,T16-T20,"")</f>
        <v>2655</v>
      </c>
      <c r="U24" s="60"/>
      <c r="V24" s="60">
        <f>IF(V16&gt;0,V16-V20,"")</f>
        <v>-1355</v>
      </c>
      <c r="W24" s="60"/>
      <c r="X24" s="60">
        <f>IF(X16&gt;0,X16-X20,"")</f>
        <v>8838</v>
      </c>
      <c r="Y24" s="60"/>
      <c r="Z24" s="60">
        <f>IF(Z16&gt;0,Z16-Z20,"")</f>
        <v>8263</v>
      </c>
      <c r="AA24" s="60"/>
      <c r="AB24" s="60">
        <f>IF(AB16&gt;0,AB16-AB20,"")</f>
        <v>7515</v>
      </c>
      <c r="AC24" s="61"/>
      <c r="AD24" s="60">
        <f>IF(AD16&gt;0,AD16-AD20,"")</f>
        <v>7662</v>
      </c>
      <c r="AE24" s="61"/>
    </row>
    <row r="25" spans="2:43" x14ac:dyDescent="0.3">
      <c r="L25" s="4"/>
      <c r="M25" s="4"/>
      <c r="Q25" s="62"/>
      <c r="R25" s="63">
        <f>IF(R17&gt;=0,R17-R21,"")</f>
        <v>1782</v>
      </c>
      <c r="S25" s="64"/>
      <c r="T25" s="63">
        <f>IF(T17&gt;=0,T17-T21,"")</f>
        <v>5426</v>
      </c>
      <c r="U25" s="64"/>
      <c r="V25" s="63">
        <f>IF(V17&gt;=0,V17-V21,"")</f>
        <v>4479</v>
      </c>
      <c r="W25" s="64"/>
      <c r="X25" s="63">
        <f>IF(X17&gt;=0,X17-X21,"")</f>
        <v>3597</v>
      </c>
      <c r="Y25" s="64"/>
      <c r="Z25" s="63">
        <f>IF(Z17&gt;=0,Z17-Z21,"")</f>
        <v>2227</v>
      </c>
      <c r="AA25" s="64"/>
      <c r="AB25" s="63">
        <f>IF(AB17&gt;=0,AB17-AB21,"")</f>
        <v>2976</v>
      </c>
      <c r="AC25" s="65"/>
      <c r="AD25" s="63">
        <f>IF(AD17&gt;=0,AD17-AD21,"")</f>
        <v>1908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-904</v>
      </c>
      <c r="S26" s="55"/>
      <c r="T26" s="67">
        <f>IFERROR(IF(T18&gt;0,T18-T22,""),"")</f>
        <v>2231.5</v>
      </c>
      <c r="U26" s="55"/>
      <c r="V26" s="67">
        <f>IFERROR(IF(V18&gt;0,V18-V22,""),"")</f>
        <v>-2005</v>
      </c>
      <c r="W26" s="55"/>
      <c r="X26" s="67">
        <f>IFERROR(IF(X18&gt;0,X18-X22,""),"")</f>
        <v>5096.5</v>
      </c>
      <c r="Y26" s="55"/>
      <c r="Z26" s="67">
        <f>IFERROR(IF(Z18&gt;0,Z18-Z22,""),"")</f>
        <v>-287.5</v>
      </c>
      <c r="AA26" s="55"/>
      <c r="AB26" s="67">
        <f>IFERROR(IF(AB18&gt;0,AB18-AB22,""),"")</f>
        <v>-374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9020</v>
      </c>
      <c r="D29" s="76">
        <f>C14</f>
        <v>5674</v>
      </c>
      <c r="E29" s="77">
        <f t="shared" ref="E29:E34" si="1">D29-C29</f>
        <v>-3346</v>
      </c>
      <c r="M29" s="4"/>
      <c r="O29" s="4"/>
    </row>
    <row r="30" spans="2:43" x14ac:dyDescent="0.3">
      <c r="B30" s="74" t="s">
        <v>56</v>
      </c>
      <c r="C30" s="75">
        <v>35100</v>
      </c>
      <c r="D30" s="76">
        <f>C7+C15+C16+C19+C20</f>
        <v>20049</v>
      </c>
      <c r="E30" s="77">
        <f t="shared" si="1"/>
        <v>-15051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13390</v>
      </c>
      <c r="D32" s="76">
        <f>C10+C11+C12+C13</f>
        <v>13390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14748</v>
      </c>
      <c r="D34" s="76">
        <f>C21+C22+C23</f>
        <v>16042</v>
      </c>
      <c r="E34" s="77">
        <f t="shared" si="1"/>
        <v>1294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5412</v>
      </c>
      <c r="D35" s="80">
        <f>SUM(C8+C9)</f>
        <v>5412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2144</v>
      </c>
      <c r="R36" s="104">
        <v>0</v>
      </c>
      <c r="S36" s="104">
        <f t="shared" ref="S36:S65" si="2">IF(T36&gt;0,(T36-R36)/2,"")</f>
        <v>711.5</v>
      </c>
      <c r="T36" s="104">
        <v>1423</v>
      </c>
      <c r="U36" s="104">
        <f t="shared" ref="U36:U65" si="3">IF(V36&gt;0,(V36-T36)/2,"")</f>
        <v>275</v>
      </c>
      <c r="V36" s="104">
        <v>1973</v>
      </c>
      <c r="W36" s="104">
        <f t="shared" ref="W36:W65" si="4">IF(X36&gt;0,(X36-V36)/2,"")</f>
        <v>82</v>
      </c>
      <c r="X36" s="104">
        <v>2137</v>
      </c>
      <c r="Y36" s="104">
        <f t="shared" ref="Y36:Y65" si="5">IF(Z36&gt;0,(Z36-X36)/2,"")</f>
        <v>17</v>
      </c>
      <c r="Z36" s="104">
        <v>2171</v>
      </c>
      <c r="AA36" s="104">
        <f t="shared" ref="AA36:AA65" si="6">IF(AB36&gt;0,(AB36-Z36)/2,"")</f>
        <v>0</v>
      </c>
      <c r="AB36" s="104">
        <v>2171</v>
      </c>
      <c r="AC36" s="104">
        <f t="shared" ref="AC36:AC65" si="7">IF(AD36&gt;0,(AD36-AB36)/2,"")</f>
        <v>0</v>
      </c>
      <c r="AD36" s="104">
        <v>2171</v>
      </c>
      <c r="AE36" s="105">
        <f t="shared" ref="AE36:AE65" si="8">AD36-Q36</f>
        <v>27</v>
      </c>
    </row>
    <row r="37" spans="2:31" ht="15.6" customHeight="1" x14ac:dyDescent="0.3">
      <c r="N37" s="212"/>
      <c r="O37" s="95" t="s">
        <v>66</v>
      </c>
      <c r="P37" s="106"/>
      <c r="Q37" s="106">
        <v>1549</v>
      </c>
      <c r="R37" s="106">
        <v>0</v>
      </c>
      <c r="S37" s="106">
        <f t="shared" si="2"/>
        <v>262.5</v>
      </c>
      <c r="T37" s="106">
        <v>525</v>
      </c>
      <c r="U37" s="106">
        <f t="shared" si="3"/>
        <v>0</v>
      </c>
      <c r="V37" s="106">
        <v>525</v>
      </c>
      <c r="W37" s="106">
        <f t="shared" si="4"/>
        <v>270.5</v>
      </c>
      <c r="X37" s="106">
        <v>1066</v>
      </c>
      <c r="Y37" s="106">
        <f t="shared" si="5"/>
        <v>27</v>
      </c>
      <c r="Z37" s="106">
        <v>1120</v>
      </c>
      <c r="AA37" s="106">
        <f t="shared" si="6"/>
        <v>0</v>
      </c>
      <c r="AB37" s="106">
        <v>1120</v>
      </c>
      <c r="AC37" s="106">
        <f t="shared" si="7"/>
        <v>0</v>
      </c>
      <c r="AD37" s="106">
        <v>1120</v>
      </c>
      <c r="AE37" s="107">
        <f t="shared" si="8"/>
        <v>-429</v>
      </c>
    </row>
    <row r="38" spans="2:31" ht="15.6" customHeight="1" x14ac:dyDescent="0.3">
      <c r="N38" s="212"/>
      <c r="O38" s="94" t="s">
        <v>67</v>
      </c>
      <c r="P38" s="108"/>
      <c r="Q38" s="108">
        <v>2616</v>
      </c>
      <c r="R38" s="108">
        <v>0</v>
      </c>
      <c r="S38" s="108" t="str">
        <f t="shared" si="2"/>
        <v/>
      </c>
      <c r="T38" s="108">
        <v>0</v>
      </c>
      <c r="U38" s="108">
        <f t="shared" si="3"/>
        <v>831.5</v>
      </c>
      <c r="V38" s="108">
        <v>1663</v>
      </c>
      <c r="W38" s="108">
        <f t="shared" si="4"/>
        <v>498</v>
      </c>
      <c r="X38" s="108">
        <v>2659</v>
      </c>
      <c r="Y38" s="108">
        <f t="shared" si="5"/>
        <v>0</v>
      </c>
      <c r="Z38" s="108">
        <v>2659</v>
      </c>
      <c r="AA38" s="108">
        <f t="shared" si="6"/>
        <v>0</v>
      </c>
      <c r="AB38" s="108">
        <v>2659</v>
      </c>
      <c r="AC38" s="108">
        <f t="shared" si="7"/>
        <v>0</v>
      </c>
      <c r="AD38" s="108">
        <v>2659</v>
      </c>
      <c r="AE38" s="109">
        <f t="shared" si="8"/>
        <v>43</v>
      </c>
    </row>
    <row r="39" spans="2:31" ht="15.6" customHeight="1" x14ac:dyDescent="0.3">
      <c r="N39" s="212"/>
      <c r="O39" s="95" t="s">
        <v>68</v>
      </c>
      <c r="P39" s="106"/>
      <c r="Q39" s="106">
        <v>3049</v>
      </c>
      <c r="R39" s="106">
        <v>0</v>
      </c>
      <c r="S39" s="106">
        <f t="shared" si="2"/>
        <v>158.5</v>
      </c>
      <c r="T39" s="106">
        <v>317</v>
      </c>
      <c r="U39" s="106">
        <f t="shared" si="3"/>
        <v>171.5</v>
      </c>
      <c r="V39" s="106">
        <v>660</v>
      </c>
      <c r="W39" s="106">
        <f t="shared" si="4"/>
        <v>713.5</v>
      </c>
      <c r="X39" s="106">
        <v>2087</v>
      </c>
      <c r="Y39" s="106">
        <f t="shared" si="5"/>
        <v>486.5</v>
      </c>
      <c r="Z39" s="106">
        <v>3060</v>
      </c>
      <c r="AA39" s="106">
        <f t="shared" si="6"/>
        <v>0</v>
      </c>
      <c r="AB39" s="106">
        <v>3060</v>
      </c>
      <c r="AC39" s="106">
        <f t="shared" si="7"/>
        <v>0</v>
      </c>
      <c r="AD39" s="106">
        <v>3060</v>
      </c>
      <c r="AE39" s="107">
        <f t="shared" si="8"/>
        <v>11</v>
      </c>
    </row>
    <row r="40" spans="2:31" ht="15.6" customHeight="1" x14ac:dyDescent="0.3">
      <c r="N40" s="212"/>
      <c r="O40" s="94" t="s">
        <v>69</v>
      </c>
      <c r="P40" s="108"/>
      <c r="Q40" s="108">
        <v>2611</v>
      </c>
      <c r="R40" s="108">
        <v>0</v>
      </c>
      <c r="S40" s="108" t="str">
        <f t="shared" si="2"/>
        <v/>
      </c>
      <c r="T40" s="108">
        <v>0</v>
      </c>
      <c r="U40" s="108">
        <f t="shared" si="3"/>
        <v>1200.5</v>
      </c>
      <c r="V40" s="108">
        <v>2401</v>
      </c>
      <c r="W40" s="108">
        <f t="shared" si="4"/>
        <v>0</v>
      </c>
      <c r="X40" s="108">
        <v>2401</v>
      </c>
      <c r="Y40" s="108">
        <f t="shared" si="5"/>
        <v>105</v>
      </c>
      <c r="Z40" s="108">
        <v>2611</v>
      </c>
      <c r="AA40" s="108">
        <f t="shared" si="6"/>
        <v>0</v>
      </c>
      <c r="AB40" s="108">
        <v>2611</v>
      </c>
      <c r="AC40" s="108">
        <f t="shared" si="7"/>
        <v>0</v>
      </c>
      <c r="AD40" s="108">
        <v>2611</v>
      </c>
      <c r="AE40" s="109">
        <f t="shared" si="8"/>
        <v>0</v>
      </c>
    </row>
    <row r="41" spans="2:31" ht="15.6" customHeight="1" x14ac:dyDescent="0.3">
      <c r="N41" s="212"/>
      <c r="O41" s="95" t="s">
        <v>70</v>
      </c>
      <c r="P41" s="106"/>
      <c r="Q41" s="106">
        <v>508</v>
      </c>
      <c r="R41" s="106">
        <v>0</v>
      </c>
      <c r="S41" s="106">
        <f t="shared" si="2"/>
        <v>131</v>
      </c>
      <c r="T41" s="106">
        <v>262</v>
      </c>
      <c r="U41" s="106">
        <f t="shared" si="3"/>
        <v>56</v>
      </c>
      <c r="V41" s="106">
        <v>374</v>
      </c>
      <c r="W41" s="106">
        <f t="shared" si="4"/>
        <v>68.5</v>
      </c>
      <c r="X41" s="106">
        <v>511</v>
      </c>
      <c r="Y41" s="106">
        <f t="shared" si="5"/>
        <v>0</v>
      </c>
      <c r="Z41" s="106">
        <v>511</v>
      </c>
      <c r="AA41" s="106">
        <f t="shared" si="6"/>
        <v>0</v>
      </c>
      <c r="AB41" s="106">
        <v>511</v>
      </c>
      <c r="AC41" s="106">
        <f t="shared" si="7"/>
        <v>0</v>
      </c>
      <c r="AD41" s="106">
        <v>511</v>
      </c>
      <c r="AE41" s="107">
        <f t="shared" si="8"/>
        <v>3</v>
      </c>
    </row>
    <row r="42" spans="2:31" ht="15.6" customHeight="1" x14ac:dyDescent="0.3">
      <c r="N42" s="212"/>
      <c r="O42" s="94" t="s">
        <v>71</v>
      </c>
      <c r="P42" s="108"/>
      <c r="Q42" s="108">
        <v>1204</v>
      </c>
      <c r="R42" s="108">
        <v>0</v>
      </c>
      <c r="S42" s="108">
        <f t="shared" si="2"/>
        <v>354.5</v>
      </c>
      <c r="T42" s="108">
        <v>709</v>
      </c>
      <c r="U42" s="108">
        <f t="shared" si="3"/>
        <v>0</v>
      </c>
      <c r="V42" s="108">
        <v>709</v>
      </c>
      <c r="W42" s="108">
        <f t="shared" si="4"/>
        <v>0</v>
      </c>
      <c r="X42" s="108">
        <v>709</v>
      </c>
      <c r="Y42" s="108">
        <f t="shared" si="5"/>
        <v>0</v>
      </c>
      <c r="Z42" s="108">
        <v>709</v>
      </c>
      <c r="AA42" s="108">
        <f t="shared" si="6"/>
        <v>0</v>
      </c>
      <c r="AB42" s="108">
        <v>709</v>
      </c>
      <c r="AC42" s="108">
        <f t="shared" si="7"/>
        <v>0</v>
      </c>
      <c r="AD42" s="108">
        <v>709</v>
      </c>
      <c r="AE42" s="109">
        <f t="shared" si="8"/>
        <v>-495</v>
      </c>
    </row>
    <row r="43" spans="2:31" ht="15.6" customHeight="1" x14ac:dyDescent="0.3">
      <c r="N43" s="212"/>
      <c r="O43" s="95" t="s">
        <v>72</v>
      </c>
      <c r="P43" s="106"/>
      <c r="Q43" s="106">
        <v>1622</v>
      </c>
      <c r="R43" s="106">
        <v>350</v>
      </c>
      <c r="S43" s="106">
        <f t="shared" si="2"/>
        <v>254</v>
      </c>
      <c r="T43" s="106">
        <v>858</v>
      </c>
      <c r="U43" s="106">
        <f t="shared" si="3"/>
        <v>0</v>
      </c>
      <c r="V43" s="106">
        <v>858</v>
      </c>
      <c r="W43" s="106">
        <f t="shared" si="4"/>
        <v>382.5</v>
      </c>
      <c r="X43" s="106">
        <v>1623</v>
      </c>
      <c r="Y43" s="106">
        <f t="shared" si="5"/>
        <v>253.5</v>
      </c>
      <c r="Z43" s="106">
        <v>2130</v>
      </c>
      <c r="AA43" s="106">
        <f t="shared" si="6"/>
        <v>0</v>
      </c>
      <c r="AB43" s="106">
        <v>2130</v>
      </c>
      <c r="AC43" s="106">
        <f t="shared" si="7"/>
        <v>0</v>
      </c>
      <c r="AD43" s="106">
        <v>2130</v>
      </c>
      <c r="AE43" s="107">
        <f t="shared" si="8"/>
        <v>508</v>
      </c>
    </row>
    <row r="44" spans="2:31" ht="15.6" customHeight="1" thickBot="1" x14ac:dyDescent="0.35">
      <c r="N44" s="213"/>
      <c r="O44" s="97" t="s">
        <v>73</v>
      </c>
      <c r="P44" s="110"/>
      <c r="Q44" s="110">
        <v>1344</v>
      </c>
      <c r="R44" s="110">
        <v>551</v>
      </c>
      <c r="S44" s="110">
        <f t="shared" si="2"/>
        <v>0</v>
      </c>
      <c r="T44" s="110">
        <v>551</v>
      </c>
      <c r="U44" s="110">
        <f t="shared" si="3"/>
        <v>350.5</v>
      </c>
      <c r="V44" s="110">
        <v>1252</v>
      </c>
      <c r="W44" s="110">
        <f t="shared" si="4"/>
        <v>46</v>
      </c>
      <c r="X44" s="110">
        <v>1344</v>
      </c>
      <c r="Y44" s="110">
        <f t="shared" si="5"/>
        <v>0</v>
      </c>
      <c r="Z44" s="110">
        <v>1344</v>
      </c>
      <c r="AA44" s="110">
        <f t="shared" si="6"/>
        <v>0</v>
      </c>
      <c r="AB44" s="110">
        <v>1344</v>
      </c>
      <c r="AC44" s="110">
        <f t="shared" si="7"/>
        <v>0</v>
      </c>
      <c r="AD44" s="110">
        <v>1344</v>
      </c>
      <c r="AE44" s="111">
        <f t="shared" si="8"/>
        <v>0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5138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540</v>
      </c>
      <c r="V45" s="112">
        <v>2080</v>
      </c>
      <c r="W45" s="112">
        <f t="shared" si="4"/>
        <v>1529</v>
      </c>
      <c r="X45" s="112">
        <v>5138</v>
      </c>
      <c r="Y45" s="112">
        <f t="shared" si="5"/>
        <v>0</v>
      </c>
      <c r="Z45" s="112">
        <v>5138</v>
      </c>
      <c r="AA45" s="112">
        <f t="shared" si="6"/>
        <v>0</v>
      </c>
      <c r="AB45" s="112">
        <v>5138</v>
      </c>
      <c r="AC45" s="112">
        <f t="shared" si="7"/>
        <v>0</v>
      </c>
      <c r="AD45" s="112">
        <v>5138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4034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2017</v>
      </c>
      <c r="X46" s="108">
        <v>4034</v>
      </c>
      <c r="Y46" s="108">
        <f t="shared" si="5"/>
        <v>0</v>
      </c>
      <c r="Z46" s="108">
        <v>4034</v>
      </c>
      <c r="AA46" s="108">
        <f t="shared" si="6"/>
        <v>0</v>
      </c>
      <c r="AB46" s="108">
        <v>4034</v>
      </c>
      <c r="AC46" s="108">
        <f t="shared" si="7"/>
        <v>0</v>
      </c>
      <c r="AD46" s="108">
        <v>4034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2787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952</v>
      </c>
      <c r="X47" s="106">
        <v>1904</v>
      </c>
      <c r="Y47" s="106">
        <f t="shared" si="5"/>
        <v>176</v>
      </c>
      <c r="Z47" s="106">
        <v>2256</v>
      </c>
      <c r="AA47" s="106">
        <f t="shared" si="6"/>
        <v>0</v>
      </c>
      <c r="AB47" s="106">
        <v>2256</v>
      </c>
      <c r="AC47" s="106">
        <f t="shared" si="7"/>
        <v>0</v>
      </c>
      <c r="AD47" s="106">
        <v>2256</v>
      </c>
      <c r="AE47" s="107">
        <f t="shared" si="8"/>
        <v>-531</v>
      </c>
    </row>
    <row r="48" spans="2:31" ht="15.6" customHeight="1" thickBot="1" x14ac:dyDescent="0.35">
      <c r="N48" s="213"/>
      <c r="O48" s="97" t="s">
        <v>68</v>
      </c>
      <c r="P48" s="110"/>
      <c r="Q48" s="110">
        <v>4614</v>
      </c>
      <c r="R48" s="110">
        <v>1750</v>
      </c>
      <c r="S48" s="110">
        <f t="shared" si="2"/>
        <v>0</v>
      </c>
      <c r="T48" s="110">
        <v>1750</v>
      </c>
      <c r="U48" s="110">
        <f t="shared" si="3"/>
        <v>457.5</v>
      </c>
      <c r="V48" s="110">
        <v>2665</v>
      </c>
      <c r="W48" s="110">
        <f t="shared" si="4"/>
        <v>944</v>
      </c>
      <c r="X48" s="110">
        <v>4553</v>
      </c>
      <c r="Y48" s="110">
        <f t="shared" si="5"/>
        <v>0</v>
      </c>
      <c r="Z48" s="110">
        <v>4553</v>
      </c>
      <c r="AA48" s="110">
        <f t="shared" si="6"/>
        <v>0</v>
      </c>
      <c r="AB48" s="110">
        <v>4553</v>
      </c>
      <c r="AC48" s="110">
        <f t="shared" si="7"/>
        <v>0</v>
      </c>
      <c r="AD48" s="110">
        <v>4553</v>
      </c>
      <c r="AE48" s="111">
        <f t="shared" si="8"/>
        <v>-61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2204</v>
      </c>
      <c r="R49" s="112">
        <v>960</v>
      </c>
      <c r="S49" s="112">
        <f t="shared" si="2"/>
        <v>316.5</v>
      </c>
      <c r="T49" s="112">
        <v>1593</v>
      </c>
      <c r="U49" s="112">
        <f t="shared" si="3"/>
        <v>0</v>
      </c>
      <c r="V49" s="112">
        <v>1593</v>
      </c>
      <c r="W49" s="112">
        <f t="shared" si="4"/>
        <v>38</v>
      </c>
      <c r="X49" s="112">
        <v>1669</v>
      </c>
      <c r="Y49" s="112">
        <f t="shared" si="5"/>
        <v>0</v>
      </c>
      <c r="Z49" s="112">
        <v>1669</v>
      </c>
      <c r="AA49" s="112">
        <f t="shared" si="6"/>
        <v>75</v>
      </c>
      <c r="AB49" s="112">
        <v>1819</v>
      </c>
      <c r="AC49" s="112">
        <f t="shared" si="7"/>
        <v>0</v>
      </c>
      <c r="AD49" s="112">
        <v>1819</v>
      </c>
      <c r="AE49" s="113">
        <f t="shared" si="8"/>
        <v>-385</v>
      </c>
    </row>
    <row r="50" spans="14:31" ht="15.6" customHeight="1" x14ac:dyDescent="0.3">
      <c r="N50" s="212"/>
      <c r="O50" s="94" t="s">
        <v>66</v>
      </c>
      <c r="P50" s="108"/>
      <c r="Q50" s="108">
        <v>4031</v>
      </c>
      <c r="R50" s="108">
        <v>900</v>
      </c>
      <c r="S50" s="108">
        <f t="shared" si="2"/>
        <v>325.5</v>
      </c>
      <c r="T50" s="108">
        <v>1551</v>
      </c>
      <c r="U50" s="108">
        <f t="shared" si="3"/>
        <v>375</v>
      </c>
      <c r="V50" s="108">
        <v>2301</v>
      </c>
      <c r="W50" s="108">
        <f t="shared" si="4"/>
        <v>455.5</v>
      </c>
      <c r="X50" s="108">
        <v>3212</v>
      </c>
      <c r="Y50" s="108">
        <f t="shared" si="5"/>
        <v>131.5</v>
      </c>
      <c r="Z50" s="108">
        <v>3475</v>
      </c>
      <c r="AA50" s="108">
        <f t="shared" si="6"/>
        <v>0</v>
      </c>
      <c r="AB50" s="108">
        <v>3475</v>
      </c>
      <c r="AC50" s="108">
        <f t="shared" si="7"/>
        <v>0</v>
      </c>
      <c r="AD50" s="108">
        <v>3475</v>
      </c>
      <c r="AE50" s="109">
        <f t="shared" si="8"/>
        <v>-556</v>
      </c>
    </row>
    <row r="51" spans="14:31" ht="15.6" customHeight="1" x14ac:dyDescent="0.3">
      <c r="N51" s="212"/>
      <c r="O51" s="95" t="s">
        <v>67</v>
      </c>
      <c r="P51" s="106"/>
      <c r="Q51" s="106">
        <v>1648</v>
      </c>
      <c r="R51" s="106">
        <v>0</v>
      </c>
      <c r="S51" s="106">
        <f t="shared" si="2"/>
        <v>93.5</v>
      </c>
      <c r="T51" s="106">
        <v>187</v>
      </c>
      <c r="U51" s="106">
        <f t="shared" si="3"/>
        <v>230.5</v>
      </c>
      <c r="V51" s="106">
        <v>648</v>
      </c>
      <c r="W51" s="106">
        <f t="shared" si="4"/>
        <v>296</v>
      </c>
      <c r="X51" s="106">
        <v>1240</v>
      </c>
      <c r="Y51" s="106">
        <f t="shared" si="5"/>
        <v>79.5</v>
      </c>
      <c r="Z51" s="106">
        <v>1399</v>
      </c>
      <c r="AA51" s="106">
        <f t="shared" si="6"/>
        <v>62.5</v>
      </c>
      <c r="AB51" s="106">
        <v>1524</v>
      </c>
      <c r="AC51" s="106">
        <f t="shared" si="7"/>
        <v>0</v>
      </c>
      <c r="AD51" s="106">
        <v>1524</v>
      </c>
      <c r="AE51" s="107">
        <f t="shared" si="8"/>
        <v>-124</v>
      </c>
    </row>
    <row r="52" spans="14:31" ht="15.6" customHeight="1" x14ac:dyDescent="0.3">
      <c r="N52" s="212"/>
      <c r="O52" s="94" t="s">
        <v>68</v>
      </c>
      <c r="P52" s="108"/>
      <c r="Q52" s="108">
        <v>738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145.5</v>
      </c>
      <c r="X52" s="108">
        <v>291</v>
      </c>
      <c r="Y52" s="108">
        <f t="shared" si="5"/>
        <v>122</v>
      </c>
      <c r="Z52" s="108">
        <v>535</v>
      </c>
      <c r="AA52" s="108">
        <f t="shared" si="6"/>
        <v>0</v>
      </c>
      <c r="AB52" s="108">
        <v>535</v>
      </c>
      <c r="AC52" s="108">
        <f t="shared" si="7"/>
        <v>0</v>
      </c>
      <c r="AD52" s="108">
        <v>535</v>
      </c>
      <c r="AE52" s="109">
        <f t="shared" si="8"/>
        <v>-203</v>
      </c>
    </row>
    <row r="53" spans="14:31" ht="15.6" customHeight="1" x14ac:dyDescent="0.3">
      <c r="N53" s="212"/>
      <c r="O53" s="95" t="s">
        <v>69</v>
      </c>
      <c r="P53" s="106"/>
      <c r="Q53" s="106">
        <v>3032</v>
      </c>
      <c r="R53" s="106">
        <v>0</v>
      </c>
      <c r="S53" s="106">
        <f t="shared" si="2"/>
        <v>60</v>
      </c>
      <c r="T53" s="106">
        <v>120</v>
      </c>
      <c r="U53" s="106">
        <f t="shared" si="3"/>
        <v>0</v>
      </c>
      <c r="V53" s="106">
        <v>120</v>
      </c>
      <c r="W53" s="106">
        <f t="shared" si="4"/>
        <v>600.5</v>
      </c>
      <c r="X53" s="106">
        <v>1321</v>
      </c>
      <c r="Y53" s="106">
        <f t="shared" si="5"/>
        <v>101.5</v>
      </c>
      <c r="Z53" s="106">
        <v>1524</v>
      </c>
      <c r="AA53" s="106">
        <f t="shared" si="6"/>
        <v>245.5</v>
      </c>
      <c r="AB53" s="106">
        <v>2015</v>
      </c>
      <c r="AC53" s="106">
        <f t="shared" si="7"/>
        <v>0</v>
      </c>
      <c r="AD53" s="106">
        <v>2015</v>
      </c>
      <c r="AE53" s="107">
        <f t="shared" si="8"/>
        <v>-1017</v>
      </c>
    </row>
    <row r="54" spans="14:31" ht="15.6" customHeight="1" x14ac:dyDescent="0.3">
      <c r="N54" s="212"/>
      <c r="O54" s="94" t="s">
        <v>70</v>
      </c>
      <c r="P54" s="108"/>
      <c r="Q54" s="108">
        <v>1181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165.5</v>
      </c>
      <c r="Z54" s="108">
        <v>331</v>
      </c>
      <c r="AA54" s="108">
        <f t="shared" si="6"/>
        <v>425</v>
      </c>
      <c r="AB54" s="108">
        <v>1181</v>
      </c>
      <c r="AC54" s="108">
        <f t="shared" si="7"/>
        <v>0</v>
      </c>
      <c r="AD54" s="108">
        <v>1181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1868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665.5</v>
      </c>
      <c r="X55" s="106">
        <v>1331</v>
      </c>
      <c r="Y55" s="106">
        <f t="shared" si="5"/>
        <v>268.5</v>
      </c>
      <c r="Z55" s="106">
        <v>1868</v>
      </c>
      <c r="AA55" s="106">
        <f t="shared" si="6"/>
        <v>0</v>
      </c>
      <c r="AB55" s="106">
        <v>1868</v>
      </c>
      <c r="AC55" s="106">
        <f t="shared" si="7"/>
        <v>0</v>
      </c>
      <c r="AD55" s="106">
        <v>1868</v>
      </c>
      <c r="AE55" s="107">
        <f t="shared" si="8"/>
        <v>0</v>
      </c>
    </row>
    <row r="56" spans="14:31" ht="15.6" customHeight="1" x14ac:dyDescent="0.3">
      <c r="N56" s="212"/>
      <c r="O56" s="94" t="s">
        <v>72</v>
      </c>
      <c r="P56" s="108"/>
      <c r="Q56" s="108">
        <v>3135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600</v>
      </c>
      <c r="V56" s="108">
        <v>2400</v>
      </c>
      <c r="W56" s="108">
        <f t="shared" si="4"/>
        <v>274.5</v>
      </c>
      <c r="X56" s="108">
        <v>2949</v>
      </c>
      <c r="Y56" s="108">
        <f t="shared" si="5"/>
        <v>93</v>
      </c>
      <c r="Z56" s="108">
        <v>3135</v>
      </c>
      <c r="AA56" s="108">
        <f t="shared" si="6"/>
        <v>0</v>
      </c>
      <c r="AB56" s="108">
        <v>3135</v>
      </c>
      <c r="AC56" s="108">
        <f t="shared" si="7"/>
        <v>0</v>
      </c>
      <c r="AD56" s="108">
        <v>3135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-80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4080</v>
      </c>
      <c r="R58" s="104">
        <v>1428</v>
      </c>
      <c r="S58" s="104">
        <f t="shared" si="2"/>
        <v>364.5</v>
      </c>
      <c r="T58" s="104">
        <v>2157</v>
      </c>
      <c r="U58" s="104">
        <f t="shared" si="3"/>
        <v>357.5</v>
      </c>
      <c r="V58" s="104">
        <v>2872</v>
      </c>
      <c r="W58" s="104">
        <f t="shared" si="4"/>
        <v>273.5</v>
      </c>
      <c r="X58" s="104">
        <v>3419</v>
      </c>
      <c r="Y58" s="104">
        <f t="shared" si="5"/>
        <v>0</v>
      </c>
      <c r="Z58" s="104">
        <v>3419</v>
      </c>
      <c r="AA58" s="104">
        <f t="shared" si="6"/>
        <v>0</v>
      </c>
      <c r="AB58" s="104">
        <v>3419</v>
      </c>
      <c r="AC58" s="104">
        <f t="shared" si="7"/>
        <v>0</v>
      </c>
      <c r="AD58" s="104">
        <v>3419</v>
      </c>
      <c r="AE58" s="105">
        <f t="shared" si="8"/>
        <v>-661</v>
      </c>
    </row>
    <row r="59" spans="14:31" ht="15.6" customHeight="1" x14ac:dyDescent="0.3">
      <c r="N59" s="212"/>
      <c r="O59" s="95" t="s">
        <v>66</v>
      </c>
      <c r="P59" s="106"/>
      <c r="Q59" s="106">
        <v>4064</v>
      </c>
      <c r="R59" s="106">
        <v>590</v>
      </c>
      <c r="S59" s="106">
        <f t="shared" si="2"/>
        <v>0</v>
      </c>
      <c r="T59" s="106">
        <v>590</v>
      </c>
      <c r="U59" s="106">
        <f t="shared" si="3"/>
        <v>1124</v>
      </c>
      <c r="V59" s="106">
        <v>2838</v>
      </c>
      <c r="W59" s="106">
        <f t="shared" si="4"/>
        <v>980.5</v>
      </c>
      <c r="X59" s="106">
        <v>4799</v>
      </c>
      <c r="Y59" s="106">
        <f t="shared" si="5"/>
        <v>0</v>
      </c>
      <c r="Z59" s="106">
        <v>4799</v>
      </c>
      <c r="AA59" s="106">
        <f t="shared" si="6"/>
        <v>0</v>
      </c>
      <c r="AB59" s="106">
        <v>4799</v>
      </c>
      <c r="AC59" s="106">
        <f t="shared" si="7"/>
        <v>0</v>
      </c>
      <c r="AD59" s="106">
        <v>4799</v>
      </c>
      <c r="AE59" s="107">
        <f t="shared" si="8"/>
        <v>735</v>
      </c>
    </row>
    <row r="60" spans="14:31" ht="15.6" customHeight="1" x14ac:dyDescent="0.3">
      <c r="N60" s="212"/>
      <c r="O60" s="94" t="s">
        <v>67</v>
      </c>
      <c r="P60" s="108"/>
      <c r="Q60" s="108">
        <v>3838</v>
      </c>
      <c r="R60" s="108">
        <v>762</v>
      </c>
      <c r="S60" s="108">
        <f t="shared" si="2"/>
        <v>175.5</v>
      </c>
      <c r="T60" s="108">
        <v>1113</v>
      </c>
      <c r="U60" s="108">
        <f t="shared" si="3"/>
        <v>120</v>
      </c>
      <c r="V60" s="108">
        <v>1353</v>
      </c>
      <c r="W60" s="108">
        <f t="shared" si="4"/>
        <v>394.5</v>
      </c>
      <c r="X60" s="108">
        <v>2142</v>
      </c>
      <c r="Y60" s="108">
        <f t="shared" si="5"/>
        <v>0</v>
      </c>
      <c r="Z60" s="108">
        <v>2142</v>
      </c>
      <c r="AA60" s="108">
        <f t="shared" si="6"/>
        <v>0</v>
      </c>
      <c r="AB60" s="108">
        <v>2142</v>
      </c>
      <c r="AC60" s="108">
        <f t="shared" si="7"/>
        <v>0</v>
      </c>
      <c r="AD60" s="108">
        <v>2142</v>
      </c>
      <c r="AE60" s="109">
        <f t="shared" si="8"/>
        <v>-1696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5996</v>
      </c>
      <c r="R62" s="104">
        <v>1674</v>
      </c>
      <c r="S62" s="104">
        <f t="shared" si="2"/>
        <v>0</v>
      </c>
      <c r="T62" s="104">
        <v>1674</v>
      </c>
      <c r="U62" s="104">
        <f t="shared" si="3"/>
        <v>0</v>
      </c>
      <c r="V62" s="104">
        <v>1674</v>
      </c>
      <c r="W62" s="104">
        <f t="shared" si="4"/>
        <v>108</v>
      </c>
      <c r="X62" s="104">
        <v>1890</v>
      </c>
      <c r="Y62" s="104">
        <f t="shared" si="5"/>
        <v>67.5</v>
      </c>
      <c r="Z62" s="104">
        <v>2025</v>
      </c>
      <c r="AA62" s="104">
        <f t="shared" si="6"/>
        <v>0</v>
      </c>
      <c r="AB62" s="104">
        <v>2025</v>
      </c>
      <c r="AC62" s="104">
        <f t="shared" si="7"/>
        <v>0</v>
      </c>
      <c r="AD62" s="104">
        <v>2025</v>
      </c>
      <c r="AE62" s="105">
        <f t="shared" si="8"/>
        <v>-3971</v>
      </c>
    </row>
    <row r="63" spans="14:31" ht="15.6" customHeight="1" x14ac:dyDescent="0.3">
      <c r="N63" s="212"/>
      <c r="O63" s="95" t="s">
        <v>66</v>
      </c>
      <c r="P63" s="106"/>
      <c r="Q63" s="106">
        <v>7701</v>
      </c>
      <c r="R63" s="106">
        <v>2219</v>
      </c>
      <c r="S63" s="106">
        <f t="shared" si="2"/>
        <v>540</v>
      </c>
      <c r="T63" s="106">
        <v>3299</v>
      </c>
      <c r="U63" s="106">
        <f t="shared" si="3"/>
        <v>0</v>
      </c>
      <c r="V63" s="106">
        <v>3299</v>
      </c>
      <c r="W63" s="106">
        <f t="shared" si="4"/>
        <v>138</v>
      </c>
      <c r="X63" s="106">
        <v>3575</v>
      </c>
      <c r="Y63" s="106">
        <f t="shared" si="5"/>
        <v>0</v>
      </c>
      <c r="Z63" s="106">
        <v>3575</v>
      </c>
      <c r="AA63" s="106">
        <f t="shared" si="6"/>
        <v>0</v>
      </c>
      <c r="AB63" s="106">
        <v>3575</v>
      </c>
      <c r="AC63" s="106">
        <f t="shared" si="7"/>
        <v>0</v>
      </c>
      <c r="AD63" s="106">
        <v>3575</v>
      </c>
      <c r="AE63" s="107">
        <f t="shared" si="8"/>
        <v>-4126</v>
      </c>
    </row>
    <row r="64" spans="14:31" ht="15.6" customHeight="1" x14ac:dyDescent="0.3">
      <c r="N64" s="212"/>
      <c r="O64" s="94" t="s">
        <v>67</v>
      </c>
      <c r="P64" s="108"/>
      <c r="Q64" s="108">
        <v>5645</v>
      </c>
      <c r="R64" s="108">
        <v>897</v>
      </c>
      <c r="S64" s="108">
        <f t="shared" si="2"/>
        <v>436.5</v>
      </c>
      <c r="T64" s="108">
        <v>1770</v>
      </c>
      <c r="U64" s="108">
        <f t="shared" si="3"/>
        <v>0</v>
      </c>
      <c r="V64" s="108">
        <v>1770</v>
      </c>
      <c r="W64" s="108">
        <f t="shared" si="4"/>
        <v>0</v>
      </c>
      <c r="X64" s="108">
        <v>1770</v>
      </c>
      <c r="Y64" s="108">
        <f t="shared" si="5"/>
        <v>0</v>
      </c>
      <c r="Z64" s="108">
        <v>1770</v>
      </c>
      <c r="AA64" s="108">
        <f t="shared" si="6"/>
        <v>0</v>
      </c>
      <c r="AB64" s="108">
        <v>1770</v>
      </c>
      <c r="AC64" s="108">
        <f t="shared" si="7"/>
        <v>0</v>
      </c>
      <c r="AD64" s="108">
        <v>1770</v>
      </c>
      <c r="AE64" s="109">
        <f t="shared" si="8"/>
        <v>-3875</v>
      </c>
    </row>
    <row r="65" spans="14:31" ht="15.6" customHeight="1" thickBot="1" x14ac:dyDescent="0.35">
      <c r="N65" s="213"/>
      <c r="O65" s="99" t="s">
        <v>68</v>
      </c>
      <c r="P65" s="114"/>
      <c r="Q65" s="114">
        <v>1526</v>
      </c>
      <c r="R65" s="114">
        <v>78</v>
      </c>
      <c r="S65" s="114">
        <f t="shared" si="2"/>
        <v>371.5</v>
      </c>
      <c r="T65" s="114">
        <v>821</v>
      </c>
      <c r="U65" s="114">
        <f t="shared" si="3"/>
        <v>0</v>
      </c>
      <c r="V65" s="114">
        <v>821</v>
      </c>
      <c r="W65" s="114">
        <f t="shared" si="4"/>
        <v>42</v>
      </c>
      <c r="X65" s="114">
        <v>905</v>
      </c>
      <c r="Y65" s="114">
        <f t="shared" si="5"/>
        <v>0</v>
      </c>
      <c r="Z65" s="114">
        <v>905</v>
      </c>
      <c r="AA65" s="114">
        <f t="shared" si="6"/>
        <v>0</v>
      </c>
      <c r="AB65" s="114">
        <v>905</v>
      </c>
      <c r="AC65" s="114">
        <f t="shared" si="7"/>
        <v>0</v>
      </c>
      <c r="AD65" s="114">
        <v>905</v>
      </c>
      <c r="AE65" s="115">
        <f t="shared" si="8"/>
        <v>-621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23" priority="11" operator="lessThan">
      <formula>0</formula>
    </cfRule>
    <cfRule type="cellIs" dxfId="1822" priority="12" operator="greaterThan">
      <formula>0</formula>
    </cfRule>
  </conditionalFormatting>
  <conditionalFormatting sqref="R25:AC25">
    <cfRule type="cellIs" dxfId="1821" priority="9" operator="lessThan">
      <formula>0</formula>
    </cfRule>
    <cfRule type="cellIs" dxfId="1820" priority="10" operator="greaterThan">
      <formula>0</formula>
    </cfRule>
  </conditionalFormatting>
  <conditionalFormatting sqref="R26 T26 V26 X26 Z26 AB26">
    <cfRule type="cellIs" dxfId="1819" priority="7" operator="lessThan">
      <formula>0</formula>
    </cfRule>
    <cfRule type="cellIs" dxfId="1818" priority="8" operator="greaterThan">
      <formula>0</formula>
    </cfRule>
  </conditionalFormatting>
  <conditionalFormatting sqref="AD24:AE24">
    <cfRule type="cellIs" dxfId="1817" priority="5" operator="lessThan">
      <formula>0</formula>
    </cfRule>
    <cfRule type="cellIs" dxfId="1816" priority="6" operator="greaterThan">
      <formula>0</formula>
    </cfRule>
  </conditionalFormatting>
  <conditionalFormatting sqref="AD25:AE25">
    <cfRule type="cellIs" dxfId="1815" priority="3" operator="lessThan">
      <formula>0</formula>
    </cfRule>
    <cfRule type="cellIs" dxfId="1814" priority="4" operator="greaterThan">
      <formula>0</formula>
    </cfRule>
  </conditionalFormatting>
  <conditionalFormatting sqref="AD26">
    <cfRule type="cellIs" dxfId="1813" priority="1" operator="lessThan">
      <formula>0</formula>
    </cfRule>
    <cfRule type="cellIs" dxfId="181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1"/>
    <pageSetUpPr fitToPage="1"/>
  </sheetPr>
  <dimension ref="B1:AQ65"/>
  <sheetViews>
    <sheetView topLeftCell="G19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44367</v>
      </c>
    </row>
    <row r="3" spans="2:42" ht="18.75" customHeight="1" thickBot="1" x14ac:dyDescent="0.35">
      <c r="B3" t="s">
        <v>1</v>
      </c>
      <c r="C3" s="3">
        <f>C2+1</f>
        <v>44368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3234</v>
      </c>
      <c r="E6" s="18" t="s">
        <v>22</v>
      </c>
      <c r="F6" s="119">
        <v>17838</v>
      </c>
      <c r="G6" s="117">
        <v>15683.098749999999</v>
      </c>
      <c r="H6" s="117">
        <v>9782.4875206599972</v>
      </c>
      <c r="I6" s="19">
        <f>G6+H6</f>
        <v>25465.586270659995</v>
      </c>
      <c r="J6" s="119">
        <v>17441</v>
      </c>
      <c r="K6" s="117">
        <v>14630.2655</v>
      </c>
      <c r="L6" s="117">
        <v>8755.6200656199981</v>
      </c>
      <c r="M6" s="19">
        <f>K6+L6</f>
        <v>23385.885565619996</v>
      </c>
      <c r="N6" s="85">
        <v>68</v>
      </c>
      <c r="O6" s="85">
        <v>54</v>
      </c>
      <c r="P6" s="92"/>
      <c r="Q6" s="20">
        <f>J6-P6</f>
        <v>17441</v>
      </c>
      <c r="R6" s="21">
        <v>2144</v>
      </c>
      <c r="S6" s="20">
        <f>IF(R6&gt;0,(R6-R7-$Q6),"")</f>
        <v>-15318</v>
      </c>
      <c r="T6" s="21">
        <v>4928</v>
      </c>
      <c r="U6" s="20">
        <f>IF(T6&gt;0,(T6-T7-$Q6),"")</f>
        <v>-12541</v>
      </c>
      <c r="V6" s="21">
        <v>7736</v>
      </c>
      <c r="W6" s="20">
        <f>IF(V6&gt;0,(V6-V7-$Q6),"")</f>
        <v>-10520</v>
      </c>
      <c r="X6" s="21">
        <v>15311</v>
      </c>
      <c r="Y6" s="20">
        <f>IF(X6&gt;0,(X6-X7-$Q6),"")</f>
        <v>-2960</v>
      </c>
      <c r="Z6" s="21">
        <v>17026</v>
      </c>
      <c r="AA6" s="20">
        <f>IF(Z6&gt;0,(Z6-Z7-$Q6),"")</f>
        <v>-1275</v>
      </c>
      <c r="AB6" s="21">
        <v>17026</v>
      </c>
      <c r="AC6" s="22">
        <f>IF(AB6&gt;0,(AB6-AB7-$Q6),"")</f>
        <v>-1275</v>
      </c>
      <c r="AD6" s="21">
        <v>17026</v>
      </c>
      <c r="AE6" s="22">
        <f>IF(AD6&gt;0,(AD6-AD7-$Q6),"")</f>
        <v>-1275</v>
      </c>
    </row>
    <row r="7" spans="2:42" x14ac:dyDescent="0.3">
      <c r="B7" s="16" t="s">
        <v>23</v>
      </c>
      <c r="C7" s="17">
        <v>248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21</v>
      </c>
      <c r="S7" s="24"/>
      <c r="T7" s="25">
        <v>28</v>
      </c>
      <c r="U7" s="24"/>
      <c r="V7" s="25">
        <v>815</v>
      </c>
      <c r="W7" s="24"/>
      <c r="X7" s="25">
        <v>830</v>
      </c>
      <c r="Y7" s="24"/>
      <c r="Z7" s="25">
        <v>860</v>
      </c>
      <c r="AA7" s="24"/>
      <c r="AB7" s="25">
        <v>860</v>
      </c>
      <c r="AC7" s="26"/>
      <c r="AD7" s="25">
        <v>860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2381</v>
      </c>
      <c r="E8" s="29" t="s">
        <v>27</v>
      </c>
      <c r="F8" s="119">
        <v>14750</v>
      </c>
      <c r="G8" s="117">
        <v>6350.4774999999991</v>
      </c>
      <c r="H8" s="117">
        <v>1413.7602175</v>
      </c>
      <c r="I8" s="19">
        <f>G8+H8</f>
        <v>7764.2377174999992</v>
      </c>
      <c r="J8" s="119">
        <v>13747</v>
      </c>
      <c r="K8" s="117">
        <v>6077.9674999999997</v>
      </c>
      <c r="L8" s="117">
        <v>1391.0840556999999</v>
      </c>
      <c r="M8" s="19">
        <f>K8+L8</f>
        <v>7469.0515556999999</v>
      </c>
      <c r="N8" s="87">
        <v>37</v>
      </c>
      <c r="O8" s="87">
        <v>20</v>
      </c>
      <c r="P8" s="92"/>
      <c r="Q8" s="20">
        <f>J8-P8</f>
        <v>13747</v>
      </c>
      <c r="R8" s="21">
        <v>1940</v>
      </c>
      <c r="S8" s="20">
        <f>IF(R8&gt;0,(R8-R9-$Q8),"")</f>
        <v>-11855</v>
      </c>
      <c r="T8" s="21">
        <v>12165</v>
      </c>
      <c r="U8" s="20">
        <f>IF(T8&gt;0,(T8-T9-$Q8),"")</f>
        <v>-1630</v>
      </c>
      <c r="V8" s="21">
        <v>13501</v>
      </c>
      <c r="W8" s="20">
        <f>IF(V8&gt;0,(V8-V9-$Q8),"")</f>
        <v>-294</v>
      </c>
      <c r="X8" s="21">
        <v>14089</v>
      </c>
      <c r="Y8" s="20">
        <f>IF(X8&gt;0,(X8-X9-$Q8),"")</f>
        <v>0</v>
      </c>
      <c r="Z8" s="21">
        <v>14089</v>
      </c>
      <c r="AA8" s="20">
        <f>IF(Z8&gt;0,(Z8-Z9-$Q8),"")</f>
        <v>0</v>
      </c>
      <c r="AB8" s="21">
        <v>14089</v>
      </c>
      <c r="AC8" s="22">
        <f>IF(AB8&gt;0,(AB8-AB9-$Q8),"")</f>
        <v>0</v>
      </c>
      <c r="AD8" s="21">
        <v>14089</v>
      </c>
      <c r="AE8" s="22">
        <f>IF(AD8&gt;0,(AD8-AD9-$Q8),"")</f>
        <v>0</v>
      </c>
    </row>
    <row r="9" spans="2:42" x14ac:dyDescent="0.3">
      <c r="B9" s="28" t="s">
        <v>28</v>
      </c>
      <c r="C9" s="17">
        <v>1444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17</v>
      </c>
      <c r="P9" s="93" t="s">
        <v>29</v>
      </c>
      <c r="Q9" s="24"/>
      <c r="R9" s="30">
        <v>48</v>
      </c>
      <c r="S9" s="24"/>
      <c r="T9" s="30">
        <v>48</v>
      </c>
      <c r="U9" s="24"/>
      <c r="V9" s="30">
        <v>48</v>
      </c>
      <c r="W9" s="24"/>
      <c r="X9" s="30">
        <v>342</v>
      </c>
      <c r="Y9" s="24"/>
      <c r="Z9" s="30">
        <v>342</v>
      </c>
      <c r="AA9" s="24"/>
      <c r="AB9" s="30">
        <v>342</v>
      </c>
      <c r="AC9" s="26"/>
      <c r="AD9" s="30">
        <v>342</v>
      </c>
      <c r="AE9" s="26"/>
    </row>
    <row r="10" spans="2:42" x14ac:dyDescent="0.3">
      <c r="B10" s="16" t="s">
        <v>30</v>
      </c>
      <c r="C10" s="17">
        <v>4388</v>
      </c>
      <c r="E10" s="18" t="s">
        <v>31</v>
      </c>
      <c r="F10" s="119">
        <v>9867</v>
      </c>
      <c r="G10" s="117">
        <v>7719.1077500000019</v>
      </c>
      <c r="H10" s="117">
        <v>1574.3615625</v>
      </c>
      <c r="I10" s="19">
        <f>G10+H10</f>
        <v>9293.4693125000013</v>
      </c>
      <c r="J10" s="119">
        <v>9453</v>
      </c>
      <c r="K10" s="117">
        <v>7196.8137500000003</v>
      </c>
      <c r="L10" s="117">
        <v>1532.1259275</v>
      </c>
      <c r="M10" s="19">
        <f>K10+L10</f>
        <v>8728.9396775000005</v>
      </c>
      <c r="N10" s="88">
        <v>32</v>
      </c>
      <c r="O10" s="88">
        <v>19</v>
      </c>
      <c r="P10" s="92"/>
      <c r="Q10" s="20">
        <f>J10-P10</f>
        <v>9453</v>
      </c>
      <c r="R10" s="21">
        <v>1481</v>
      </c>
      <c r="S10" s="20">
        <f>IF(R10&gt;0,(R10-R11-$Q10),"")</f>
        <v>-8952</v>
      </c>
      <c r="T10" s="21">
        <v>1481</v>
      </c>
      <c r="U10" s="20">
        <f>IF(T10&gt;0,(T10-T11-$Q10),"")</f>
        <v>-8952</v>
      </c>
      <c r="V10" s="21">
        <v>1718</v>
      </c>
      <c r="W10" s="20">
        <f>IF(V10&gt;0,(V10-V11-$Q10),"")</f>
        <v>-8715</v>
      </c>
      <c r="X10" s="21">
        <v>4766</v>
      </c>
      <c r="Y10" s="20">
        <f>IF(X10&gt;0,(X10-X11-$Q10),"")</f>
        <v>-6973</v>
      </c>
      <c r="Z10" s="21">
        <v>7520</v>
      </c>
      <c r="AA10" s="20">
        <f>IF(Z10&gt;0,(Z10-Z11-$Q10),"")</f>
        <v>-4664</v>
      </c>
      <c r="AB10" s="21">
        <v>7520</v>
      </c>
      <c r="AC10" s="22">
        <f>IF(AB10&gt;0,(AB10-AB11-$Q10),"")</f>
        <v>-4664</v>
      </c>
      <c r="AD10" s="21">
        <v>7520</v>
      </c>
      <c r="AE10" s="22">
        <f>IF(AD10&gt;0,(AD10-AD11-$Q10),"")</f>
        <v>-4664</v>
      </c>
    </row>
    <row r="11" spans="2:42" x14ac:dyDescent="0.3">
      <c r="B11" s="16" t="s">
        <v>32</v>
      </c>
      <c r="C11" s="17">
        <v>2092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980</v>
      </c>
      <c r="S11" s="24"/>
      <c r="T11" s="30">
        <v>980</v>
      </c>
      <c r="U11" s="24"/>
      <c r="V11" s="30">
        <v>980</v>
      </c>
      <c r="W11" s="24"/>
      <c r="X11" s="30">
        <v>2286</v>
      </c>
      <c r="Y11" s="24"/>
      <c r="Z11" s="30">
        <v>2731</v>
      </c>
      <c r="AA11" s="24"/>
      <c r="AB11" s="30">
        <v>2731</v>
      </c>
      <c r="AC11" s="26"/>
      <c r="AD11" s="30">
        <v>2731</v>
      </c>
      <c r="AE11" s="26"/>
    </row>
    <row r="12" spans="2:42" x14ac:dyDescent="0.3">
      <c r="B12" s="16" t="s">
        <v>34</v>
      </c>
      <c r="C12" s="17">
        <v>1614</v>
      </c>
      <c r="E12" s="29" t="s">
        <v>35</v>
      </c>
      <c r="F12" s="119">
        <v>11241</v>
      </c>
      <c r="G12" s="117">
        <v>11346.8905</v>
      </c>
      <c r="H12" s="117">
        <v>10786.27713054</v>
      </c>
      <c r="I12" s="19">
        <f>G12+H12</f>
        <v>22133.16763054</v>
      </c>
      <c r="J12" s="119">
        <v>11325</v>
      </c>
      <c r="K12" s="117">
        <v>11566.843999999999</v>
      </c>
      <c r="L12" s="117">
        <v>10675.5655093</v>
      </c>
      <c r="M12" s="19">
        <f>K12+L12</f>
        <v>22242.4095093</v>
      </c>
      <c r="N12" s="88">
        <v>40</v>
      </c>
      <c r="O12" s="88">
        <v>31</v>
      </c>
      <c r="P12" s="92"/>
      <c r="Q12" s="20">
        <f>J12-P12</f>
        <v>11325</v>
      </c>
      <c r="R12" s="21">
        <v>4554</v>
      </c>
      <c r="S12" s="20">
        <f>IF(R12&gt;0,(R12-R13-$Q12),"")</f>
        <v>-8881</v>
      </c>
      <c r="T12" s="21">
        <v>5367</v>
      </c>
      <c r="U12" s="20">
        <f>IF(T12&gt;0,(T12-T13-$Q12),"")</f>
        <v>-8068</v>
      </c>
      <c r="V12" s="21">
        <v>7718</v>
      </c>
      <c r="W12" s="20">
        <f>IF(V12&gt;0,(V12-V13-$Q12),"")</f>
        <v>-5717</v>
      </c>
      <c r="X12" s="21">
        <v>10136</v>
      </c>
      <c r="Y12" s="20">
        <f>IF(X12&gt;0,(X12-X13-$Q12),"")</f>
        <v>-3299</v>
      </c>
      <c r="Z12" s="21">
        <v>10136</v>
      </c>
      <c r="AA12" s="20">
        <f>IF(Z12&gt;0,(Z12-Z13-$Q12),"")</f>
        <v>-3299</v>
      </c>
      <c r="AB12" s="21">
        <v>10136</v>
      </c>
      <c r="AC12" s="22">
        <f>IF(AB12&gt;0,(AB12-AB13-$Q12),"")</f>
        <v>-3299</v>
      </c>
      <c r="AD12" s="21">
        <v>10136</v>
      </c>
      <c r="AE12" s="22">
        <f>IF(AD12&gt;0,(AD12-AD13-$Q12),"")</f>
        <v>-3299</v>
      </c>
    </row>
    <row r="13" spans="2:42" x14ac:dyDescent="0.3">
      <c r="B13" s="16" t="s">
        <v>36</v>
      </c>
      <c r="C13" s="17">
        <v>4967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2110</v>
      </c>
      <c r="S13" s="24"/>
      <c r="T13" s="30">
        <v>2110</v>
      </c>
      <c r="U13" s="24"/>
      <c r="V13" s="30">
        <v>2110</v>
      </c>
      <c r="W13" s="24"/>
      <c r="X13" s="30">
        <v>2110</v>
      </c>
      <c r="Y13" s="24"/>
      <c r="Z13" s="30">
        <v>2110</v>
      </c>
      <c r="AA13" s="24"/>
      <c r="AB13" s="30">
        <v>2110</v>
      </c>
      <c r="AC13" s="26"/>
      <c r="AD13" s="30">
        <v>2110</v>
      </c>
      <c r="AE13" s="26"/>
    </row>
    <row r="14" spans="2:42" x14ac:dyDescent="0.3">
      <c r="B14" s="16" t="s">
        <v>38</v>
      </c>
      <c r="C14" s="17">
        <v>8648</v>
      </c>
      <c r="E14" s="18" t="s">
        <v>39</v>
      </c>
      <c r="F14" s="119">
        <v>20819</v>
      </c>
      <c r="G14" s="117">
        <v>17912</v>
      </c>
      <c r="H14" s="117">
        <v>23668.296296920002</v>
      </c>
      <c r="I14" s="19">
        <f>G14+H14</f>
        <v>41580.296296920002</v>
      </c>
      <c r="J14" s="119">
        <v>20926</v>
      </c>
      <c r="K14" s="117">
        <v>18096.625</v>
      </c>
      <c r="L14" s="117">
        <v>22852.87385362</v>
      </c>
      <c r="M14" s="19">
        <f>K14+L14</f>
        <v>40949.498853619996</v>
      </c>
      <c r="N14" s="88">
        <v>71</v>
      </c>
      <c r="O14" s="88">
        <v>46</v>
      </c>
      <c r="P14" s="92"/>
      <c r="Q14" s="20">
        <f>J14-P14</f>
        <v>20926</v>
      </c>
      <c r="R14" s="21">
        <v>2829</v>
      </c>
      <c r="S14" s="20">
        <f>IF(R14&gt;0,(R14-R15-$Q14),"")</f>
        <v>-20426</v>
      </c>
      <c r="T14" s="21">
        <v>2985</v>
      </c>
      <c r="U14" s="20">
        <f>IF(T14&gt;0,(T14-T15-$Q14),"")</f>
        <v>-20270</v>
      </c>
      <c r="V14" s="21">
        <v>3075</v>
      </c>
      <c r="W14" s="20">
        <f>IF(V14&gt;0,(V14-V15-$Q14),"")</f>
        <v>-20180</v>
      </c>
      <c r="X14" s="21">
        <v>3478</v>
      </c>
      <c r="Y14" s="20">
        <f>IF(X14&gt;0,(X14-X15-$Q14),"")</f>
        <v>-19777</v>
      </c>
      <c r="Z14" s="21">
        <v>5447</v>
      </c>
      <c r="AA14" s="20">
        <f>IF(Z14&gt;0,(Z14-Z15-$Q14),"")</f>
        <v>-17808</v>
      </c>
      <c r="AB14" s="21">
        <v>14174</v>
      </c>
      <c r="AC14" s="22">
        <f>IF(AB14&gt;0,(AB14-AB15-$Q14),"")</f>
        <v>-16665</v>
      </c>
      <c r="AD14" s="21">
        <v>14174</v>
      </c>
      <c r="AE14" s="22">
        <f>IF(AD14&gt;0,(AD14-AD15-$Q14),"")</f>
        <v>-16665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2329</v>
      </c>
      <c r="S15" s="24"/>
      <c r="T15" s="25">
        <v>2329</v>
      </c>
      <c r="U15" s="24"/>
      <c r="V15" s="25">
        <v>2329</v>
      </c>
      <c r="W15" s="24"/>
      <c r="X15" s="25">
        <v>2329</v>
      </c>
      <c r="Y15" s="24"/>
      <c r="Z15" s="25">
        <v>2329</v>
      </c>
      <c r="AA15" s="24"/>
      <c r="AB15" s="25">
        <v>9913</v>
      </c>
      <c r="AC15" s="26"/>
      <c r="AD15" s="25">
        <v>9913</v>
      </c>
      <c r="AE15" s="26"/>
    </row>
    <row r="16" spans="2:42" ht="15" customHeight="1" thickBot="1" x14ac:dyDescent="0.35">
      <c r="B16" s="28" t="s">
        <v>42</v>
      </c>
      <c r="C16" s="17">
        <v>9250</v>
      </c>
      <c r="E16" s="84"/>
      <c r="F16" s="31">
        <f t="shared" ref="F16:N16" si="0">SUM(F6:F15)</f>
        <v>74515</v>
      </c>
      <c r="G16" s="31">
        <f t="shared" si="0"/>
        <v>59011.574500000002</v>
      </c>
      <c r="H16" s="31">
        <f t="shared" si="0"/>
        <v>47225.182728119995</v>
      </c>
      <c r="I16" s="32">
        <f t="shared" si="0"/>
        <v>106236.75722812</v>
      </c>
      <c r="J16" s="33">
        <f t="shared" si="0"/>
        <v>72892</v>
      </c>
      <c r="K16" s="33">
        <f t="shared" si="0"/>
        <v>57568.515749999999</v>
      </c>
      <c r="L16" s="33">
        <f t="shared" si="0"/>
        <v>45207.269411739995</v>
      </c>
      <c r="M16" s="33">
        <f t="shared" si="0"/>
        <v>102775.78516174</v>
      </c>
      <c r="N16" s="31">
        <f t="shared" si="0"/>
        <v>248</v>
      </c>
      <c r="O16" s="31">
        <f>SUM(O14,O12,O10,O8,O6)</f>
        <v>170</v>
      </c>
      <c r="P16" s="34">
        <f>SUM(P6:P15)</f>
        <v>0</v>
      </c>
      <c r="Q16" s="34">
        <f>SUM(Q6:Q15)</f>
        <v>72892</v>
      </c>
      <c r="R16" s="35">
        <f>R6+R8+R10+R12+R14-R7-R9-R11-R13-R15</f>
        <v>7460</v>
      </c>
      <c r="S16" s="36">
        <f>IF(R16&gt;1,(R16-$Q16),"")</f>
        <v>-65432</v>
      </c>
      <c r="T16" s="35">
        <f>T6+T8+T10+T12+T14-T7-T9-T11-T13-T15</f>
        <v>21431</v>
      </c>
      <c r="U16" s="36">
        <f>IF(T16&gt;1,(T16-$Q16),"")</f>
        <v>-51461</v>
      </c>
      <c r="V16" s="35">
        <f>V6+V8+V10+V12+V14-V7-V9-V11-V13-V15</f>
        <v>27466</v>
      </c>
      <c r="W16" s="36">
        <f>IF(V16&gt;1,(V16-$Q16),"")</f>
        <v>-45426</v>
      </c>
      <c r="X16" s="35">
        <f>X6+X8+X10+X12+X14-X7-X9-X11-X13-X15</f>
        <v>39883</v>
      </c>
      <c r="Y16" s="36">
        <f>IF(X16&gt;1,(X16-$Q16),"")</f>
        <v>-33009</v>
      </c>
      <c r="Z16" s="35">
        <f>Z6+Z8+Z10+Z12+Z14-Z7-Z9-Z11-Z13-Z15</f>
        <v>45846</v>
      </c>
      <c r="AA16" s="36">
        <f>IF(Z16&gt;1,(Z16-$Q16),"")</f>
        <v>-27046</v>
      </c>
      <c r="AB16" s="35">
        <f>AB6+AB8+AB10+AB12+AB14-AB7-AB9-AB11-AB13-AB15</f>
        <v>46989</v>
      </c>
      <c r="AC16" s="37">
        <f>IF(AB16&gt;1,(AB16-$Q16),"")</f>
        <v>-25903</v>
      </c>
      <c r="AD16" s="35">
        <f>AD6+AD8+AD10+AD12+AD14-AD7-AD9-AD11-AD13-AD15</f>
        <v>46989</v>
      </c>
      <c r="AE16" s="37">
        <f>IF(AD16&gt;1,(AD16-$Q16),"")</f>
        <v>-25903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5488</v>
      </c>
      <c r="S17" s="41"/>
      <c r="T17" s="40">
        <f>T15+T13+T11+T9+T7</f>
        <v>5495</v>
      </c>
      <c r="U17" s="41"/>
      <c r="V17" s="40">
        <f>V15+V13+V11+V9+V7</f>
        <v>6282</v>
      </c>
      <c r="W17" s="41"/>
      <c r="X17" s="40">
        <f>X15+X13+X11+X9+X7</f>
        <v>7897</v>
      </c>
      <c r="Y17" s="41"/>
      <c r="Z17" s="40">
        <f>Z15+Z13+Z11+Z9+Z7</f>
        <v>8372</v>
      </c>
      <c r="AA17" s="41"/>
      <c r="AB17" s="40">
        <f>AB15+AB13+AB11+AB9+AB7</f>
        <v>15956</v>
      </c>
      <c r="AC17" s="42"/>
      <c r="AD17" s="40">
        <f>AD15+AD13+AD11+AD9+AD7</f>
        <v>15956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3730</v>
      </c>
      <c r="S18" s="46"/>
      <c r="T18" s="47">
        <f>IF(T16&gt;0,(T16-R16)/2,"")</f>
        <v>6985.5</v>
      </c>
      <c r="U18" s="46"/>
      <c r="V18" s="47">
        <f>IF(V16&gt;0,(V16-T16)/2,"")</f>
        <v>3017.5</v>
      </c>
      <c r="W18" s="46"/>
      <c r="X18" s="47">
        <f>IF(X16&gt;0,(X16-V16)/2,"")</f>
        <v>6208.5</v>
      </c>
      <c r="Y18" s="46"/>
      <c r="Z18" s="47">
        <f>IF(Z16&gt;0,(Z16-X16)/2,"")</f>
        <v>2981.5</v>
      </c>
      <c r="AA18" s="46"/>
      <c r="AB18" s="47">
        <f>IF(AB16&gt;0,(AB16-Z16)/2,"")</f>
        <v>571.5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8569</v>
      </c>
      <c r="S20" s="36"/>
      <c r="T20" s="35">
        <v>14016</v>
      </c>
      <c r="U20" s="36"/>
      <c r="V20" s="35">
        <v>26700</v>
      </c>
      <c r="W20" s="36"/>
      <c r="X20" s="35">
        <v>48771</v>
      </c>
      <c r="Y20" s="36"/>
      <c r="Z20" s="35">
        <v>52948</v>
      </c>
      <c r="AA20" s="36"/>
      <c r="AB20" s="35">
        <v>53798</v>
      </c>
      <c r="AC20" s="37"/>
      <c r="AD20" s="35">
        <v>53798</v>
      </c>
      <c r="AE20" s="37"/>
    </row>
    <row r="21" spans="2:43" ht="15" customHeight="1" thickBot="1" x14ac:dyDescent="0.35">
      <c r="B21" s="16" t="s">
        <v>50</v>
      </c>
      <c r="C21" s="17">
        <v>8389</v>
      </c>
      <c r="L21" s="4"/>
      <c r="M21" s="4"/>
      <c r="Q21" s="52"/>
      <c r="R21" s="40">
        <v>5790</v>
      </c>
      <c r="S21" s="41"/>
      <c r="T21" s="40">
        <v>9601</v>
      </c>
      <c r="U21" s="41"/>
      <c r="V21" s="40">
        <v>10296</v>
      </c>
      <c r="W21" s="41"/>
      <c r="X21" s="40">
        <v>12055</v>
      </c>
      <c r="Y21" s="41"/>
      <c r="Z21" s="40">
        <v>12066</v>
      </c>
      <c r="AA21" s="41"/>
      <c r="AB21" s="40">
        <v>12832</v>
      </c>
      <c r="AC21" s="42"/>
      <c r="AD21" s="40">
        <v>12832</v>
      </c>
      <c r="AE21" s="42"/>
    </row>
    <row r="22" spans="2:43" ht="15" customHeight="1" thickBot="1" x14ac:dyDescent="0.35">
      <c r="B22" s="16" t="s">
        <v>51</v>
      </c>
      <c r="C22" s="17">
        <v>1008</v>
      </c>
      <c r="L22" s="4"/>
      <c r="M22" s="4"/>
      <c r="Q22" s="54"/>
      <c r="R22" s="55">
        <v>5188.5</v>
      </c>
      <c r="S22" s="55"/>
      <c r="T22" s="55">
        <v>492</v>
      </c>
      <c r="U22" s="55"/>
      <c r="V22" s="55">
        <v>8347</v>
      </c>
      <c r="W22" s="55"/>
      <c r="X22" s="55">
        <v>5939</v>
      </c>
      <c r="Y22" s="55"/>
      <c r="Z22" s="55">
        <v>2376</v>
      </c>
      <c r="AA22" s="55"/>
      <c r="AB22" s="55">
        <v>799</v>
      </c>
      <c r="AC22" s="56"/>
      <c r="AD22" s="55">
        <v>-73.5</v>
      </c>
      <c r="AE22" s="56"/>
    </row>
    <row r="23" spans="2:43" ht="15" customHeight="1" thickBot="1" x14ac:dyDescent="0.35">
      <c r="B23" s="57" t="s">
        <v>52</v>
      </c>
      <c r="C23" s="58">
        <v>4350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-1109</v>
      </c>
      <c r="S24" s="60"/>
      <c r="T24" s="60">
        <f>IF(T16&gt;0,T16-T20,"")</f>
        <v>7415</v>
      </c>
      <c r="U24" s="60"/>
      <c r="V24" s="60">
        <f>IF(V16&gt;0,V16-V20,"")</f>
        <v>766</v>
      </c>
      <c r="W24" s="60"/>
      <c r="X24" s="60">
        <f>IF(X16&gt;0,X16-X20,"")</f>
        <v>-8888</v>
      </c>
      <c r="Y24" s="60"/>
      <c r="Z24" s="60">
        <f>IF(Z16&gt;0,Z16-Z20,"")</f>
        <v>-7102</v>
      </c>
      <c r="AA24" s="60"/>
      <c r="AB24" s="60">
        <f>IF(AB16&gt;0,AB16-AB20,"")</f>
        <v>-6809</v>
      </c>
      <c r="AC24" s="61"/>
      <c r="AD24" s="60">
        <f>IF(AD16&gt;0,AD16-AD20,"")</f>
        <v>-6809</v>
      </c>
      <c r="AE24" s="61"/>
    </row>
    <row r="25" spans="2:43" x14ac:dyDescent="0.3">
      <c r="L25" s="4"/>
      <c r="M25" s="4"/>
      <c r="Q25" s="62"/>
      <c r="R25" s="63">
        <f>IF(R17&gt;=0,R17-R21,"")</f>
        <v>-302</v>
      </c>
      <c r="S25" s="64"/>
      <c r="T25" s="63">
        <f>IF(T17&gt;=0,T17-T21,"")</f>
        <v>-4106</v>
      </c>
      <c r="U25" s="64"/>
      <c r="V25" s="63">
        <f>IF(V17&gt;=0,V17-V21,"")</f>
        <v>-4014</v>
      </c>
      <c r="W25" s="64"/>
      <c r="X25" s="63">
        <f>IF(X17&gt;=0,X17-X21,"")</f>
        <v>-4158</v>
      </c>
      <c r="Y25" s="64"/>
      <c r="Z25" s="63">
        <f>IF(Z17&gt;=0,Z17-Z21,"")</f>
        <v>-3694</v>
      </c>
      <c r="AA25" s="64"/>
      <c r="AB25" s="63">
        <f>IF(AB17&gt;=0,AB17-AB21,"")</f>
        <v>3124</v>
      </c>
      <c r="AC25" s="65"/>
      <c r="AD25" s="63">
        <f>IF(AD17&gt;=0,AD17-AD21,"")</f>
        <v>3124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-1458.5</v>
      </c>
      <c r="S26" s="55"/>
      <c r="T26" s="67">
        <f>IFERROR(IF(T18&gt;0,T18-T22,""),"")</f>
        <v>6493.5</v>
      </c>
      <c r="U26" s="55"/>
      <c r="V26" s="67">
        <f>IFERROR(IF(V18&gt;0,V18-V22,""),"")</f>
        <v>-5329.5</v>
      </c>
      <c r="W26" s="55"/>
      <c r="X26" s="67">
        <f>IFERROR(IF(X18&gt;0,X18-X22,""),"")</f>
        <v>269.5</v>
      </c>
      <c r="Y26" s="55"/>
      <c r="Z26" s="67">
        <f>IFERROR(IF(Z18&gt;0,Z18-Z22,""),"")</f>
        <v>605.5</v>
      </c>
      <c r="AA26" s="55"/>
      <c r="AB26" s="67">
        <f>IFERROR(IF(AB18&gt;0,AB18-AB22,""),"")</f>
        <v>-227.5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9617</v>
      </c>
      <c r="D29" s="76">
        <f>C14</f>
        <v>8648</v>
      </c>
      <c r="E29" s="77">
        <f t="shared" ref="E29:E34" si="1">D29-C29</f>
        <v>-969</v>
      </c>
      <c r="M29" s="4"/>
      <c r="O29" s="4"/>
    </row>
    <row r="30" spans="2:43" x14ac:dyDescent="0.3">
      <c r="B30" s="74" t="s">
        <v>56</v>
      </c>
      <c r="C30" s="75">
        <v>23498</v>
      </c>
      <c r="D30" s="76">
        <f>C7+C15+C16+C19+C20</f>
        <v>9498</v>
      </c>
      <c r="E30" s="77">
        <f t="shared" si="1"/>
        <v>-14000</v>
      </c>
      <c r="J30" s="53"/>
      <c r="L30" s="53"/>
      <c r="M30" s="4"/>
      <c r="O30" s="4"/>
    </row>
    <row r="31" spans="2:43" x14ac:dyDescent="0.3">
      <c r="B31" s="74" t="s">
        <v>21</v>
      </c>
      <c r="C31" s="75">
        <v>3234</v>
      </c>
      <c r="D31" s="76">
        <f>C6</f>
        <v>3234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13061</v>
      </c>
      <c r="D32" s="76">
        <f>C10+C11+C12+C13</f>
        <v>13061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14335</v>
      </c>
      <c r="D34" s="76">
        <f>C21+C22+C23</f>
        <v>13747</v>
      </c>
      <c r="E34" s="77">
        <f t="shared" si="1"/>
        <v>-588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3825</v>
      </c>
      <c r="D35" s="80">
        <f>SUM(C8+C9)</f>
        <v>3825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2652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427.5</v>
      </c>
      <c r="V36" s="104">
        <v>855</v>
      </c>
      <c r="W36" s="104">
        <f t="shared" ref="W36:W65" si="4">IF(X36&gt;0,(X36-V36)/2,"")</f>
        <v>660.5</v>
      </c>
      <c r="X36" s="104">
        <v>2176</v>
      </c>
      <c r="Y36" s="104">
        <f t="shared" ref="Y36:Y65" si="5">IF(Z36&gt;0,(Z36-X36)/2,"")</f>
        <v>5.5</v>
      </c>
      <c r="Z36" s="104">
        <v>2187</v>
      </c>
      <c r="AA36" s="104">
        <f t="shared" ref="AA36:AA65" si="6">IF(AB36&gt;0,(AB36-Z36)/2,"")</f>
        <v>0</v>
      </c>
      <c r="AB36" s="104">
        <v>2187</v>
      </c>
      <c r="AC36" s="104">
        <f t="shared" ref="AC36:AC65" si="7">IF(AD36&gt;0,(AD36-AB36)/2,"")</f>
        <v>0</v>
      </c>
      <c r="AD36" s="104">
        <v>2187</v>
      </c>
      <c r="AE36" s="105">
        <f t="shared" ref="AE36:AE65" si="8">AD36-Q36</f>
        <v>-465</v>
      </c>
    </row>
    <row r="37" spans="2:31" ht="15.6" customHeight="1" x14ac:dyDescent="0.3">
      <c r="N37" s="212"/>
      <c r="O37" s="95" t="s">
        <v>66</v>
      </c>
      <c r="P37" s="106"/>
      <c r="Q37" s="106">
        <v>1383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503</v>
      </c>
      <c r="X37" s="106">
        <v>1006</v>
      </c>
      <c r="Y37" s="106">
        <f t="shared" si="5"/>
        <v>19.5</v>
      </c>
      <c r="Z37" s="106">
        <v>1045</v>
      </c>
      <c r="AA37" s="106">
        <f t="shared" si="6"/>
        <v>0</v>
      </c>
      <c r="AB37" s="106">
        <v>1045</v>
      </c>
      <c r="AC37" s="106">
        <f t="shared" si="7"/>
        <v>0</v>
      </c>
      <c r="AD37" s="106">
        <v>1045</v>
      </c>
      <c r="AE37" s="107">
        <f t="shared" si="8"/>
        <v>-338</v>
      </c>
    </row>
    <row r="38" spans="2:31" ht="15.6" customHeight="1" x14ac:dyDescent="0.3">
      <c r="N38" s="212"/>
      <c r="O38" s="94" t="s">
        <v>67</v>
      </c>
      <c r="P38" s="108"/>
      <c r="Q38" s="108">
        <v>2443</v>
      </c>
      <c r="R38" s="108">
        <v>745</v>
      </c>
      <c r="S38" s="108">
        <f t="shared" si="2"/>
        <v>227.5</v>
      </c>
      <c r="T38" s="108">
        <v>1200</v>
      </c>
      <c r="U38" s="108">
        <f t="shared" si="3"/>
        <v>112.5</v>
      </c>
      <c r="V38" s="108">
        <v>1425</v>
      </c>
      <c r="W38" s="108">
        <f t="shared" si="4"/>
        <v>420</v>
      </c>
      <c r="X38" s="108">
        <v>2265</v>
      </c>
      <c r="Y38" s="108">
        <f t="shared" si="5"/>
        <v>90.5</v>
      </c>
      <c r="Z38" s="108">
        <v>2446</v>
      </c>
      <c r="AA38" s="108">
        <f t="shared" si="6"/>
        <v>0</v>
      </c>
      <c r="AB38" s="108">
        <v>2446</v>
      </c>
      <c r="AC38" s="108">
        <f t="shared" si="7"/>
        <v>0</v>
      </c>
      <c r="AD38" s="108">
        <v>2446</v>
      </c>
      <c r="AE38" s="109">
        <f t="shared" si="8"/>
        <v>3</v>
      </c>
    </row>
    <row r="39" spans="2:31" ht="15.6" customHeight="1" x14ac:dyDescent="0.3">
      <c r="N39" s="212"/>
      <c r="O39" s="95" t="s">
        <v>68</v>
      </c>
      <c r="P39" s="106"/>
      <c r="Q39" s="106">
        <v>2836</v>
      </c>
      <c r="R39" s="106">
        <v>717</v>
      </c>
      <c r="S39" s="106">
        <f t="shared" si="2"/>
        <v>0</v>
      </c>
      <c r="T39" s="106">
        <v>717</v>
      </c>
      <c r="U39" s="106">
        <f t="shared" si="3"/>
        <v>0</v>
      </c>
      <c r="V39" s="106">
        <v>717</v>
      </c>
      <c r="W39" s="106">
        <f t="shared" si="4"/>
        <v>1062.5</v>
      </c>
      <c r="X39" s="106">
        <v>2842</v>
      </c>
      <c r="Y39" s="106">
        <f t="shared" si="5"/>
        <v>0</v>
      </c>
      <c r="Z39" s="106">
        <v>2842</v>
      </c>
      <c r="AA39" s="106">
        <f t="shared" si="6"/>
        <v>0</v>
      </c>
      <c r="AB39" s="106">
        <v>2842</v>
      </c>
      <c r="AC39" s="106">
        <f t="shared" si="7"/>
        <v>0</v>
      </c>
      <c r="AD39" s="106">
        <v>2842</v>
      </c>
      <c r="AE39" s="107">
        <f t="shared" si="8"/>
        <v>6</v>
      </c>
    </row>
    <row r="40" spans="2:31" ht="15.6" customHeight="1" x14ac:dyDescent="0.3">
      <c r="N40" s="212"/>
      <c r="O40" s="94" t="s">
        <v>69</v>
      </c>
      <c r="P40" s="108"/>
      <c r="Q40" s="108">
        <v>2903</v>
      </c>
      <c r="R40" s="108">
        <v>0</v>
      </c>
      <c r="S40" s="108">
        <f t="shared" si="2"/>
        <v>781</v>
      </c>
      <c r="T40" s="108">
        <v>1562</v>
      </c>
      <c r="U40" s="108">
        <f t="shared" si="3"/>
        <v>301</v>
      </c>
      <c r="V40" s="108">
        <v>2164</v>
      </c>
      <c r="W40" s="108">
        <f t="shared" si="4"/>
        <v>377</v>
      </c>
      <c r="X40" s="108">
        <v>2918</v>
      </c>
      <c r="Y40" s="108">
        <f t="shared" si="5"/>
        <v>299.5</v>
      </c>
      <c r="Z40" s="108">
        <v>3517</v>
      </c>
      <c r="AA40" s="108">
        <f t="shared" si="6"/>
        <v>0</v>
      </c>
      <c r="AB40" s="108">
        <v>3517</v>
      </c>
      <c r="AC40" s="108">
        <f t="shared" si="7"/>
        <v>0</v>
      </c>
      <c r="AD40" s="108">
        <v>3517</v>
      </c>
      <c r="AE40" s="109">
        <f t="shared" si="8"/>
        <v>614</v>
      </c>
    </row>
    <row r="41" spans="2:31" ht="15.6" customHeight="1" x14ac:dyDescent="0.3">
      <c r="N41" s="212"/>
      <c r="O41" s="95" t="s">
        <v>70</v>
      </c>
      <c r="P41" s="106"/>
      <c r="Q41" s="106">
        <v>826</v>
      </c>
      <c r="R41" s="106">
        <v>150</v>
      </c>
      <c r="S41" s="106">
        <f t="shared" si="2"/>
        <v>130</v>
      </c>
      <c r="T41" s="106">
        <v>410</v>
      </c>
      <c r="U41" s="106">
        <f t="shared" si="3"/>
        <v>308</v>
      </c>
      <c r="V41" s="106">
        <v>1026</v>
      </c>
      <c r="W41" s="106">
        <f t="shared" si="4"/>
        <v>0</v>
      </c>
      <c r="X41" s="106">
        <v>1026</v>
      </c>
      <c r="Y41" s="106">
        <f t="shared" si="5"/>
        <v>0</v>
      </c>
      <c r="Z41" s="106">
        <v>1026</v>
      </c>
      <c r="AA41" s="106">
        <f t="shared" si="6"/>
        <v>0</v>
      </c>
      <c r="AB41" s="106">
        <v>1026</v>
      </c>
      <c r="AC41" s="106">
        <f t="shared" si="7"/>
        <v>0</v>
      </c>
      <c r="AD41" s="106">
        <v>1026</v>
      </c>
      <c r="AE41" s="107">
        <f t="shared" si="8"/>
        <v>200</v>
      </c>
    </row>
    <row r="42" spans="2:31" ht="15.6" customHeight="1" x14ac:dyDescent="0.3">
      <c r="N42" s="212"/>
      <c r="O42" s="94" t="s">
        <v>71</v>
      </c>
      <c r="P42" s="108"/>
      <c r="Q42" s="108">
        <v>1159</v>
      </c>
      <c r="R42" s="108">
        <v>0</v>
      </c>
      <c r="S42" s="108" t="str">
        <f t="shared" si="2"/>
        <v/>
      </c>
      <c r="T42" s="108">
        <v>0</v>
      </c>
      <c r="U42" s="108" t="str">
        <f t="shared" si="3"/>
        <v/>
      </c>
      <c r="V42" s="108">
        <v>0</v>
      </c>
      <c r="W42" s="108">
        <f t="shared" si="4"/>
        <v>345.5</v>
      </c>
      <c r="X42" s="108">
        <v>691</v>
      </c>
      <c r="Y42" s="108">
        <f t="shared" si="5"/>
        <v>0</v>
      </c>
      <c r="Z42" s="108">
        <v>691</v>
      </c>
      <c r="AA42" s="108">
        <f t="shared" si="6"/>
        <v>0</v>
      </c>
      <c r="AB42" s="108">
        <v>691</v>
      </c>
      <c r="AC42" s="108">
        <f t="shared" si="7"/>
        <v>0</v>
      </c>
      <c r="AD42" s="108">
        <v>691</v>
      </c>
      <c r="AE42" s="109">
        <f t="shared" si="8"/>
        <v>-468</v>
      </c>
    </row>
    <row r="43" spans="2:31" ht="15.6" customHeight="1" x14ac:dyDescent="0.3">
      <c r="N43" s="212"/>
      <c r="O43" s="95" t="s">
        <v>72</v>
      </c>
      <c r="P43" s="106"/>
      <c r="Q43" s="106">
        <v>1629</v>
      </c>
      <c r="R43" s="106">
        <v>0</v>
      </c>
      <c r="S43" s="106">
        <f t="shared" si="2"/>
        <v>253.5</v>
      </c>
      <c r="T43" s="106">
        <v>507</v>
      </c>
      <c r="U43" s="106">
        <f t="shared" si="3"/>
        <v>0</v>
      </c>
      <c r="V43" s="106">
        <v>507</v>
      </c>
      <c r="W43" s="106">
        <f t="shared" si="4"/>
        <v>183</v>
      </c>
      <c r="X43" s="106">
        <v>873</v>
      </c>
      <c r="Y43" s="106">
        <f t="shared" si="5"/>
        <v>378</v>
      </c>
      <c r="Z43" s="106">
        <v>1629</v>
      </c>
      <c r="AA43" s="106">
        <f t="shared" si="6"/>
        <v>0</v>
      </c>
      <c r="AB43" s="106">
        <v>1629</v>
      </c>
      <c r="AC43" s="106">
        <f t="shared" si="7"/>
        <v>0</v>
      </c>
      <c r="AD43" s="106">
        <v>1629</v>
      </c>
      <c r="AE43" s="107">
        <f t="shared" si="8"/>
        <v>0</v>
      </c>
    </row>
    <row r="44" spans="2:31" ht="15.6" customHeight="1" thickBot="1" x14ac:dyDescent="0.35">
      <c r="N44" s="213"/>
      <c r="O44" s="97" t="s">
        <v>73</v>
      </c>
      <c r="P44" s="110"/>
      <c r="Q44" s="110">
        <v>1610</v>
      </c>
      <c r="R44" s="110">
        <v>532</v>
      </c>
      <c r="S44" s="110">
        <f t="shared" si="2"/>
        <v>0</v>
      </c>
      <c r="T44" s="110">
        <v>532</v>
      </c>
      <c r="U44" s="110">
        <f t="shared" si="3"/>
        <v>255</v>
      </c>
      <c r="V44" s="110">
        <v>1042</v>
      </c>
      <c r="W44" s="110">
        <f t="shared" si="4"/>
        <v>236</v>
      </c>
      <c r="X44" s="110">
        <v>1514</v>
      </c>
      <c r="Y44" s="110">
        <f t="shared" si="5"/>
        <v>64.5</v>
      </c>
      <c r="Z44" s="110">
        <v>1643</v>
      </c>
      <c r="AA44" s="110">
        <f t="shared" si="6"/>
        <v>0</v>
      </c>
      <c r="AB44" s="110">
        <v>1643</v>
      </c>
      <c r="AC44" s="110">
        <f t="shared" si="7"/>
        <v>0</v>
      </c>
      <c r="AD44" s="110">
        <v>1643</v>
      </c>
      <c r="AE44" s="111">
        <f t="shared" si="8"/>
        <v>33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4577</v>
      </c>
      <c r="R45" s="112">
        <v>1000</v>
      </c>
      <c r="S45" s="112">
        <f t="shared" si="2"/>
        <v>1315</v>
      </c>
      <c r="T45" s="112">
        <v>3630</v>
      </c>
      <c r="U45" s="112">
        <f t="shared" si="3"/>
        <v>473.5</v>
      </c>
      <c r="V45" s="112">
        <v>4577</v>
      </c>
      <c r="W45" s="112">
        <f t="shared" si="4"/>
        <v>0</v>
      </c>
      <c r="X45" s="112">
        <v>4577</v>
      </c>
      <c r="Y45" s="112">
        <f t="shared" si="5"/>
        <v>0</v>
      </c>
      <c r="Z45" s="112">
        <v>4577</v>
      </c>
      <c r="AA45" s="112">
        <f t="shared" si="6"/>
        <v>0</v>
      </c>
      <c r="AB45" s="112">
        <v>4577</v>
      </c>
      <c r="AC45" s="112">
        <f t="shared" si="7"/>
        <v>0</v>
      </c>
      <c r="AD45" s="112">
        <v>4577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3393</v>
      </c>
      <c r="R46" s="108">
        <v>0</v>
      </c>
      <c r="S46" s="108">
        <f t="shared" si="2"/>
        <v>1696.5</v>
      </c>
      <c r="T46" s="108">
        <v>3393</v>
      </c>
      <c r="U46" s="108">
        <f t="shared" si="3"/>
        <v>0</v>
      </c>
      <c r="V46" s="108">
        <v>3393</v>
      </c>
      <c r="W46" s="108">
        <f t="shared" si="4"/>
        <v>0</v>
      </c>
      <c r="X46" s="108">
        <v>3393</v>
      </c>
      <c r="Y46" s="108">
        <f t="shared" si="5"/>
        <v>0</v>
      </c>
      <c r="Z46" s="108">
        <v>3393</v>
      </c>
      <c r="AA46" s="108">
        <f t="shared" si="6"/>
        <v>0</v>
      </c>
      <c r="AB46" s="108">
        <v>3393</v>
      </c>
      <c r="AC46" s="108">
        <f t="shared" si="7"/>
        <v>0</v>
      </c>
      <c r="AD46" s="108">
        <v>3393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2117</v>
      </c>
      <c r="R47" s="106">
        <v>0</v>
      </c>
      <c r="S47" s="106">
        <f t="shared" si="2"/>
        <v>522.5</v>
      </c>
      <c r="T47" s="106">
        <v>1045</v>
      </c>
      <c r="U47" s="106">
        <f t="shared" si="3"/>
        <v>194.5</v>
      </c>
      <c r="V47" s="106">
        <v>1434</v>
      </c>
      <c r="W47" s="106">
        <f t="shared" si="4"/>
        <v>294</v>
      </c>
      <c r="X47" s="106">
        <v>2022</v>
      </c>
      <c r="Y47" s="106">
        <f t="shared" si="5"/>
        <v>0</v>
      </c>
      <c r="Z47" s="106">
        <v>2022</v>
      </c>
      <c r="AA47" s="106">
        <f t="shared" si="6"/>
        <v>0</v>
      </c>
      <c r="AB47" s="106">
        <v>2022</v>
      </c>
      <c r="AC47" s="106">
        <f t="shared" si="7"/>
        <v>0</v>
      </c>
      <c r="AD47" s="106">
        <v>2022</v>
      </c>
      <c r="AE47" s="107">
        <f t="shared" si="8"/>
        <v>-95</v>
      </c>
    </row>
    <row r="48" spans="2:31" ht="15.6" customHeight="1" thickBot="1" x14ac:dyDescent="0.35">
      <c r="N48" s="213"/>
      <c r="O48" s="97" t="s">
        <v>68</v>
      </c>
      <c r="P48" s="110"/>
      <c r="Q48" s="110">
        <v>4049</v>
      </c>
      <c r="R48" s="110">
        <v>940</v>
      </c>
      <c r="S48" s="110">
        <f t="shared" si="2"/>
        <v>1578.5</v>
      </c>
      <c r="T48" s="110">
        <v>4097</v>
      </c>
      <c r="U48" s="110">
        <f t="shared" si="3"/>
        <v>0</v>
      </c>
      <c r="V48" s="110">
        <v>4097</v>
      </c>
      <c r="W48" s="110">
        <f t="shared" si="4"/>
        <v>0</v>
      </c>
      <c r="X48" s="110">
        <v>4097</v>
      </c>
      <c r="Y48" s="110">
        <f t="shared" si="5"/>
        <v>0</v>
      </c>
      <c r="Z48" s="110">
        <v>4097</v>
      </c>
      <c r="AA48" s="110">
        <f t="shared" si="6"/>
        <v>0</v>
      </c>
      <c r="AB48" s="110">
        <v>4097</v>
      </c>
      <c r="AC48" s="110">
        <f t="shared" si="7"/>
        <v>0</v>
      </c>
      <c r="AD48" s="110">
        <v>4097</v>
      </c>
      <c r="AE48" s="111">
        <f t="shared" si="8"/>
        <v>48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318</v>
      </c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>
        <f t="shared" si="4"/>
        <v>36.5</v>
      </c>
      <c r="X49" s="112">
        <v>73</v>
      </c>
      <c r="Y49" s="112">
        <f t="shared" si="5"/>
        <v>0</v>
      </c>
      <c r="Z49" s="112">
        <v>73</v>
      </c>
      <c r="AA49" s="112">
        <f t="shared" si="6"/>
        <v>0</v>
      </c>
      <c r="AB49" s="112">
        <v>73</v>
      </c>
      <c r="AC49" s="112">
        <f t="shared" si="7"/>
        <v>0</v>
      </c>
      <c r="AD49" s="112">
        <v>73</v>
      </c>
      <c r="AE49" s="113">
        <f t="shared" si="8"/>
        <v>-245</v>
      </c>
    </row>
    <row r="50" spans="14:31" ht="15.6" customHeight="1" x14ac:dyDescent="0.3">
      <c r="N50" s="212"/>
      <c r="O50" s="94" t="s">
        <v>66</v>
      </c>
      <c r="P50" s="108"/>
      <c r="Q50" s="108">
        <v>376</v>
      </c>
      <c r="R50" s="108">
        <v>169</v>
      </c>
      <c r="S50" s="108">
        <f t="shared" si="2"/>
        <v>0</v>
      </c>
      <c r="T50" s="108">
        <v>169</v>
      </c>
      <c r="U50" s="108">
        <f t="shared" si="3"/>
        <v>0</v>
      </c>
      <c r="V50" s="108">
        <v>169</v>
      </c>
      <c r="W50" s="108">
        <f t="shared" si="4"/>
        <v>103.5</v>
      </c>
      <c r="X50" s="108">
        <v>376</v>
      </c>
      <c r="Y50" s="108">
        <f t="shared" si="5"/>
        <v>0</v>
      </c>
      <c r="Z50" s="108">
        <v>376</v>
      </c>
      <c r="AA50" s="108">
        <f t="shared" si="6"/>
        <v>0</v>
      </c>
      <c r="AB50" s="108">
        <v>376</v>
      </c>
      <c r="AC50" s="108">
        <f t="shared" si="7"/>
        <v>0</v>
      </c>
      <c r="AD50" s="108">
        <v>376</v>
      </c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>
        <v>1493</v>
      </c>
      <c r="R51" s="106">
        <v>857</v>
      </c>
      <c r="S51" s="106">
        <f t="shared" si="2"/>
        <v>0</v>
      </c>
      <c r="T51" s="106">
        <v>857</v>
      </c>
      <c r="U51" s="106">
        <f t="shared" si="3"/>
        <v>0</v>
      </c>
      <c r="V51" s="106">
        <v>857</v>
      </c>
      <c r="W51" s="106">
        <f t="shared" si="4"/>
        <v>160.5</v>
      </c>
      <c r="X51" s="106">
        <v>1178</v>
      </c>
      <c r="Y51" s="106">
        <f t="shared" si="5"/>
        <v>72.5</v>
      </c>
      <c r="Z51" s="106">
        <v>1323</v>
      </c>
      <c r="AA51" s="106">
        <f t="shared" si="6"/>
        <v>0</v>
      </c>
      <c r="AB51" s="106">
        <v>1323</v>
      </c>
      <c r="AC51" s="106">
        <f t="shared" si="7"/>
        <v>0</v>
      </c>
      <c r="AD51" s="106">
        <v>1323</v>
      </c>
      <c r="AE51" s="107">
        <f t="shared" si="8"/>
        <v>-170</v>
      </c>
    </row>
    <row r="52" spans="14:31" ht="15.6" customHeight="1" x14ac:dyDescent="0.3">
      <c r="N52" s="212"/>
      <c r="O52" s="94" t="s">
        <v>68</v>
      </c>
      <c r="P52" s="108"/>
      <c r="Q52" s="108">
        <v>1785</v>
      </c>
      <c r="R52" s="108">
        <v>143</v>
      </c>
      <c r="S52" s="108">
        <f t="shared" si="2"/>
        <v>0</v>
      </c>
      <c r="T52" s="108">
        <v>143</v>
      </c>
      <c r="U52" s="108">
        <f t="shared" si="3"/>
        <v>0</v>
      </c>
      <c r="V52" s="108">
        <v>143</v>
      </c>
      <c r="W52" s="108">
        <f t="shared" si="4"/>
        <v>229</v>
      </c>
      <c r="X52" s="108">
        <v>601</v>
      </c>
      <c r="Y52" s="108">
        <f t="shared" si="5"/>
        <v>9</v>
      </c>
      <c r="Z52" s="108">
        <v>619</v>
      </c>
      <c r="AA52" s="108">
        <f t="shared" si="6"/>
        <v>0</v>
      </c>
      <c r="AB52" s="108">
        <v>619</v>
      </c>
      <c r="AC52" s="108">
        <f t="shared" si="7"/>
        <v>0</v>
      </c>
      <c r="AD52" s="108">
        <v>619</v>
      </c>
      <c r="AE52" s="109">
        <f t="shared" si="8"/>
        <v>-1166</v>
      </c>
    </row>
    <row r="53" spans="14:31" ht="15.6" customHeight="1" x14ac:dyDescent="0.3">
      <c r="N53" s="212"/>
      <c r="O53" s="95" t="s">
        <v>69</v>
      </c>
      <c r="P53" s="106"/>
      <c r="Q53" s="106">
        <v>2530</v>
      </c>
      <c r="R53" s="106">
        <v>238</v>
      </c>
      <c r="S53" s="106">
        <f t="shared" si="2"/>
        <v>0</v>
      </c>
      <c r="T53" s="106">
        <v>238</v>
      </c>
      <c r="U53" s="106">
        <f t="shared" si="3"/>
        <v>0</v>
      </c>
      <c r="V53" s="106">
        <v>238</v>
      </c>
      <c r="W53" s="106">
        <f t="shared" si="4"/>
        <v>742</v>
      </c>
      <c r="X53" s="106">
        <v>1722</v>
      </c>
      <c r="Y53" s="106">
        <f t="shared" si="5"/>
        <v>78</v>
      </c>
      <c r="Z53" s="106">
        <v>1878</v>
      </c>
      <c r="AA53" s="106">
        <f t="shared" si="6"/>
        <v>0</v>
      </c>
      <c r="AB53" s="106">
        <v>1878</v>
      </c>
      <c r="AC53" s="106">
        <f t="shared" si="7"/>
        <v>0</v>
      </c>
      <c r="AD53" s="106">
        <v>1878</v>
      </c>
      <c r="AE53" s="107">
        <f t="shared" si="8"/>
        <v>-652</v>
      </c>
    </row>
    <row r="54" spans="14:31" ht="15.6" customHeight="1" x14ac:dyDescent="0.3">
      <c r="N54" s="212"/>
      <c r="O54" s="94" t="s">
        <v>70</v>
      </c>
      <c r="P54" s="108"/>
      <c r="Q54" s="108">
        <v>1652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826</v>
      </c>
      <c r="Z54" s="108">
        <v>1652</v>
      </c>
      <c r="AA54" s="108">
        <f t="shared" si="6"/>
        <v>0</v>
      </c>
      <c r="AB54" s="108">
        <v>1652</v>
      </c>
      <c r="AC54" s="108">
        <f t="shared" si="7"/>
        <v>0</v>
      </c>
      <c r="AD54" s="108">
        <v>1652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826</v>
      </c>
      <c r="R55" s="106">
        <v>43</v>
      </c>
      <c r="S55" s="106">
        <f t="shared" si="2"/>
        <v>0</v>
      </c>
      <c r="T55" s="106">
        <v>43</v>
      </c>
      <c r="U55" s="106">
        <f t="shared" si="3"/>
        <v>0</v>
      </c>
      <c r="V55" s="106">
        <v>43</v>
      </c>
      <c r="W55" s="106">
        <f t="shared" si="4"/>
        <v>150</v>
      </c>
      <c r="X55" s="106">
        <v>343</v>
      </c>
      <c r="Y55" s="106">
        <f t="shared" si="5"/>
        <v>391.5</v>
      </c>
      <c r="Z55" s="106">
        <v>1126</v>
      </c>
      <c r="AA55" s="106">
        <f t="shared" si="6"/>
        <v>0</v>
      </c>
      <c r="AB55" s="106">
        <v>1126</v>
      </c>
      <c r="AC55" s="106">
        <f t="shared" si="7"/>
        <v>0</v>
      </c>
      <c r="AD55" s="106">
        <v>1126</v>
      </c>
      <c r="AE55" s="107">
        <f t="shared" si="8"/>
        <v>300</v>
      </c>
    </row>
    <row r="56" spans="14:31" ht="15.6" customHeight="1" x14ac:dyDescent="0.3">
      <c r="N56" s="212"/>
      <c r="O56" s="94" t="s">
        <v>72</v>
      </c>
      <c r="P56" s="108"/>
      <c r="Q56" s="108">
        <v>473</v>
      </c>
      <c r="R56" s="108">
        <v>31</v>
      </c>
      <c r="S56" s="108">
        <f t="shared" si="2"/>
        <v>0</v>
      </c>
      <c r="T56" s="108">
        <v>31</v>
      </c>
      <c r="U56" s="108">
        <f t="shared" si="3"/>
        <v>118.5</v>
      </c>
      <c r="V56" s="108">
        <v>268</v>
      </c>
      <c r="W56" s="108">
        <f t="shared" si="4"/>
        <v>102.5</v>
      </c>
      <c r="X56" s="108">
        <v>473</v>
      </c>
      <c r="Y56" s="108">
        <f t="shared" si="5"/>
        <v>0</v>
      </c>
      <c r="Z56" s="108">
        <v>473</v>
      </c>
      <c r="AA56" s="108">
        <f t="shared" si="6"/>
        <v>0</v>
      </c>
      <c r="AB56" s="108">
        <v>473</v>
      </c>
      <c r="AC56" s="108">
        <f t="shared" si="7"/>
        <v>0</v>
      </c>
      <c r="AD56" s="108">
        <v>473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3807</v>
      </c>
      <c r="R58" s="104">
        <v>1019</v>
      </c>
      <c r="S58" s="104">
        <f t="shared" si="2"/>
        <v>398</v>
      </c>
      <c r="T58" s="104">
        <v>1815</v>
      </c>
      <c r="U58" s="104">
        <f t="shared" si="3"/>
        <v>397.5</v>
      </c>
      <c r="V58" s="104">
        <v>2610</v>
      </c>
      <c r="W58" s="104">
        <f t="shared" si="4"/>
        <v>133.5</v>
      </c>
      <c r="X58" s="104">
        <v>2877</v>
      </c>
      <c r="Y58" s="104">
        <f t="shared" si="5"/>
        <v>0</v>
      </c>
      <c r="Z58" s="104">
        <v>2877</v>
      </c>
      <c r="AA58" s="104">
        <f t="shared" si="6"/>
        <v>0</v>
      </c>
      <c r="AB58" s="104">
        <v>2877</v>
      </c>
      <c r="AC58" s="104">
        <f t="shared" si="7"/>
        <v>0</v>
      </c>
      <c r="AD58" s="104">
        <v>2877</v>
      </c>
      <c r="AE58" s="105">
        <f t="shared" si="8"/>
        <v>-930</v>
      </c>
    </row>
    <row r="59" spans="14:31" ht="15.6" customHeight="1" x14ac:dyDescent="0.3">
      <c r="N59" s="212"/>
      <c r="O59" s="95" t="s">
        <v>66</v>
      </c>
      <c r="P59" s="106"/>
      <c r="Q59" s="106">
        <v>4139</v>
      </c>
      <c r="R59" s="106">
        <v>2825</v>
      </c>
      <c r="S59" s="106">
        <f t="shared" si="2"/>
        <v>0</v>
      </c>
      <c r="T59" s="106">
        <v>2825</v>
      </c>
      <c r="U59" s="106">
        <f t="shared" si="3"/>
        <v>689.5</v>
      </c>
      <c r="V59" s="106">
        <v>4204</v>
      </c>
      <c r="W59" s="106">
        <f t="shared" si="4"/>
        <v>554.5</v>
      </c>
      <c r="X59" s="106">
        <v>5313</v>
      </c>
      <c r="Y59" s="106">
        <f t="shared" si="5"/>
        <v>0</v>
      </c>
      <c r="Z59" s="106">
        <v>5313</v>
      </c>
      <c r="AA59" s="106">
        <f t="shared" si="6"/>
        <v>0</v>
      </c>
      <c r="AB59" s="106">
        <v>5313</v>
      </c>
      <c r="AC59" s="106">
        <f t="shared" si="7"/>
        <v>0</v>
      </c>
      <c r="AD59" s="106">
        <v>5313</v>
      </c>
      <c r="AE59" s="107">
        <f t="shared" si="8"/>
        <v>1174</v>
      </c>
    </row>
    <row r="60" spans="14:31" ht="15.6" customHeight="1" x14ac:dyDescent="0.3">
      <c r="N60" s="212"/>
      <c r="O60" s="94" t="s">
        <v>67</v>
      </c>
      <c r="P60" s="108"/>
      <c r="Q60" s="108">
        <v>3379</v>
      </c>
      <c r="R60" s="108">
        <v>710</v>
      </c>
      <c r="S60" s="108">
        <f t="shared" si="2"/>
        <v>8.5</v>
      </c>
      <c r="T60" s="108">
        <v>727</v>
      </c>
      <c r="U60" s="108">
        <f t="shared" si="3"/>
        <v>88.5</v>
      </c>
      <c r="V60" s="108">
        <v>904</v>
      </c>
      <c r="W60" s="108">
        <f t="shared" si="4"/>
        <v>521</v>
      </c>
      <c r="X60" s="108">
        <v>1946</v>
      </c>
      <c r="Y60" s="108">
        <f t="shared" si="5"/>
        <v>0</v>
      </c>
      <c r="Z60" s="108">
        <v>1946</v>
      </c>
      <c r="AA60" s="108">
        <f t="shared" si="6"/>
        <v>0</v>
      </c>
      <c r="AB60" s="108">
        <v>1946</v>
      </c>
      <c r="AC60" s="108">
        <f t="shared" si="7"/>
        <v>0</v>
      </c>
      <c r="AD60" s="108">
        <v>1946</v>
      </c>
      <c r="AE60" s="109">
        <f t="shared" si="8"/>
        <v>-1433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6239</v>
      </c>
      <c r="R62" s="104">
        <v>1428</v>
      </c>
      <c r="S62" s="104">
        <f t="shared" si="2"/>
        <v>78</v>
      </c>
      <c r="T62" s="104">
        <v>1584</v>
      </c>
      <c r="U62" s="104">
        <f t="shared" si="3"/>
        <v>0</v>
      </c>
      <c r="V62" s="104">
        <v>1584</v>
      </c>
      <c r="W62" s="104">
        <f t="shared" si="4"/>
        <v>0</v>
      </c>
      <c r="X62" s="104">
        <v>1584</v>
      </c>
      <c r="Y62" s="104">
        <f t="shared" si="5"/>
        <v>468.5</v>
      </c>
      <c r="Z62" s="104">
        <v>2521</v>
      </c>
      <c r="AA62" s="104">
        <f t="shared" si="6"/>
        <v>475.5</v>
      </c>
      <c r="AB62" s="104">
        <v>3472</v>
      </c>
      <c r="AC62" s="104">
        <f t="shared" si="7"/>
        <v>0</v>
      </c>
      <c r="AD62" s="104">
        <v>3472</v>
      </c>
      <c r="AE62" s="105">
        <f t="shared" si="8"/>
        <v>-2767</v>
      </c>
    </row>
    <row r="63" spans="14:31" ht="15.6" customHeight="1" x14ac:dyDescent="0.3">
      <c r="N63" s="212"/>
      <c r="O63" s="95" t="s">
        <v>66</v>
      </c>
      <c r="P63" s="106"/>
      <c r="Q63" s="106">
        <v>7154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>
        <f t="shared" si="4"/>
        <v>105.5</v>
      </c>
      <c r="X63" s="106">
        <v>211</v>
      </c>
      <c r="Y63" s="106">
        <f t="shared" si="5"/>
        <v>63</v>
      </c>
      <c r="Z63" s="106">
        <v>337</v>
      </c>
      <c r="AA63" s="106">
        <f t="shared" si="6"/>
        <v>2698.5</v>
      </c>
      <c r="AB63" s="106">
        <v>5734</v>
      </c>
      <c r="AC63" s="106">
        <f t="shared" si="7"/>
        <v>0</v>
      </c>
      <c r="AD63" s="106">
        <v>5734</v>
      </c>
      <c r="AE63" s="107">
        <f t="shared" si="8"/>
        <v>-1420</v>
      </c>
    </row>
    <row r="64" spans="14:31" ht="15.6" customHeight="1" x14ac:dyDescent="0.3">
      <c r="N64" s="212"/>
      <c r="O64" s="94" t="s">
        <v>67</v>
      </c>
      <c r="P64" s="108"/>
      <c r="Q64" s="108">
        <v>5077</v>
      </c>
      <c r="R64" s="108">
        <v>670</v>
      </c>
      <c r="S64" s="108">
        <f t="shared" si="2"/>
        <v>0</v>
      </c>
      <c r="T64" s="108">
        <v>670</v>
      </c>
      <c r="U64" s="108">
        <f t="shared" si="3"/>
        <v>45</v>
      </c>
      <c r="V64" s="108">
        <v>760</v>
      </c>
      <c r="W64" s="108">
        <f t="shared" si="4"/>
        <v>96</v>
      </c>
      <c r="X64" s="108">
        <v>952</v>
      </c>
      <c r="Y64" s="108">
        <f t="shared" si="5"/>
        <v>321</v>
      </c>
      <c r="Z64" s="108">
        <v>1594</v>
      </c>
      <c r="AA64" s="108">
        <f t="shared" si="6"/>
        <v>951.5</v>
      </c>
      <c r="AB64" s="108">
        <v>3497</v>
      </c>
      <c r="AC64" s="108">
        <f t="shared" si="7"/>
        <v>0</v>
      </c>
      <c r="AD64" s="108">
        <v>3497</v>
      </c>
      <c r="AE64" s="109">
        <f t="shared" si="8"/>
        <v>-1580</v>
      </c>
    </row>
    <row r="65" spans="14:31" ht="15.6" customHeight="1" thickBot="1" x14ac:dyDescent="0.35">
      <c r="N65" s="213"/>
      <c r="O65" s="99" t="s">
        <v>68</v>
      </c>
      <c r="P65" s="114"/>
      <c r="Q65" s="114">
        <v>2259</v>
      </c>
      <c r="R65" s="114">
        <v>731</v>
      </c>
      <c r="S65" s="114">
        <f t="shared" si="2"/>
        <v>0</v>
      </c>
      <c r="T65" s="114">
        <v>731</v>
      </c>
      <c r="U65" s="114">
        <f t="shared" si="3"/>
        <v>0</v>
      </c>
      <c r="V65" s="114">
        <v>731</v>
      </c>
      <c r="W65" s="114">
        <f t="shared" si="4"/>
        <v>0</v>
      </c>
      <c r="X65" s="114">
        <v>731</v>
      </c>
      <c r="Y65" s="114">
        <f t="shared" si="5"/>
        <v>83.5</v>
      </c>
      <c r="Z65" s="114">
        <v>898</v>
      </c>
      <c r="AA65" s="114">
        <f t="shared" si="6"/>
        <v>143</v>
      </c>
      <c r="AB65" s="114">
        <v>1184</v>
      </c>
      <c r="AC65" s="114">
        <f t="shared" si="7"/>
        <v>0</v>
      </c>
      <c r="AD65" s="114">
        <v>1184</v>
      </c>
      <c r="AE65" s="115">
        <f t="shared" si="8"/>
        <v>-1075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11" priority="11" operator="lessThan">
      <formula>0</formula>
    </cfRule>
    <cfRule type="cellIs" dxfId="1810" priority="12" operator="greaterThan">
      <formula>0</formula>
    </cfRule>
  </conditionalFormatting>
  <conditionalFormatting sqref="R25:AC25">
    <cfRule type="cellIs" dxfId="1809" priority="9" operator="lessThan">
      <formula>0</formula>
    </cfRule>
    <cfRule type="cellIs" dxfId="1808" priority="10" operator="greaterThan">
      <formula>0</formula>
    </cfRule>
  </conditionalFormatting>
  <conditionalFormatting sqref="R26 T26 V26 X26 Z26 AB26">
    <cfRule type="cellIs" dxfId="1807" priority="7" operator="lessThan">
      <formula>0</formula>
    </cfRule>
    <cfRule type="cellIs" dxfId="1806" priority="8" operator="greaterThan">
      <formula>0</formula>
    </cfRule>
  </conditionalFormatting>
  <conditionalFormatting sqref="AD24:AE24">
    <cfRule type="cellIs" dxfId="1805" priority="5" operator="lessThan">
      <formula>0</formula>
    </cfRule>
    <cfRule type="cellIs" dxfId="1804" priority="6" operator="greaterThan">
      <formula>0</formula>
    </cfRule>
  </conditionalFormatting>
  <conditionalFormatting sqref="AD25:AE25">
    <cfRule type="cellIs" dxfId="1803" priority="3" operator="lessThan">
      <formula>0</formula>
    </cfRule>
    <cfRule type="cellIs" dxfId="1802" priority="4" operator="greaterThan">
      <formula>0</formula>
    </cfRule>
  </conditionalFormatting>
  <conditionalFormatting sqref="AD26">
    <cfRule type="cellIs" dxfId="1801" priority="1" operator="lessThan">
      <formula>0</formula>
    </cfRule>
    <cfRule type="cellIs" dxfId="180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1"/>
    <pageSetUpPr fitToPage="1"/>
  </sheetPr>
  <dimension ref="B1:AQ65"/>
  <sheetViews>
    <sheetView topLeftCell="G1" zoomScale="70" zoomScaleNormal="8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44368</v>
      </c>
    </row>
    <row r="3" spans="2:42" ht="18.75" customHeight="1" thickBot="1" x14ac:dyDescent="0.35">
      <c r="B3" t="s">
        <v>1</v>
      </c>
      <c r="C3" s="3">
        <f>C2+1</f>
        <v>44369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2896</v>
      </c>
      <c r="E6" s="18" t="s">
        <v>22</v>
      </c>
      <c r="F6" s="119">
        <v>20194</v>
      </c>
      <c r="G6" s="117">
        <v>17134.177500000002</v>
      </c>
      <c r="H6" s="117">
        <v>13898.786653519999</v>
      </c>
      <c r="I6" s="19">
        <f>G6+H6</f>
        <v>31032.964153519999</v>
      </c>
      <c r="J6" s="119">
        <v>19609</v>
      </c>
      <c r="K6" s="117">
        <v>16522.960749999998</v>
      </c>
      <c r="L6" s="117">
        <v>13336.57922826</v>
      </c>
      <c r="M6" s="19">
        <f>K6+L6</f>
        <v>29859.53997826</v>
      </c>
      <c r="N6" s="85">
        <v>60</v>
      </c>
      <c r="O6" s="85">
        <v>42</v>
      </c>
      <c r="P6" s="92"/>
      <c r="Q6" s="20">
        <f>J6-P6</f>
        <v>19609</v>
      </c>
      <c r="R6" s="21">
        <v>0</v>
      </c>
      <c r="S6" s="20" t="str">
        <f>IF(R6&gt;0,(R6-R7-$Q6),"")</f>
        <v/>
      </c>
      <c r="T6" s="21">
        <v>4458</v>
      </c>
      <c r="U6" s="20">
        <f>IF(T6&gt;0,(T6-T7-$Q6),"")</f>
        <v>-15437</v>
      </c>
      <c r="V6" s="21">
        <v>7259</v>
      </c>
      <c r="W6" s="20">
        <f>IF(V6&gt;0,(V6-V7-$Q6),"")</f>
        <v>-12996</v>
      </c>
      <c r="X6" s="21">
        <v>11457</v>
      </c>
      <c r="Y6" s="20">
        <f>IF(X6&gt;0,(X6-X7-$Q6),"")</f>
        <v>-8819</v>
      </c>
      <c r="Z6" s="21">
        <v>13998</v>
      </c>
      <c r="AA6" s="20">
        <f>IF(Z6&gt;0,(Z6-Z7-$Q6),"")</f>
        <v>-6850</v>
      </c>
      <c r="AB6" s="21">
        <v>13998</v>
      </c>
      <c r="AC6" s="22">
        <f>IF(AB6&gt;0,(AB6-AB7-$Q6),"")</f>
        <v>-6850</v>
      </c>
      <c r="AD6" s="21">
        <v>13998</v>
      </c>
      <c r="AE6" s="22">
        <f>IF(AD6&gt;0,(AD6-AD7-$Q6),"")</f>
        <v>-6850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0</v>
      </c>
      <c r="S7" s="24"/>
      <c r="T7" s="25">
        <v>286</v>
      </c>
      <c r="U7" s="24"/>
      <c r="V7" s="25">
        <v>646</v>
      </c>
      <c r="W7" s="24"/>
      <c r="X7" s="25">
        <v>667</v>
      </c>
      <c r="Y7" s="24"/>
      <c r="Z7" s="25">
        <v>1239</v>
      </c>
      <c r="AA7" s="24"/>
      <c r="AB7" s="25">
        <v>1239</v>
      </c>
      <c r="AC7" s="26"/>
      <c r="AD7" s="25">
        <v>1239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3308</v>
      </c>
      <c r="E8" s="29" t="s">
        <v>27</v>
      </c>
      <c r="F8" s="119">
        <v>15528</v>
      </c>
      <c r="G8" s="117">
        <v>6664.5815000000002</v>
      </c>
      <c r="H8" s="117">
        <v>1499.5971159999999</v>
      </c>
      <c r="I8" s="19">
        <f>G8+H8</f>
        <v>8164.1786160000001</v>
      </c>
      <c r="J8" s="119">
        <v>15493</v>
      </c>
      <c r="K8" s="117">
        <v>6628.7254999999996</v>
      </c>
      <c r="L8" s="117">
        <v>1497.1861357</v>
      </c>
      <c r="M8" s="19">
        <f>K8+L8</f>
        <v>8125.9116356999994</v>
      </c>
      <c r="N8" s="87">
        <v>30</v>
      </c>
      <c r="O8" s="87">
        <v>20</v>
      </c>
      <c r="P8" s="92"/>
      <c r="Q8" s="20">
        <f>J8-P8</f>
        <v>15493</v>
      </c>
      <c r="R8" s="21">
        <v>1950</v>
      </c>
      <c r="S8" s="20">
        <f>IF(R8&gt;0,(R8-R9-$Q8),"")</f>
        <v>-13543</v>
      </c>
      <c r="T8" s="21">
        <v>1950</v>
      </c>
      <c r="U8" s="20">
        <f>IF(T8&gt;0,(T8-T9-$Q8),"")</f>
        <v>-13543</v>
      </c>
      <c r="V8" s="21">
        <v>2975</v>
      </c>
      <c r="W8" s="20">
        <f>IF(V8&gt;0,(V8-V9-$Q8),"")</f>
        <v>-12518</v>
      </c>
      <c r="X8" s="21">
        <v>14247</v>
      </c>
      <c r="Y8" s="20">
        <f>IF(X8&gt;0,(X8-X9-$Q8),"")</f>
        <v>-1256</v>
      </c>
      <c r="Z8" s="21">
        <v>15012</v>
      </c>
      <c r="AA8" s="20">
        <f>IF(Z8&gt;0,(Z8-Z9-$Q8),"")</f>
        <v>-491</v>
      </c>
      <c r="AB8" s="21">
        <v>15012</v>
      </c>
      <c r="AC8" s="22">
        <f>IF(AB8&gt;0,(AB8-AB9-$Q8),"")</f>
        <v>-491</v>
      </c>
      <c r="AD8" s="21">
        <v>15012</v>
      </c>
      <c r="AE8" s="22">
        <f>IF(AD8&gt;0,(AD8-AD9-$Q8),"")</f>
        <v>-491</v>
      </c>
    </row>
    <row r="9" spans="2:42" x14ac:dyDescent="0.3">
      <c r="B9" s="28" t="s">
        <v>28</v>
      </c>
      <c r="C9" s="17">
        <v>1723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10</v>
      </c>
      <c r="Y9" s="24"/>
      <c r="Z9" s="30">
        <v>10</v>
      </c>
      <c r="AA9" s="24"/>
      <c r="AB9" s="30">
        <v>10</v>
      </c>
      <c r="AC9" s="26"/>
      <c r="AD9" s="30">
        <v>10</v>
      </c>
      <c r="AE9" s="26"/>
    </row>
    <row r="10" spans="2:42" x14ac:dyDescent="0.3">
      <c r="B10" s="16" t="s">
        <v>30</v>
      </c>
      <c r="C10" s="17">
        <v>4668</v>
      </c>
      <c r="E10" s="18" t="s">
        <v>31</v>
      </c>
      <c r="F10" s="119">
        <v>9003</v>
      </c>
      <c r="G10" s="117">
        <v>6489.2852500000008</v>
      </c>
      <c r="H10" s="117">
        <v>1698.9899124999999</v>
      </c>
      <c r="I10" s="19">
        <f>G10+H10</f>
        <v>8188.275162500001</v>
      </c>
      <c r="J10" s="119">
        <v>8837</v>
      </c>
      <c r="K10" s="117">
        <v>6230.6097499999996</v>
      </c>
      <c r="L10" s="117">
        <v>1623.47884</v>
      </c>
      <c r="M10" s="19">
        <f>K10+L10</f>
        <v>7854.0885899999994</v>
      </c>
      <c r="N10" s="88">
        <v>36</v>
      </c>
      <c r="O10" s="88">
        <v>26</v>
      </c>
      <c r="P10" s="92"/>
      <c r="Q10" s="20">
        <f>J10-P10</f>
        <v>8837</v>
      </c>
      <c r="R10" s="21">
        <v>627</v>
      </c>
      <c r="S10" s="20">
        <f>IF(R10&gt;0,(R10-R11-$Q10),"")</f>
        <v>-8210</v>
      </c>
      <c r="T10" s="21">
        <v>1652</v>
      </c>
      <c r="U10" s="20">
        <f>IF(T10&gt;0,(T10-T11-$Q10),"")</f>
        <v>-7888</v>
      </c>
      <c r="V10" s="21">
        <v>2681</v>
      </c>
      <c r="W10" s="20">
        <f>IF(V10&gt;0,(V10-V11-$Q10),"")</f>
        <v>-7157</v>
      </c>
      <c r="X10" s="21">
        <v>6865</v>
      </c>
      <c r="Y10" s="20">
        <f>IF(X10&gt;0,(X10-X11-$Q10),"")</f>
        <v>-4414</v>
      </c>
      <c r="Z10" s="21">
        <v>6865</v>
      </c>
      <c r="AA10" s="20">
        <f>IF(Z10&gt;0,(Z10-Z11-$Q10),"")</f>
        <v>-4414</v>
      </c>
      <c r="AB10" s="21">
        <v>6865</v>
      </c>
      <c r="AC10" s="22">
        <f>IF(AB10&gt;0,(AB10-AB11-$Q10),"")</f>
        <v>-4414</v>
      </c>
      <c r="AD10" s="21">
        <v>6865</v>
      </c>
      <c r="AE10" s="22">
        <f>IF(AD10&gt;0,(AD10-AD11-$Q10),"")</f>
        <v>-4414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0</v>
      </c>
      <c r="S11" s="24"/>
      <c r="T11" s="30">
        <v>703</v>
      </c>
      <c r="U11" s="24"/>
      <c r="V11" s="30">
        <v>1001</v>
      </c>
      <c r="W11" s="24"/>
      <c r="X11" s="30">
        <v>2442</v>
      </c>
      <c r="Y11" s="24"/>
      <c r="Z11" s="30">
        <v>2442</v>
      </c>
      <c r="AA11" s="24"/>
      <c r="AB11" s="30">
        <v>2442</v>
      </c>
      <c r="AC11" s="26"/>
      <c r="AD11" s="30">
        <v>2442</v>
      </c>
      <c r="AE11" s="26"/>
    </row>
    <row r="12" spans="2:42" x14ac:dyDescent="0.3">
      <c r="B12" s="16" t="s">
        <v>34</v>
      </c>
      <c r="C12" s="17">
        <v>1732</v>
      </c>
      <c r="E12" s="29" t="s">
        <v>35</v>
      </c>
      <c r="F12" s="119">
        <v>15293</v>
      </c>
      <c r="G12" s="117">
        <v>12947.058625</v>
      </c>
      <c r="H12" s="117">
        <v>11078.81239952</v>
      </c>
      <c r="I12" s="19">
        <f>G12+H12</f>
        <v>24025.871024519998</v>
      </c>
      <c r="J12" s="119">
        <v>15398</v>
      </c>
      <c r="K12" s="117">
        <v>13221.446375</v>
      </c>
      <c r="L12" s="117">
        <v>11176.06809612</v>
      </c>
      <c r="M12" s="19">
        <f>K12+L12</f>
        <v>24397.514471119997</v>
      </c>
      <c r="N12" s="88">
        <v>38</v>
      </c>
      <c r="O12" s="88">
        <v>30</v>
      </c>
      <c r="P12" s="92"/>
      <c r="Q12" s="20">
        <f>J12-P12</f>
        <v>15398</v>
      </c>
      <c r="R12" s="21">
        <v>1305</v>
      </c>
      <c r="S12" s="20">
        <f>IF(R12&gt;0,(R12-R13-$Q12),"")</f>
        <v>-14418</v>
      </c>
      <c r="T12" s="21">
        <v>3127</v>
      </c>
      <c r="U12" s="20">
        <f>IF(T12&gt;0,(T12-T13-$Q12),"")</f>
        <v>-13341</v>
      </c>
      <c r="V12" s="21">
        <v>6549</v>
      </c>
      <c r="W12" s="20">
        <f>IF(V12&gt;0,(V12-V13-$Q12),"")</f>
        <v>-9921</v>
      </c>
      <c r="X12" s="21">
        <v>8653</v>
      </c>
      <c r="Y12" s="20">
        <f>IF(X12&gt;0,(X12-X13-$Q12),"")</f>
        <v>-8034</v>
      </c>
      <c r="Z12" s="21">
        <v>11448</v>
      </c>
      <c r="AA12" s="20">
        <f>IF(Z12&gt;0,(Z12-Z13-$Q12),"")</f>
        <v>-5283</v>
      </c>
      <c r="AB12" s="21">
        <v>11448</v>
      </c>
      <c r="AC12" s="22">
        <f>IF(AB12&gt;0,(AB12-AB13-$Q12),"")</f>
        <v>-5283</v>
      </c>
      <c r="AD12" s="21">
        <v>11448</v>
      </c>
      <c r="AE12" s="22">
        <f>IF(AD12&gt;0,(AD12-AD13-$Q12),"")</f>
        <v>-5283</v>
      </c>
    </row>
    <row r="13" spans="2:42" x14ac:dyDescent="0.3">
      <c r="B13" s="16" t="s">
        <v>36</v>
      </c>
      <c r="C13" s="17">
        <v>4818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325</v>
      </c>
      <c r="S13" s="24"/>
      <c r="T13" s="30">
        <v>1070</v>
      </c>
      <c r="U13" s="24"/>
      <c r="V13" s="30">
        <v>1072</v>
      </c>
      <c r="W13" s="24"/>
      <c r="X13" s="30">
        <v>1289</v>
      </c>
      <c r="Y13" s="24"/>
      <c r="Z13" s="30">
        <v>1333</v>
      </c>
      <c r="AA13" s="24"/>
      <c r="AB13" s="30">
        <v>1333</v>
      </c>
      <c r="AC13" s="26"/>
      <c r="AD13" s="30">
        <v>1333</v>
      </c>
      <c r="AE13" s="26"/>
    </row>
    <row r="14" spans="2:42" x14ac:dyDescent="0.3">
      <c r="B14" s="16" t="s">
        <v>38</v>
      </c>
      <c r="C14" s="17">
        <v>9903</v>
      </c>
      <c r="E14" s="18" t="s">
        <v>39</v>
      </c>
      <c r="F14" s="119">
        <v>18824</v>
      </c>
      <c r="G14" s="117">
        <v>17765.5625</v>
      </c>
      <c r="H14" s="117">
        <v>23428.689085800012</v>
      </c>
      <c r="I14" s="19">
        <f>G14+H14</f>
        <v>41194.251585800012</v>
      </c>
      <c r="J14" s="119">
        <v>18824</v>
      </c>
      <c r="K14" s="117">
        <v>17765.5625</v>
      </c>
      <c r="L14" s="117">
        <v>22438.622155180001</v>
      </c>
      <c r="M14" s="19">
        <f>K14+L14</f>
        <v>40204.184655179997</v>
      </c>
      <c r="N14" s="88">
        <v>64</v>
      </c>
      <c r="O14" s="88">
        <v>50</v>
      </c>
      <c r="P14" s="92"/>
      <c r="Q14" s="20">
        <f>J14-P14</f>
        <v>18824</v>
      </c>
      <c r="R14" s="21">
        <v>882</v>
      </c>
      <c r="S14" s="20">
        <f>IF(R14&gt;0,(R14-R15-$Q14),"")</f>
        <v>-18642</v>
      </c>
      <c r="T14" s="21">
        <v>1161</v>
      </c>
      <c r="U14" s="20">
        <f>IF(T14&gt;0,(T14-T15-$Q14),"")</f>
        <v>-18363</v>
      </c>
      <c r="V14" s="21">
        <v>3959</v>
      </c>
      <c r="W14" s="20">
        <f>IF(V14&gt;0,(V14-V15-$Q14),"")</f>
        <v>-18255</v>
      </c>
      <c r="X14" s="21">
        <v>5095</v>
      </c>
      <c r="Y14" s="20">
        <f>IF(X14&gt;0,(X14-X15-$Q14),"")</f>
        <v>-17119</v>
      </c>
      <c r="Z14" s="21">
        <v>14340</v>
      </c>
      <c r="AA14" s="20">
        <f>IF(Z14&gt;0,(Z14-Z15-$Q14),"")</f>
        <v>-15256</v>
      </c>
      <c r="AB14" s="21">
        <v>15701</v>
      </c>
      <c r="AC14" s="22">
        <f>IF(AB14&gt;0,(AB14-AB15-$Q14),"")</f>
        <v>-13895</v>
      </c>
      <c r="AD14" s="21">
        <v>15701</v>
      </c>
      <c r="AE14" s="22">
        <f>IF(AD14&gt;0,(AD14-AD15-$Q14),"")</f>
        <v>-13895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700</v>
      </c>
      <c r="S15" s="24"/>
      <c r="T15" s="25">
        <v>700</v>
      </c>
      <c r="U15" s="24"/>
      <c r="V15" s="25">
        <v>3390</v>
      </c>
      <c r="W15" s="24"/>
      <c r="X15" s="25">
        <v>3390</v>
      </c>
      <c r="Y15" s="24"/>
      <c r="Z15" s="25">
        <v>10772</v>
      </c>
      <c r="AA15" s="24"/>
      <c r="AB15" s="25">
        <v>10772</v>
      </c>
      <c r="AC15" s="26"/>
      <c r="AD15" s="25">
        <v>10772</v>
      </c>
      <c r="AE15" s="26"/>
    </row>
    <row r="16" spans="2:42" ht="15" customHeight="1" thickBot="1" x14ac:dyDescent="0.35">
      <c r="B16" s="28" t="s">
        <v>42</v>
      </c>
      <c r="C16" s="17">
        <v>10923</v>
      </c>
      <c r="E16" s="84"/>
      <c r="F16" s="31">
        <f t="shared" ref="F16:N16" si="0">SUM(F6:F15)</f>
        <v>78842</v>
      </c>
      <c r="G16" s="31">
        <f t="shared" si="0"/>
        <v>61000.665375000004</v>
      </c>
      <c r="H16" s="31">
        <f t="shared" si="0"/>
        <v>51604.875167340011</v>
      </c>
      <c r="I16" s="32">
        <f t="shared" si="0"/>
        <v>112605.54054234001</v>
      </c>
      <c r="J16" s="33">
        <f t="shared" si="0"/>
        <v>78161</v>
      </c>
      <c r="K16" s="33">
        <f t="shared" si="0"/>
        <v>60369.304875000002</v>
      </c>
      <c r="L16" s="33">
        <f t="shared" si="0"/>
        <v>50071.934455259994</v>
      </c>
      <c r="M16" s="33">
        <f t="shared" si="0"/>
        <v>110441.23933026</v>
      </c>
      <c r="N16" s="31">
        <f t="shared" si="0"/>
        <v>228</v>
      </c>
      <c r="O16" s="31">
        <f>SUM(O14,O12,O10,O8,O6)</f>
        <v>168</v>
      </c>
      <c r="P16" s="34">
        <f>SUM(P6:P15)</f>
        <v>0</v>
      </c>
      <c r="Q16" s="34">
        <f>SUM(Q6:Q15)</f>
        <v>78161</v>
      </c>
      <c r="R16" s="35">
        <f>R6+R8+R10+R12+R14-R7-R9-R11-R13-R15</f>
        <v>3739</v>
      </c>
      <c r="S16" s="36">
        <f>IF(R16&gt;1,(R16-$Q16),"")</f>
        <v>-74422</v>
      </c>
      <c r="T16" s="35">
        <f>T6+T8+T10+T12+T14-T7-T9-T11-T13-T15</f>
        <v>9589</v>
      </c>
      <c r="U16" s="36">
        <f>IF(T16&gt;1,(T16-$Q16),"")</f>
        <v>-68572</v>
      </c>
      <c r="V16" s="35">
        <f>V6+V8+V10+V12+V14-V7-V9-V11-V13-V15</f>
        <v>17314</v>
      </c>
      <c r="W16" s="36">
        <f>IF(V16&gt;1,(V16-$Q16),"")</f>
        <v>-60847</v>
      </c>
      <c r="X16" s="35">
        <f>X6+X8+X10+X12+X14-X7-X9-X11-X13-X15</f>
        <v>38519</v>
      </c>
      <c r="Y16" s="36">
        <f>IF(X16&gt;1,(X16-$Q16),"")</f>
        <v>-39642</v>
      </c>
      <c r="Z16" s="35">
        <f>Z6+Z8+Z10+Z12+Z14-Z7-Z9-Z11-Z13-Z15</f>
        <v>45867</v>
      </c>
      <c r="AA16" s="36">
        <f>IF(Z16&gt;1,(Z16-$Q16),"")</f>
        <v>-32294</v>
      </c>
      <c r="AB16" s="35">
        <f>AB6+AB8+AB10+AB12+AB14-AB7-AB9-AB11-AB13-AB15</f>
        <v>47228</v>
      </c>
      <c r="AC16" s="37">
        <f>IF(AB16&gt;1,(AB16-$Q16),"")</f>
        <v>-30933</v>
      </c>
      <c r="AD16" s="35">
        <f>AD6+AD8+AD10+AD12+AD14-AD7-AD9-AD11-AD13-AD15</f>
        <v>47228</v>
      </c>
      <c r="AE16" s="37">
        <f>IF(AD16&gt;1,(AD16-$Q16),"")</f>
        <v>-30933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1025</v>
      </c>
      <c r="S17" s="41"/>
      <c r="T17" s="40">
        <f>T15+T13+T11+T9+T7</f>
        <v>2759</v>
      </c>
      <c r="U17" s="41"/>
      <c r="V17" s="40">
        <f>V15+V13+V11+V9+V7</f>
        <v>6109</v>
      </c>
      <c r="W17" s="41"/>
      <c r="X17" s="40">
        <f>X15+X13+X11+X9+X7</f>
        <v>7798</v>
      </c>
      <c r="Y17" s="41"/>
      <c r="Z17" s="40">
        <f>Z15+Z13+Z11+Z9+Z7</f>
        <v>15796</v>
      </c>
      <c r="AA17" s="41"/>
      <c r="AB17" s="40">
        <f>AB15+AB13+AB11+AB9+AB7</f>
        <v>15796</v>
      </c>
      <c r="AC17" s="42"/>
      <c r="AD17" s="40">
        <f>AD15+AD13+AD11+AD9+AD7</f>
        <v>15796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1869.5</v>
      </c>
      <c r="S18" s="46"/>
      <c r="T18" s="47">
        <f>IF(T16&gt;0,(T16-R16)/2,"")</f>
        <v>2925</v>
      </c>
      <c r="U18" s="46"/>
      <c r="V18" s="47">
        <f>IF(V16&gt;0,(V16-T16)/2,"")</f>
        <v>3862.5</v>
      </c>
      <c r="W18" s="46"/>
      <c r="X18" s="47">
        <f>IF(X16&gt;0,(X16-V16)/2,"")</f>
        <v>10602.5</v>
      </c>
      <c r="Y18" s="46"/>
      <c r="Z18" s="47">
        <f>IF(Z16&gt;0,(Z16-X16)/2,"")</f>
        <v>3674</v>
      </c>
      <c r="AA18" s="46"/>
      <c r="AB18" s="47">
        <f>IF(AB16&gt;0,(AB16-Z16)/2,"")</f>
        <v>680.5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7460</v>
      </c>
      <c r="S20" s="36"/>
      <c r="T20" s="35">
        <v>21431</v>
      </c>
      <c r="U20" s="36"/>
      <c r="V20" s="35">
        <v>27466</v>
      </c>
      <c r="W20" s="36"/>
      <c r="X20" s="35">
        <v>39883</v>
      </c>
      <c r="Y20" s="36"/>
      <c r="Z20" s="35">
        <v>45846</v>
      </c>
      <c r="AA20" s="36"/>
      <c r="AB20" s="35">
        <v>46989</v>
      </c>
      <c r="AC20" s="37"/>
      <c r="AD20" s="35">
        <v>46989</v>
      </c>
      <c r="AE20" s="37">
        <v>-25903</v>
      </c>
    </row>
    <row r="21" spans="2:43" ht="15" customHeight="1" thickBot="1" x14ac:dyDescent="0.35">
      <c r="B21" s="16" t="s">
        <v>50</v>
      </c>
      <c r="C21" s="17">
        <v>9052</v>
      </c>
      <c r="L21" s="4"/>
      <c r="M21" s="4"/>
      <c r="Q21" s="52"/>
      <c r="R21" s="40">
        <v>5488</v>
      </c>
      <c r="S21" s="41"/>
      <c r="T21" s="40">
        <v>5495</v>
      </c>
      <c r="U21" s="41"/>
      <c r="V21" s="40">
        <v>6282</v>
      </c>
      <c r="W21" s="41"/>
      <c r="X21" s="40">
        <v>7897</v>
      </c>
      <c r="Y21" s="41"/>
      <c r="Z21" s="40">
        <v>8372</v>
      </c>
      <c r="AA21" s="41"/>
      <c r="AB21" s="40">
        <v>15956</v>
      </c>
      <c r="AC21" s="42"/>
      <c r="AD21" s="40">
        <v>15956</v>
      </c>
      <c r="AE21" s="42"/>
    </row>
    <row r="22" spans="2:43" ht="15" customHeight="1" thickBot="1" x14ac:dyDescent="0.35">
      <c r="B22" s="16" t="s">
        <v>51</v>
      </c>
      <c r="C22" s="17">
        <v>1519</v>
      </c>
      <c r="L22" s="4"/>
      <c r="M22" s="4"/>
      <c r="Q22" s="54"/>
      <c r="R22" s="55">
        <v>5188.5</v>
      </c>
      <c r="S22" s="55"/>
      <c r="T22" s="55">
        <v>492</v>
      </c>
      <c r="U22" s="55"/>
      <c r="V22" s="55">
        <v>8347</v>
      </c>
      <c r="W22" s="55"/>
      <c r="X22" s="55">
        <v>5939</v>
      </c>
      <c r="Y22" s="55"/>
      <c r="Z22" s="55">
        <v>2376</v>
      </c>
      <c r="AA22" s="55"/>
      <c r="AB22" s="55">
        <v>799</v>
      </c>
      <c r="AC22" s="56"/>
      <c r="AD22" s="55">
        <v>-73.5</v>
      </c>
      <c r="AE22" s="56"/>
    </row>
    <row r="23" spans="2:43" ht="15" customHeight="1" thickBot="1" x14ac:dyDescent="0.35">
      <c r="B23" s="57" t="s">
        <v>52</v>
      </c>
      <c r="C23" s="58">
        <v>4449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-3721</v>
      </c>
      <c r="S24" s="60"/>
      <c r="T24" s="60">
        <f>IF(T16&gt;0,T16-T20,"")</f>
        <v>-11842</v>
      </c>
      <c r="U24" s="60"/>
      <c r="V24" s="60">
        <f>IF(V16&gt;0,V16-V20,"")</f>
        <v>-10152</v>
      </c>
      <c r="W24" s="60"/>
      <c r="X24" s="60">
        <f>IF(X16&gt;0,X16-X20,"")</f>
        <v>-1364</v>
      </c>
      <c r="Y24" s="60"/>
      <c r="Z24" s="60">
        <f>IF(Z16&gt;0,Z16-Z20,"")</f>
        <v>21</v>
      </c>
      <c r="AA24" s="60"/>
      <c r="AB24" s="60">
        <f>IF(AB16&gt;0,AB16-AB20,"")</f>
        <v>239</v>
      </c>
      <c r="AC24" s="61"/>
      <c r="AD24" s="60">
        <f>IF(AD16&gt;0,AD16-AD20,"")</f>
        <v>239</v>
      </c>
      <c r="AE24" s="61"/>
    </row>
    <row r="25" spans="2:43" x14ac:dyDescent="0.3">
      <c r="L25" s="4"/>
      <c r="M25" s="4"/>
      <c r="Q25" s="62"/>
      <c r="R25" s="63">
        <f>IF(R17&gt;=0,R17-R21,"")</f>
        <v>-4463</v>
      </c>
      <c r="S25" s="64"/>
      <c r="T25" s="63">
        <f>IF(T17&gt;=0,T17-T21,"")</f>
        <v>-2736</v>
      </c>
      <c r="U25" s="64"/>
      <c r="V25" s="63">
        <f>IF(V17&gt;=0,V17-V21,"")</f>
        <v>-173</v>
      </c>
      <c r="W25" s="64"/>
      <c r="X25" s="63">
        <f>IF(X17&gt;=0,X17-X21,"")</f>
        <v>-99</v>
      </c>
      <c r="Y25" s="64"/>
      <c r="Z25" s="63">
        <f>IF(Z17&gt;=0,Z17-Z21,"")</f>
        <v>7424</v>
      </c>
      <c r="AA25" s="64"/>
      <c r="AB25" s="63">
        <f>IF(AB17&gt;=0,AB17-AB21,"")</f>
        <v>-160</v>
      </c>
      <c r="AC25" s="65"/>
      <c r="AD25" s="63">
        <f>IF(AD17&gt;=0,AD17-AD21,"")</f>
        <v>-160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-3319</v>
      </c>
      <c r="S26" s="55"/>
      <c r="T26" s="67">
        <f>IFERROR(IF(T18&gt;0,T18-T22,""),"")</f>
        <v>2433</v>
      </c>
      <c r="U26" s="55"/>
      <c r="V26" s="67">
        <f>IFERROR(IF(V18&gt;0,V18-V22,""),"")</f>
        <v>-4484.5</v>
      </c>
      <c r="W26" s="55"/>
      <c r="X26" s="67">
        <f>IFERROR(IF(X18&gt;0,X18-X22,""),"")</f>
        <v>4663.5</v>
      </c>
      <c r="Y26" s="55"/>
      <c r="Z26" s="67">
        <f>IFERROR(IF(Z18&gt;0,Z18-Z22,""),"")</f>
        <v>1298</v>
      </c>
      <c r="AA26" s="55"/>
      <c r="AB26" s="67">
        <f>IFERROR(IF(AB18&gt;0,AB18-AB22,""),"")</f>
        <v>-118.5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10355</v>
      </c>
      <c r="D29" s="76">
        <f>C14</f>
        <v>9903</v>
      </c>
      <c r="E29" s="77">
        <f t="shared" ref="E29:E34" si="1">D29-C29</f>
        <v>-452</v>
      </c>
      <c r="M29" s="4"/>
      <c r="O29" s="4"/>
    </row>
    <row r="30" spans="2:43" x14ac:dyDescent="0.3">
      <c r="B30" s="74" t="s">
        <v>56</v>
      </c>
      <c r="C30" s="75">
        <v>24872</v>
      </c>
      <c r="D30" s="76">
        <f>C7+C15+C16+C19+C20</f>
        <v>10923</v>
      </c>
      <c r="E30" s="77">
        <f t="shared" si="1"/>
        <v>-13949</v>
      </c>
      <c r="J30" s="53"/>
      <c r="L30" s="53"/>
      <c r="M30" s="4"/>
      <c r="O30" s="4"/>
    </row>
    <row r="31" spans="2:43" x14ac:dyDescent="0.3">
      <c r="B31" s="74" t="s">
        <v>21</v>
      </c>
      <c r="C31" s="75">
        <v>2896</v>
      </c>
      <c r="D31" s="76">
        <f>C6</f>
        <v>2896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13307</v>
      </c>
      <c r="D32" s="76">
        <f>C10+C11+C12+C13</f>
        <v>13307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15053</v>
      </c>
      <c r="D34" s="76">
        <f>C21+C22+C23</f>
        <v>15020</v>
      </c>
      <c r="E34" s="77">
        <f t="shared" si="1"/>
        <v>-33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5031</v>
      </c>
      <c r="D35" s="80">
        <f>SUM(C8+C9)</f>
        <v>5031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2522</v>
      </c>
      <c r="R36" s="104">
        <v>0</v>
      </c>
      <c r="S36" s="104">
        <f t="shared" ref="S36:S65" si="2">IF(T36&gt;0,(T36-R36)/2,"")</f>
        <v>87</v>
      </c>
      <c r="T36" s="104">
        <v>174</v>
      </c>
      <c r="U36" s="104">
        <f t="shared" ref="U36:U65" si="3">IF(V36&gt;0,(V36-T36)/2,"")</f>
        <v>9.5</v>
      </c>
      <c r="V36" s="104">
        <v>193</v>
      </c>
      <c r="W36" s="104">
        <f t="shared" ref="W36:W65" si="4">IF(X36&gt;0,(X36-V36)/2,"")</f>
        <v>0</v>
      </c>
      <c r="X36" s="104">
        <v>193</v>
      </c>
      <c r="Y36" s="104">
        <f t="shared" ref="Y36:Y65" si="5">IF(Z36&gt;0,(Z36-X36)/2,"")</f>
        <v>557</v>
      </c>
      <c r="Z36" s="104">
        <v>1307</v>
      </c>
      <c r="AA36" s="104">
        <f t="shared" ref="AA36:AA65" si="6">IF(AB36&gt;0,(AB36-Z36)/2,"")</f>
        <v>0</v>
      </c>
      <c r="AB36" s="104">
        <v>1307</v>
      </c>
      <c r="AC36" s="104">
        <f t="shared" ref="AC36:AC65" si="7">IF(AD36&gt;0,(AD36-AB36)/2,"")</f>
        <v>0</v>
      </c>
      <c r="AD36" s="104">
        <v>1307</v>
      </c>
      <c r="AE36" s="105">
        <f t="shared" ref="AE36:AE65" si="8">AD36-Q36</f>
        <v>-1215</v>
      </c>
    </row>
    <row r="37" spans="2:31" ht="15.6" customHeight="1" x14ac:dyDescent="0.3">
      <c r="N37" s="212"/>
      <c r="O37" s="95" t="s">
        <v>66</v>
      </c>
      <c r="P37" s="106"/>
      <c r="Q37" s="106">
        <v>1484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19.5</v>
      </c>
      <c r="V37" s="106">
        <v>39</v>
      </c>
      <c r="W37" s="106">
        <f t="shared" si="4"/>
        <v>295</v>
      </c>
      <c r="X37" s="106">
        <v>629</v>
      </c>
      <c r="Y37" s="106">
        <f t="shared" si="5"/>
        <v>675.5</v>
      </c>
      <c r="Z37" s="106">
        <v>1980</v>
      </c>
      <c r="AA37" s="106">
        <f t="shared" si="6"/>
        <v>0</v>
      </c>
      <c r="AB37" s="106">
        <v>1980</v>
      </c>
      <c r="AC37" s="106">
        <f t="shared" si="7"/>
        <v>0</v>
      </c>
      <c r="AD37" s="106">
        <v>1980</v>
      </c>
      <c r="AE37" s="107">
        <f t="shared" si="8"/>
        <v>496</v>
      </c>
    </row>
    <row r="38" spans="2:31" ht="15.6" customHeight="1" x14ac:dyDescent="0.3">
      <c r="N38" s="212"/>
      <c r="O38" s="94" t="s">
        <v>67</v>
      </c>
      <c r="P38" s="108"/>
      <c r="Q38" s="108">
        <v>2361</v>
      </c>
      <c r="R38" s="108">
        <v>0</v>
      </c>
      <c r="S38" s="108">
        <f t="shared" si="2"/>
        <v>228</v>
      </c>
      <c r="T38" s="108">
        <v>456</v>
      </c>
      <c r="U38" s="108">
        <f t="shared" si="3"/>
        <v>106.5</v>
      </c>
      <c r="V38" s="108">
        <v>669</v>
      </c>
      <c r="W38" s="108">
        <f t="shared" si="4"/>
        <v>0</v>
      </c>
      <c r="X38" s="108">
        <v>669</v>
      </c>
      <c r="Y38" s="108">
        <f t="shared" si="5"/>
        <v>0</v>
      </c>
      <c r="Z38" s="108">
        <v>669</v>
      </c>
      <c r="AA38" s="108">
        <f t="shared" si="6"/>
        <v>0</v>
      </c>
      <c r="AB38" s="108">
        <v>669</v>
      </c>
      <c r="AC38" s="108">
        <f t="shared" si="7"/>
        <v>0</v>
      </c>
      <c r="AD38" s="108">
        <v>669</v>
      </c>
      <c r="AE38" s="109">
        <f t="shared" si="8"/>
        <v>-1692</v>
      </c>
    </row>
    <row r="39" spans="2:31" ht="15.6" customHeight="1" x14ac:dyDescent="0.3">
      <c r="N39" s="212"/>
      <c r="O39" s="95" t="s">
        <v>68</v>
      </c>
      <c r="P39" s="106"/>
      <c r="Q39" s="106">
        <v>3416</v>
      </c>
      <c r="R39" s="106">
        <v>0</v>
      </c>
      <c r="S39" s="106">
        <f t="shared" si="2"/>
        <v>875</v>
      </c>
      <c r="T39" s="106">
        <v>1750</v>
      </c>
      <c r="U39" s="106">
        <f t="shared" si="3"/>
        <v>266.5</v>
      </c>
      <c r="V39" s="106">
        <v>2283</v>
      </c>
      <c r="W39" s="106">
        <f t="shared" si="4"/>
        <v>265.5</v>
      </c>
      <c r="X39" s="106">
        <v>2814</v>
      </c>
      <c r="Y39" s="106">
        <f t="shared" si="5"/>
        <v>0</v>
      </c>
      <c r="Z39" s="106">
        <v>2814</v>
      </c>
      <c r="AA39" s="106">
        <f t="shared" si="6"/>
        <v>0</v>
      </c>
      <c r="AB39" s="106">
        <v>2814</v>
      </c>
      <c r="AC39" s="106">
        <f t="shared" si="7"/>
        <v>0</v>
      </c>
      <c r="AD39" s="106">
        <v>2814</v>
      </c>
      <c r="AE39" s="107">
        <f t="shared" si="8"/>
        <v>-602</v>
      </c>
    </row>
    <row r="40" spans="2:31" ht="15.6" customHeight="1" x14ac:dyDescent="0.3">
      <c r="N40" s="212"/>
      <c r="O40" s="94" t="s">
        <v>69</v>
      </c>
      <c r="P40" s="108"/>
      <c r="Q40" s="108">
        <v>2276</v>
      </c>
      <c r="R40" s="108">
        <v>0</v>
      </c>
      <c r="S40" s="108">
        <f t="shared" si="2"/>
        <v>178.5</v>
      </c>
      <c r="T40" s="108">
        <v>357</v>
      </c>
      <c r="U40" s="108">
        <f t="shared" si="3"/>
        <v>0</v>
      </c>
      <c r="V40" s="108">
        <v>357</v>
      </c>
      <c r="W40" s="108">
        <f t="shared" si="4"/>
        <v>970</v>
      </c>
      <c r="X40" s="108">
        <v>2297</v>
      </c>
      <c r="Y40" s="108">
        <f t="shared" si="5"/>
        <v>0</v>
      </c>
      <c r="Z40" s="108">
        <v>2297</v>
      </c>
      <c r="AA40" s="108">
        <f t="shared" si="6"/>
        <v>0</v>
      </c>
      <c r="AB40" s="108">
        <v>2297</v>
      </c>
      <c r="AC40" s="108">
        <f t="shared" si="7"/>
        <v>0</v>
      </c>
      <c r="AD40" s="108">
        <v>2297</v>
      </c>
      <c r="AE40" s="109">
        <f t="shared" si="8"/>
        <v>21</v>
      </c>
    </row>
    <row r="41" spans="2:31" ht="15.6" customHeight="1" x14ac:dyDescent="0.3">
      <c r="N41" s="212"/>
      <c r="O41" s="95" t="s">
        <v>70</v>
      </c>
      <c r="P41" s="106"/>
      <c r="Q41" s="106">
        <v>3431</v>
      </c>
      <c r="R41" s="106">
        <v>0</v>
      </c>
      <c r="S41" s="106">
        <f t="shared" si="2"/>
        <v>96</v>
      </c>
      <c r="T41" s="106">
        <v>192</v>
      </c>
      <c r="U41" s="106">
        <f t="shared" si="3"/>
        <v>53.5</v>
      </c>
      <c r="V41" s="106">
        <v>299</v>
      </c>
      <c r="W41" s="106">
        <f t="shared" si="4"/>
        <v>154</v>
      </c>
      <c r="X41" s="106">
        <v>607</v>
      </c>
      <c r="Y41" s="106">
        <f t="shared" si="5"/>
        <v>0</v>
      </c>
      <c r="Z41" s="106">
        <v>607</v>
      </c>
      <c r="AA41" s="106">
        <f t="shared" si="6"/>
        <v>0</v>
      </c>
      <c r="AB41" s="106">
        <v>607</v>
      </c>
      <c r="AC41" s="106">
        <f t="shared" si="7"/>
        <v>0</v>
      </c>
      <c r="AD41" s="106">
        <v>607</v>
      </c>
      <c r="AE41" s="107">
        <f t="shared" si="8"/>
        <v>-2824</v>
      </c>
    </row>
    <row r="42" spans="2:31" ht="15.6" customHeight="1" x14ac:dyDescent="0.3">
      <c r="N42" s="212"/>
      <c r="O42" s="94" t="s">
        <v>71</v>
      </c>
      <c r="P42" s="108"/>
      <c r="Q42" s="108">
        <v>1177</v>
      </c>
      <c r="R42" s="108">
        <v>0</v>
      </c>
      <c r="S42" s="108">
        <f t="shared" si="2"/>
        <v>262</v>
      </c>
      <c r="T42" s="108">
        <v>524</v>
      </c>
      <c r="U42" s="108">
        <f t="shared" si="3"/>
        <v>216</v>
      </c>
      <c r="V42" s="108">
        <v>956</v>
      </c>
      <c r="W42" s="108">
        <f t="shared" si="4"/>
        <v>0</v>
      </c>
      <c r="X42" s="108">
        <v>956</v>
      </c>
      <c r="Y42" s="108">
        <f t="shared" si="5"/>
        <v>0</v>
      </c>
      <c r="Z42" s="108">
        <v>956</v>
      </c>
      <c r="AA42" s="108">
        <f t="shared" si="6"/>
        <v>0</v>
      </c>
      <c r="AB42" s="108">
        <v>956</v>
      </c>
      <c r="AC42" s="108">
        <f t="shared" si="7"/>
        <v>0</v>
      </c>
      <c r="AD42" s="108">
        <v>956</v>
      </c>
      <c r="AE42" s="109">
        <f t="shared" si="8"/>
        <v>-221</v>
      </c>
    </row>
    <row r="43" spans="2:31" ht="15.6" customHeight="1" x14ac:dyDescent="0.3">
      <c r="N43" s="212"/>
      <c r="O43" s="95" t="s">
        <v>72</v>
      </c>
      <c r="P43" s="106"/>
      <c r="Q43" s="106">
        <v>1665</v>
      </c>
      <c r="R43" s="106">
        <v>0</v>
      </c>
      <c r="S43" s="106">
        <f t="shared" si="2"/>
        <v>267</v>
      </c>
      <c r="T43" s="106">
        <v>534</v>
      </c>
      <c r="U43" s="106">
        <f t="shared" si="3"/>
        <v>189</v>
      </c>
      <c r="V43" s="106">
        <v>912</v>
      </c>
      <c r="W43" s="106">
        <f t="shared" si="4"/>
        <v>376.5</v>
      </c>
      <c r="X43" s="106">
        <v>1665</v>
      </c>
      <c r="Y43" s="106">
        <f t="shared" si="5"/>
        <v>0</v>
      </c>
      <c r="Z43" s="106">
        <v>1665</v>
      </c>
      <c r="AA43" s="106">
        <f t="shared" si="6"/>
        <v>0</v>
      </c>
      <c r="AB43" s="106">
        <v>1665</v>
      </c>
      <c r="AC43" s="106">
        <f t="shared" si="7"/>
        <v>0</v>
      </c>
      <c r="AD43" s="106">
        <v>1665</v>
      </c>
      <c r="AE43" s="107">
        <f t="shared" si="8"/>
        <v>0</v>
      </c>
    </row>
    <row r="44" spans="2:31" ht="15.6" customHeight="1" thickBot="1" x14ac:dyDescent="0.35">
      <c r="N44" s="213"/>
      <c r="O44" s="97" t="s">
        <v>73</v>
      </c>
      <c r="P44" s="110"/>
      <c r="Q44" s="110">
        <v>1277</v>
      </c>
      <c r="R44" s="110">
        <v>0</v>
      </c>
      <c r="S44" s="110">
        <f t="shared" si="2"/>
        <v>235.5</v>
      </c>
      <c r="T44" s="110">
        <v>471</v>
      </c>
      <c r="U44" s="110">
        <f t="shared" si="3"/>
        <v>540</v>
      </c>
      <c r="V44" s="110">
        <v>1551</v>
      </c>
      <c r="W44" s="110">
        <f t="shared" si="4"/>
        <v>38</v>
      </c>
      <c r="X44" s="110">
        <v>1627</v>
      </c>
      <c r="Y44" s="110">
        <f t="shared" si="5"/>
        <v>38</v>
      </c>
      <c r="Z44" s="110">
        <v>1703</v>
      </c>
      <c r="AA44" s="110">
        <f t="shared" si="6"/>
        <v>0</v>
      </c>
      <c r="AB44" s="110">
        <v>1703</v>
      </c>
      <c r="AC44" s="110">
        <f t="shared" si="7"/>
        <v>0</v>
      </c>
      <c r="AD44" s="110">
        <v>1703</v>
      </c>
      <c r="AE44" s="111">
        <f t="shared" si="8"/>
        <v>426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4937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512.5</v>
      </c>
      <c r="V45" s="112">
        <v>2025</v>
      </c>
      <c r="W45" s="112">
        <f t="shared" si="4"/>
        <v>1454</v>
      </c>
      <c r="X45" s="112">
        <v>4933</v>
      </c>
      <c r="Y45" s="112">
        <f t="shared" si="5"/>
        <v>0</v>
      </c>
      <c r="Z45" s="112">
        <v>4933</v>
      </c>
      <c r="AA45" s="112">
        <f t="shared" si="6"/>
        <v>0</v>
      </c>
      <c r="AB45" s="112">
        <v>4933</v>
      </c>
      <c r="AC45" s="112">
        <f t="shared" si="7"/>
        <v>0</v>
      </c>
      <c r="AD45" s="112">
        <v>4933</v>
      </c>
      <c r="AE45" s="113">
        <f t="shared" si="8"/>
        <v>-4</v>
      </c>
    </row>
    <row r="46" spans="2:31" ht="15.6" customHeight="1" x14ac:dyDescent="0.3">
      <c r="N46" s="212"/>
      <c r="O46" s="94" t="s">
        <v>66</v>
      </c>
      <c r="P46" s="108"/>
      <c r="Q46" s="108">
        <v>3798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1899</v>
      </c>
      <c r="X46" s="108">
        <v>3798</v>
      </c>
      <c r="Y46" s="108">
        <f t="shared" si="5"/>
        <v>0</v>
      </c>
      <c r="Z46" s="108">
        <v>3798</v>
      </c>
      <c r="AA46" s="108">
        <f t="shared" si="6"/>
        <v>0</v>
      </c>
      <c r="AB46" s="108">
        <v>3798</v>
      </c>
      <c r="AC46" s="108">
        <f t="shared" si="7"/>
        <v>0</v>
      </c>
      <c r="AD46" s="108">
        <v>3798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2421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591.5</v>
      </c>
      <c r="X47" s="106">
        <v>1183</v>
      </c>
      <c r="Y47" s="106">
        <f t="shared" si="5"/>
        <v>382.5</v>
      </c>
      <c r="Z47" s="106">
        <v>1948</v>
      </c>
      <c r="AA47" s="106">
        <f t="shared" si="6"/>
        <v>0</v>
      </c>
      <c r="AB47" s="106">
        <v>1948</v>
      </c>
      <c r="AC47" s="106">
        <f t="shared" si="7"/>
        <v>0</v>
      </c>
      <c r="AD47" s="106">
        <v>1948</v>
      </c>
      <c r="AE47" s="107">
        <f t="shared" si="8"/>
        <v>-473</v>
      </c>
    </row>
    <row r="48" spans="2:31" ht="15.6" customHeight="1" thickBot="1" x14ac:dyDescent="0.35">
      <c r="N48" s="213"/>
      <c r="O48" s="97" t="s">
        <v>68</v>
      </c>
      <c r="P48" s="110"/>
      <c r="Q48" s="110">
        <v>4337</v>
      </c>
      <c r="R48" s="110">
        <v>950</v>
      </c>
      <c r="S48" s="110">
        <f t="shared" si="2"/>
        <v>0</v>
      </c>
      <c r="T48" s="110">
        <v>950</v>
      </c>
      <c r="U48" s="110">
        <f t="shared" si="3"/>
        <v>0</v>
      </c>
      <c r="V48" s="110">
        <v>950</v>
      </c>
      <c r="W48" s="110">
        <f t="shared" si="4"/>
        <v>1691.5</v>
      </c>
      <c r="X48" s="110">
        <v>4333</v>
      </c>
      <c r="Y48" s="110">
        <f t="shared" si="5"/>
        <v>0</v>
      </c>
      <c r="Z48" s="110">
        <v>4333</v>
      </c>
      <c r="AA48" s="110">
        <f t="shared" si="6"/>
        <v>0</v>
      </c>
      <c r="AB48" s="110">
        <v>4333</v>
      </c>
      <c r="AC48" s="110">
        <f t="shared" si="7"/>
        <v>0</v>
      </c>
      <c r="AD48" s="110">
        <v>4333</v>
      </c>
      <c r="AE48" s="111">
        <f t="shared" si="8"/>
        <v>-4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224</v>
      </c>
      <c r="R49" s="112">
        <v>0</v>
      </c>
      <c r="S49" s="112">
        <f t="shared" si="2"/>
        <v>30.5</v>
      </c>
      <c r="T49" s="112">
        <v>61</v>
      </c>
      <c r="U49" s="112">
        <f t="shared" si="3"/>
        <v>31.5</v>
      </c>
      <c r="V49" s="112">
        <v>124</v>
      </c>
      <c r="W49" s="112">
        <f t="shared" si="4"/>
        <v>46.5</v>
      </c>
      <c r="X49" s="112">
        <v>217</v>
      </c>
      <c r="Y49" s="112">
        <f t="shared" si="5"/>
        <v>0</v>
      </c>
      <c r="Z49" s="112">
        <v>217</v>
      </c>
      <c r="AA49" s="112">
        <f t="shared" si="6"/>
        <v>0</v>
      </c>
      <c r="AB49" s="112">
        <v>217</v>
      </c>
      <c r="AC49" s="112">
        <f t="shared" si="7"/>
        <v>0</v>
      </c>
      <c r="AD49" s="112">
        <v>217</v>
      </c>
      <c r="AE49" s="113">
        <f t="shared" si="8"/>
        <v>-7</v>
      </c>
    </row>
    <row r="50" spans="14:31" ht="15.6" customHeight="1" x14ac:dyDescent="0.3">
      <c r="N50" s="212"/>
      <c r="O50" s="94" t="s">
        <v>66</v>
      </c>
      <c r="P50" s="108"/>
      <c r="Q50" s="108">
        <v>261</v>
      </c>
      <c r="R50" s="108">
        <v>0</v>
      </c>
      <c r="S50" s="108">
        <f t="shared" si="2"/>
        <v>130.5</v>
      </c>
      <c r="T50" s="108">
        <v>261</v>
      </c>
      <c r="U50" s="108">
        <f t="shared" si="3"/>
        <v>0</v>
      </c>
      <c r="V50" s="108">
        <v>261</v>
      </c>
      <c r="W50" s="108">
        <f t="shared" si="4"/>
        <v>0</v>
      </c>
      <c r="X50" s="108">
        <v>261</v>
      </c>
      <c r="Y50" s="108">
        <f t="shared" si="5"/>
        <v>0</v>
      </c>
      <c r="Z50" s="108">
        <v>261</v>
      </c>
      <c r="AA50" s="108">
        <f t="shared" si="6"/>
        <v>0</v>
      </c>
      <c r="AB50" s="108">
        <v>261</v>
      </c>
      <c r="AC50" s="108">
        <f t="shared" si="7"/>
        <v>0</v>
      </c>
      <c r="AD50" s="108">
        <v>261</v>
      </c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>
        <v>1486</v>
      </c>
      <c r="R51" s="106">
        <v>0</v>
      </c>
      <c r="S51" s="106">
        <f t="shared" si="2"/>
        <v>51</v>
      </c>
      <c r="T51" s="106">
        <v>102</v>
      </c>
      <c r="U51" s="106">
        <f t="shared" si="3"/>
        <v>117.5</v>
      </c>
      <c r="V51" s="106">
        <v>337</v>
      </c>
      <c r="W51" s="106">
        <f t="shared" si="4"/>
        <v>346.5</v>
      </c>
      <c r="X51" s="106">
        <v>1030</v>
      </c>
      <c r="Y51" s="106">
        <f t="shared" si="5"/>
        <v>0</v>
      </c>
      <c r="Z51" s="106">
        <v>1030</v>
      </c>
      <c r="AA51" s="106">
        <f t="shared" si="6"/>
        <v>0</v>
      </c>
      <c r="AB51" s="106">
        <v>1030</v>
      </c>
      <c r="AC51" s="106">
        <f t="shared" si="7"/>
        <v>0</v>
      </c>
      <c r="AD51" s="106">
        <v>1030</v>
      </c>
      <c r="AE51" s="107">
        <f t="shared" si="8"/>
        <v>-456</v>
      </c>
    </row>
    <row r="52" spans="14:31" ht="15.6" customHeight="1" x14ac:dyDescent="0.3">
      <c r="N52" s="212"/>
      <c r="O52" s="94" t="s">
        <v>68</v>
      </c>
      <c r="P52" s="108"/>
      <c r="Q52" s="108">
        <v>1654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9</v>
      </c>
      <c r="V52" s="108">
        <v>18</v>
      </c>
      <c r="W52" s="108">
        <f t="shared" si="4"/>
        <v>267.5</v>
      </c>
      <c r="X52" s="108">
        <v>553</v>
      </c>
      <c r="Y52" s="108">
        <f t="shared" si="5"/>
        <v>0</v>
      </c>
      <c r="Z52" s="108">
        <v>553</v>
      </c>
      <c r="AA52" s="108">
        <f t="shared" si="6"/>
        <v>0</v>
      </c>
      <c r="AB52" s="108">
        <v>553</v>
      </c>
      <c r="AC52" s="108">
        <f t="shared" si="7"/>
        <v>0</v>
      </c>
      <c r="AD52" s="108">
        <v>553</v>
      </c>
      <c r="AE52" s="109">
        <f t="shared" si="8"/>
        <v>-1101</v>
      </c>
    </row>
    <row r="53" spans="14:31" ht="15.6" customHeight="1" x14ac:dyDescent="0.3">
      <c r="N53" s="212"/>
      <c r="O53" s="95" t="s">
        <v>69</v>
      </c>
      <c r="P53" s="106"/>
      <c r="Q53" s="106">
        <v>2738</v>
      </c>
      <c r="R53" s="106">
        <v>0</v>
      </c>
      <c r="S53" s="106">
        <f t="shared" si="2"/>
        <v>300.5</v>
      </c>
      <c r="T53" s="106">
        <v>601</v>
      </c>
      <c r="U53" s="106">
        <f t="shared" si="3"/>
        <v>356.5</v>
      </c>
      <c r="V53" s="106">
        <v>1314</v>
      </c>
      <c r="W53" s="106">
        <f t="shared" si="4"/>
        <v>509</v>
      </c>
      <c r="X53" s="106">
        <v>2332</v>
      </c>
      <c r="Y53" s="106">
        <f t="shared" si="5"/>
        <v>0</v>
      </c>
      <c r="Z53" s="106">
        <v>2332</v>
      </c>
      <c r="AA53" s="106">
        <f t="shared" si="6"/>
        <v>0</v>
      </c>
      <c r="AB53" s="106">
        <v>2332</v>
      </c>
      <c r="AC53" s="106">
        <f t="shared" si="7"/>
        <v>0</v>
      </c>
      <c r="AD53" s="106">
        <v>2332</v>
      </c>
      <c r="AE53" s="107">
        <f t="shared" si="8"/>
        <v>-406</v>
      </c>
    </row>
    <row r="54" spans="14:31" ht="15.6" customHeight="1" x14ac:dyDescent="0.3">
      <c r="N54" s="212"/>
      <c r="O54" s="94" t="s">
        <v>70</v>
      </c>
      <c r="P54" s="108"/>
      <c r="Q54" s="108">
        <v>1296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557</v>
      </c>
      <c r="X54" s="108">
        <v>1114</v>
      </c>
      <c r="Y54" s="108">
        <f t="shared" si="5"/>
        <v>0</v>
      </c>
      <c r="Z54" s="108">
        <v>1114</v>
      </c>
      <c r="AA54" s="108">
        <f t="shared" si="6"/>
        <v>0</v>
      </c>
      <c r="AB54" s="108">
        <v>1114</v>
      </c>
      <c r="AC54" s="108">
        <f t="shared" si="7"/>
        <v>0</v>
      </c>
      <c r="AD54" s="108">
        <v>1114</v>
      </c>
      <c r="AE54" s="109">
        <f t="shared" si="8"/>
        <v>-182</v>
      </c>
    </row>
    <row r="55" spans="14:31" ht="15.6" customHeight="1" x14ac:dyDescent="0.3">
      <c r="N55" s="212"/>
      <c r="O55" s="95" t="s">
        <v>71</v>
      </c>
      <c r="P55" s="106"/>
      <c r="Q55" s="106">
        <v>829</v>
      </c>
      <c r="R55" s="106">
        <v>627</v>
      </c>
      <c r="S55" s="106">
        <f t="shared" si="2"/>
        <v>0</v>
      </c>
      <c r="T55" s="106">
        <v>627</v>
      </c>
      <c r="U55" s="106">
        <f t="shared" si="3"/>
        <v>0</v>
      </c>
      <c r="V55" s="106">
        <v>627</v>
      </c>
      <c r="W55" s="106">
        <f t="shared" si="4"/>
        <v>192</v>
      </c>
      <c r="X55" s="106">
        <v>1011</v>
      </c>
      <c r="Y55" s="106">
        <f t="shared" si="5"/>
        <v>0</v>
      </c>
      <c r="Z55" s="106">
        <v>1011</v>
      </c>
      <c r="AA55" s="106">
        <f t="shared" si="6"/>
        <v>0</v>
      </c>
      <c r="AB55" s="106">
        <v>1011</v>
      </c>
      <c r="AC55" s="106">
        <f t="shared" si="7"/>
        <v>0</v>
      </c>
      <c r="AD55" s="106">
        <v>1011</v>
      </c>
      <c r="AE55" s="107">
        <f t="shared" si="8"/>
        <v>182</v>
      </c>
    </row>
    <row r="56" spans="14:31" ht="15.6" customHeight="1" x14ac:dyDescent="0.3">
      <c r="N56" s="212"/>
      <c r="O56" s="94" t="s">
        <v>72</v>
      </c>
      <c r="P56" s="108"/>
      <c r="Q56" s="108">
        <v>347</v>
      </c>
      <c r="R56" s="108">
        <v>0</v>
      </c>
      <c r="S56" s="108" t="str">
        <f t="shared" si="2"/>
        <v/>
      </c>
      <c r="T56" s="108">
        <v>0</v>
      </c>
      <c r="U56" s="108" t="str">
        <f t="shared" si="3"/>
        <v/>
      </c>
      <c r="V56" s="108">
        <v>0</v>
      </c>
      <c r="W56" s="108">
        <f t="shared" si="4"/>
        <v>173.5</v>
      </c>
      <c r="X56" s="108">
        <v>347</v>
      </c>
      <c r="Y56" s="108">
        <f t="shared" si="5"/>
        <v>0</v>
      </c>
      <c r="Z56" s="108">
        <v>347</v>
      </c>
      <c r="AA56" s="108">
        <f t="shared" si="6"/>
        <v>0</v>
      </c>
      <c r="AB56" s="108">
        <v>347</v>
      </c>
      <c r="AC56" s="108">
        <f t="shared" si="7"/>
        <v>0</v>
      </c>
      <c r="AD56" s="108">
        <v>347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2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-2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6638</v>
      </c>
      <c r="R58" s="104">
        <v>370</v>
      </c>
      <c r="S58" s="104">
        <f t="shared" si="2"/>
        <v>277.5</v>
      </c>
      <c r="T58" s="104">
        <v>925</v>
      </c>
      <c r="U58" s="104">
        <f t="shared" si="3"/>
        <v>1102</v>
      </c>
      <c r="V58" s="104">
        <v>3129</v>
      </c>
      <c r="W58" s="104">
        <f t="shared" si="4"/>
        <v>490.5</v>
      </c>
      <c r="X58" s="104">
        <v>4110</v>
      </c>
      <c r="Y58" s="104">
        <f t="shared" si="5"/>
        <v>422</v>
      </c>
      <c r="Z58" s="104">
        <v>4954</v>
      </c>
      <c r="AA58" s="104">
        <f t="shared" si="6"/>
        <v>0</v>
      </c>
      <c r="AB58" s="104">
        <v>4954</v>
      </c>
      <c r="AC58" s="104">
        <f t="shared" si="7"/>
        <v>0</v>
      </c>
      <c r="AD58" s="104">
        <v>4954</v>
      </c>
      <c r="AE58" s="105">
        <f t="shared" si="8"/>
        <v>-1684</v>
      </c>
    </row>
    <row r="59" spans="14:31" ht="15.6" customHeight="1" x14ac:dyDescent="0.3">
      <c r="N59" s="212"/>
      <c r="O59" s="95" t="s">
        <v>66</v>
      </c>
      <c r="P59" s="106"/>
      <c r="Q59" s="106">
        <v>3986</v>
      </c>
      <c r="R59" s="106">
        <v>935</v>
      </c>
      <c r="S59" s="106">
        <f t="shared" si="2"/>
        <v>266.5</v>
      </c>
      <c r="T59" s="106">
        <v>1468</v>
      </c>
      <c r="U59" s="106">
        <f t="shared" si="3"/>
        <v>500.5</v>
      </c>
      <c r="V59" s="106">
        <v>2469</v>
      </c>
      <c r="W59" s="106">
        <f t="shared" si="4"/>
        <v>197</v>
      </c>
      <c r="X59" s="106">
        <v>2863</v>
      </c>
      <c r="Y59" s="106">
        <f t="shared" si="5"/>
        <v>547.5</v>
      </c>
      <c r="Z59" s="106">
        <v>3958</v>
      </c>
      <c r="AA59" s="106">
        <f t="shared" si="6"/>
        <v>0</v>
      </c>
      <c r="AB59" s="106">
        <v>3958</v>
      </c>
      <c r="AC59" s="106">
        <f t="shared" si="7"/>
        <v>0</v>
      </c>
      <c r="AD59" s="106">
        <v>3958</v>
      </c>
      <c r="AE59" s="107">
        <f t="shared" si="8"/>
        <v>-28</v>
      </c>
    </row>
    <row r="60" spans="14:31" ht="15.6" customHeight="1" x14ac:dyDescent="0.3">
      <c r="N60" s="212"/>
      <c r="O60" s="94" t="s">
        <v>67</v>
      </c>
      <c r="P60" s="108"/>
      <c r="Q60" s="108">
        <v>4774</v>
      </c>
      <c r="R60" s="108">
        <v>0</v>
      </c>
      <c r="S60" s="108">
        <f t="shared" si="2"/>
        <v>367</v>
      </c>
      <c r="T60" s="108">
        <v>734</v>
      </c>
      <c r="U60" s="108">
        <f t="shared" si="3"/>
        <v>108.5</v>
      </c>
      <c r="V60" s="108">
        <v>951</v>
      </c>
      <c r="W60" s="108">
        <f t="shared" si="4"/>
        <v>364.5</v>
      </c>
      <c r="X60" s="108">
        <v>1680</v>
      </c>
      <c r="Y60" s="108">
        <f t="shared" si="5"/>
        <v>428</v>
      </c>
      <c r="Z60" s="108">
        <v>2536</v>
      </c>
      <c r="AA60" s="108">
        <f t="shared" si="6"/>
        <v>0</v>
      </c>
      <c r="AB60" s="108">
        <v>2536</v>
      </c>
      <c r="AC60" s="108">
        <f t="shared" si="7"/>
        <v>0</v>
      </c>
      <c r="AD60" s="108">
        <v>2536</v>
      </c>
      <c r="AE60" s="109">
        <f t="shared" si="8"/>
        <v>-2238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4926</v>
      </c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>
        <f t="shared" si="4"/>
        <v>433</v>
      </c>
      <c r="X62" s="104">
        <v>866</v>
      </c>
      <c r="Y62" s="104">
        <f t="shared" si="5"/>
        <v>1537</v>
      </c>
      <c r="Z62" s="104">
        <v>3940</v>
      </c>
      <c r="AA62" s="104">
        <f t="shared" si="6"/>
        <v>193</v>
      </c>
      <c r="AB62" s="104">
        <v>4326</v>
      </c>
      <c r="AC62" s="104">
        <f t="shared" si="7"/>
        <v>0</v>
      </c>
      <c r="AD62" s="104">
        <v>4326</v>
      </c>
      <c r="AE62" s="105">
        <f t="shared" si="8"/>
        <v>-600</v>
      </c>
    </row>
    <row r="63" spans="14:31" ht="15.6" customHeight="1" x14ac:dyDescent="0.3">
      <c r="N63" s="212"/>
      <c r="O63" s="95" t="s">
        <v>66</v>
      </c>
      <c r="P63" s="106"/>
      <c r="Q63" s="106">
        <v>7664</v>
      </c>
      <c r="R63" s="106">
        <v>182</v>
      </c>
      <c r="S63" s="106">
        <f t="shared" si="2"/>
        <v>0</v>
      </c>
      <c r="T63" s="106">
        <v>182</v>
      </c>
      <c r="U63" s="106">
        <f t="shared" si="3"/>
        <v>242.5</v>
      </c>
      <c r="V63" s="106">
        <v>667</v>
      </c>
      <c r="W63" s="106">
        <f t="shared" si="4"/>
        <v>135</v>
      </c>
      <c r="X63" s="106">
        <v>937</v>
      </c>
      <c r="Y63" s="106">
        <f t="shared" si="5"/>
        <v>2144.5</v>
      </c>
      <c r="Z63" s="106">
        <v>5226</v>
      </c>
      <c r="AA63" s="106">
        <f t="shared" si="6"/>
        <v>341</v>
      </c>
      <c r="AB63" s="106">
        <v>5908</v>
      </c>
      <c r="AC63" s="106">
        <f t="shared" si="7"/>
        <v>0</v>
      </c>
      <c r="AD63" s="106">
        <v>5908</v>
      </c>
      <c r="AE63" s="107">
        <f t="shared" si="8"/>
        <v>-1756</v>
      </c>
    </row>
    <row r="64" spans="14:31" ht="15.6" customHeight="1" x14ac:dyDescent="0.3">
      <c r="N64" s="212"/>
      <c r="O64" s="94" t="s">
        <v>67</v>
      </c>
      <c r="P64" s="108"/>
      <c r="Q64" s="108">
        <v>5025</v>
      </c>
      <c r="R64" s="108">
        <v>700</v>
      </c>
      <c r="S64" s="108">
        <f t="shared" si="2"/>
        <v>103.5</v>
      </c>
      <c r="T64" s="108">
        <v>907</v>
      </c>
      <c r="U64" s="108">
        <f t="shared" si="3"/>
        <v>904</v>
      </c>
      <c r="V64" s="108">
        <v>2715</v>
      </c>
      <c r="W64" s="108">
        <f t="shared" si="4"/>
        <v>0</v>
      </c>
      <c r="X64" s="108">
        <v>2715</v>
      </c>
      <c r="Y64" s="108">
        <f t="shared" si="5"/>
        <v>772</v>
      </c>
      <c r="Z64" s="108">
        <v>4259</v>
      </c>
      <c r="AA64" s="108">
        <f t="shared" si="6"/>
        <v>73</v>
      </c>
      <c r="AB64" s="108">
        <v>4405</v>
      </c>
      <c r="AC64" s="108">
        <f t="shared" si="7"/>
        <v>0</v>
      </c>
      <c r="AD64" s="108">
        <v>4405</v>
      </c>
      <c r="AE64" s="109">
        <f t="shared" si="8"/>
        <v>-620</v>
      </c>
    </row>
    <row r="65" spans="14:31" ht="15.6" customHeight="1" thickBot="1" x14ac:dyDescent="0.35">
      <c r="N65" s="213"/>
      <c r="O65" s="99" t="s">
        <v>68</v>
      </c>
      <c r="P65" s="114"/>
      <c r="Q65" s="114">
        <v>962</v>
      </c>
      <c r="R65" s="114">
        <v>0</v>
      </c>
      <c r="S65" s="114">
        <f t="shared" si="2"/>
        <v>36</v>
      </c>
      <c r="T65" s="114">
        <v>72</v>
      </c>
      <c r="U65" s="114">
        <f t="shared" si="3"/>
        <v>252.5</v>
      </c>
      <c r="V65" s="114">
        <v>577</v>
      </c>
      <c r="W65" s="114">
        <f t="shared" si="4"/>
        <v>0</v>
      </c>
      <c r="X65" s="114">
        <v>577</v>
      </c>
      <c r="Y65" s="114">
        <f t="shared" si="5"/>
        <v>108</v>
      </c>
      <c r="Z65" s="114">
        <v>793</v>
      </c>
      <c r="AA65" s="114">
        <f t="shared" si="6"/>
        <v>0</v>
      </c>
      <c r="AB65" s="114">
        <v>793</v>
      </c>
      <c r="AC65" s="114">
        <f t="shared" si="7"/>
        <v>0</v>
      </c>
      <c r="AD65" s="114">
        <v>793</v>
      </c>
      <c r="AE65" s="115">
        <f t="shared" si="8"/>
        <v>-169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99" priority="11" operator="lessThan">
      <formula>0</formula>
    </cfRule>
    <cfRule type="cellIs" dxfId="1798" priority="12" operator="greaterThan">
      <formula>0</formula>
    </cfRule>
  </conditionalFormatting>
  <conditionalFormatting sqref="R25:AC25">
    <cfRule type="cellIs" dxfId="1797" priority="9" operator="lessThan">
      <formula>0</formula>
    </cfRule>
    <cfRule type="cellIs" dxfId="1796" priority="10" operator="greaterThan">
      <formula>0</formula>
    </cfRule>
  </conditionalFormatting>
  <conditionalFormatting sqref="R26 T26 V26 X26 Z26 AB26">
    <cfRule type="cellIs" dxfId="1795" priority="7" operator="lessThan">
      <formula>0</formula>
    </cfRule>
    <cfRule type="cellIs" dxfId="1794" priority="8" operator="greaterThan">
      <formula>0</formula>
    </cfRule>
  </conditionalFormatting>
  <conditionalFormatting sqref="AD24:AE24">
    <cfRule type="cellIs" dxfId="1793" priority="5" operator="lessThan">
      <formula>0</formula>
    </cfRule>
    <cfRule type="cellIs" dxfId="1792" priority="6" operator="greaterThan">
      <formula>0</formula>
    </cfRule>
  </conditionalFormatting>
  <conditionalFormatting sqref="AD25:AE25">
    <cfRule type="cellIs" dxfId="1791" priority="3" operator="lessThan">
      <formula>0</formula>
    </cfRule>
    <cfRule type="cellIs" dxfId="1790" priority="4" operator="greaterThan">
      <formula>0</formula>
    </cfRule>
  </conditionalFormatting>
  <conditionalFormatting sqref="AD26">
    <cfRule type="cellIs" dxfId="1789" priority="1" operator="lessThan">
      <formula>0</formula>
    </cfRule>
    <cfRule type="cellIs" dxfId="178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1"/>
    <pageSetUpPr fitToPage="1"/>
  </sheetPr>
  <dimension ref="B1:AQ65"/>
  <sheetViews>
    <sheetView zoomScale="80" zoomScaleNormal="8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44369</v>
      </c>
    </row>
    <row r="3" spans="2:42" ht="18.75" customHeight="1" thickBot="1" x14ac:dyDescent="0.35">
      <c r="B3" t="s">
        <v>1</v>
      </c>
      <c r="C3" s="3">
        <f>C2+1</f>
        <v>44370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6232</v>
      </c>
      <c r="E6" s="18" t="s">
        <v>22</v>
      </c>
      <c r="F6" s="119">
        <v>18893</v>
      </c>
      <c r="G6" s="117">
        <v>16540.888999999999</v>
      </c>
      <c r="H6" s="117">
        <v>10715.477281060001</v>
      </c>
      <c r="I6" s="19">
        <f>G6+H6</f>
        <v>27256.36628106</v>
      </c>
      <c r="J6" s="119">
        <v>18687</v>
      </c>
      <c r="K6" s="117">
        <v>16037.660500000011</v>
      </c>
      <c r="L6" s="117">
        <v>10449.155010840001</v>
      </c>
      <c r="M6" s="19">
        <f>K6+L6</f>
        <v>26486.81551084001</v>
      </c>
      <c r="N6" s="85">
        <v>63</v>
      </c>
      <c r="O6" s="85">
        <v>48</v>
      </c>
      <c r="P6" s="92"/>
      <c r="Q6" s="20">
        <f>J6-P6</f>
        <v>18687</v>
      </c>
      <c r="R6" s="21">
        <v>266</v>
      </c>
      <c r="S6" s="20">
        <f>IF(R6&gt;0,(R6-R7-$Q6),"")</f>
        <v>-18461</v>
      </c>
      <c r="T6" s="21">
        <v>4219</v>
      </c>
      <c r="U6" s="20">
        <f>IF(T6&gt;0,(T6-T7-$Q6),"")</f>
        <v>-14510</v>
      </c>
      <c r="V6" s="21">
        <v>8848</v>
      </c>
      <c r="W6" s="20">
        <f>IF(V6&gt;0,(V6-V7-$Q6),"")</f>
        <v>-9891</v>
      </c>
      <c r="X6" s="21">
        <v>13692</v>
      </c>
      <c r="Y6" s="20">
        <f>IF(X6&gt;0,(X6-X7-$Q6),"")</f>
        <v>-5066</v>
      </c>
      <c r="Z6" s="21">
        <v>17076</v>
      </c>
      <c r="AA6" s="20">
        <f>IF(Z6&gt;0,(Z6-Z7-$Q6),"")</f>
        <v>-1688</v>
      </c>
      <c r="AB6" s="21">
        <v>17076</v>
      </c>
      <c r="AC6" s="22">
        <f>IF(AB6&gt;0,(AB6-AB7-$Q6),"")</f>
        <v>-1688</v>
      </c>
      <c r="AD6" s="21">
        <v>17076</v>
      </c>
      <c r="AE6" s="22">
        <f>IF(AD6&gt;0,(AD6-AD7-$Q6),"")</f>
        <v>-1688</v>
      </c>
    </row>
    <row r="7" spans="2:42" x14ac:dyDescent="0.3">
      <c r="B7" s="16" t="s">
        <v>23</v>
      </c>
      <c r="C7" s="17">
        <v>2693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40</v>
      </c>
      <c r="S7" s="24"/>
      <c r="T7" s="25">
        <v>42</v>
      </c>
      <c r="U7" s="24"/>
      <c r="V7" s="25">
        <v>52</v>
      </c>
      <c r="W7" s="24"/>
      <c r="X7" s="25">
        <v>71</v>
      </c>
      <c r="Y7" s="24"/>
      <c r="Z7" s="25">
        <v>77</v>
      </c>
      <c r="AA7" s="24"/>
      <c r="AB7" s="25">
        <v>77</v>
      </c>
      <c r="AC7" s="26"/>
      <c r="AD7" s="25">
        <v>77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2906</v>
      </c>
      <c r="E8" s="29" t="s">
        <v>27</v>
      </c>
      <c r="F8" s="119">
        <v>15218</v>
      </c>
      <c r="G8" s="117">
        <v>6539.7174999999997</v>
      </c>
      <c r="H8" s="117">
        <v>1466.9270435000001</v>
      </c>
      <c r="I8" s="19">
        <f>G8+H8</f>
        <v>8006.6445434999996</v>
      </c>
      <c r="J8" s="119">
        <v>15803</v>
      </c>
      <c r="K8" s="117">
        <v>6822.9115000000002</v>
      </c>
      <c r="L8" s="117">
        <v>1565.8172345999999</v>
      </c>
      <c r="M8" s="19">
        <f>K8+L8</f>
        <v>8388.7287345999994</v>
      </c>
      <c r="N8" s="87">
        <v>30</v>
      </c>
      <c r="O8" s="87">
        <v>17</v>
      </c>
      <c r="P8" s="92"/>
      <c r="Q8" s="20">
        <f>J8-P8</f>
        <v>15803</v>
      </c>
      <c r="R8" s="21">
        <v>0</v>
      </c>
      <c r="S8" s="20" t="str">
        <f>IF(R8&gt;0,(R8-R9-$Q8),"")</f>
        <v/>
      </c>
      <c r="T8" s="21">
        <v>1000</v>
      </c>
      <c r="U8" s="20">
        <f>IF(T8&gt;0,(T8-T9-$Q8),"")</f>
        <v>-14803</v>
      </c>
      <c r="V8" s="21">
        <v>2977</v>
      </c>
      <c r="W8" s="20">
        <f>IF(V8&gt;0,(V8-V9-$Q8),"")</f>
        <v>-12826</v>
      </c>
      <c r="X8" s="21">
        <v>13833</v>
      </c>
      <c r="Y8" s="20">
        <f>IF(X8&gt;0,(X8-X9-$Q8),"")</f>
        <v>-1970</v>
      </c>
      <c r="Z8" s="21">
        <v>14295</v>
      </c>
      <c r="AA8" s="20">
        <f>IF(Z8&gt;0,(Z8-Z9-$Q8),"")</f>
        <v>-1508</v>
      </c>
      <c r="AB8" s="21">
        <v>14345</v>
      </c>
      <c r="AC8" s="22">
        <f>IF(AB8&gt;0,(AB8-AB9-$Q8),"")</f>
        <v>-1458</v>
      </c>
      <c r="AD8" s="21">
        <v>14345</v>
      </c>
      <c r="AE8" s="22">
        <f>IF(AD8&gt;0,(AD8-AD9-$Q8),"")</f>
        <v>-1458</v>
      </c>
    </row>
    <row r="9" spans="2:42" x14ac:dyDescent="0.3">
      <c r="B9" s="28" t="s">
        <v>28</v>
      </c>
      <c r="C9" s="17">
        <v>1544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8580</v>
      </c>
      <c r="E10" s="18" t="s">
        <v>31</v>
      </c>
      <c r="F10" s="119">
        <v>18482</v>
      </c>
      <c r="G10" s="117">
        <v>14035.219499999999</v>
      </c>
      <c r="H10" s="117">
        <v>1522.9027000000001</v>
      </c>
      <c r="I10" s="19">
        <f>G10+H10</f>
        <v>15558.1222</v>
      </c>
      <c r="J10" s="119">
        <v>18658</v>
      </c>
      <c r="K10" s="117">
        <v>14091.6065</v>
      </c>
      <c r="L10" s="117">
        <v>1492.11418</v>
      </c>
      <c r="M10" s="19">
        <f>K10+L10</f>
        <v>15583.72068</v>
      </c>
      <c r="N10" s="88">
        <v>42</v>
      </c>
      <c r="O10" s="88">
        <v>32</v>
      </c>
      <c r="P10" s="92"/>
      <c r="Q10" s="20">
        <f>J10-P10</f>
        <v>18658</v>
      </c>
      <c r="R10" s="21">
        <v>360</v>
      </c>
      <c r="S10" s="20">
        <f>IF(R10&gt;0,(R10-R11-$Q10),"")</f>
        <v>-18298</v>
      </c>
      <c r="T10" s="21">
        <v>4646</v>
      </c>
      <c r="U10" s="20">
        <f>IF(T10&gt;0,(T10-T11-$Q10),"")</f>
        <v>-14012</v>
      </c>
      <c r="V10" s="21">
        <v>6460</v>
      </c>
      <c r="W10" s="20">
        <f>IF(V10&gt;0,(V10-V11-$Q10),"")</f>
        <v>-12367</v>
      </c>
      <c r="X10" s="21">
        <v>10375</v>
      </c>
      <c r="Y10" s="20">
        <f>IF(X10&gt;0,(X10-X11-$Q10),"")</f>
        <v>-8467</v>
      </c>
      <c r="Z10" s="21">
        <v>12997</v>
      </c>
      <c r="AA10" s="20">
        <f>IF(Z10&gt;0,(Z10-Z11-$Q10),"")</f>
        <v>-5965</v>
      </c>
      <c r="AB10" s="21">
        <v>14605</v>
      </c>
      <c r="AC10" s="22">
        <f>IF(AB10&gt;0,(AB10-AB11-$Q10),"")</f>
        <v>-4379</v>
      </c>
      <c r="AD10" s="21">
        <v>14605</v>
      </c>
      <c r="AE10" s="22">
        <f>IF(AD10&gt;0,(AD10-AD11-$Q10),"")</f>
        <v>-4379</v>
      </c>
    </row>
    <row r="11" spans="2:42" x14ac:dyDescent="0.3">
      <c r="B11" s="16" t="s">
        <v>32</v>
      </c>
      <c r="C11" s="17">
        <v>2215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169</v>
      </c>
      <c r="W11" s="24"/>
      <c r="X11" s="30">
        <v>184</v>
      </c>
      <c r="Y11" s="24"/>
      <c r="Z11" s="30">
        <v>304</v>
      </c>
      <c r="AA11" s="24"/>
      <c r="AB11" s="30">
        <v>326</v>
      </c>
      <c r="AC11" s="26"/>
      <c r="AD11" s="30">
        <v>326</v>
      </c>
      <c r="AE11" s="26"/>
    </row>
    <row r="12" spans="2:42" x14ac:dyDescent="0.3">
      <c r="B12" s="16" t="s">
        <v>34</v>
      </c>
      <c r="C12" s="17">
        <v>1698</v>
      </c>
      <c r="E12" s="29" t="s">
        <v>35</v>
      </c>
      <c r="F12" s="119">
        <v>17155</v>
      </c>
      <c r="G12" s="117">
        <v>12415.810750000001</v>
      </c>
      <c r="H12" s="117">
        <v>11813.411835839999</v>
      </c>
      <c r="I12" s="19">
        <f>G12+H12</f>
        <v>24229.222585839998</v>
      </c>
      <c r="J12" s="119">
        <v>14219</v>
      </c>
      <c r="K12" s="117">
        <v>11647.963750000001</v>
      </c>
      <c r="L12" s="117">
        <v>10983.712554199999</v>
      </c>
      <c r="M12" s="19">
        <f>K12+L12</f>
        <v>22631.676304200002</v>
      </c>
      <c r="N12" s="88">
        <v>38</v>
      </c>
      <c r="O12" s="88">
        <v>31</v>
      </c>
      <c r="P12" s="92"/>
      <c r="Q12" s="20">
        <f>J12-P12</f>
        <v>14219</v>
      </c>
      <c r="R12" s="21">
        <v>2731</v>
      </c>
      <c r="S12" s="20">
        <f>IF(R12&gt;0,(R12-R13-$Q12),"")</f>
        <v>-11506</v>
      </c>
      <c r="T12" s="21">
        <v>4667</v>
      </c>
      <c r="U12" s="20">
        <f>IF(T12&gt;0,(T12-T13-$Q12),"")</f>
        <v>-9570</v>
      </c>
      <c r="V12" s="21">
        <v>6731</v>
      </c>
      <c r="W12" s="20">
        <f>IF(V12&gt;0,(V12-V13-$Q12),"")</f>
        <v>-7506</v>
      </c>
      <c r="X12" s="21">
        <v>9382</v>
      </c>
      <c r="Y12" s="20">
        <f>IF(X12&gt;0,(X12-X13-$Q12),"")</f>
        <v>-5623</v>
      </c>
      <c r="Z12" s="21">
        <v>9721</v>
      </c>
      <c r="AA12" s="20">
        <f>IF(Z12&gt;0,(Z12-Z13-$Q12),"")</f>
        <v>-5284</v>
      </c>
      <c r="AB12" s="21">
        <v>9721</v>
      </c>
      <c r="AC12" s="22">
        <f>IF(AB12&gt;0,(AB12-AB13-$Q12),"")</f>
        <v>-5284</v>
      </c>
      <c r="AD12" s="21">
        <v>9721</v>
      </c>
      <c r="AE12" s="22">
        <f>IF(AD12&gt;0,(AD12-AD13-$Q12),"")</f>
        <v>-5284</v>
      </c>
    </row>
    <row r="13" spans="2:42" x14ac:dyDescent="0.3">
      <c r="B13" s="16" t="s">
        <v>36</v>
      </c>
      <c r="C13" s="17">
        <v>5272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18</v>
      </c>
      <c r="S13" s="24"/>
      <c r="T13" s="30">
        <v>18</v>
      </c>
      <c r="U13" s="24"/>
      <c r="V13" s="30">
        <v>18</v>
      </c>
      <c r="W13" s="24"/>
      <c r="X13" s="30">
        <v>786</v>
      </c>
      <c r="Y13" s="24"/>
      <c r="Z13" s="30">
        <v>786</v>
      </c>
      <c r="AA13" s="24"/>
      <c r="AB13" s="30">
        <v>786</v>
      </c>
      <c r="AC13" s="26"/>
      <c r="AD13" s="30">
        <v>786</v>
      </c>
      <c r="AE13" s="26"/>
    </row>
    <row r="14" spans="2:42" x14ac:dyDescent="0.3">
      <c r="B14" s="16" t="s">
        <v>38</v>
      </c>
      <c r="C14" s="17">
        <v>7748</v>
      </c>
      <c r="E14" s="18" t="s">
        <v>39</v>
      </c>
      <c r="F14" s="119">
        <v>30056</v>
      </c>
      <c r="G14" s="117">
        <v>20231.78125</v>
      </c>
      <c r="H14" s="117">
        <v>29903.610723000009</v>
      </c>
      <c r="I14" s="19">
        <f>G14+H14</f>
        <v>50135.391973000005</v>
      </c>
      <c r="J14" s="119">
        <v>19661</v>
      </c>
      <c r="K14" s="117">
        <v>18213.09375</v>
      </c>
      <c r="L14" s="117">
        <v>23842.1180891</v>
      </c>
      <c r="M14" s="19">
        <f>K14+L14</f>
        <v>42055.211839099997</v>
      </c>
      <c r="N14" s="88">
        <v>62</v>
      </c>
      <c r="O14" s="88">
        <v>47</v>
      </c>
      <c r="P14" s="92"/>
      <c r="Q14" s="20">
        <f>J14-P14</f>
        <v>19661</v>
      </c>
      <c r="R14" s="21">
        <v>1430</v>
      </c>
      <c r="S14" s="20">
        <f>IF(R14&gt;0,(R14-R15-$Q14),"")</f>
        <v>-18245</v>
      </c>
      <c r="T14" s="21">
        <v>5985</v>
      </c>
      <c r="U14" s="20">
        <f>IF(T14&gt;0,(T14-T15-$Q14),"")</f>
        <v>-13866</v>
      </c>
      <c r="V14" s="21">
        <v>7949</v>
      </c>
      <c r="W14" s="20">
        <f>IF(V14&gt;0,(V14-V15-$Q14),"")</f>
        <v>-11914</v>
      </c>
      <c r="X14" s="21">
        <v>11144</v>
      </c>
      <c r="Y14" s="20">
        <f>IF(X14&gt;0,(X14-X15-$Q14),"")</f>
        <v>-8924</v>
      </c>
      <c r="Z14" s="21">
        <v>13665</v>
      </c>
      <c r="AA14" s="20">
        <f>IF(Z14&gt;0,(Z14-Z15-$Q14),"")</f>
        <v>-7097</v>
      </c>
      <c r="AB14" s="21">
        <v>13665</v>
      </c>
      <c r="AC14" s="22">
        <f>IF(AB14&gt;0,(AB14-AB15-$Q14),"")</f>
        <v>-7097</v>
      </c>
      <c r="AD14" s="21">
        <v>13665</v>
      </c>
      <c r="AE14" s="22">
        <f>IF(AD14&gt;0,(AD14-AD15-$Q14),"")</f>
        <v>-7097</v>
      </c>
    </row>
    <row r="15" spans="2:42" ht="15" customHeight="1" thickBot="1" x14ac:dyDescent="0.35">
      <c r="B15" s="16" t="s">
        <v>40</v>
      </c>
      <c r="C15" s="17">
        <v>2705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15</v>
      </c>
      <c r="P15" s="93" t="s">
        <v>41</v>
      </c>
      <c r="Q15" s="24"/>
      <c r="R15" s="25">
        <v>14</v>
      </c>
      <c r="S15" s="24"/>
      <c r="T15" s="25">
        <v>190</v>
      </c>
      <c r="U15" s="24"/>
      <c r="V15" s="25">
        <v>202</v>
      </c>
      <c r="W15" s="24"/>
      <c r="X15" s="25">
        <v>407</v>
      </c>
      <c r="Y15" s="24"/>
      <c r="Z15" s="25">
        <v>1101</v>
      </c>
      <c r="AA15" s="24"/>
      <c r="AB15" s="25">
        <v>1101</v>
      </c>
      <c r="AC15" s="26"/>
      <c r="AD15" s="25">
        <v>1101</v>
      </c>
      <c r="AE15" s="26"/>
    </row>
    <row r="16" spans="2:42" ht="15" customHeight="1" thickBot="1" x14ac:dyDescent="0.35">
      <c r="B16" s="28" t="s">
        <v>42</v>
      </c>
      <c r="C16" s="17">
        <v>10670</v>
      </c>
      <c r="E16" s="84"/>
      <c r="F16" s="31">
        <f t="shared" ref="F16:M16" si="0">SUM(F6:F15)</f>
        <v>99804</v>
      </c>
      <c r="G16" s="31">
        <f t="shared" si="0"/>
        <v>69763.418000000005</v>
      </c>
      <c r="H16" s="31">
        <f t="shared" si="0"/>
        <v>55422.329583400009</v>
      </c>
      <c r="I16" s="32">
        <f t="shared" si="0"/>
        <v>125185.74758340001</v>
      </c>
      <c r="J16" s="33">
        <f t="shared" si="0"/>
        <v>87028</v>
      </c>
      <c r="K16" s="33">
        <f t="shared" si="0"/>
        <v>66813.236000000004</v>
      </c>
      <c r="L16" s="33">
        <f t="shared" si="0"/>
        <v>48332.917068740004</v>
      </c>
      <c r="M16" s="33">
        <f t="shared" si="0"/>
        <v>115146.15306874001</v>
      </c>
      <c r="N16" s="31">
        <f>SUM(N14,N12,N10,N8,N6)</f>
        <v>235</v>
      </c>
      <c r="O16" s="31">
        <f>SUM(O14,O12,O10,O8,O6)</f>
        <v>175</v>
      </c>
      <c r="P16" s="34">
        <f>SUM(P6:P15)</f>
        <v>0</v>
      </c>
      <c r="Q16" s="34">
        <f>SUM(Q6:Q15)</f>
        <v>87028</v>
      </c>
      <c r="R16" s="35">
        <f>R6+R8+R10+R12+R14-R7-R9-R11-R13-R15</f>
        <v>4715</v>
      </c>
      <c r="S16" s="36">
        <f>IF(R16&gt;1,(R16-$Q16),"")</f>
        <v>-82313</v>
      </c>
      <c r="T16" s="35">
        <f>T6+T8+T10+T12+T14-T7-T9-T11-T13-T15</f>
        <v>20267</v>
      </c>
      <c r="U16" s="36">
        <f>IF(T16&gt;1,(T16-$Q16),"")</f>
        <v>-66761</v>
      </c>
      <c r="V16" s="35">
        <f>V6+V8+V10+V12+V14-V7-V9-V11-V13-V15</f>
        <v>32524</v>
      </c>
      <c r="W16" s="36">
        <f>IF(V16&gt;1,(V16-$Q16),"")</f>
        <v>-54504</v>
      </c>
      <c r="X16" s="35">
        <f>X6+X8+X10+X12+X14-X7-X9-X11-X13-X15</f>
        <v>56978</v>
      </c>
      <c r="Y16" s="36">
        <f>IF(X16&gt;1,(X16-$Q16),"")</f>
        <v>-30050</v>
      </c>
      <c r="Z16" s="35">
        <f>Z6+Z8+Z10+Z12+Z14-Z7-Z9-Z11-Z13-Z15</f>
        <v>65486</v>
      </c>
      <c r="AA16" s="36">
        <f>IF(Z16&gt;1,(Z16-$Q16),"")</f>
        <v>-21542</v>
      </c>
      <c r="AB16" s="35">
        <f>AB6+AB8+AB10+AB12+AB14-AB7-AB9-AB11-AB13-AB15</f>
        <v>67122</v>
      </c>
      <c r="AC16" s="37">
        <f>IF(AB16&gt;1,(AB16-$Q16),"")</f>
        <v>-19906</v>
      </c>
      <c r="AD16" s="35">
        <f>AD6+AD8+AD10+AD12+AD14-AD7-AD9-AD11-AD13-AD15</f>
        <v>67122</v>
      </c>
      <c r="AE16" s="37">
        <f>IF(AD16&gt;1,(AD16-$Q16),"")</f>
        <v>-19906</v>
      </c>
    </row>
    <row r="17" spans="2:43" s="4" customFormat="1" ht="15" customHeight="1" thickBot="1" x14ac:dyDescent="0.3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72</v>
      </c>
      <c r="S17" s="41"/>
      <c r="T17" s="40">
        <f>T15+T13+T11+T9+T7</f>
        <v>250</v>
      </c>
      <c r="U17" s="41"/>
      <c r="V17" s="40">
        <f>V15+V13+V11+V9+V7</f>
        <v>441</v>
      </c>
      <c r="W17" s="41"/>
      <c r="X17" s="40">
        <f>X15+X13+X11+X9+X7</f>
        <v>1448</v>
      </c>
      <c r="Y17" s="41"/>
      <c r="Z17" s="40">
        <f>Z15+Z13+Z11+Z9+Z7</f>
        <v>2268</v>
      </c>
      <c r="AA17" s="41"/>
      <c r="AB17" s="40">
        <f>AB15+AB13+AB11+AB9+AB7</f>
        <v>2290</v>
      </c>
      <c r="AC17" s="42"/>
      <c r="AD17" s="40">
        <f>AD15+AD13+AD11+AD9+AD7</f>
        <v>2290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2357.5</v>
      </c>
      <c r="S18" s="46"/>
      <c r="T18" s="47">
        <f>IF(T16&gt;0,(T16-R16)/2,"")</f>
        <v>7776</v>
      </c>
      <c r="U18" s="46"/>
      <c r="V18" s="47">
        <f>IF(V16&gt;0,(V16-T16)/2,"")</f>
        <v>6128.5</v>
      </c>
      <c r="W18" s="46"/>
      <c r="X18" s="47">
        <f>IF(X16&gt;0,(X16-V16)/2,"")</f>
        <v>12227</v>
      </c>
      <c r="Y18" s="46"/>
      <c r="Z18" s="47">
        <f>IF(Z16&gt;0,(Z16-X16)/2,"")</f>
        <v>4254</v>
      </c>
      <c r="AA18" s="46"/>
      <c r="AB18" s="47">
        <f>IF(AB16&gt;0,(AB16-Z16)/2,"")</f>
        <v>818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1307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559</v>
      </c>
      <c r="L20" s="4"/>
      <c r="M20" s="4"/>
      <c r="Q20" s="51" t="s">
        <v>49</v>
      </c>
      <c r="R20" s="35">
        <v>3739</v>
      </c>
      <c r="S20" s="36"/>
      <c r="T20" s="35">
        <v>9589</v>
      </c>
      <c r="U20" s="36"/>
      <c r="V20" s="35">
        <v>17314</v>
      </c>
      <c r="W20" s="36"/>
      <c r="X20" s="35">
        <v>38519</v>
      </c>
      <c r="Y20" s="36"/>
      <c r="Z20" s="35">
        <v>45867</v>
      </c>
      <c r="AA20" s="36"/>
      <c r="AB20" s="35">
        <v>47228</v>
      </c>
      <c r="AC20" s="37"/>
      <c r="AD20" s="35">
        <v>47228</v>
      </c>
      <c r="AE20" s="37">
        <v>-30933</v>
      </c>
    </row>
    <row r="21" spans="2:43" ht="15" customHeight="1" thickBot="1" x14ac:dyDescent="0.35">
      <c r="B21" s="16" t="s">
        <v>50</v>
      </c>
      <c r="C21" s="17">
        <v>8583</v>
      </c>
      <c r="L21" s="4"/>
      <c r="M21" s="4"/>
      <c r="Q21" s="52"/>
      <c r="R21" s="40">
        <v>1025</v>
      </c>
      <c r="S21" s="41"/>
      <c r="T21" s="40">
        <v>2759</v>
      </c>
      <c r="U21" s="41"/>
      <c r="V21" s="40">
        <v>6109</v>
      </c>
      <c r="W21" s="41"/>
      <c r="X21" s="40">
        <v>7798</v>
      </c>
      <c r="Y21" s="41"/>
      <c r="Z21" s="40">
        <v>15796</v>
      </c>
      <c r="AA21" s="41"/>
      <c r="AB21" s="40">
        <v>15796</v>
      </c>
      <c r="AC21" s="42"/>
      <c r="AD21" s="40">
        <v>15796</v>
      </c>
      <c r="AE21" s="42"/>
    </row>
    <row r="22" spans="2:43" ht="15" customHeight="1" thickBot="1" x14ac:dyDescent="0.35">
      <c r="B22" s="16" t="s">
        <v>51</v>
      </c>
      <c r="C22" s="17">
        <v>2166</v>
      </c>
      <c r="L22" s="4"/>
      <c r="M22" s="4"/>
      <c r="Q22" s="54"/>
      <c r="R22" s="55">
        <v>1869.5</v>
      </c>
      <c r="S22" s="55"/>
      <c r="T22" s="55">
        <v>2925</v>
      </c>
      <c r="U22" s="55"/>
      <c r="V22" s="55">
        <v>3862.5</v>
      </c>
      <c r="W22" s="55"/>
      <c r="X22" s="55">
        <v>10602.5</v>
      </c>
      <c r="Y22" s="55"/>
      <c r="Z22" s="55">
        <v>3674</v>
      </c>
      <c r="AA22" s="55"/>
      <c r="AB22" s="55">
        <v>680.5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4629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976</v>
      </c>
      <c r="S24" s="60"/>
      <c r="T24" s="60">
        <f>IF(T16&gt;0,T16-T20,"")</f>
        <v>10678</v>
      </c>
      <c r="U24" s="60"/>
      <c r="V24" s="60">
        <f>IF(V16&gt;0,V16-V20,"")</f>
        <v>15210</v>
      </c>
      <c r="W24" s="60"/>
      <c r="X24" s="60">
        <f>IF(X16&gt;0,X16-X20,"")</f>
        <v>18459</v>
      </c>
      <c r="Y24" s="60"/>
      <c r="Z24" s="60">
        <f>IF(Z16&gt;0,Z16-Z20,"")</f>
        <v>19619</v>
      </c>
      <c r="AA24" s="60"/>
      <c r="AB24" s="60">
        <f>IF(AB16&gt;0,AB16-AB20,"")</f>
        <v>19894</v>
      </c>
      <c r="AC24" s="61"/>
      <c r="AD24" s="60">
        <f>IF(AD16&gt;0,AD16-AD20,"")</f>
        <v>19894</v>
      </c>
      <c r="AE24" s="61"/>
    </row>
    <row r="25" spans="2:43" x14ac:dyDescent="0.3">
      <c r="L25" s="4"/>
      <c r="M25" s="4"/>
      <c r="Q25" s="62"/>
      <c r="R25" s="63">
        <f>IF(R17&gt;=0,R17-R21,"")</f>
        <v>-953</v>
      </c>
      <c r="S25" s="64"/>
      <c r="T25" s="63">
        <f>IF(T17&gt;=0,T17-T21,"")</f>
        <v>-2509</v>
      </c>
      <c r="U25" s="64"/>
      <c r="V25" s="63">
        <f>IF(V17&gt;=0,V17-V21,"")</f>
        <v>-5668</v>
      </c>
      <c r="W25" s="64"/>
      <c r="X25" s="63">
        <f>IF(X17&gt;=0,X17-X21,"")</f>
        <v>-6350</v>
      </c>
      <c r="Y25" s="64"/>
      <c r="Z25" s="63">
        <f>IF(Z17&gt;=0,Z17-Z21,"")</f>
        <v>-13528</v>
      </c>
      <c r="AA25" s="64"/>
      <c r="AB25" s="63">
        <f>IF(AB17&gt;=0,AB17-AB21,"")</f>
        <v>-13506</v>
      </c>
      <c r="AC25" s="65"/>
      <c r="AD25" s="63">
        <f>IF(AD17&gt;=0,AD17-AD21,"")</f>
        <v>-13506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488</v>
      </c>
      <c r="S26" s="55"/>
      <c r="T26" s="67">
        <f>IFERROR(IF(T18&gt;0,T18-T22,""),"")</f>
        <v>4851</v>
      </c>
      <c r="U26" s="55"/>
      <c r="V26" s="67">
        <f>IFERROR(IF(V18&gt;0,V18-V22,""),"")</f>
        <v>2266</v>
      </c>
      <c r="W26" s="55"/>
      <c r="X26" s="67">
        <f>IFERROR(IF(X18&gt;0,X18-X22,""),"")</f>
        <v>1624.5</v>
      </c>
      <c r="Y26" s="55"/>
      <c r="Z26" s="67">
        <f>IFERROR(IF(Z18&gt;0,Z18-Z22,""),"")</f>
        <v>580</v>
      </c>
      <c r="AA26" s="55"/>
      <c r="AB26" s="67">
        <f>IFERROR(IF(AB18&gt;0,AB18-AB22,""),"")</f>
        <v>137.5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7893</v>
      </c>
      <c r="D29" s="76">
        <f>C14</f>
        <v>7748</v>
      </c>
      <c r="E29" s="77">
        <f t="shared" ref="E29:E34" si="1">D29-C29</f>
        <v>-145</v>
      </c>
      <c r="M29" s="4"/>
      <c r="O29" s="4"/>
    </row>
    <row r="30" spans="2:43" x14ac:dyDescent="0.3">
      <c r="B30" s="74" t="s">
        <v>56</v>
      </c>
      <c r="C30" s="75">
        <v>32013</v>
      </c>
      <c r="D30" s="76">
        <f>C7+C15+C16+C19+C20</f>
        <v>17934</v>
      </c>
      <c r="E30" s="77">
        <f t="shared" si="1"/>
        <v>-14079</v>
      </c>
      <c r="J30" s="53"/>
      <c r="L30" s="53"/>
      <c r="M30" s="4"/>
      <c r="O30" s="4"/>
    </row>
    <row r="31" spans="2:43" x14ac:dyDescent="0.3">
      <c r="B31" s="74" t="s">
        <v>21</v>
      </c>
      <c r="C31" s="75">
        <v>6232</v>
      </c>
      <c r="D31" s="76">
        <f>C6</f>
        <v>6232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17765</v>
      </c>
      <c r="D32" s="76">
        <f>C10+C11+C12+C13</f>
        <v>17765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14809</v>
      </c>
      <c r="D34" s="76">
        <f>C21+C22+C23</f>
        <v>15378</v>
      </c>
      <c r="E34" s="77">
        <f t="shared" si="1"/>
        <v>569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4450</v>
      </c>
      <c r="D35" s="80">
        <f>SUM(C8+C9)</f>
        <v>4450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3175</v>
      </c>
      <c r="R36" s="104">
        <v>0</v>
      </c>
      <c r="S36" s="104">
        <f t="shared" ref="S36:S65" si="2">IF(T36&gt;0,(T36-R36)/2,"")</f>
        <v>15.5</v>
      </c>
      <c r="T36" s="104">
        <v>31</v>
      </c>
      <c r="U36" s="104">
        <f t="shared" ref="U36:U65" si="3">IF(V36&gt;0,(V36-T36)/2,"")</f>
        <v>210</v>
      </c>
      <c r="V36" s="104">
        <v>451</v>
      </c>
      <c r="W36" s="104">
        <f t="shared" ref="W36:W65" si="4">IF(X36&gt;0,(X36-V36)/2,"")</f>
        <v>3</v>
      </c>
      <c r="X36" s="104">
        <v>457</v>
      </c>
      <c r="Y36" s="104">
        <f t="shared" ref="Y36:Y65" si="5">IF(Z36&gt;0,(Z36-X36)/2,"")</f>
        <v>872</v>
      </c>
      <c r="Z36" s="104">
        <v>2201</v>
      </c>
      <c r="AA36" s="104">
        <f t="shared" ref="AA36:AA65" si="6">IF(AB36&gt;0,(AB36-Z36)/2,"")</f>
        <v>0</v>
      </c>
      <c r="AB36" s="104">
        <v>2201</v>
      </c>
      <c r="AC36" s="104">
        <f t="shared" ref="AC36:AC65" si="7">IF(AD36&gt;0,(AD36-AB36)/2,"")</f>
        <v>0</v>
      </c>
      <c r="AD36" s="104">
        <v>2201</v>
      </c>
      <c r="AE36" s="105">
        <f t="shared" ref="AE36:AE65" si="8">AD36-Q36</f>
        <v>-974</v>
      </c>
    </row>
    <row r="37" spans="2:31" ht="15.6" customHeight="1" x14ac:dyDescent="0.3">
      <c r="N37" s="212"/>
      <c r="O37" s="95" t="s">
        <v>66</v>
      </c>
      <c r="P37" s="106"/>
      <c r="Q37" s="106">
        <v>1601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393.5</v>
      </c>
      <c r="X37" s="106">
        <v>787</v>
      </c>
      <c r="Y37" s="106">
        <f t="shared" si="5"/>
        <v>402.5</v>
      </c>
      <c r="Z37" s="106">
        <v>1592</v>
      </c>
      <c r="AA37" s="106">
        <f t="shared" si="6"/>
        <v>0</v>
      </c>
      <c r="AB37" s="106">
        <v>1592</v>
      </c>
      <c r="AC37" s="106">
        <f t="shared" si="7"/>
        <v>0</v>
      </c>
      <c r="AD37" s="106">
        <v>1592</v>
      </c>
      <c r="AE37" s="107">
        <f t="shared" si="8"/>
        <v>-9</v>
      </c>
    </row>
    <row r="38" spans="2:31" ht="15.6" customHeight="1" x14ac:dyDescent="0.3">
      <c r="N38" s="212"/>
      <c r="O38" s="94" t="s">
        <v>67</v>
      </c>
      <c r="P38" s="108"/>
      <c r="Q38" s="108">
        <v>2634</v>
      </c>
      <c r="R38" s="108">
        <v>0</v>
      </c>
      <c r="S38" s="108">
        <f t="shared" si="2"/>
        <v>385</v>
      </c>
      <c r="T38" s="108">
        <v>770</v>
      </c>
      <c r="U38" s="108">
        <f t="shared" si="3"/>
        <v>395</v>
      </c>
      <c r="V38" s="108">
        <v>1560</v>
      </c>
      <c r="W38" s="108">
        <f t="shared" si="4"/>
        <v>392</v>
      </c>
      <c r="X38" s="108">
        <v>2344</v>
      </c>
      <c r="Y38" s="108">
        <f t="shared" si="5"/>
        <v>129</v>
      </c>
      <c r="Z38" s="108">
        <v>2602</v>
      </c>
      <c r="AA38" s="108">
        <f t="shared" si="6"/>
        <v>0</v>
      </c>
      <c r="AB38" s="108">
        <v>2602</v>
      </c>
      <c r="AC38" s="108">
        <f t="shared" si="7"/>
        <v>0</v>
      </c>
      <c r="AD38" s="108">
        <v>2602</v>
      </c>
      <c r="AE38" s="109">
        <f t="shared" si="8"/>
        <v>-32</v>
      </c>
    </row>
    <row r="39" spans="2:31" ht="15.6" customHeight="1" x14ac:dyDescent="0.3">
      <c r="N39" s="212"/>
      <c r="O39" s="95" t="s">
        <v>68</v>
      </c>
      <c r="P39" s="106"/>
      <c r="Q39" s="106">
        <v>3032</v>
      </c>
      <c r="R39" s="106">
        <v>0</v>
      </c>
      <c r="S39" s="106">
        <f t="shared" si="2"/>
        <v>392</v>
      </c>
      <c r="T39" s="106">
        <v>784</v>
      </c>
      <c r="U39" s="106">
        <f t="shared" si="3"/>
        <v>671</v>
      </c>
      <c r="V39" s="106">
        <v>2126</v>
      </c>
      <c r="W39" s="106">
        <f t="shared" si="4"/>
        <v>406.5</v>
      </c>
      <c r="X39" s="106">
        <v>2939</v>
      </c>
      <c r="Y39" s="106">
        <f t="shared" si="5"/>
        <v>50</v>
      </c>
      <c r="Z39" s="106">
        <v>3039</v>
      </c>
      <c r="AA39" s="106">
        <f t="shared" si="6"/>
        <v>0</v>
      </c>
      <c r="AB39" s="106">
        <v>3039</v>
      </c>
      <c r="AC39" s="106">
        <f t="shared" si="7"/>
        <v>0</v>
      </c>
      <c r="AD39" s="106">
        <v>3039</v>
      </c>
      <c r="AE39" s="107">
        <f t="shared" si="8"/>
        <v>7</v>
      </c>
    </row>
    <row r="40" spans="2:31" ht="15.6" customHeight="1" x14ac:dyDescent="0.3">
      <c r="N40" s="212"/>
      <c r="O40" s="94" t="s">
        <v>69</v>
      </c>
      <c r="P40" s="108"/>
      <c r="Q40" s="108">
        <v>2998</v>
      </c>
      <c r="R40" s="108">
        <v>0</v>
      </c>
      <c r="S40" s="108">
        <f t="shared" si="2"/>
        <v>705.5</v>
      </c>
      <c r="T40" s="108">
        <v>1411</v>
      </c>
      <c r="U40" s="108">
        <f t="shared" si="3"/>
        <v>0</v>
      </c>
      <c r="V40" s="108">
        <v>1411</v>
      </c>
      <c r="W40" s="108">
        <f t="shared" si="4"/>
        <v>621</v>
      </c>
      <c r="X40" s="108">
        <v>2653</v>
      </c>
      <c r="Y40" s="108">
        <f t="shared" si="5"/>
        <v>182</v>
      </c>
      <c r="Z40" s="108">
        <v>3017</v>
      </c>
      <c r="AA40" s="108">
        <f t="shared" si="6"/>
        <v>0</v>
      </c>
      <c r="AB40" s="108">
        <v>3017</v>
      </c>
      <c r="AC40" s="108">
        <f t="shared" si="7"/>
        <v>0</v>
      </c>
      <c r="AD40" s="108">
        <v>3017</v>
      </c>
      <c r="AE40" s="109">
        <f t="shared" si="8"/>
        <v>19</v>
      </c>
    </row>
    <row r="41" spans="2:31" ht="15.6" customHeight="1" x14ac:dyDescent="0.3">
      <c r="N41" s="212"/>
      <c r="O41" s="95" t="s">
        <v>70</v>
      </c>
      <c r="P41" s="106"/>
      <c r="Q41" s="106">
        <v>706</v>
      </c>
      <c r="R41" s="106">
        <v>266</v>
      </c>
      <c r="S41" s="106">
        <f t="shared" si="2"/>
        <v>0</v>
      </c>
      <c r="T41" s="106">
        <v>266</v>
      </c>
      <c r="U41" s="106">
        <f t="shared" si="3"/>
        <v>0</v>
      </c>
      <c r="V41" s="106">
        <v>266</v>
      </c>
      <c r="W41" s="106">
        <f t="shared" si="4"/>
        <v>183.5</v>
      </c>
      <c r="X41" s="106">
        <v>633</v>
      </c>
      <c r="Y41" s="106">
        <f t="shared" si="5"/>
        <v>56.5</v>
      </c>
      <c r="Z41" s="106">
        <v>746</v>
      </c>
      <c r="AA41" s="106">
        <f t="shared" si="6"/>
        <v>0</v>
      </c>
      <c r="AB41" s="106">
        <v>746</v>
      </c>
      <c r="AC41" s="106">
        <f t="shared" si="7"/>
        <v>0</v>
      </c>
      <c r="AD41" s="106">
        <v>746</v>
      </c>
      <c r="AE41" s="107">
        <f t="shared" si="8"/>
        <v>40</v>
      </c>
    </row>
    <row r="42" spans="2:31" ht="15.6" customHeight="1" x14ac:dyDescent="0.3">
      <c r="N42" s="212"/>
      <c r="O42" s="94" t="s">
        <v>71</v>
      </c>
      <c r="P42" s="108"/>
      <c r="Q42" s="108">
        <v>1265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377.5</v>
      </c>
      <c r="V42" s="108">
        <v>755</v>
      </c>
      <c r="W42" s="108">
        <f t="shared" si="4"/>
        <v>0</v>
      </c>
      <c r="X42" s="108">
        <v>755</v>
      </c>
      <c r="Y42" s="108">
        <f t="shared" si="5"/>
        <v>0</v>
      </c>
      <c r="Z42" s="108">
        <v>755</v>
      </c>
      <c r="AA42" s="108">
        <f t="shared" si="6"/>
        <v>0</v>
      </c>
      <c r="AB42" s="108">
        <v>755</v>
      </c>
      <c r="AC42" s="108">
        <f t="shared" si="7"/>
        <v>0</v>
      </c>
      <c r="AD42" s="108">
        <v>755</v>
      </c>
      <c r="AE42" s="109">
        <f t="shared" si="8"/>
        <v>-510</v>
      </c>
    </row>
    <row r="43" spans="2:31" ht="15.6" customHeight="1" x14ac:dyDescent="0.3">
      <c r="N43" s="212"/>
      <c r="O43" s="95" t="s">
        <v>72</v>
      </c>
      <c r="P43" s="106"/>
      <c r="Q43" s="106">
        <v>1756</v>
      </c>
      <c r="R43" s="106">
        <v>0</v>
      </c>
      <c r="S43" s="106">
        <f t="shared" si="2"/>
        <v>198.5</v>
      </c>
      <c r="T43" s="106">
        <v>397</v>
      </c>
      <c r="U43" s="106">
        <f t="shared" si="3"/>
        <v>470</v>
      </c>
      <c r="V43" s="106">
        <v>1337</v>
      </c>
      <c r="W43" s="106">
        <f t="shared" si="4"/>
        <v>210</v>
      </c>
      <c r="X43" s="106">
        <v>1757</v>
      </c>
      <c r="Y43" s="106">
        <f t="shared" si="5"/>
        <v>0</v>
      </c>
      <c r="Z43" s="106">
        <v>1757</v>
      </c>
      <c r="AA43" s="106">
        <f t="shared" si="6"/>
        <v>0</v>
      </c>
      <c r="AB43" s="106">
        <v>1757</v>
      </c>
      <c r="AC43" s="106">
        <f t="shared" si="7"/>
        <v>0</v>
      </c>
      <c r="AD43" s="106">
        <v>1757</v>
      </c>
      <c r="AE43" s="107">
        <f t="shared" si="8"/>
        <v>1</v>
      </c>
    </row>
    <row r="44" spans="2:31" ht="15.6" customHeight="1" thickBot="1" x14ac:dyDescent="0.35">
      <c r="N44" s="213"/>
      <c r="O44" s="97" t="s">
        <v>73</v>
      </c>
      <c r="P44" s="110"/>
      <c r="Q44" s="110">
        <v>1520</v>
      </c>
      <c r="R44" s="110">
        <v>0</v>
      </c>
      <c r="S44" s="110">
        <f t="shared" si="2"/>
        <v>280</v>
      </c>
      <c r="T44" s="110">
        <v>560</v>
      </c>
      <c r="U44" s="110">
        <f t="shared" si="3"/>
        <v>191</v>
      </c>
      <c r="V44" s="110">
        <v>942</v>
      </c>
      <c r="W44" s="110">
        <f t="shared" si="4"/>
        <v>212.5</v>
      </c>
      <c r="X44" s="110">
        <v>1367</v>
      </c>
      <c r="Y44" s="110">
        <f t="shared" si="5"/>
        <v>0</v>
      </c>
      <c r="Z44" s="110">
        <v>1367</v>
      </c>
      <c r="AA44" s="110">
        <f t="shared" si="6"/>
        <v>0</v>
      </c>
      <c r="AB44" s="110">
        <v>1367</v>
      </c>
      <c r="AC44" s="110">
        <f t="shared" si="7"/>
        <v>0</v>
      </c>
      <c r="AD44" s="110">
        <v>1367</v>
      </c>
      <c r="AE44" s="111">
        <f t="shared" si="8"/>
        <v>-153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5043</v>
      </c>
      <c r="R45" s="112">
        <v>0</v>
      </c>
      <c r="S45" s="112">
        <f t="shared" si="2"/>
        <v>500</v>
      </c>
      <c r="T45" s="112">
        <v>1000</v>
      </c>
      <c r="U45" s="112">
        <f t="shared" si="3"/>
        <v>520</v>
      </c>
      <c r="V45" s="112">
        <v>2040</v>
      </c>
      <c r="W45" s="112">
        <f t="shared" si="4"/>
        <v>1501.5</v>
      </c>
      <c r="X45" s="112">
        <v>5043</v>
      </c>
      <c r="Y45" s="112">
        <f t="shared" si="5"/>
        <v>0</v>
      </c>
      <c r="Z45" s="112">
        <v>5043</v>
      </c>
      <c r="AA45" s="112">
        <f t="shared" si="6"/>
        <v>0</v>
      </c>
      <c r="AB45" s="112">
        <v>5043</v>
      </c>
      <c r="AC45" s="112">
        <f t="shared" si="7"/>
        <v>0</v>
      </c>
      <c r="AD45" s="112">
        <v>5043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3826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1169.5</v>
      </c>
      <c r="X46" s="108">
        <v>2339</v>
      </c>
      <c r="Y46" s="108">
        <f t="shared" si="5"/>
        <v>231</v>
      </c>
      <c r="Z46" s="108">
        <v>2801</v>
      </c>
      <c r="AA46" s="108">
        <f t="shared" si="6"/>
        <v>0</v>
      </c>
      <c r="AB46" s="108">
        <v>2801</v>
      </c>
      <c r="AC46" s="108">
        <f t="shared" si="7"/>
        <v>0</v>
      </c>
      <c r="AD46" s="108">
        <v>2801</v>
      </c>
      <c r="AE46" s="109">
        <f t="shared" si="8"/>
        <v>-1025</v>
      </c>
    </row>
    <row r="47" spans="2:31" ht="15.6" customHeight="1" x14ac:dyDescent="0.3">
      <c r="N47" s="212"/>
      <c r="O47" s="95" t="s">
        <v>67</v>
      </c>
      <c r="P47" s="106"/>
      <c r="Q47" s="106">
        <v>2390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982.5</v>
      </c>
      <c r="X47" s="106">
        <v>1965</v>
      </c>
      <c r="Y47" s="106">
        <f t="shared" si="5"/>
        <v>0</v>
      </c>
      <c r="Z47" s="106">
        <v>1965</v>
      </c>
      <c r="AA47" s="106">
        <f t="shared" si="6"/>
        <v>0</v>
      </c>
      <c r="AB47" s="106">
        <v>1965</v>
      </c>
      <c r="AC47" s="106">
        <f t="shared" si="7"/>
        <v>0</v>
      </c>
      <c r="AD47" s="106">
        <v>1965</v>
      </c>
      <c r="AE47" s="107">
        <f t="shared" si="8"/>
        <v>-425</v>
      </c>
    </row>
    <row r="48" spans="2:31" ht="15.6" customHeight="1" thickBot="1" x14ac:dyDescent="0.35">
      <c r="N48" s="213"/>
      <c r="O48" s="97" t="s">
        <v>68</v>
      </c>
      <c r="P48" s="110"/>
      <c r="Q48" s="110">
        <v>4544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468.5</v>
      </c>
      <c r="V48" s="110">
        <v>937</v>
      </c>
      <c r="W48" s="110">
        <f t="shared" si="4"/>
        <v>1774.5</v>
      </c>
      <c r="X48" s="110">
        <v>4486</v>
      </c>
      <c r="Y48" s="110">
        <f t="shared" si="5"/>
        <v>0</v>
      </c>
      <c r="Z48" s="110">
        <v>4486</v>
      </c>
      <c r="AA48" s="110">
        <f t="shared" si="6"/>
        <v>25</v>
      </c>
      <c r="AB48" s="110">
        <v>4536</v>
      </c>
      <c r="AC48" s="110">
        <f t="shared" si="7"/>
        <v>0</v>
      </c>
      <c r="AD48" s="110">
        <v>4536</v>
      </c>
      <c r="AE48" s="111">
        <f t="shared" si="8"/>
        <v>-8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2129</v>
      </c>
      <c r="R49" s="112">
        <v>0</v>
      </c>
      <c r="S49" s="112">
        <f t="shared" si="2"/>
        <v>560</v>
      </c>
      <c r="T49" s="112">
        <v>1120</v>
      </c>
      <c r="U49" s="112">
        <f t="shared" si="3"/>
        <v>337</v>
      </c>
      <c r="V49" s="112">
        <v>1794</v>
      </c>
      <c r="W49" s="112">
        <f t="shared" si="4"/>
        <v>0</v>
      </c>
      <c r="X49" s="112">
        <v>1794</v>
      </c>
      <c r="Y49" s="112">
        <f t="shared" si="5"/>
        <v>15</v>
      </c>
      <c r="Z49" s="112">
        <v>1824</v>
      </c>
      <c r="AA49" s="112">
        <f t="shared" si="6"/>
        <v>143</v>
      </c>
      <c r="AB49" s="112">
        <v>2110</v>
      </c>
      <c r="AC49" s="112">
        <f t="shared" si="7"/>
        <v>0</v>
      </c>
      <c r="AD49" s="112">
        <v>2110</v>
      </c>
      <c r="AE49" s="113">
        <f t="shared" si="8"/>
        <v>-19</v>
      </c>
    </row>
    <row r="50" spans="14:31" ht="15.6" customHeight="1" x14ac:dyDescent="0.3">
      <c r="N50" s="212"/>
      <c r="O50" s="94" t="s">
        <v>66</v>
      </c>
      <c r="P50" s="108"/>
      <c r="Q50" s="108">
        <v>3692</v>
      </c>
      <c r="R50" s="108">
        <v>0</v>
      </c>
      <c r="S50" s="108">
        <f t="shared" si="2"/>
        <v>675.5</v>
      </c>
      <c r="T50" s="108">
        <v>1351</v>
      </c>
      <c r="U50" s="108">
        <f t="shared" si="3"/>
        <v>0</v>
      </c>
      <c r="V50" s="108">
        <v>1351</v>
      </c>
      <c r="W50" s="108">
        <f t="shared" si="4"/>
        <v>499.5</v>
      </c>
      <c r="X50" s="108">
        <v>2350</v>
      </c>
      <c r="Y50" s="108">
        <f t="shared" si="5"/>
        <v>210</v>
      </c>
      <c r="Z50" s="108">
        <v>2770</v>
      </c>
      <c r="AA50" s="108">
        <f t="shared" si="6"/>
        <v>161</v>
      </c>
      <c r="AB50" s="108">
        <v>3092</v>
      </c>
      <c r="AC50" s="108">
        <f t="shared" si="7"/>
        <v>0</v>
      </c>
      <c r="AD50" s="108">
        <v>3092</v>
      </c>
      <c r="AE50" s="109">
        <f t="shared" si="8"/>
        <v>-600</v>
      </c>
    </row>
    <row r="51" spans="14:31" ht="15.6" customHeight="1" x14ac:dyDescent="0.3">
      <c r="N51" s="212"/>
      <c r="O51" s="95" t="s">
        <v>67</v>
      </c>
      <c r="P51" s="106"/>
      <c r="Q51" s="106">
        <v>1387</v>
      </c>
      <c r="R51" s="106">
        <v>0</v>
      </c>
      <c r="S51" s="106" t="str">
        <f t="shared" si="2"/>
        <v/>
      </c>
      <c r="T51" s="106">
        <v>0</v>
      </c>
      <c r="U51" s="106">
        <f t="shared" si="3"/>
        <v>207.5</v>
      </c>
      <c r="V51" s="106">
        <v>415</v>
      </c>
      <c r="W51" s="106">
        <f t="shared" si="4"/>
        <v>248.5</v>
      </c>
      <c r="X51" s="106">
        <v>912</v>
      </c>
      <c r="Y51" s="106">
        <f t="shared" si="5"/>
        <v>0</v>
      </c>
      <c r="Z51" s="106">
        <v>912</v>
      </c>
      <c r="AA51" s="106">
        <f t="shared" si="6"/>
        <v>108.5</v>
      </c>
      <c r="AB51" s="106">
        <v>1129</v>
      </c>
      <c r="AC51" s="106">
        <f t="shared" si="7"/>
        <v>0</v>
      </c>
      <c r="AD51" s="106">
        <v>1129</v>
      </c>
      <c r="AE51" s="107">
        <f t="shared" si="8"/>
        <v>-258</v>
      </c>
    </row>
    <row r="52" spans="14:31" ht="15.6" customHeight="1" x14ac:dyDescent="0.3">
      <c r="N52" s="212"/>
      <c r="O52" s="94" t="s">
        <v>68</v>
      </c>
      <c r="P52" s="108"/>
      <c r="Q52" s="108">
        <v>2525</v>
      </c>
      <c r="R52" s="108">
        <v>0</v>
      </c>
      <c r="S52" s="108">
        <f t="shared" si="2"/>
        <v>182.5</v>
      </c>
      <c r="T52" s="108">
        <v>365</v>
      </c>
      <c r="U52" s="108">
        <f t="shared" si="3"/>
        <v>0</v>
      </c>
      <c r="V52" s="108">
        <v>365</v>
      </c>
      <c r="W52" s="108">
        <f t="shared" si="4"/>
        <v>66</v>
      </c>
      <c r="X52" s="108">
        <v>497</v>
      </c>
      <c r="Y52" s="108">
        <f t="shared" si="5"/>
        <v>0</v>
      </c>
      <c r="Z52" s="108">
        <v>497</v>
      </c>
      <c r="AA52" s="108">
        <f t="shared" si="6"/>
        <v>26</v>
      </c>
      <c r="AB52" s="108">
        <v>549</v>
      </c>
      <c r="AC52" s="108">
        <f t="shared" si="7"/>
        <v>0</v>
      </c>
      <c r="AD52" s="108">
        <v>549</v>
      </c>
      <c r="AE52" s="109">
        <f t="shared" si="8"/>
        <v>-1976</v>
      </c>
    </row>
    <row r="53" spans="14:31" ht="15.6" customHeight="1" x14ac:dyDescent="0.3">
      <c r="N53" s="212"/>
      <c r="O53" s="95" t="s">
        <v>69</v>
      </c>
      <c r="P53" s="106"/>
      <c r="Q53" s="106">
        <v>2726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362.5</v>
      </c>
      <c r="V53" s="106">
        <v>725</v>
      </c>
      <c r="W53" s="106">
        <f t="shared" si="4"/>
        <v>545</v>
      </c>
      <c r="X53" s="106">
        <v>1815</v>
      </c>
      <c r="Y53" s="106">
        <f t="shared" si="5"/>
        <v>7.5</v>
      </c>
      <c r="Z53" s="106">
        <v>1830</v>
      </c>
      <c r="AA53" s="106">
        <f t="shared" si="6"/>
        <v>143</v>
      </c>
      <c r="AB53" s="106">
        <v>2116</v>
      </c>
      <c r="AC53" s="106">
        <f t="shared" si="7"/>
        <v>0</v>
      </c>
      <c r="AD53" s="106">
        <v>2116</v>
      </c>
      <c r="AE53" s="107">
        <f t="shared" si="8"/>
        <v>-610</v>
      </c>
    </row>
    <row r="54" spans="14:31" ht="15.6" customHeight="1" x14ac:dyDescent="0.3">
      <c r="N54" s="212"/>
      <c r="O54" s="94" t="s">
        <v>70</v>
      </c>
      <c r="P54" s="108"/>
      <c r="Q54" s="108">
        <v>1481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426</v>
      </c>
      <c r="Z54" s="108">
        <v>852</v>
      </c>
      <c r="AA54" s="108">
        <f t="shared" si="6"/>
        <v>0</v>
      </c>
      <c r="AB54" s="108">
        <v>852</v>
      </c>
      <c r="AC54" s="108">
        <f t="shared" si="7"/>
        <v>0</v>
      </c>
      <c r="AD54" s="108">
        <v>852</v>
      </c>
      <c r="AE54" s="109">
        <f t="shared" si="8"/>
        <v>-629</v>
      </c>
    </row>
    <row r="55" spans="14:31" ht="15.6" customHeight="1" x14ac:dyDescent="0.3">
      <c r="N55" s="212"/>
      <c r="O55" s="95" t="s">
        <v>71</v>
      </c>
      <c r="P55" s="106"/>
      <c r="Q55" s="106">
        <v>1825</v>
      </c>
      <c r="R55" s="106">
        <v>360</v>
      </c>
      <c r="S55" s="106">
        <f t="shared" si="2"/>
        <v>125</v>
      </c>
      <c r="T55" s="106">
        <v>610</v>
      </c>
      <c r="U55" s="106">
        <f t="shared" si="3"/>
        <v>0</v>
      </c>
      <c r="V55" s="106">
        <v>610</v>
      </c>
      <c r="W55" s="106">
        <f t="shared" si="4"/>
        <v>5</v>
      </c>
      <c r="X55" s="106">
        <v>620</v>
      </c>
      <c r="Y55" s="106">
        <f t="shared" si="5"/>
        <v>652.5</v>
      </c>
      <c r="Z55" s="106">
        <v>1925</v>
      </c>
      <c r="AA55" s="106">
        <f t="shared" si="6"/>
        <v>10</v>
      </c>
      <c r="AB55" s="106">
        <v>1945</v>
      </c>
      <c r="AC55" s="106">
        <f t="shared" si="7"/>
        <v>0</v>
      </c>
      <c r="AD55" s="106">
        <v>1945</v>
      </c>
      <c r="AE55" s="107">
        <f t="shared" si="8"/>
        <v>120</v>
      </c>
    </row>
    <row r="56" spans="14:31" ht="15.6" customHeight="1" x14ac:dyDescent="0.3">
      <c r="N56" s="212"/>
      <c r="O56" s="94" t="s">
        <v>72</v>
      </c>
      <c r="P56" s="108"/>
      <c r="Q56" s="108">
        <v>2813</v>
      </c>
      <c r="R56" s="108">
        <v>0</v>
      </c>
      <c r="S56" s="108">
        <f t="shared" si="2"/>
        <v>600</v>
      </c>
      <c r="T56" s="108">
        <v>1200</v>
      </c>
      <c r="U56" s="108">
        <f t="shared" si="3"/>
        <v>0</v>
      </c>
      <c r="V56" s="108">
        <v>1200</v>
      </c>
      <c r="W56" s="108">
        <f t="shared" si="4"/>
        <v>593.5</v>
      </c>
      <c r="X56" s="108">
        <v>2387</v>
      </c>
      <c r="Y56" s="108">
        <f t="shared" si="5"/>
        <v>0</v>
      </c>
      <c r="Z56" s="108">
        <v>2387</v>
      </c>
      <c r="AA56" s="108">
        <f t="shared" si="6"/>
        <v>212.5</v>
      </c>
      <c r="AB56" s="108">
        <v>2812</v>
      </c>
      <c r="AC56" s="108">
        <f t="shared" si="7"/>
        <v>0</v>
      </c>
      <c r="AD56" s="108">
        <v>2812</v>
      </c>
      <c r="AE56" s="109">
        <f t="shared" si="8"/>
        <v>-1</v>
      </c>
    </row>
    <row r="57" spans="14:31" ht="15.6" customHeight="1" thickBot="1" x14ac:dyDescent="0.3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-80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6693</v>
      </c>
      <c r="R58" s="104">
        <v>995</v>
      </c>
      <c r="S58" s="104">
        <f t="shared" si="2"/>
        <v>306.5</v>
      </c>
      <c r="T58" s="104">
        <v>1608</v>
      </c>
      <c r="U58" s="104">
        <f t="shared" si="3"/>
        <v>522.5</v>
      </c>
      <c r="V58" s="104">
        <v>2653</v>
      </c>
      <c r="W58" s="104">
        <f t="shared" si="4"/>
        <v>551</v>
      </c>
      <c r="X58" s="104">
        <v>3755</v>
      </c>
      <c r="Y58" s="104">
        <f t="shared" si="5"/>
        <v>0</v>
      </c>
      <c r="Z58" s="104">
        <v>3755</v>
      </c>
      <c r="AA58" s="104">
        <f t="shared" si="6"/>
        <v>0</v>
      </c>
      <c r="AB58" s="104">
        <v>3755</v>
      </c>
      <c r="AC58" s="104">
        <f t="shared" si="7"/>
        <v>0</v>
      </c>
      <c r="AD58" s="104">
        <v>3755</v>
      </c>
      <c r="AE58" s="105">
        <f t="shared" si="8"/>
        <v>-2938</v>
      </c>
    </row>
    <row r="59" spans="14:31" ht="15.6" customHeight="1" x14ac:dyDescent="0.3">
      <c r="N59" s="212"/>
      <c r="O59" s="95" t="s">
        <v>66</v>
      </c>
      <c r="P59" s="106"/>
      <c r="Q59" s="106">
        <v>4003</v>
      </c>
      <c r="R59" s="106">
        <v>1125</v>
      </c>
      <c r="S59" s="106">
        <f t="shared" si="2"/>
        <v>635.5</v>
      </c>
      <c r="T59" s="106">
        <v>2396</v>
      </c>
      <c r="U59" s="106">
        <f t="shared" si="3"/>
        <v>222.5</v>
      </c>
      <c r="V59" s="106">
        <v>2841</v>
      </c>
      <c r="W59" s="106">
        <f t="shared" si="4"/>
        <v>408</v>
      </c>
      <c r="X59" s="106">
        <v>3657</v>
      </c>
      <c r="Y59" s="106">
        <f t="shared" si="5"/>
        <v>169.5</v>
      </c>
      <c r="Z59" s="106">
        <v>3996</v>
      </c>
      <c r="AA59" s="106">
        <f t="shared" si="6"/>
        <v>0</v>
      </c>
      <c r="AB59" s="106">
        <v>3996</v>
      </c>
      <c r="AC59" s="106">
        <f t="shared" si="7"/>
        <v>0</v>
      </c>
      <c r="AD59" s="106">
        <v>3996</v>
      </c>
      <c r="AE59" s="107">
        <f t="shared" si="8"/>
        <v>-7</v>
      </c>
    </row>
    <row r="60" spans="14:31" ht="15.6" customHeight="1" x14ac:dyDescent="0.3">
      <c r="N60" s="212"/>
      <c r="O60" s="94" t="s">
        <v>67</v>
      </c>
      <c r="P60" s="108"/>
      <c r="Q60" s="108">
        <v>3523</v>
      </c>
      <c r="R60" s="108">
        <v>611</v>
      </c>
      <c r="S60" s="108">
        <f t="shared" si="2"/>
        <v>26</v>
      </c>
      <c r="T60" s="108">
        <v>663</v>
      </c>
      <c r="U60" s="108">
        <f t="shared" si="3"/>
        <v>287</v>
      </c>
      <c r="V60" s="108">
        <v>1237</v>
      </c>
      <c r="W60" s="108">
        <f t="shared" si="4"/>
        <v>366.5</v>
      </c>
      <c r="X60" s="108">
        <v>1970</v>
      </c>
      <c r="Y60" s="108">
        <f t="shared" si="5"/>
        <v>0</v>
      </c>
      <c r="Z60" s="108">
        <v>1970</v>
      </c>
      <c r="AA60" s="108">
        <f t="shared" si="6"/>
        <v>0</v>
      </c>
      <c r="AB60" s="108">
        <v>1970</v>
      </c>
      <c r="AC60" s="108">
        <f t="shared" si="7"/>
        <v>0</v>
      </c>
      <c r="AD60" s="108">
        <v>1970</v>
      </c>
      <c r="AE60" s="109">
        <f t="shared" si="8"/>
        <v>-1553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5815</v>
      </c>
      <c r="R62" s="104">
        <v>0</v>
      </c>
      <c r="S62" s="104">
        <f t="shared" si="2"/>
        <v>955.5</v>
      </c>
      <c r="T62" s="104">
        <v>1911</v>
      </c>
      <c r="U62" s="104">
        <f t="shared" si="3"/>
        <v>91</v>
      </c>
      <c r="V62" s="104">
        <v>2093</v>
      </c>
      <c r="W62" s="104">
        <f t="shared" si="4"/>
        <v>311.5</v>
      </c>
      <c r="X62" s="104">
        <v>2716</v>
      </c>
      <c r="Y62" s="104">
        <f t="shared" si="5"/>
        <v>757</v>
      </c>
      <c r="Z62" s="104">
        <v>4230</v>
      </c>
      <c r="AA62" s="104">
        <f t="shared" si="6"/>
        <v>0</v>
      </c>
      <c r="AB62" s="104">
        <v>4230</v>
      </c>
      <c r="AC62" s="104">
        <f t="shared" si="7"/>
        <v>0</v>
      </c>
      <c r="AD62" s="104">
        <v>4230</v>
      </c>
      <c r="AE62" s="105">
        <f t="shared" si="8"/>
        <v>-1585</v>
      </c>
    </row>
    <row r="63" spans="14:31" ht="15.6" customHeight="1" x14ac:dyDescent="0.3">
      <c r="N63" s="212"/>
      <c r="O63" s="95" t="s">
        <v>66</v>
      </c>
      <c r="P63" s="106"/>
      <c r="Q63" s="106">
        <v>6417</v>
      </c>
      <c r="R63" s="106">
        <v>506</v>
      </c>
      <c r="S63" s="106">
        <f t="shared" si="2"/>
        <v>475.5</v>
      </c>
      <c r="T63" s="106">
        <v>1457</v>
      </c>
      <c r="U63" s="106">
        <f t="shared" si="3"/>
        <v>613.5</v>
      </c>
      <c r="V63" s="106">
        <v>2684</v>
      </c>
      <c r="W63" s="106">
        <f t="shared" si="4"/>
        <v>454</v>
      </c>
      <c r="X63" s="106">
        <v>3592</v>
      </c>
      <c r="Y63" s="106">
        <f t="shared" si="5"/>
        <v>117</v>
      </c>
      <c r="Z63" s="106">
        <v>3826</v>
      </c>
      <c r="AA63" s="106">
        <f t="shared" si="6"/>
        <v>0</v>
      </c>
      <c r="AB63" s="106">
        <v>3826</v>
      </c>
      <c r="AC63" s="106">
        <f t="shared" si="7"/>
        <v>0</v>
      </c>
      <c r="AD63" s="106">
        <v>3826</v>
      </c>
      <c r="AE63" s="107">
        <f t="shared" si="8"/>
        <v>-2591</v>
      </c>
    </row>
    <row r="64" spans="14:31" ht="15.6" customHeight="1" x14ac:dyDescent="0.3">
      <c r="N64" s="212"/>
      <c r="O64" s="94" t="s">
        <v>67</v>
      </c>
      <c r="P64" s="108"/>
      <c r="Q64" s="108">
        <v>5522</v>
      </c>
      <c r="R64" s="108">
        <v>803</v>
      </c>
      <c r="S64" s="108">
        <f t="shared" si="2"/>
        <v>684.5</v>
      </c>
      <c r="T64" s="108">
        <v>2172</v>
      </c>
      <c r="U64" s="108">
        <f t="shared" si="3"/>
        <v>78.5</v>
      </c>
      <c r="V64" s="108">
        <v>2329</v>
      </c>
      <c r="W64" s="108">
        <f t="shared" si="4"/>
        <v>832</v>
      </c>
      <c r="X64" s="108">
        <v>3993</v>
      </c>
      <c r="Y64" s="108">
        <f t="shared" si="5"/>
        <v>156.5</v>
      </c>
      <c r="Z64" s="108">
        <v>4306</v>
      </c>
      <c r="AA64" s="108">
        <f t="shared" si="6"/>
        <v>0</v>
      </c>
      <c r="AB64" s="108">
        <v>4306</v>
      </c>
      <c r="AC64" s="108">
        <f t="shared" si="7"/>
        <v>0</v>
      </c>
      <c r="AD64" s="108">
        <v>4306</v>
      </c>
      <c r="AE64" s="109">
        <f t="shared" si="8"/>
        <v>-1216</v>
      </c>
    </row>
    <row r="65" spans="14:31" ht="15.6" customHeight="1" thickBot="1" x14ac:dyDescent="0.35">
      <c r="N65" s="213"/>
      <c r="O65" s="99" t="s">
        <v>68</v>
      </c>
      <c r="P65" s="114"/>
      <c r="Q65" s="114">
        <v>1661</v>
      </c>
      <c r="R65" s="114">
        <v>0</v>
      </c>
      <c r="S65" s="114">
        <f t="shared" si="2"/>
        <v>94.5</v>
      </c>
      <c r="T65" s="114">
        <v>189</v>
      </c>
      <c r="U65" s="114">
        <f t="shared" si="3"/>
        <v>199</v>
      </c>
      <c r="V65" s="114">
        <v>587</v>
      </c>
      <c r="W65" s="114">
        <f t="shared" si="4"/>
        <v>0</v>
      </c>
      <c r="X65" s="114">
        <v>587</v>
      </c>
      <c r="Y65" s="114">
        <f t="shared" si="5"/>
        <v>230</v>
      </c>
      <c r="Z65" s="114">
        <v>1047</v>
      </c>
      <c r="AA65" s="114">
        <f t="shared" si="6"/>
        <v>0</v>
      </c>
      <c r="AB65" s="114">
        <v>1047</v>
      </c>
      <c r="AC65" s="114">
        <f t="shared" si="7"/>
        <v>0</v>
      </c>
      <c r="AD65" s="114">
        <v>1047</v>
      </c>
      <c r="AE65" s="115">
        <f t="shared" si="8"/>
        <v>-614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87" priority="11" operator="lessThan">
      <formula>0</formula>
    </cfRule>
    <cfRule type="cellIs" dxfId="1786" priority="12" operator="greaterThan">
      <formula>0</formula>
    </cfRule>
  </conditionalFormatting>
  <conditionalFormatting sqref="R25:AC25">
    <cfRule type="cellIs" dxfId="1785" priority="9" operator="lessThan">
      <formula>0</formula>
    </cfRule>
    <cfRule type="cellIs" dxfId="1784" priority="10" operator="greaterThan">
      <formula>0</formula>
    </cfRule>
  </conditionalFormatting>
  <conditionalFormatting sqref="R26 T26 V26 X26 Z26 AB26">
    <cfRule type="cellIs" dxfId="1783" priority="7" operator="lessThan">
      <formula>0</formula>
    </cfRule>
    <cfRule type="cellIs" dxfId="1782" priority="8" operator="greaterThan">
      <formula>0</formula>
    </cfRule>
  </conditionalFormatting>
  <conditionalFormatting sqref="AD24:AE24">
    <cfRule type="cellIs" dxfId="1781" priority="5" operator="lessThan">
      <formula>0</formula>
    </cfRule>
    <cfRule type="cellIs" dxfId="1780" priority="6" operator="greaterThan">
      <formula>0</formula>
    </cfRule>
  </conditionalFormatting>
  <conditionalFormatting sqref="AD25:AE25">
    <cfRule type="cellIs" dxfId="1779" priority="3" operator="lessThan">
      <formula>0</formula>
    </cfRule>
    <cfRule type="cellIs" dxfId="1778" priority="4" operator="greaterThan">
      <formula>0</formula>
    </cfRule>
  </conditionalFormatting>
  <conditionalFormatting sqref="AD26">
    <cfRule type="cellIs" dxfId="1777" priority="1" operator="lessThan">
      <formula>0</formula>
    </cfRule>
    <cfRule type="cellIs" dxfId="177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1"/>
    <pageSetUpPr fitToPage="1"/>
  </sheetPr>
  <dimension ref="B1:AQ65"/>
  <sheetViews>
    <sheetView topLeftCell="E4" zoomScale="80" zoomScaleNormal="8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44370</v>
      </c>
    </row>
    <row r="3" spans="2:42" ht="18.75" customHeight="1" thickBot="1" x14ac:dyDescent="0.35">
      <c r="B3" t="s">
        <v>1</v>
      </c>
      <c r="C3" s="3">
        <f>C2+1</f>
        <v>44371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20496</v>
      </c>
      <c r="G6" s="117">
        <v>17208.377875000009</v>
      </c>
      <c r="H6" s="117">
        <v>13347.46878356</v>
      </c>
      <c r="I6" s="19">
        <f>G6+H6</f>
        <v>30555.846658560011</v>
      </c>
      <c r="J6" s="119">
        <v>17254</v>
      </c>
      <c r="K6" s="117">
        <v>15122.223375</v>
      </c>
      <c r="L6" s="117">
        <v>8607.4975553799995</v>
      </c>
      <c r="M6" s="19">
        <f>K6+L6</f>
        <v>23729.720930379997</v>
      </c>
      <c r="N6" s="85">
        <v>65</v>
      </c>
      <c r="O6" s="85">
        <v>50</v>
      </c>
      <c r="P6" s="92"/>
      <c r="Q6" s="20">
        <f>J6-P6</f>
        <v>17254</v>
      </c>
      <c r="R6" s="21">
        <v>3728</v>
      </c>
      <c r="S6" s="20">
        <f>IF(R6&gt;0,(R6-R7-$Q6),"")</f>
        <v>-13545</v>
      </c>
      <c r="T6" s="21">
        <v>5753</v>
      </c>
      <c r="U6" s="20">
        <f>IF(T6&gt;0,(T6-T7-$Q6),"")</f>
        <v>-11527</v>
      </c>
      <c r="V6" s="21">
        <v>9976</v>
      </c>
      <c r="W6" s="20">
        <f>IF(V6&gt;0,(V6-V7-$Q6),"")</f>
        <v>-7315</v>
      </c>
      <c r="X6" s="21">
        <v>14116</v>
      </c>
      <c r="Y6" s="20">
        <f>IF(X6&gt;0,(X6-X7-$Q6),"")</f>
        <v>-3175</v>
      </c>
      <c r="Z6" s="21">
        <v>14116</v>
      </c>
      <c r="AA6" s="20">
        <f>IF(Z6&gt;0,(Z6-Z7-$Q6),"")</f>
        <v>-3175</v>
      </c>
      <c r="AB6" s="21">
        <v>14116</v>
      </c>
      <c r="AC6" s="22">
        <f>IF(AB6&gt;0,(AB6-AB7-$Q6),"")</f>
        <v>-3175</v>
      </c>
      <c r="AD6" s="21">
        <v>14116</v>
      </c>
      <c r="AE6" s="22">
        <f>IF(AD6&gt;0,(AD6-AD7-$Q6),"")</f>
        <v>-3175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19</v>
      </c>
      <c r="S7" s="24"/>
      <c r="T7" s="25">
        <v>26</v>
      </c>
      <c r="U7" s="24"/>
      <c r="V7" s="25">
        <v>37</v>
      </c>
      <c r="W7" s="24"/>
      <c r="X7" s="25">
        <v>37</v>
      </c>
      <c r="Y7" s="24"/>
      <c r="Z7" s="25">
        <v>37</v>
      </c>
      <c r="AA7" s="24"/>
      <c r="AB7" s="25">
        <v>37</v>
      </c>
      <c r="AC7" s="26"/>
      <c r="AD7" s="25">
        <v>37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3320</v>
      </c>
      <c r="E8" s="29" t="s">
        <v>27</v>
      </c>
      <c r="F8" s="119">
        <v>17023</v>
      </c>
      <c r="G8" s="117">
        <v>7290.1525000000001</v>
      </c>
      <c r="H8" s="117">
        <v>1617.2309553</v>
      </c>
      <c r="I8" s="19">
        <f>G8+H8</f>
        <v>8907.3834552999997</v>
      </c>
      <c r="J8" s="119">
        <v>17018</v>
      </c>
      <c r="K8" s="117">
        <v>7275.9460000000008</v>
      </c>
      <c r="L8" s="117">
        <v>1659.8412559000001</v>
      </c>
      <c r="M8" s="19">
        <f>K8+L8</f>
        <v>8935.7872559000007</v>
      </c>
      <c r="N8" s="87">
        <v>29</v>
      </c>
      <c r="O8" s="87">
        <v>21</v>
      </c>
      <c r="P8" s="92"/>
      <c r="Q8" s="20">
        <f>J8-P8</f>
        <v>17018</v>
      </c>
      <c r="R8" s="21">
        <v>1000</v>
      </c>
      <c r="S8" s="20">
        <f>IF(R8&gt;0,(R8-R9-$Q8),"")</f>
        <v>-16018</v>
      </c>
      <c r="T8" s="21">
        <v>2087</v>
      </c>
      <c r="U8" s="20">
        <f>IF(T8&gt;0,(T8-T9-$Q8),"")</f>
        <v>-14931</v>
      </c>
      <c r="V8" s="21">
        <v>3238</v>
      </c>
      <c r="W8" s="20">
        <f>IF(V8&gt;0,(V8-V9-$Q8),"")</f>
        <v>-13780</v>
      </c>
      <c r="X8" s="21">
        <v>3794</v>
      </c>
      <c r="Y8" s="20">
        <f>IF(X8&gt;0,(X8-X9-$Q8),"")</f>
        <v>-13224</v>
      </c>
      <c r="Z8" s="21">
        <v>18462</v>
      </c>
      <c r="AA8" s="20">
        <f>IF(Z8&gt;0,(Z8-Z9-$Q8),"")</f>
        <v>-556</v>
      </c>
      <c r="AB8" s="21">
        <v>18462</v>
      </c>
      <c r="AC8" s="22">
        <f>IF(AB8&gt;0,(AB8-AB9-$Q8),"")</f>
        <v>-556</v>
      </c>
      <c r="AD8" s="21">
        <v>18462</v>
      </c>
      <c r="AE8" s="22">
        <f>IF(AD8&gt;0,(AD8-AD9-$Q8),"")</f>
        <v>-556</v>
      </c>
    </row>
    <row r="9" spans="2:42" x14ac:dyDescent="0.3">
      <c r="B9" s="28" t="s">
        <v>28</v>
      </c>
      <c r="C9" s="17">
        <v>1806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2000</v>
      </c>
      <c r="AA9" s="24"/>
      <c r="AB9" s="30">
        <v>2000</v>
      </c>
      <c r="AC9" s="26"/>
      <c r="AD9" s="30">
        <v>2000</v>
      </c>
      <c r="AE9" s="26"/>
    </row>
    <row r="10" spans="2:42" x14ac:dyDescent="0.3">
      <c r="B10" s="16" t="s">
        <v>30</v>
      </c>
      <c r="C10" s="17">
        <v>4444</v>
      </c>
      <c r="E10" s="18" t="s">
        <v>31</v>
      </c>
      <c r="F10" s="119">
        <v>9258</v>
      </c>
      <c r="G10" s="117">
        <v>7239.5064999999986</v>
      </c>
      <c r="H10" s="117">
        <v>1781.4875875</v>
      </c>
      <c r="I10" s="19">
        <f>G10+H10</f>
        <v>9020.9940874999993</v>
      </c>
      <c r="J10" s="119">
        <v>9259</v>
      </c>
      <c r="K10" s="117">
        <v>7045.2649999999994</v>
      </c>
      <c r="L10" s="117">
        <v>1442.1156800000001</v>
      </c>
      <c r="M10" s="19">
        <f>K10+L10</f>
        <v>8487.3806800000002</v>
      </c>
      <c r="N10" s="88">
        <v>42</v>
      </c>
      <c r="O10" s="88">
        <v>30</v>
      </c>
      <c r="P10" s="92"/>
      <c r="Q10" s="20">
        <f>J10-P10</f>
        <v>9259</v>
      </c>
      <c r="R10" s="21">
        <v>344</v>
      </c>
      <c r="S10" s="20">
        <f>IF(R10&gt;0,(R10-R11-$Q10),"")</f>
        <v>-8915</v>
      </c>
      <c r="T10" s="21">
        <v>1127</v>
      </c>
      <c r="U10" s="20">
        <f>IF(T10&gt;0,(T10-T11-$Q10),"")</f>
        <v>-8289</v>
      </c>
      <c r="V10" s="21">
        <v>2610</v>
      </c>
      <c r="W10" s="20">
        <f>IF(V10&gt;0,(V10-V11-$Q10),"")</f>
        <v>-7111</v>
      </c>
      <c r="X10" s="21">
        <v>5407</v>
      </c>
      <c r="Y10" s="20">
        <f>IF(X10&gt;0,(X10-X11-$Q10),"")</f>
        <v>-5335</v>
      </c>
      <c r="Z10" s="21">
        <v>6349</v>
      </c>
      <c r="AA10" s="20">
        <f>IF(Z10&gt;0,(Z10-Z11-$Q10),"")</f>
        <v>-3092</v>
      </c>
      <c r="AB10" s="21">
        <v>6349</v>
      </c>
      <c r="AC10" s="22">
        <f>IF(AB10&gt;0,(AB10-AB11-$Q10),"")</f>
        <v>-3092</v>
      </c>
      <c r="AD10" s="21">
        <v>6349</v>
      </c>
      <c r="AE10" s="22">
        <f>IF(AD10&gt;0,(AD10-AD11-$Q10),"")</f>
        <v>-3092</v>
      </c>
    </row>
    <row r="11" spans="2:42" x14ac:dyDescent="0.3">
      <c r="B11" s="16" t="s">
        <v>32</v>
      </c>
      <c r="C11" s="17">
        <v>2104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0</v>
      </c>
      <c r="S11" s="24"/>
      <c r="T11" s="30">
        <v>157</v>
      </c>
      <c r="U11" s="24"/>
      <c r="V11" s="30">
        <v>462</v>
      </c>
      <c r="W11" s="24"/>
      <c r="X11" s="30">
        <v>1483</v>
      </c>
      <c r="Y11" s="24"/>
      <c r="Z11" s="30">
        <v>182</v>
      </c>
      <c r="AA11" s="24"/>
      <c r="AB11" s="30">
        <v>182</v>
      </c>
      <c r="AC11" s="26"/>
      <c r="AD11" s="30">
        <v>182</v>
      </c>
      <c r="AE11" s="26"/>
    </row>
    <row r="12" spans="2:42" x14ac:dyDescent="0.3">
      <c r="B12" s="16" t="s">
        <v>34</v>
      </c>
      <c r="C12" s="17">
        <v>1707</v>
      </c>
      <c r="E12" s="29" t="s">
        <v>35</v>
      </c>
      <c r="F12" s="119">
        <v>13141</v>
      </c>
      <c r="G12" s="117">
        <v>12420.157499999999</v>
      </c>
      <c r="H12" s="117">
        <v>11827.29629264</v>
      </c>
      <c r="I12" s="19">
        <f>G12+H12</f>
        <v>24247.453792640001</v>
      </c>
      <c r="J12" s="119">
        <v>12325</v>
      </c>
      <c r="K12" s="117">
        <v>11280.99525</v>
      </c>
      <c r="L12" s="117">
        <v>10618.95645578</v>
      </c>
      <c r="M12" s="19">
        <f>K12+L12</f>
        <v>21899.95170578</v>
      </c>
      <c r="N12" s="88">
        <v>41</v>
      </c>
      <c r="O12" s="88">
        <v>31</v>
      </c>
      <c r="P12" s="92"/>
      <c r="Q12" s="20">
        <f>J12-P12</f>
        <v>12325</v>
      </c>
      <c r="R12" s="21">
        <v>1922</v>
      </c>
      <c r="S12" s="20">
        <f>IF(R12&gt;0,(R12-R13-$Q12),"")</f>
        <v>-11080</v>
      </c>
      <c r="T12" s="21">
        <v>2876</v>
      </c>
      <c r="U12" s="20">
        <f>IF(T12&gt;0,(T12-T13-$Q12),"")</f>
        <v>-10126</v>
      </c>
      <c r="V12" s="21">
        <v>4950</v>
      </c>
      <c r="W12" s="20">
        <f>IF(V12&gt;0,(V12-V13-$Q12),"")</f>
        <v>-8052</v>
      </c>
      <c r="X12" s="21">
        <v>9657</v>
      </c>
      <c r="Y12" s="20">
        <f>IF(X12&gt;0,(X12-X13-$Q12),"")</f>
        <v>-3727</v>
      </c>
      <c r="Z12" s="21">
        <v>10388</v>
      </c>
      <c r="AA12" s="20">
        <f>IF(Z12&gt;0,(Z12-Z13-$Q12),"")</f>
        <v>-2342</v>
      </c>
      <c r="AB12" s="21">
        <v>10388</v>
      </c>
      <c r="AC12" s="22">
        <f>IF(AB12&gt;0,(AB12-AB13-$Q12),"")</f>
        <v>-2342</v>
      </c>
      <c r="AD12" s="21">
        <v>10388</v>
      </c>
      <c r="AE12" s="22">
        <f>IF(AD12&gt;0,(AD12-AD13-$Q12),"")</f>
        <v>-2342</v>
      </c>
    </row>
    <row r="13" spans="2:42" x14ac:dyDescent="0.3">
      <c r="B13" s="16" t="s">
        <v>36</v>
      </c>
      <c r="C13" s="17">
        <v>5014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677</v>
      </c>
      <c r="S13" s="24"/>
      <c r="T13" s="30">
        <v>677</v>
      </c>
      <c r="U13" s="24"/>
      <c r="V13" s="30">
        <v>677</v>
      </c>
      <c r="W13" s="24"/>
      <c r="X13" s="30">
        <v>1059</v>
      </c>
      <c r="Y13" s="24"/>
      <c r="Z13" s="30">
        <v>405</v>
      </c>
      <c r="AA13" s="24"/>
      <c r="AB13" s="30">
        <v>405</v>
      </c>
      <c r="AC13" s="26"/>
      <c r="AD13" s="30">
        <v>405</v>
      </c>
      <c r="AE13" s="26"/>
    </row>
    <row r="14" spans="2:42" x14ac:dyDescent="0.3">
      <c r="B14" s="16" t="s">
        <v>38</v>
      </c>
      <c r="C14" s="17">
        <v>7659</v>
      </c>
      <c r="E14" s="18" t="s">
        <v>39</v>
      </c>
      <c r="F14" s="119">
        <v>21112</v>
      </c>
      <c r="G14" s="117">
        <v>20668.6875</v>
      </c>
      <c r="H14" s="117">
        <v>26441.386425320012</v>
      </c>
      <c r="I14" s="19">
        <f>G14+H14</f>
        <v>47110.073925320015</v>
      </c>
      <c r="J14" s="119">
        <v>21112</v>
      </c>
      <c r="K14" s="117">
        <v>20668.6875</v>
      </c>
      <c r="L14" s="117">
        <v>25399.135321220001</v>
      </c>
      <c r="M14" s="19">
        <f>K14+L14</f>
        <v>46067.822821220005</v>
      </c>
      <c r="N14" s="88">
        <v>63</v>
      </c>
      <c r="O14" s="88">
        <v>53</v>
      </c>
      <c r="P14" s="92"/>
      <c r="Q14" s="20">
        <f>J14-P14</f>
        <v>21112</v>
      </c>
      <c r="R14" s="21">
        <v>3908</v>
      </c>
      <c r="S14" s="20">
        <f>IF(R14&gt;0,(R14-R15-$Q14),"")</f>
        <v>-20609</v>
      </c>
      <c r="T14" s="21">
        <v>8433</v>
      </c>
      <c r="U14" s="20">
        <f>IF(T14&gt;0,(T14-T15-$Q14),"")</f>
        <v>-20327</v>
      </c>
      <c r="V14" s="21">
        <v>10150</v>
      </c>
      <c r="W14" s="20">
        <f>IF(V14&gt;0,(V14-V15-$Q14),"")</f>
        <v>-19957</v>
      </c>
      <c r="X14" s="21">
        <v>12262</v>
      </c>
      <c r="Y14" s="20">
        <f>IF(X14&gt;0,(X14-X15-$Q14),"")</f>
        <v>-17957</v>
      </c>
      <c r="Z14" s="21">
        <v>14047</v>
      </c>
      <c r="AA14" s="20">
        <f>IF(Z14&gt;0,(Z14-Z15-$Q14),"")</f>
        <v>-7681</v>
      </c>
      <c r="AB14" s="21">
        <v>14047</v>
      </c>
      <c r="AC14" s="22">
        <f>IF(AB14&gt;0,(AB14-AB15-$Q14),"")</f>
        <v>-7681</v>
      </c>
      <c r="AD14" s="21">
        <v>14047</v>
      </c>
      <c r="AE14" s="22">
        <f>IF(AD14&gt;0,(AD14-AD15-$Q14),"")</f>
        <v>-7681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3405</v>
      </c>
      <c r="S15" s="24"/>
      <c r="T15" s="25">
        <v>7648</v>
      </c>
      <c r="U15" s="24"/>
      <c r="V15" s="25">
        <v>8995</v>
      </c>
      <c r="W15" s="24"/>
      <c r="X15" s="25">
        <v>9107</v>
      </c>
      <c r="Y15" s="24"/>
      <c r="Z15" s="25">
        <v>616</v>
      </c>
      <c r="AA15" s="24"/>
      <c r="AB15" s="25">
        <v>616</v>
      </c>
      <c r="AC15" s="26"/>
      <c r="AD15" s="25">
        <v>616</v>
      </c>
      <c r="AE15" s="26"/>
    </row>
    <row r="16" spans="2:42" ht="15" customHeight="1" thickBot="1" x14ac:dyDescent="0.35">
      <c r="B16" s="28" t="s">
        <v>42</v>
      </c>
      <c r="C16" s="17">
        <v>10887</v>
      </c>
      <c r="E16" s="84"/>
      <c r="F16" s="31">
        <f t="shared" ref="F16:M16" si="0">SUM(F6:F15)</f>
        <v>81030</v>
      </c>
      <c r="G16" s="31">
        <f t="shared" si="0"/>
        <v>64826.881875000006</v>
      </c>
      <c r="H16" s="31">
        <f t="shared" si="0"/>
        <v>55014.870044320007</v>
      </c>
      <c r="I16" s="32">
        <f t="shared" si="0"/>
        <v>119841.75191932001</v>
      </c>
      <c r="J16" s="33">
        <f t="shared" si="0"/>
        <v>76968</v>
      </c>
      <c r="K16" s="33">
        <f t="shared" si="0"/>
        <v>61393.117125000004</v>
      </c>
      <c r="L16" s="33">
        <f t="shared" si="0"/>
        <v>47727.546268279999</v>
      </c>
      <c r="M16" s="33">
        <f t="shared" si="0"/>
        <v>109120.66339328</v>
      </c>
      <c r="N16" s="31">
        <f>SUM(N14,N12,N10,N8,N6)</f>
        <v>240</v>
      </c>
      <c r="O16" s="31">
        <f>SUM(O14,O12,O10,O8,O6)</f>
        <v>185</v>
      </c>
      <c r="P16" s="34">
        <f>SUM(P6:P15)</f>
        <v>0</v>
      </c>
      <c r="Q16" s="34">
        <f>SUM(Q6:Q15)</f>
        <v>76968</v>
      </c>
      <c r="R16" s="35">
        <f>R6+R8+R10+R12+R14-R7-R9-R11-R13-R15</f>
        <v>6801</v>
      </c>
      <c r="S16" s="36">
        <f>IF(R16&gt;1,(R16-$Q16),"")</f>
        <v>-70167</v>
      </c>
      <c r="T16" s="35">
        <f>T6+T8+T10+T12+T14-T7-T9-T11-T13-T15</f>
        <v>11768</v>
      </c>
      <c r="U16" s="36">
        <f>IF(T16&gt;1,(T16-$Q16),"")</f>
        <v>-65200</v>
      </c>
      <c r="V16" s="35">
        <f>V6+V8+V10+V12+V14-V7-V9-V11-V13-V15</f>
        <v>20753</v>
      </c>
      <c r="W16" s="36">
        <f>IF(V16&gt;1,(V16-$Q16),"")</f>
        <v>-56215</v>
      </c>
      <c r="X16" s="35">
        <f>X6+X8+X10+X12+X14-X7-X9-X11-X13-X15</f>
        <v>33550</v>
      </c>
      <c r="Y16" s="36">
        <f>IF(X16&gt;1,(X16-$Q16),"")</f>
        <v>-43418</v>
      </c>
      <c r="Z16" s="35">
        <f>Z6+Z8+Z10+Z12+Z14-Z7-Z9-Z11-Z13-Z15</f>
        <v>60122</v>
      </c>
      <c r="AA16" s="36">
        <f>IF(Z16&gt;1,(Z16-$Q16),"")</f>
        <v>-16846</v>
      </c>
      <c r="AB16" s="35">
        <f>AB6+AB8+AB10+AB12+AB14-AB7-AB9-AB11-AB13-AB15</f>
        <v>60122</v>
      </c>
      <c r="AC16" s="37">
        <f>IF(AB16&gt;1,(AB16-$Q16),"")</f>
        <v>-16846</v>
      </c>
      <c r="AD16" s="35">
        <f>AD6+AD8+AD10+AD12+AD14-AD7-AD9-AD11-AD13-AD15</f>
        <v>60122</v>
      </c>
      <c r="AE16" s="37">
        <f>IF(AD16&gt;1,(AD16-$Q16),"")</f>
        <v>-16846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4101</v>
      </c>
      <c r="S17" s="41"/>
      <c r="T17" s="40">
        <f>T15+T13+T11+T9+T7</f>
        <v>8508</v>
      </c>
      <c r="U17" s="41"/>
      <c r="V17" s="40">
        <f>V15+V13+V11+V9+V7</f>
        <v>10171</v>
      </c>
      <c r="W17" s="41"/>
      <c r="X17" s="40">
        <f>X15+X13+X11+X9+X7</f>
        <v>11686</v>
      </c>
      <c r="Y17" s="41"/>
      <c r="Z17" s="40">
        <f>Z15+Z13+Z11+Z9+Z7</f>
        <v>3240</v>
      </c>
      <c r="AA17" s="41"/>
      <c r="AB17" s="40">
        <f>AB15+AB13+AB11+AB9+AB7</f>
        <v>3240</v>
      </c>
      <c r="AC17" s="42"/>
      <c r="AD17" s="40">
        <f>AD15+AD13+AD11+AD9+AD7</f>
        <v>3240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3400.5</v>
      </c>
      <c r="S18" s="46"/>
      <c r="T18" s="47">
        <f>IF(T16&gt;0,(T16-R16)/2,"")</f>
        <v>2483.5</v>
      </c>
      <c r="U18" s="46"/>
      <c r="V18" s="47">
        <f>IF(V16&gt;0,(V16-T16)/2,"")</f>
        <v>4492.5</v>
      </c>
      <c r="W18" s="46"/>
      <c r="X18" s="47">
        <f>IF(X16&gt;0,(X16-V16)/2,"")</f>
        <v>6398.5</v>
      </c>
      <c r="Y18" s="46"/>
      <c r="Z18" s="47">
        <f>IF(Z16&gt;0,(Z16-X16)/2,"")</f>
        <v>13286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4715</v>
      </c>
      <c r="S20" s="36"/>
      <c r="T20" s="35">
        <v>20267</v>
      </c>
      <c r="U20" s="36"/>
      <c r="V20" s="35">
        <v>32524</v>
      </c>
      <c r="W20" s="36"/>
      <c r="X20" s="35">
        <v>56978</v>
      </c>
      <c r="Y20" s="36"/>
      <c r="Z20" s="35">
        <v>65486</v>
      </c>
      <c r="AA20" s="36"/>
      <c r="AB20" s="35">
        <v>67122</v>
      </c>
      <c r="AC20" s="37"/>
      <c r="AD20" s="35">
        <v>67122</v>
      </c>
      <c r="AE20" s="37">
        <v>-19906</v>
      </c>
    </row>
    <row r="21" spans="2:43" ht="15" customHeight="1" thickBot="1" x14ac:dyDescent="0.35">
      <c r="B21" s="16" t="s">
        <v>50</v>
      </c>
      <c r="C21" s="17">
        <v>8950</v>
      </c>
      <c r="L21" s="4"/>
      <c r="M21" s="4"/>
      <c r="Q21" s="52"/>
      <c r="R21" s="40">
        <v>72</v>
      </c>
      <c r="S21" s="41"/>
      <c r="T21" s="40">
        <v>250</v>
      </c>
      <c r="U21" s="41"/>
      <c r="V21" s="40">
        <v>441</v>
      </c>
      <c r="W21" s="41"/>
      <c r="X21" s="40">
        <v>1448</v>
      </c>
      <c r="Y21" s="41"/>
      <c r="Z21" s="40">
        <v>2268</v>
      </c>
      <c r="AA21" s="41"/>
      <c r="AB21" s="40">
        <v>2290</v>
      </c>
      <c r="AC21" s="42"/>
      <c r="AD21" s="40">
        <v>2290</v>
      </c>
      <c r="AE21" s="42"/>
    </row>
    <row r="22" spans="2:43" ht="15" customHeight="1" thickBot="1" x14ac:dyDescent="0.35">
      <c r="B22" s="16" t="s">
        <v>51</v>
      </c>
      <c r="C22" s="17">
        <v>2814</v>
      </c>
      <c r="L22" s="4"/>
      <c r="M22" s="4"/>
      <c r="Q22" s="54"/>
      <c r="R22" s="55">
        <v>2357.5</v>
      </c>
      <c r="S22" s="55"/>
      <c r="T22" s="55">
        <v>7776</v>
      </c>
      <c r="U22" s="55"/>
      <c r="V22" s="55">
        <v>6128.5</v>
      </c>
      <c r="W22" s="55"/>
      <c r="X22" s="55">
        <v>12227</v>
      </c>
      <c r="Y22" s="55"/>
      <c r="Z22" s="55">
        <v>4254</v>
      </c>
      <c r="AA22" s="55"/>
      <c r="AB22" s="55">
        <v>818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4698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2086</v>
      </c>
      <c r="S24" s="60"/>
      <c r="T24" s="60">
        <f>IF(T16&gt;0,T16-T20,"")</f>
        <v>-8499</v>
      </c>
      <c r="U24" s="60"/>
      <c r="V24" s="60">
        <f>IF(V16&gt;0,V16-V20,"")</f>
        <v>-11771</v>
      </c>
      <c r="W24" s="60"/>
      <c r="X24" s="60">
        <f>IF(X16&gt;0,X16-X20,"")</f>
        <v>-23428</v>
      </c>
      <c r="Y24" s="60"/>
      <c r="Z24" s="60">
        <f>IF(Z16&gt;0,Z16-Z20,"")</f>
        <v>-5364</v>
      </c>
      <c r="AA24" s="60"/>
      <c r="AB24" s="60">
        <f>IF(AB16&gt;0,AB16-AB20,"")</f>
        <v>-7000</v>
      </c>
      <c r="AC24" s="61"/>
      <c r="AD24" s="60">
        <f>IF(AD16&gt;0,AD16-AD20,"")</f>
        <v>-7000</v>
      </c>
      <c r="AE24" s="61"/>
    </row>
    <row r="25" spans="2:43" x14ac:dyDescent="0.3">
      <c r="L25" s="4"/>
      <c r="M25" s="4"/>
      <c r="Q25" s="62"/>
      <c r="R25" s="63">
        <f>IF(R17&gt;=0,R17-R21,"")</f>
        <v>4029</v>
      </c>
      <c r="S25" s="64"/>
      <c r="T25" s="63">
        <f>IF(T17&gt;=0,T17-T21,"")</f>
        <v>8258</v>
      </c>
      <c r="U25" s="64"/>
      <c r="V25" s="63">
        <f>IF(V17&gt;=0,V17-V21,"")</f>
        <v>9730</v>
      </c>
      <c r="W25" s="64"/>
      <c r="X25" s="63">
        <f>IF(X17&gt;=0,X17-X21,"")</f>
        <v>10238</v>
      </c>
      <c r="Y25" s="64"/>
      <c r="Z25" s="63">
        <f>IF(Z17&gt;=0,Z17-Z21,"")</f>
        <v>972</v>
      </c>
      <c r="AA25" s="64"/>
      <c r="AB25" s="63">
        <f>IF(AB17&gt;=0,AB17-AB21,"")</f>
        <v>950</v>
      </c>
      <c r="AC25" s="65"/>
      <c r="AD25" s="63">
        <f>IF(AD17&gt;=0,AD17-AD21,"")</f>
        <v>950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1043</v>
      </c>
      <c r="S26" s="55"/>
      <c r="T26" s="67">
        <f>IFERROR(IF(T18&gt;0,T18-T22,""),"")</f>
        <v>-5292.5</v>
      </c>
      <c r="U26" s="55"/>
      <c r="V26" s="67">
        <f>IFERROR(IF(V18&gt;0,V18-V22,""),"")</f>
        <v>-1636</v>
      </c>
      <c r="W26" s="55"/>
      <c r="X26" s="67">
        <f>IFERROR(IF(X18&gt;0,X18-X22,""),"")</f>
        <v>-5828.5</v>
      </c>
      <c r="Y26" s="55"/>
      <c r="Z26" s="67">
        <f>IFERROR(IF(Z18&gt;0,Z18-Z22,""),"")</f>
        <v>9032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11083</v>
      </c>
      <c r="D29" s="76">
        <f>C14</f>
        <v>7659</v>
      </c>
      <c r="E29" s="77">
        <f t="shared" ref="E29:E34" si="1">D29-C29</f>
        <v>-3424</v>
      </c>
      <c r="M29" s="4"/>
      <c r="O29" s="4"/>
    </row>
    <row r="30" spans="2:43" x14ac:dyDescent="0.3">
      <c r="B30" s="74" t="s">
        <v>56</v>
      </c>
      <c r="C30" s="75">
        <v>28395</v>
      </c>
      <c r="D30" s="76">
        <f>C7+C15+C16+C19+C20</f>
        <v>10887</v>
      </c>
      <c r="E30" s="77">
        <f t="shared" si="1"/>
        <v>-17508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13269</v>
      </c>
      <c r="D32" s="76">
        <f>C10+C11+C12+C13</f>
        <v>13269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16468</v>
      </c>
      <c r="D34" s="76">
        <f>C21+C22+C23</f>
        <v>16462</v>
      </c>
      <c r="E34" s="77">
        <f t="shared" si="1"/>
        <v>-6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5126</v>
      </c>
      <c r="D35" s="80">
        <f>SUM(C8+C9)</f>
        <v>5126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2223</v>
      </c>
      <c r="R36" s="104">
        <v>160</v>
      </c>
      <c r="S36" s="104">
        <f t="shared" ref="S36:S65" si="2">IF(T36&gt;0,(T36-R36)/2,"")</f>
        <v>0</v>
      </c>
      <c r="T36" s="104">
        <v>160</v>
      </c>
      <c r="U36" s="104">
        <f t="shared" ref="U36:U65" si="3">IF(V36&gt;0,(V36-T36)/2,"")</f>
        <v>617</v>
      </c>
      <c r="V36" s="104">
        <v>1394</v>
      </c>
      <c r="W36" s="104">
        <f t="shared" ref="W36:W65" si="4">IF(X36&gt;0,(X36-V36)/2,"")</f>
        <v>0</v>
      </c>
      <c r="X36" s="104">
        <v>1394</v>
      </c>
      <c r="Y36" s="104">
        <f t="shared" ref="Y36:Y65" si="5">IF(Z36&gt;0,(Z36-X36)/2,"")</f>
        <v>0</v>
      </c>
      <c r="Z36" s="104">
        <v>1394</v>
      </c>
      <c r="AA36" s="104">
        <f t="shared" ref="AA36:AA65" si="6">IF(AB36&gt;0,(AB36-Z36)/2,"")</f>
        <v>0</v>
      </c>
      <c r="AB36" s="104">
        <v>1394</v>
      </c>
      <c r="AC36" s="104">
        <f t="shared" ref="AC36:AC65" si="7">IF(AD36&gt;0,(AD36-AB36)/2,"")</f>
        <v>0</v>
      </c>
      <c r="AD36" s="104">
        <v>1394</v>
      </c>
      <c r="AE36" s="105">
        <f t="shared" ref="AE36:AE65" si="8">AD36-Q36</f>
        <v>-829</v>
      </c>
    </row>
    <row r="37" spans="2:31" ht="15.6" customHeight="1" x14ac:dyDescent="0.3">
      <c r="N37" s="212"/>
      <c r="O37" s="95" t="s">
        <v>66</v>
      </c>
      <c r="P37" s="106"/>
      <c r="Q37" s="106">
        <v>1534</v>
      </c>
      <c r="R37" s="106">
        <v>0</v>
      </c>
      <c r="S37" s="106">
        <f t="shared" si="2"/>
        <v>257.5</v>
      </c>
      <c r="T37" s="106">
        <v>515</v>
      </c>
      <c r="U37" s="106">
        <f t="shared" si="3"/>
        <v>336.5</v>
      </c>
      <c r="V37" s="106">
        <v>1188</v>
      </c>
      <c r="W37" s="106">
        <f t="shared" si="4"/>
        <v>172.5</v>
      </c>
      <c r="X37" s="106">
        <v>1533</v>
      </c>
      <c r="Y37" s="106">
        <f t="shared" si="5"/>
        <v>0</v>
      </c>
      <c r="Z37" s="106">
        <v>1533</v>
      </c>
      <c r="AA37" s="106">
        <f t="shared" si="6"/>
        <v>0</v>
      </c>
      <c r="AB37" s="106">
        <v>1533</v>
      </c>
      <c r="AC37" s="106">
        <f t="shared" si="7"/>
        <v>0</v>
      </c>
      <c r="AD37" s="106">
        <v>1533</v>
      </c>
      <c r="AE37" s="107">
        <f t="shared" si="8"/>
        <v>-1</v>
      </c>
    </row>
    <row r="38" spans="2:31" ht="15.6" customHeight="1" x14ac:dyDescent="0.3">
      <c r="N38" s="212"/>
      <c r="O38" s="94" t="s">
        <v>67</v>
      </c>
      <c r="P38" s="108"/>
      <c r="Q38" s="108">
        <v>2671</v>
      </c>
      <c r="R38" s="108">
        <v>583</v>
      </c>
      <c r="S38" s="108">
        <f t="shared" si="2"/>
        <v>0</v>
      </c>
      <c r="T38" s="108">
        <v>583</v>
      </c>
      <c r="U38" s="108">
        <f t="shared" si="3"/>
        <v>139</v>
      </c>
      <c r="V38" s="108">
        <v>861</v>
      </c>
      <c r="W38" s="108">
        <f t="shared" si="4"/>
        <v>0</v>
      </c>
      <c r="X38" s="108">
        <v>861</v>
      </c>
      <c r="Y38" s="108">
        <f t="shared" si="5"/>
        <v>0</v>
      </c>
      <c r="Z38" s="108">
        <v>861</v>
      </c>
      <c r="AA38" s="108">
        <f t="shared" si="6"/>
        <v>0</v>
      </c>
      <c r="AB38" s="108">
        <v>861</v>
      </c>
      <c r="AC38" s="108">
        <f t="shared" si="7"/>
        <v>0</v>
      </c>
      <c r="AD38" s="108">
        <v>861</v>
      </c>
      <c r="AE38" s="109">
        <f t="shared" si="8"/>
        <v>-1810</v>
      </c>
    </row>
    <row r="39" spans="2:31" ht="15.6" customHeight="1" x14ac:dyDescent="0.3">
      <c r="N39" s="212"/>
      <c r="O39" s="95" t="s">
        <v>68</v>
      </c>
      <c r="P39" s="106"/>
      <c r="Q39" s="106">
        <v>3023</v>
      </c>
      <c r="R39" s="106">
        <v>722</v>
      </c>
      <c r="S39" s="106">
        <f t="shared" si="2"/>
        <v>0</v>
      </c>
      <c r="T39" s="106">
        <v>722</v>
      </c>
      <c r="U39" s="106">
        <f t="shared" si="3"/>
        <v>549.5</v>
      </c>
      <c r="V39" s="106">
        <v>1821</v>
      </c>
      <c r="W39" s="106">
        <f t="shared" si="4"/>
        <v>601</v>
      </c>
      <c r="X39" s="106">
        <v>3023</v>
      </c>
      <c r="Y39" s="106">
        <f t="shared" si="5"/>
        <v>0</v>
      </c>
      <c r="Z39" s="106">
        <v>3023</v>
      </c>
      <c r="AA39" s="106">
        <f t="shared" si="6"/>
        <v>0</v>
      </c>
      <c r="AB39" s="106">
        <v>3023</v>
      </c>
      <c r="AC39" s="106">
        <f t="shared" si="7"/>
        <v>0</v>
      </c>
      <c r="AD39" s="106">
        <v>3023</v>
      </c>
      <c r="AE39" s="107">
        <f t="shared" si="8"/>
        <v>0</v>
      </c>
    </row>
    <row r="40" spans="2:31" ht="15.6" customHeight="1" x14ac:dyDescent="0.3">
      <c r="N40" s="212"/>
      <c r="O40" s="94" t="s">
        <v>69</v>
      </c>
      <c r="P40" s="108"/>
      <c r="Q40" s="108">
        <v>2764</v>
      </c>
      <c r="R40" s="108">
        <v>932</v>
      </c>
      <c r="S40" s="108">
        <f t="shared" si="2"/>
        <v>240.5</v>
      </c>
      <c r="T40" s="108">
        <v>1413</v>
      </c>
      <c r="U40" s="108">
        <f t="shared" si="3"/>
        <v>265</v>
      </c>
      <c r="V40" s="108">
        <v>1943</v>
      </c>
      <c r="W40" s="108">
        <f t="shared" si="4"/>
        <v>407.5</v>
      </c>
      <c r="X40" s="108">
        <v>2758</v>
      </c>
      <c r="Y40" s="108">
        <f t="shared" si="5"/>
        <v>0</v>
      </c>
      <c r="Z40" s="108">
        <v>2758</v>
      </c>
      <c r="AA40" s="108">
        <f t="shared" si="6"/>
        <v>0</v>
      </c>
      <c r="AB40" s="108">
        <v>2758</v>
      </c>
      <c r="AC40" s="108">
        <f t="shared" si="7"/>
        <v>0</v>
      </c>
      <c r="AD40" s="108">
        <v>2758</v>
      </c>
      <c r="AE40" s="109">
        <f t="shared" si="8"/>
        <v>-6</v>
      </c>
    </row>
    <row r="41" spans="2:31" ht="15.6" customHeight="1" x14ac:dyDescent="0.3">
      <c r="N41" s="212"/>
      <c r="O41" s="95" t="s">
        <v>70</v>
      </c>
      <c r="P41" s="106"/>
      <c r="Q41" s="106">
        <v>628</v>
      </c>
      <c r="R41" s="106">
        <v>235</v>
      </c>
      <c r="S41" s="106">
        <f t="shared" si="2"/>
        <v>45.5</v>
      </c>
      <c r="T41" s="106">
        <v>326</v>
      </c>
      <c r="U41" s="106">
        <f t="shared" si="3"/>
        <v>0</v>
      </c>
      <c r="V41" s="106">
        <v>326</v>
      </c>
      <c r="W41" s="106">
        <f t="shared" si="4"/>
        <v>160</v>
      </c>
      <c r="X41" s="106">
        <v>646</v>
      </c>
      <c r="Y41" s="106">
        <f t="shared" si="5"/>
        <v>0</v>
      </c>
      <c r="Z41" s="106">
        <v>646</v>
      </c>
      <c r="AA41" s="106">
        <f t="shared" si="6"/>
        <v>0</v>
      </c>
      <c r="AB41" s="106">
        <v>646</v>
      </c>
      <c r="AC41" s="106">
        <f t="shared" si="7"/>
        <v>0</v>
      </c>
      <c r="AD41" s="106">
        <v>646</v>
      </c>
      <c r="AE41" s="107">
        <f t="shared" si="8"/>
        <v>18</v>
      </c>
    </row>
    <row r="42" spans="2:31" ht="15.6" customHeight="1" x14ac:dyDescent="0.3">
      <c r="N42" s="212"/>
      <c r="O42" s="94" t="s">
        <v>71</v>
      </c>
      <c r="P42" s="108"/>
      <c r="Q42" s="108">
        <v>1231</v>
      </c>
      <c r="R42" s="108">
        <v>275</v>
      </c>
      <c r="S42" s="108">
        <f t="shared" si="2"/>
        <v>219.5</v>
      </c>
      <c r="T42" s="108">
        <v>714</v>
      </c>
      <c r="U42" s="108">
        <f t="shared" si="3"/>
        <v>0</v>
      </c>
      <c r="V42" s="108">
        <v>714</v>
      </c>
      <c r="W42" s="108">
        <f t="shared" si="4"/>
        <v>0</v>
      </c>
      <c r="X42" s="108">
        <v>714</v>
      </c>
      <c r="Y42" s="108">
        <f t="shared" si="5"/>
        <v>0</v>
      </c>
      <c r="Z42" s="108">
        <v>714</v>
      </c>
      <c r="AA42" s="108">
        <f t="shared" si="6"/>
        <v>0</v>
      </c>
      <c r="AB42" s="108">
        <v>714</v>
      </c>
      <c r="AC42" s="108">
        <f t="shared" si="7"/>
        <v>0</v>
      </c>
      <c r="AD42" s="108">
        <v>714</v>
      </c>
      <c r="AE42" s="109">
        <f t="shared" si="8"/>
        <v>-517</v>
      </c>
    </row>
    <row r="43" spans="2:31" ht="15.6" customHeight="1" x14ac:dyDescent="0.3">
      <c r="N43" s="212"/>
      <c r="O43" s="95" t="s">
        <v>72</v>
      </c>
      <c r="P43" s="106"/>
      <c r="Q43" s="106">
        <v>1723</v>
      </c>
      <c r="R43" s="106">
        <v>366</v>
      </c>
      <c r="S43" s="106">
        <f t="shared" si="2"/>
        <v>0</v>
      </c>
      <c r="T43" s="106">
        <v>366</v>
      </c>
      <c r="U43" s="106">
        <f t="shared" si="3"/>
        <v>0</v>
      </c>
      <c r="V43" s="106">
        <v>366</v>
      </c>
      <c r="W43" s="106">
        <f t="shared" si="4"/>
        <v>678.5</v>
      </c>
      <c r="X43" s="106">
        <v>1723</v>
      </c>
      <c r="Y43" s="106">
        <f t="shared" si="5"/>
        <v>0</v>
      </c>
      <c r="Z43" s="106">
        <v>1723</v>
      </c>
      <c r="AA43" s="106">
        <f t="shared" si="6"/>
        <v>0</v>
      </c>
      <c r="AB43" s="106">
        <v>1723</v>
      </c>
      <c r="AC43" s="106">
        <f t="shared" si="7"/>
        <v>0</v>
      </c>
      <c r="AD43" s="106">
        <v>1723</v>
      </c>
      <c r="AE43" s="107">
        <f t="shared" si="8"/>
        <v>0</v>
      </c>
    </row>
    <row r="44" spans="2:31" ht="15.6" customHeight="1" thickBot="1" x14ac:dyDescent="0.35">
      <c r="N44" s="213"/>
      <c r="O44" s="97" t="s">
        <v>73</v>
      </c>
      <c r="P44" s="110"/>
      <c r="Q44" s="110">
        <v>1457</v>
      </c>
      <c r="R44" s="110">
        <v>455</v>
      </c>
      <c r="S44" s="110">
        <f t="shared" si="2"/>
        <v>249.5</v>
      </c>
      <c r="T44" s="110">
        <v>954</v>
      </c>
      <c r="U44" s="110">
        <f t="shared" si="3"/>
        <v>204.5</v>
      </c>
      <c r="V44" s="110">
        <v>1363</v>
      </c>
      <c r="W44" s="110">
        <f t="shared" si="4"/>
        <v>50.5</v>
      </c>
      <c r="X44" s="110">
        <v>1464</v>
      </c>
      <c r="Y44" s="110">
        <f t="shared" si="5"/>
        <v>0</v>
      </c>
      <c r="Z44" s="110">
        <v>1464</v>
      </c>
      <c r="AA44" s="110">
        <f t="shared" si="6"/>
        <v>0</v>
      </c>
      <c r="AB44" s="110">
        <v>1464</v>
      </c>
      <c r="AC44" s="110">
        <f t="shared" si="7"/>
        <v>0</v>
      </c>
      <c r="AD44" s="110">
        <v>1464</v>
      </c>
      <c r="AE44" s="111">
        <f t="shared" si="8"/>
        <v>7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5306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575.5</v>
      </c>
      <c r="V45" s="112">
        <v>2151</v>
      </c>
      <c r="W45" s="112">
        <f t="shared" si="4"/>
        <v>0</v>
      </c>
      <c r="X45" s="112">
        <v>2151</v>
      </c>
      <c r="Y45" s="112">
        <f t="shared" si="5"/>
        <v>2577.5</v>
      </c>
      <c r="Z45" s="112">
        <v>7306</v>
      </c>
      <c r="AA45" s="112">
        <f t="shared" si="6"/>
        <v>0</v>
      </c>
      <c r="AB45" s="112">
        <v>7306</v>
      </c>
      <c r="AC45" s="112">
        <f t="shared" si="7"/>
        <v>0</v>
      </c>
      <c r="AD45" s="112">
        <v>7306</v>
      </c>
      <c r="AE45" s="113">
        <f t="shared" si="8"/>
        <v>2000</v>
      </c>
    </row>
    <row r="46" spans="2:31" ht="15.6" customHeight="1" x14ac:dyDescent="0.3">
      <c r="N46" s="212"/>
      <c r="O46" s="94" t="s">
        <v>66</v>
      </c>
      <c r="P46" s="108"/>
      <c r="Q46" s="108">
        <v>4179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>
        <f t="shared" si="5"/>
        <v>2089.5</v>
      </c>
      <c r="Z46" s="108">
        <v>4179</v>
      </c>
      <c r="AA46" s="108">
        <f t="shared" si="6"/>
        <v>0</v>
      </c>
      <c r="AB46" s="108">
        <v>4179</v>
      </c>
      <c r="AC46" s="108">
        <f t="shared" si="7"/>
        <v>0</v>
      </c>
      <c r="AD46" s="108">
        <v>4179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2806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278</v>
      </c>
      <c r="X47" s="106">
        <v>556</v>
      </c>
      <c r="Y47" s="106">
        <f t="shared" si="5"/>
        <v>847</v>
      </c>
      <c r="Z47" s="106">
        <v>2250</v>
      </c>
      <c r="AA47" s="106">
        <f t="shared" si="6"/>
        <v>0</v>
      </c>
      <c r="AB47" s="106">
        <v>2250</v>
      </c>
      <c r="AC47" s="106">
        <f t="shared" si="7"/>
        <v>0</v>
      </c>
      <c r="AD47" s="106">
        <v>2250</v>
      </c>
      <c r="AE47" s="107">
        <f t="shared" si="8"/>
        <v>-556</v>
      </c>
    </row>
    <row r="48" spans="2:31" ht="15.6" customHeight="1" thickBot="1" x14ac:dyDescent="0.35">
      <c r="N48" s="213"/>
      <c r="O48" s="97" t="s">
        <v>68</v>
      </c>
      <c r="P48" s="110"/>
      <c r="Q48" s="110">
        <v>4727</v>
      </c>
      <c r="R48" s="110">
        <v>0</v>
      </c>
      <c r="S48" s="110">
        <f t="shared" si="2"/>
        <v>543.5</v>
      </c>
      <c r="T48" s="110">
        <v>1087</v>
      </c>
      <c r="U48" s="110">
        <f t="shared" si="3"/>
        <v>0</v>
      </c>
      <c r="V48" s="110">
        <v>1087</v>
      </c>
      <c r="W48" s="110">
        <f t="shared" si="4"/>
        <v>0</v>
      </c>
      <c r="X48" s="110">
        <v>1087</v>
      </c>
      <c r="Y48" s="110">
        <f t="shared" si="5"/>
        <v>1820</v>
      </c>
      <c r="Z48" s="110">
        <v>4727</v>
      </c>
      <c r="AA48" s="110">
        <f t="shared" si="6"/>
        <v>0</v>
      </c>
      <c r="AB48" s="110">
        <v>4727</v>
      </c>
      <c r="AC48" s="110">
        <f t="shared" si="7"/>
        <v>0</v>
      </c>
      <c r="AD48" s="110">
        <v>4727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272</v>
      </c>
      <c r="R49" s="112">
        <v>0</v>
      </c>
      <c r="S49" s="112" t="str">
        <f t="shared" si="2"/>
        <v/>
      </c>
      <c r="T49" s="112">
        <v>0</v>
      </c>
      <c r="U49" s="112">
        <f t="shared" si="3"/>
        <v>36</v>
      </c>
      <c r="V49" s="112">
        <v>72</v>
      </c>
      <c r="W49" s="112">
        <f t="shared" si="4"/>
        <v>52.5</v>
      </c>
      <c r="X49" s="112">
        <v>177</v>
      </c>
      <c r="Y49" s="112">
        <f t="shared" si="5"/>
        <v>0</v>
      </c>
      <c r="Z49" s="112">
        <v>177</v>
      </c>
      <c r="AA49" s="112">
        <f t="shared" si="6"/>
        <v>0</v>
      </c>
      <c r="AB49" s="112">
        <v>177</v>
      </c>
      <c r="AC49" s="112">
        <f t="shared" si="7"/>
        <v>0</v>
      </c>
      <c r="AD49" s="112">
        <v>177</v>
      </c>
      <c r="AE49" s="113">
        <f t="shared" si="8"/>
        <v>-95</v>
      </c>
    </row>
    <row r="50" spans="14:31" ht="15.6" customHeight="1" x14ac:dyDescent="0.3">
      <c r="N50" s="212"/>
      <c r="O50" s="94" t="s">
        <v>66</v>
      </c>
      <c r="P50" s="108"/>
      <c r="Q50" s="108">
        <v>326</v>
      </c>
      <c r="R50" s="108">
        <v>0</v>
      </c>
      <c r="S50" s="108">
        <f t="shared" si="2"/>
        <v>163</v>
      </c>
      <c r="T50" s="108">
        <v>326</v>
      </c>
      <c r="U50" s="108">
        <f t="shared" si="3"/>
        <v>0</v>
      </c>
      <c r="V50" s="108">
        <v>326</v>
      </c>
      <c r="W50" s="108">
        <f t="shared" si="4"/>
        <v>10</v>
      </c>
      <c r="X50" s="108">
        <v>346</v>
      </c>
      <c r="Y50" s="108">
        <f t="shared" si="5"/>
        <v>0</v>
      </c>
      <c r="Z50" s="108">
        <v>346</v>
      </c>
      <c r="AA50" s="108">
        <f t="shared" si="6"/>
        <v>0</v>
      </c>
      <c r="AB50" s="108">
        <v>346</v>
      </c>
      <c r="AC50" s="108">
        <f t="shared" si="7"/>
        <v>0</v>
      </c>
      <c r="AD50" s="108">
        <v>346</v>
      </c>
      <c r="AE50" s="109">
        <f t="shared" si="8"/>
        <v>20</v>
      </c>
    </row>
    <row r="51" spans="14:31" ht="15.6" customHeight="1" x14ac:dyDescent="0.3">
      <c r="N51" s="212"/>
      <c r="O51" s="95" t="s">
        <v>67</v>
      </c>
      <c r="P51" s="106"/>
      <c r="Q51" s="106">
        <v>2216</v>
      </c>
      <c r="R51" s="106">
        <v>0</v>
      </c>
      <c r="S51" s="106">
        <f t="shared" si="2"/>
        <v>78.5</v>
      </c>
      <c r="T51" s="106">
        <v>157</v>
      </c>
      <c r="U51" s="106">
        <f t="shared" si="3"/>
        <v>145</v>
      </c>
      <c r="V51" s="106">
        <v>447</v>
      </c>
      <c r="W51" s="106">
        <f t="shared" si="4"/>
        <v>151</v>
      </c>
      <c r="X51" s="106">
        <v>749</v>
      </c>
      <c r="Y51" s="106">
        <f t="shared" si="5"/>
        <v>165.5</v>
      </c>
      <c r="Z51" s="106">
        <v>1080</v>
      </c>
      <c r="AA51" s="106">
        <f t="shared" si="6"/>
        <v>0</v>
      </c>
      <c r="AB51" s="106">
        <v>1080</v>
      </c>
      <c r="AC51" s="106">
        <f t="shared" si="7"/>
        <v>0</v>
      </c>
      <c r="AD51" s="106">
        <v>1080</v>
      </c>
      <c r="AE51" s="107">
        <f t="shared" si="8"/>
        <v>-1136</v>
      </c>
    </row>
    <row r="52" spans="14:31" ht="15.6" customHeight="1" x14ac:dyDescent="0.3">
      <c r="N52" s="212"/>
      <c r="O52" s="94" t="s">
        <v>68</v>
      </c>
      <c r="P52" s="108"/>
      <c r="Q52" s="108">
        <v>892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71</v>
      </c>
      <c r="X52" s="108">
        <v>142</v>
      </c>
      <c r="Y52" s="108">
        <f t="shared" si="5"/>
        <v>197.5</v>
      </c>
      <c r="Z52" s="108">
        <v>537</v>
      </c>
      <c r="AA52" s="108">
        <f t="shared" si="6"/>
        <v>0</v>
      </c>
      <c r="AB52" s="108">
        <v>537</v>
      </c>
      <c r="AC52" s="108">
        <f t="shared" si="7"/>
        <v>0</v>
      </c>
      <c r="AD52" s="108">
        <v>537</v>
      </c>
      <c r="AE52" s="109">
        <f t="shared" si="8"/>
        <v>-355</v>
      </c>
    </row>
    <row r="53" spans="14:31" ht="15.6" customHeight="1" x14ac:dyDescent="0.3">
      <c r="N53" s="212"/>
      <c r="O53" s="95" t="s">
        <v>69</v>
      </c>
      <c r="P53" s="106"/>
      <c r="Q53" s="106">
        <v>2775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5</v>
      </c>
      <c r="V53" s="106">
        <v>10</v>
      </c>
      <c r="W53" s="106">
        <f t="shared" si="4"/>
        <v>731</v>
      </c>
      <c r="X53" s="106">
        <v>1472</v>
      </c>
      <c r="Y53" s="106">
        <f t="shared" si="5"/>
        <v>108</v>
      </c>
      <c r="Z53" s="106">
        <v>1688</v>
      </c>
      <c r="AA53" s="106">
        <f t="shared" si="6"/>
        <v>0</v>
      </c>
      <c r="AB53" s="106">
        <v>1688</v>
      </c>
      <c r="AC53" s="106">
        <f t="shared" si="7"/>
        <v>0</v>
      </c>
      <c r="AD53" s="106">
        <v>1688</v>
      </c>
      <c r="AE53" s="107">
        <f t="shared" si="8"/>
        <v>-1087</v>
      </c>
    </row>
    <row r="54" spans="14:31" ht="15.6" customHeight="1" x14ac:dyDescent="0.3">
      <c r="N54" s="212"/>
      <c r="O54" s="94" t="s">
        <v>70</v>
      </c>
      <c r="P54" s="108"/>
      <c r="Q54" s="108">
        <v>1485</v>
      </c>
      <c r="R54" s="108">
        <v>0</v>
      </c>
      <c r="S54" s="108" t="str">
        <f t="shared" si="2"/>
        <v/>
      </c>
      <c r="T54" s="108">
        <v>0</v>
      </c>
      <c r="U54" s="108">
        <f t="shared" si="3"/>
        <v>315</v>
      </c>
      <c r="V54" s="108">
        <v>630</v>
      </c>
      <c r="W54" s="108">
        <f t="shared" si="4"/>
        <v>283.5</v>
      </c>
      <c r="X54" s="108">
        <v>1197</v>
      </c>
      <c r="Y54" s="108">
        <f t="shared" si="5"/>
        <v>0</v>
      </c>
      <c r="Z54" s="108">
        <v>1197</v>
      </c>
      <c r="AA54" s="108">
        <f t="shared" si="6"/>
        <v>0</v>
      </c>
      <c r="AB54" s="108">
        <v>1197</v>
      </c>
      <c r="AC54" s="108">
        <f t="shared" si="7"/>
        <v>0</v>
      </c>
      <c r="AD54" s="108">
        <v>1197</v>
      </c>
      <c r="AE54" s="109">
        <f t="shared" si="8"/>
        <v>-288</v>
      </c>
    </row>
    <row r="55" spans="14:31" ht="15.6" customHeight="1" x14ac:dyDescent="0.3">
      <c r="N55" s="212"/>
      <c r="O55" s="95" t="s">
        <v>71</v>
      </c>
      <c r="P55" s="106"/>
      <c r="Q55" s="106">
        <v>884</v>
      </c>
      <c r="R55" s="106">
        <v>344</v>
      </c>
      <c r="S55" s="106">
        <f t="shared" si="2"/>
        <v>150</v>
      </c>
      <c r="T55" s="106">
        <v>644</v>
      </c>
      <c r="U55" s="106">
        <f t="shared" si="3"/>
        <v>120</v>
      </c>
      <c r="V55" s="106">
        <v>884</v>
      </c>
      <c r="W55" s="106">
        <f t="shared" si="4"/>
        <v>5</v>
      </c>
      <c r="X55" s="106">
        <v>894</v>
      </c>
      <c r="Y55" s="106">
        <f t="shared" si="5"/>
        <v>0</v>
      </c>
      <c r="Z55" s="106">
        <v>894</v>
      </c>
      <c r="AA55" s="106">
        <f t="shared" si="6"/>
        <v>0</v>
      </c>
      <c r="AB55" s="106">
        <v>894</v>
      </c>
      <c r="AC55" s="106">
        <f t="shared" si="7"/>
        <v>0</v>
      </c>
      <c r="AD55" s="106">
        <v>894</v>
      </c>
      <c r="AE55" s="107">
        <f t="shared" si="8"/>
        <v>10</v>
      </c>
    </row>
    <row r="56" spans="14:31" ht="15.6" customHeight="1" x14ac:dyDescent="0.3">
      <c r="N56" s="212"/>
      <c r="O56" s="94" t="s">
        <v>72</v>
      </c>
      <c r="P56" s="108"/>
      <c r="Q56" s="108">
        <v>409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120.5</v>
      </c>
      <c r="V56" s="108">
        <v>241</v>
      </c>
      <c r="W56" s="108">
        <f t="shared" si="4"/>
        <v>94.5</v>
      </c>
      <c r="X56" s="108">
        <v>430</v>
      </c>
      <c r="Y56" s="108">
        <f t="shared" si="5"/>
        <v>0</v>
      </c>
      <c r="Z56" s="108">
        <v>430</v>
      </c>
      <c r="AA56" s="108">
        <f t="shared" si="6"/>
        <v>0</v>
      </c>
      <c r="AB56" s="108">
        <v>430</v>
      </c>
      <c r="AC56" s="108">
        <f t="shared" si="7"/>
        <v>0</v>
      </c>
      <c r="AD56" s="108">
        <v>430</v>
      </c>
      <c r="AE56" s="109">
        <f t="shared" si="8"/>
        <v>21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5363</v>
      </c>
      <c r="R58" s="104">
        <v>544</v>
      </c>
      <c r="S58" s="104">
        <f t="shared" si="2"/>
        <v>192</v>
      </c>
      <c r="T58" s="104">
        <v>928</v>
      </c>
      <c r="U58" s="104">
        <f t="shared" si="3"/>
        <v>217.5</v>
      </c>
      <c r="V58" s="104">
        <v>1363</v>
      </c>
      <c r="W58" s="104">
        <f t="shared" si="4"/>
        <v>1409</v>
      </c>
      <c r="X58" s="104">
        <v>4181</v>
      </c>
      <c r="Y58" s="104">
        <f t="shared" si="5"/>
        <v>173.5</v>
      </c>
      <c r="Z58" s="104">
        <v>4528</v>
      </c>
      <c r="AA58" s="104">
        <f t="shared" si="6"/>
        <v>0</v>
      </c>
      <c r="AB58" s="104">
        <v>4528</v>
      </c>
      <c r="AC58" s="104">
        <f t="shared" si="7"/>
        <v>0</v>
      </c>
      <c r="AD58" s="104">
        <v>4528</v>
      </c>
      <c r="AE58" s="105">
        <f t="shared" si="8"/>
        <v>-835</v>
      </c>
    </row>
    <row r="59" spans="14:31" ht="15.6" customHeight="1" x14ac:dyDescent="0.3">
      <c r="N59" s="212"/>
      <c r="O59" s="95" t="s">
        <v>66</v>
      </c>
      <c r="P59" s="106"/>
      <c r="Q59" s="106">
        <v>4128</v>
      </c>
      <c r="R59" s="106">
        <v>822</v>
      </c>
      <c r="S59" s="106">
        <f t="shared" si="2"/>
        <v>240</v>
      </c>
      <c r="T59" s="106">
        <v>1302</v>
      </c>
      <c r="U59" s="106">
        <f t="shared" si="3"/>
        <v>567</v>
      </c>
      <c r="V59" s="106">
        <v>2436</v>
      </c>
      <c r="W59" s="106">
        <f t="shared" si="4"/>
        <v>606</v>
      </c>
      <c r="X59" s="106">
        <v>3648</v>
      </c>
      <c r="Y59" s="106">
        <f t="shared" si="5"/>
        <v>192</v>
      </c>
      <c r="Z59" s="106">
        <v>4032</v>
      </c>
      <c r="AA59" s="106">
        <f t="shared" si="6"/>
        <v>0</v>
      </c>
      <c r="AB59" s="106">
        <v>4032</v>
      </c>
      <c r="AC59" s="106">
        <f t="shared" si="7"/>
        <v>0</v>
      </c>
      <c r="AD59" s="106">
        <v>4032</v>
      </c>
      <c r="AE59" s="107">
        <f t="shared" si="8"/>
        <v>-96</v>
      </c>
    </row>
    <row r="60" spans="14:31" ht="15.6" customHeight="1" x14ac:dyDescent="0.3">
      <c r="N60" s="212"/>
      <c r="O60" s="94" t="s">
        <v>67</v>
      </c>
      <c r="P60" s="108"/>
      <c r="Q60" s="108">
        <v>2834</v>
      </c>
      <c r="R60" s="108">
        <v>556</v>
      </c>
      <c r="S60" s="108">
        <f t="shared" si="2"/>
        <v>45</v>
      </c>
      <c r="T60" s="108">
        <v>646</v>
      </c>
      <c r="U60" s="108">
        <f t="shared" si="3"/>
        <v>252.5</v>
      </c>
      <c r="V60" s="108">
        <v>1151</v>
      </c>
      <c r="W60" s="108">
        <f t="shared" si="4"/>
        <v>338.5</v>
      </c>
      <c r="X60" s="108">
        <v>1828</v>
      </c>
      <c r="Y60" s="108">
        <f t="shared" si="5"/>
        <v>0</v>
      </c>
      <c r="Z60" s="108">
        <v>1828</v>
      </c>
      <c r="AA60" s="108">
        <f t="shared" si="6"/>
        <v>0</v>
      </c>
      <c r="AB60" s="108">
        <v>1828</v>
      </c>
      <c r="AC60" s="108">
        <f t="shared" si="7"/>
        <v>0</v>
      </c>
      <c r="AD60" s="108">
        <v>1828</v>
      </c>
      <c r="AE60" s="109">
        <f t="shared" si="8"/>
        <v>-1006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6225</v>
      </c>
      <c r="R62" s="104">
        <v>1753</v>
      </c>
      <c r="S62" s="104">
        <f t="shared" si="2"/>
        <v>477</v>
      </c>
      <c r="T62" s="104">
        <v>2707</v>
      </c>
      <c r="U62" s="104">
        <f t="shared" si="3"/>
        <v>78</v>
      </c>
      <c r="V62" s="104">
        <v>2863</v>
      </c>
      <c r="W62" s="104">
        <f t="shared" si="4"/>
        <v>336.5</v>
      </c>
      <c r="X62" s="104">
        <v>3536</v>
      </c>
      <c r="Y62" s="104">
        <f t="shared" si="5"/>
        <v>266</v>
      </c>
      <c r="Z62" s="104">
        <v>4068</v>
      </c>
      <c r="AA62" s="104">
        <f t="shared" si="6"/>
        <v>0</v>
      </c>
      <c r="AB62" s="104">
        <v>4068</v>
      </c>
      <c r="AC62" s="104">
        <f t="shared" si="7"/>
        <v>0</v>
      </c>
      <c r="AD62" s="104">
        <v>4068</v>
      </c>
      <c r="AE62" s="105">
        <f t="shared" si="8"/>
        <v>-2157</v>
      </c>
    </row>
    <row r="63" spans="14:31" ht="15.6" customHeight="1" x14ac:dyDescent="0.3">
      <c r="N63" s="212"/>
      <c r="O63" s="95" t="s">
        <v>66</v>
      </c>
      <c r="P63" s="106"/>
      <c r="Q63" s="106">
        <v>6274</v>
      </c>
      <c r="R63" s="106">
        <v>867</v>
      </c>
      <c r="S63" s="106">
        <f t="shared" si="2"/>
        <v>873.5</v>
      </c>
      <c r="T63" s="106">
        <v>2614</v>
      </c>
      <c r="U63" s="106">
        <f t="shared" si="3"/>
        <v>528</v>
      </c>
      <c r="V63" s="106">
        <v>3670</v>
      </c>
      <c r="W63" s="106">
        <f t="shared" si="4"/>
        <v>183</v>
      </c>
      <c r="X63" s="106">
        <v>4036</v>
      </c>
      <c r="Y63" s="106">
        <f t="shared" si="5"/>
        <v>508</v>
      </c>
      <c r="Z63" s="106">
        <v>5052</v>
      </c>
      <c r="AA63" s="106">
        <f t="shared" si="6"/>
        <v>0</v>
      </c>
      <c r="AB63" s="106">
        <v>5052</v>
      </c>
      <c r="AC63" s="106">
        <f t="shared" si="7"/>
        <v>0</v>
      </c>
      <c r="AD63" s="106">
        <v>5052</v>
      </c>
      <c r="AE63" s="107">
        <f t="shared" si="8"/>
        <v>-1222</v>
      </c>
    </row>
    <row r="64" spans="14:31" ht="15.6" customHeight="1" x14ac:dyDescent="0.3">
      <c r="N64" s="212"/>
      <c r="O64" s="94" t="s">
        <v>67</v>
      </c>
      <c r="P64" s="108"/>
      <c r="Q64" s="108">
        <v>5725</v>
      </c>
      <c r="R64" s="108">
        <v>1023</v>
      </c>
      <c r="S64" s="108">
        <f t="shared" si="2"/>
        <v>722.5</v>
      </c>
      <c r="T64" s="108">
        <v>2468</v>
      </c>
      <c r="U64" s="108">
        <f t="shared" si="3"/>
        <v>142.5</v>
      </c>
      <c r="V64" s="108">
        <v>2753</v>
      </c>
      <c r="W64" s="108">
        <f t="shared" si="4"/>
        <v>480.5</v>
      </c>
      <c r="X64" s="108">
        <v>3714</v>
      </c>
      <c r="Y64" s="108">
        <f t="shared" si="5"/>
        <v>118.5</v>
      </c>
      <c r="Z64" s="108">
        <v>3951</v>
      </c>
      <c r="AA64" s="108">
        <f t="shared" si="6"/>
        <v>0</v>
      </c>
      <c r="AB64" s="108">
        <v>3951</v>
      </c>
      <c r="AC64" s="108">
        <f t="shared" si="7"/>
        <v>0</v>
      </c>
      <c r="AD64" s="108">
        <v>3951</v>
      </c>
      <c r="AE64" s="109">
        <f t="shared" si="8"/>
        <v>-1774</v>
      </c>
    </row>
    <row r="65" spans="14:31" ht="15.6" customHeight="1" thickBot="1" x14ac:dyDescent="0.35">
      <c r="N65" s="213"/>
      <c r="O65" s="99" t="s">
        <v>68</v>
      </c>
      <c r="P65" s="114"/>
      <c r="Q65" s="114">
        <v>2158</v>
      </c>
      <c r="R65" s="114">
        <v>119</v>
      </c>
      <c r="S65" s="114">
        <f t="shared" si="2"/>
        <v>131.5</v>
      </c>
      <c r="T65" s="114">
        <v>382</v>
      </c>
      <c r="U65" s="114">
        <f t="shared" si="3"/>
        <v>110</v>
      </c>
      <c r="V65" s="114">
        <v>602</v>
      </c>
      <c r="W65" s="114">
        <f t="shared" si="4"/>
        <v>56</v>
      </c>
      <c r="X65" s="114">
        <v>714</v>
      </c>
      <c r="Y65" s="114">
        <f t="shared" si="5"/>
        <v>0</v>
      </c>
      <c r="Z65" s="114">
        <v>714</v>
      </c>
      <c r="AA65" s="114">
        <f t="shared" si="6"/>
        <v>0</v>
      </c>
      <c r="AB65" s="114">
        <v>714</v>
      </c>
      <c r="AC65" s="114">
        <f t="shared" si="7"/>
        <v>0</v>
      </c>
      <c r="AD65" s="114">
        <v>714</v>
      </c>
      <c r="AE65" s="115">
        <f t="shared" si="8"/>
        <v>-1444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75" priority="11" operator="lessThan">
      <formula>0</formula>
    </cfRule>
    <cfRule type="cellIs" dxfId="1774" priority="12" operator="greaterThan">
      <formula>0</formula>
    </cfRule>
  </conditionalFormatting>
  <conditionalFormatting sqref="R25:AC25">
    <cfRule type="cellIs" dxfId="1773" priority="9" operator="lessThan">
      <formula>0</formula>
    </cfRule>
    <cfRule type="cellIs" dxfId="1772" priority="10" operator="greaterThan">
      <formula>0</formula>
    </cfRule>
  </conditionalFormatting>
  <conditionalFormatting sqref="R26 T26 V26 X26 Z26 AB26">
    <cfRule type="cellIs" dxfId="1771" priority="7" operator="lessThan">
      <formula>0</formula>
    </cfRule>
    <cfRule type="cellIs" dxfId="1770" priority="8" operator="greaterThan">
      <formula>0</formula>
    </cfRule>
  </conditionalFormatting>
  <conditionalFormatting sqref="AD24:AE24">
    <cfRule type="cellIs" dxfId="1769" priority="5" operator="lessThan">
      <formula>0</formula>
    </cfRule>
    <cfRule type="cellIs" dxfId="1768" priority="6" operator="greaterThan">
      <formula>0</formula>
    </cfRule>
  </conditionalFormatting>
  <conditionalFormatting sqref="AD25:AE25">
    <cfRule type="cellIs" dxfId="1767" priority="3" operator="lessThan">
      <formula>0</formula>
    </cfRule>
    <cfRule type="cellIs" dxfId="1766" priority="4" operator="greaterThan">
      <formula>0</formula>
    </cfRule>
  </conditionalFormatting>
  <conditionalFormatting sqref="AD26">
    <cfRule type="cellIs" dxfId="1765" priority="1" operator="lessThan">
      <formula>0</formula>
    </cfRule>
    <cfRule type="cellIs" dxfId="176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1"/>
    <pageSetUpPr fitToPage="1"/>
  </sheetPr>
  <dimension ref="B1:AQ65"/>
  <sheetViews>
    <sheetView topLeftCell="F1" zoomScale="70" zoomScaleNormal="70" zoomScaleSheetLayoutView="70" workbookViewId="0">
      <selection activeCell="I38" sqref="I3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44371</v>
      </c>
    </row>
    <row r="3" spans="2:42" ht="18.75" customHeight="1" thickBot="1" x14ac:dyDescent="0.35">
      <c r="B3" t="s">
        <v>1</v>
      </c>
      <c r="C3" s="3">
        <f>C2+1</f>
        <v>44372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5948</v>
      </c>
      <c r="E6" s="18" t="s">
        <v>22</v>
      </c>
      <c r="F6" s="119">
        <v>22878</v>
      </c>
      <c r="G6" s="117">
        <v>18487.281999999999</v>
      </c>
      <c r="H6" s="117">
        <v>15846.380586179999</v>
      </c>
      <c r="I6" s="19">
        <f>G6+H6</f>
        <v>34333.662586179998</v>
      </c>
      <c r="J6" s="119">
        <v>22117</v>
      </c>
      <c r="K6" s="117">
        <v>17689.985375</v>
      </c>
      <c r="L6" s="117">
        <v>14985.84677186</v>
      </c>
      <c r="M6" s="19">
        <f>K6+L6</f>
        <v>32675.832146860001</v>
      </c>
      <c r="N6" s="85">
        <v>52</v>
      </c>
      <c r="O6" s="85">
        <v>66</v>
      </c>
      <c r="P6" s="92"/>
      <c r="Q6" s="20">
        <f>J6-P6</f>
        <v>22117</v>
      </c>
      <c r="R6" s="21">
        <v>0</v>
      </c>
      <c r="S6" s="20" t="str">
        <f>IF(R6&gt;0,(R6-R7-$Q6),"")</f>
        <v/>
      </c>
      <c r="T6" s="21">
        <v>2233</v>
      </c>
      <c r="U6" s="20">
        <f>IF(T6&gt;0,(T6-T7-$Q6),"")</f>
        <v>-19884</v>
      </c>
      <c r="V6" s="21">
        <v>5735</v>
      </c>
      <c r="W6" s="20">
        <f>IF(V6&gt;0,(V6-V7-$Q6),"")</f>
        <v>-16382</v>
      </c>
      <c r="X6" s="21">
        <v>14812</v>
      </c>
      <c r="Y6" s="20">
        <f>IF(X6&gt;0,(X6-X7-$Q6),"")</f>
        <v>-8502</v>
      </c>
      <c r="Z6" s="21">
        <v>18700</v>
      </c>
      <c r="AA6" s="20">
        <f>IF(Z6&gt;0,(Z6-Z7-$Q6),"")</f>
        <v>-4737</v>
      </c>
      <c r="AB6" s="21">
        <v>18700</v>
      </c>
      <c r="AC6" s="22">
        <f>IF(AB6&gt;0,(AB6-AB7-$Q6),"")</f>
        <v>-4737</v>
      </c>
      <c r="AD6" s="21">
        <v>18700</v>
      </c>
      <c r="AE6" s="22">
        <f>IF(AD6&gt;0,(AD6-AD7-$Q6),"")</f>
        <v>-4737</v>
      </c>
    </row>
    <row r="7" spans="2:42" x14ac:dyDescent="0.3">
      <c r="B7" s="16" t="s">
        <v>23</v>
      </c>
      <c r="C7" s="17">
        <v>2787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-14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1197</v>
      </c>
      <c r="Y7" s="24"/>
      <c r="Z7" s="25">
        <v>1320</v>
      </c>
      <c r="AA7" s="24"/>
      <c r="AB7" s="25">
        <v>1320</v>
      </c>
      <c r="AC7" s="26"/>
      <c r="AD7" s="25">
        <v>1320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2733</v>
      </c>
      <c r="E8" s="29" t="s">
        <v>27</v>
      </c>
      <c r="F8" s="119">
        <v>15525</v>
      </c>
      <c r="G8" s="117">
        <v>6595.9449999999997</v>
      </c>
      <c r="H8" s="117">
        <v>1476.339919</v>
      </c>
      <c r="I8" s="19">
        <f>G8+H8</f>
        <v>8072.2849189999997</v>
      </c>
      <c r="J8" s="119">
        <v>15696</v>
      </c>
      <c r="K8" s="117">
        <v>6663.9120000000003</v>
      </c>
      <c r="L8" s="117">
        <v>1502.4433464000001</v>
      </c>
      <c r="M8" s="19">
        <f>K8+L8</f>
        <v>8166.3553464000006</v>
      </c>
      <c r="N8" s="87">
        <v>22</v>
      </c>
      <c r="O8" s="87">
        <v>25</v>
      </c>
      <c r="P8" s="92"/>
      <c r="Q8" s="20">
        <f>J8-P8</f>
        <v>15696</v>
      </c>
      <c r="R8" s="21">
        <v>1907</v>
      </c>
      <c r="S8" s="20">
        <f>IF(R8&gt;0,(R8-R9-$Q8),"")</f>
        <v>-15696</v>
      </c>
      <c r="T8" s="21">
        <v>2749</v>
      </c>
      <c r="U8" s="20">
        <f>IF(T8&gt;0,(T8-T9-$Q8),"")</f>
        <v>-12947</v>
      </c>
      <c r="V8" s="21">
        <v>2798</v>
      </c>
      <c r="W8" s="20">
        <f>IF(V8&gt;0,(V8-V9-$Q8),"")</f>
        <v>-12898</v>
      </c>
      <c r="X8" s="21">
        <v>12358</v>
      </c>
      <c r="Y8" s="20">
        <f>IF(X8&gt;0,(X8-X9-$Q8),"")</f>
        <v>-3338</v>
      </c>
      <c r="Z8" s="21">
        <v>12896</v>
      </c>
      <c r="AA8" s="20">
        <f>IF(Z8&gt;0,(Z8-Z9-$Q8),"")</f>
        <v>-2800</v>
      </c>
      <c r="AB8" s="21">
        <v>13243</v>
      </c>
      <c r="AC8" s="22">
        <f>IF(AB8&gt;0,(AB8-AB9-$Q8),"")</f>
        <v>-2453</v>
      </c>
      <c r="AD8" s="21">
        <v>13243</v>
      </c>
      <c r="AE8" s="22">
        <f>IF(AD8&gt;0,(AD8-AD9-$Q8),"")</f>
        <v>-2453</v>
      </c>
    </row>
    <row r="9" spans="2:42" x14ac:dyDescent="0.3">
      <c r="B9" s="28" t="s">
        <v>28</v>
      </c>
      <c r="C9" s="17">
        <v>1970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-3</v>
      </c>
      <c r="P9" s="93" t="s">
        <v>29</v>
      </c>
      <c r="Q9" s="24"/>
      <c r="R9" s="30">
        <v>1907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5883</v>
      </c>
      <c r="E10" s="18" t="s">
        <v>31</v>
      </c>
      <c r="F10" s="119">
        <v>20649</v>
      </c>
      <c r="G10" s="117">
        <v>16145.394</v>
      </c>
      <c r="H10" s="117">
        <v>1998.8238624999999</v>
      </c>
      <c r="I10" s="19">
        <f>G10+H10</f>
        <v>18144.217862500002</v>
      </c>
      <c r="J10" s="119">
        <v>20915</v>
      </c>
      <c r="K10" s="117">
        <v>16091.4545</v>
      </c>
      <c r="L10" s="117">
        <v>1975.5744400000001</v>
      </c>
      <c r="M10" s="19">
        <f>K10+L10</f>
        <v>18067.02894</v>
      </c>
      <c r="N10" s="88">
        <v>40</v>
      </c>
      <c r="O10" s="88">
        <v>46</v>
      </c>
      <c r="P10" s="92"/>
      <c r="Q10" s="20">
        <f>J10-P10</f>
        <v>20915</v>
      </c>
      <c r="R10" s="21">
        <v>4884</v>
      </c>
      <c r="S10" s="20">
        <f>IF(R10&gt;0,(R10-R11-$Q10),"")</f>
        <v>-17728</v>
      </c>
      <c r="T10" s="21">
        <v>5829</v>
      </c>
      <c r="U10" s="20">
        <f>IF(T10&gt;0,(T10-T11-$Q10),"")</f>
        <v>-16815</v>
      </c>
      <c r="V10" s="21">
        <v>8689</v>
      </c>
      <c r="W10" s="20">
        <f>IF(V10&gt;0,(V10-V11-$Q10),"")</f>
        <v>-14140</v>
      </c>
      <c r="X10" s="21">
        <v>13478</v>
      </c>
      <c r="Y10" s="20">
        <f>IF(X10&gt;0,(X10-X11-$Q10),"")</f>
        <v>-10052</v>
      </c>
      <c r="Z10" s="21">
        <v>15999</v>
      </c>
      <c r="AA10" s="20">
        <f>IF(Z10&gt;0,(Z10-Z11-$Q10),"")</f>
        <v>-7993</v>
      </c>
      <c r="AB10" s="21">
        <v>15999</v>
      </c>
      <c r="AC10" s="22">
        <f>IF(AB10&gt;0,(AB10-AB11-$Q10),"")</f>
        <v>-7993</v>
      </c>
      <c r="AD10" s="21">
        <v>15999</v>
      </c>
      <c r="AE10" s="22">
        <f>IF(AD10&gt;0,(AD10-AD11-$Q10),"")</f>
        <v>-7993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-6</v>
      </c>
      <c r="P11" s="93" t="s">
        <v>33</v>
      </c>
      <c r="Q11" s="24"/>
      <c r="R11" s="30">
        <v>1697</v>
      </c>
      <c r="S11" s="24"/>
      <c r="T11" s="30">
        <v>1729</v>
      </c>
      <c r="U11" s="24"/>
      <c r="V11" s="30">
        <v>1914</v>
      </c>
      <c r="W11" s="24"/>
      <c r="X11" s="30">
        <v>2615</v>
      </c>
      <c r="Y11" s="24"/>
      <c r="Z11" s="30">
        <v>3077</v>
      </c>
      <c r="AA11" s="24"/>
      <c r="AB11" s="30">
        <v>3077</v>
      </c>
      <c r="AC11" s="26"/>
      <c r="AD11" s="30">
        <v>3077</v>
      </c>
      <c r="AE11" s="26"/>
    </row>
    <row r="12" spans="2:42" x14ac:dyDescent="0.3">
      <c r="B12" s="16" t="s">
        <v>34</v>
      </c>
      <c r="C12" s="17">
        <v>1735</v>
      </c>
      <c r="E12" s="29" t="s">
        <v>35</v>
      </c>
      <c r="F12" s="119">
        <v>17864.5</v>
      </c>
      <c r="G12" s="117">
        <v>13911.943375000001</v>
      </c>
      <c r="H12" s="117">
        <v>19221.494473530001</v>
      </c>
      <c r="I12" s="19">
        <f>G12+H12</f>
        <v>33133.437848530004</v>
      </c>
      <c r="J12" s="119">
        <v>16770.5</v>
      </c>
      <c r="K12" s="117">
        <v>12292.007625</v>
      </c>
      <c r="L12" s="117">
        <v>16479.266453250009</v>
      </c>
      <c r="M12" s="19">
        <f>K12+L12</f>
        <v>28771.274078250011</v>
      </c>
      <c r="N12" s="88">
        <v>35</v>
      </c>
      <c r="O12" s="88">
        <v>45</v>
      </c>
      <c r="P12" s="92"/>
      <c r="Q12" s="20">
        <f>J12-P12</f>
        <v>16770.5</v>
      </c>
      <c r="R12" s="21">
        <v>1386</v>
      </c>
      <c r="S12" s="20">
        <f>IF(R12&gt;0,(R12-R13-$Q12),"")</f>
        <v>-16059.5</v>
      </c>
      <c r="T12" s="21">
        <v>5059</v>
      </c>
      <c r="U12" s="20">
        <f>IF(T12&gt;0,(T12-T13-$Q12),"")</f>
        <v>-12634.5</v>
      </c>
      <c r="V12" s="21">
        <v>7137</v>
      </c>
      <c r="W12" s="20">
        <f>IF(V12&gt;0,(V12-V13-$Q12),"")</f>
        <v>-10557.5</v>
      </c>
      <c r="X12" s="21">
        <v>8617</v>
      </c>
      <c r="Y12" s="20">
        <f>IF(X12&gt;0,(X12-X13-$Q12),"")</f>
        <v>-9077.5</v>
      </c>
      <c r="Z12" s="21">
        <v>9477</v>
      </c>
      <c r="AA12" s="20">
        <f>IF(Z12&gt;0,(Z12-Z13-$Q12),"")</f>
        <v>-8217.5</v>
      </c>
      <c r="AB12" s="21">
        <v>10279</v>
      </c>
      <c r="AC12" s="22">
        <f>IF(AB12&gt;0,(AB12-AB13-$Q12),"")</f>
        <v>-7415.5</v>
      </c>
      <c r="AD12" s="21">
        <v>10279</v>
      </c>
      <c r="AE12" s="22">
        <f>IF(AD12&gt;0,(AD12-AD13-$Q12),"")</f>
        <v>-7415.5</v>
      </c>
    </row>
    <row r="13" spans="2:42" x14ac:dyDescent="0.3">
      <c r="B13" s="16" t="s">
        <v>36</v>
      </c>
      <c r="C13" s="17">
        <v>5278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-10</v>
      </c>
      <c r="P13" s="93" t="s">
        <v>37</v>
      </c>
      <c r="Q13" s="24"/>
      <c r="R13" s="30">
        <v>675</v>
      </c>
      <c r="S13" s="24"/>
      <c r="T13" s="30">
        <v>923</v>
      </c>
      <c r="U13" s="24"/>
      <c r="V13" s="30">
        <v>924</v>
      </c>
      <c r="W13" s="24"/>
      <c r="X13" s="30">
        <v>924</v>
      </c>
      <c r="Y13" s="24"/>
      <c r="Z13" s="30">
        <v>924</v>
      </c>
      <c r="AA13" s="24"/>
      <c r="AB13" s="30">
        <v>924</v>
      </c>
      <c r="AC13" s="26"/>
      <c r="AD13" s="30">
        <v>924</v>
      </c>
      <c r="AE13" s="26"/>
    </row>
    <row r="14" spans="2:42" x14ac:dyDescent="0.3">
      <c r="B14" s="16" t="s">
        <v>38</v>
      </c>
      <c r="C14" s="17">
        <v>8618</v>
      </c>
      <c r="E14" s="18" t="s">
        <v>39</v>
      </c>
      <c r="F14" s="119">
        <v>24365.5</v>
      </c>
      <c r="G14" s="117">
        <v>21929.859375</v>
      </c>
      <c r="H14" s="117">
        <v>24635.422374900008</v>
      </c>
      <c r="I14" s="19">
        <f>G14+H14</f>
        <v>46565.281749900008</v>
      </c>
      <c r="J14" s="119">
        <v>24421.5</v>
      </c>
      <c r="K14" s="117">
        <v>22080.359375</v>
      </c>
      <c r="L14" s="117">
        <v>24729.781301200001</v>
      </c>
      <c r="M14" s="19">
        <f>K14+L14</f>
        <v>46810.140676199997</v>
      </c>
      <c r="N14" s="88">
        <v>47</v>
      </c>
      <c r="O14" s="88">
        <v>56</v>
      </c>
      <c r="P14" s="92"/>
      <c r="Q14" s="20">
        <f>J14-P14</f>
        <v>24421.5</v>
      </c>
      <c r="R14" s="21">
        <v>6027</v>
      </c>
      <c r="S14" s="20">
        <f>IF(R14&gt;0,(R14-R15-$Q14),"")</f>
        <v>-23444.5</v>
      </c>
      <c r="T14" s="21">
        <v>8659</v>
      </c>
      <c r="U14" s="20">
        <f>IF(T14&gt;0,(T14-T15-$Q14),"")</f>
        <v>-23037.5</v>
      </c>
      <c r="V14" s="21">
        <v>10841</v>
      </c>
      <c r="W14" s="20">
        <f>IF(V14&gt;0,(V14-V15-$Q14),"")</f>
        <v>-21814.5</v>
      </c>
      <c r="X14" s="21">
        <v>13429</v>
      </c>
      <c r="Y14" s="20">
        <f>IF(X14&gt;0,(X14-X15-$Q14),"")</f>
        <v>-20335.5</v>
      </c>
      <c r="Z14" s="21">
        <v>16054</v>
      </c>
      <c r="AA14" s="20">
        <f>IF(Z14&gt;0,(Z14-Z15-$Q14),"")</f>
        <v>-18330.5</v>
      </c>
      <c r="AB14" s="21">
        <v>16064</v>
      </c>
      <c r="AC14" s="22">
        <f>IF(AB14&gt;0,(AB14-AB15-$Q14),"")</f>
        <v>-18330.5</v>
      </c>
      <c r="AD14" s="21">
        <v>16064</v>
      </c>
      <c r="AE14" s="22">
        <f>IF(AD14&gt;0,(AD14-AD15-$Q14),"")</f>
        <v>-18330.5</v>
      </c>
    </row>
    <row r="15" spans="2:42" ht="15" customHeight="1" thickBot="1" x14ac:dyDescent="0.35">
      <c r="B15" s="16" t="s">
        <v>40</v>
      </c>
      <c r="C15" s="17">
        <v>2695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-9</v>
      </c>
      <c r="P15" s="93" t="s">
        <v>41</v>
      </c>
      <c r="Q15" s="24"/>
      <c r="R15" s="25">
        <v>5050</v>
      </c>
      <c r="S15" s="24"/>
      <c r="T15" s="25">
        <v>7275</v>
      </c>
      <c r="U15" s="24"/>
      <c r="V15" s="25">
        <v>8234</v>
      </c>
      <c r="W15" s="24"/>
      <c r="X15" s="25">
        <v>9343</v>
      </c>
      <c r="Y15" s="24"/>
      <c r="Z15" s="25">
        <v>9963</v>
      </c>
      <c r="AA15" s="24"/>
      <c r="AB15" s="25">
        <v>9973</v>
      </c>
      <c r="AC15" s="26"/>
      <c r="AD15" s="25">
        <v>9973</v>
      </c>
      <c r="AE15" s="26"/>
    </row>
    <row r="16" spans="2:42" ht="15" customHeight="1" thickBot="1" x14ac:dyDescent="0.35">
      <c r="B16" s="28" t="s">
        <v>42</v>
      </c>
      <c r="C16" s="17">
        <v>20092</v>
      </c>
      <c r="E16" s="84"/>
      <c r="F16" s="31">
        <f t="shared" ref="F16:M16" si="0">SUM(F6:F15)</f>
        <v>101282</v>
      </c>
      <c r="G16" s="31">
        <f t="shared" si="0"/>
        <v>77070.423750000002</v>
      </c>
      <c r="H16" s="31">
        <f t="shared" si="0"/>
        <v>63178.461216110009</v>
      </c>
      <c r="I16" s="32">
        <f t="shared" si="0"/>
        <v>140248.88496611</v>
      </c>
      <c r="J16" s="33">
        <f t="shared" si="0"/>
        <v>99920</v>
      </c>
      <c r="K16" s="33">
        <f t="shared" si="0"/>
        <v>74817.718874999991</v>
      </c>
      <c r="L16" s="33">
        <f t="shared" si="0"/>
        <v>59672.912312710003</v>
      </c>
      <c r="M16" s="33">
        <f t="shared" si="0"/>
        <v>134490.63118771004</v>
      </c>
      <c r="N16" s="31">
        <f>SUM(N14,N12,N10,N8,N6)</f>
        <v>196</v>
      </c>
      <c r="O16" s="31">
        <f>SUM(O14,O12,O10,O8,O6)</f>
        <v>238</v>
      </c>
      <c r="P16" s="34">
        <f>SUM(P6:P15)</f>
        <v>0</v>
      </c>
      <c r="Q16" s="34">
        <f>SUM(Q6:Q15)</f>
        <v>99920</v>
      </c>
      <c r="R16" s="35">
        <f>R6+R8+R10+R12+R14-R7-R9-R11-R13-R15</f>
        <v>4875</v>
      </c>
      <c r="S16" s="36">
        <f>IF(R16&gt;1,(R16-$Q16),"")</f>
        <v>-95045</v>
      </c>
      <c r="T16" s="35">
        <f>T6+T8+T10+T12+T14-T7-T9-T11-T13-T15</f>
        <v>14602</v>
      </c>
      <c r="U16" s="36">
        <f>IF(T16&gt;1,(T16-$Q16),"")</f>
        <v>-85318</v>
      </c>
      <c r="V16" s="35">
        <f>V6+V8+V10+V12+V14-V7-V9-V11-V13-V15</f>
        <v>24128</v>
      </c>
      <c r="W16" s="36">
        <f>IF(V16&gt;1,(V16-$Q16),"")</f>
        <v>-75792</v>
      </c>
      <c r="X16" s="35">
        <f>X6+X8+X10+X12+X14-X7-X9-X11-X13-X15</f>
        <v>48615</v>
      </c>
      <c r="Y16" s="36">
        <f>IF(X16&gt;1,(X16-$Q16),"")</f>
        <v>-51305</v>
      </c>
      <c r="Z16" s="35">
        <f>Z6+Z8+Z10+Z12+Z14-Z7-Z9-Z11-Z13-Z15</f>
        <v>57842</v>
      </c>
      <c r="AA16" s="36">
        <f>IF(Z16&gt;1,(Z16-$Q16),"")</f>
        <v>-42078</v>
      </c>
      <c r="AB16" s="35">
        <f>AB6+AB8+AB10+AB12+AB14-AB7-AB9-AB11-AB13-AB15</f>
        <v>58991</v>
      </c>
      <c r="AC16" s="37">
        <f>IF(AB16&gt;1,(AB16-$Q16),"")</f>
        <v>-40929</v>
      </c>
      <c r="AD16" s="35">
        <f>AD6+AD8+AD10+AD12+AD14-AD7-AD9-AD11-AD13-AD15</f>
        <v>58991</v>
      </c>
      <c r="AE16" s="37">
        <f>IF(AD16&gt;1,(AD16-$Q16),"")</f>
        <v>-40929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-42</v>
      </c>
      <c r="P17" s="38" t="s">
        <v>44</v>
      </c>
      <c r="Q17" s="39"/>
      <c r="R17" s="40">
        <f>R15+R13+R11+R9+R7</f>
        <v>9329</v>
      </c>
      <c r="S17" s="41"/>
      <c r="T17" s="40">
        <f>T15+T13+T11+T9+T7</f>
        <v>9927</v>
      </c>
      <c r="U17" s="41"/>
      <c r="V17" s="40">
        <f>V15+V13+V11+V9+V7</f>
        <v>11072</v>
      </c>
      <c r="W17" s="41"/>
      <c r="X17" s="40">
        <f>X15+X13+X11+X9+X7</f>
        <v>14079</v>
      </c>
      <c r="Y17" s="41"/>
      <c r="Z17" s="40">
        <f>Z15+Z13+Z11+Z9+Z7</f>
        <v>15284</v>
      </c>
      <c r="AA17" s="41"/>
      <c r="AB17" s="40">
        <f>AB15+AB13+AB11+AB9+AB7</f>
        <v>15294</v>
      </c>
      <c r="AC17" s="42"/>
      <c r="AD17" s="40">
        <f>AD15+AD13+AD11+AD9+AD7</f>
        <v>15294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2437.5</v>
      </c>
      <c r="S18" s="46"/>
      <c r="T18" s="47">
        <f>IF(T16&gt;0,(T16-R16)/2,"")</f>
        <v>4863.5</v>
      </c>
      <c r="U18" s="46"/>
      <c r="V18" s="47">
        <f>IF(V16&gt;0,(V16-T16)/2,"")</f>
        <v>4763</v>
      </c>
      <c r="W18" s="46"/>
      <c r="X18" s="47">
        <f>IF(X16&gt;0,(X16-V16)/2,"")</f>
        <v>12243.5</v>
      </c>
      <c r="Y18" s="46"/>
      <c r="Z18" s="47">
        <f>IF(Z16&gt;0,(Z16-X16)/2,"")</f>
        <v>4613.5</v>
      </c>
      <c r="AA18" s="46"/>
      <c r="AB18" s="47">
        <f>IF(AB16&gt;0,(AB16-Z16)/2,"")</f>
        <v>574.5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1540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574</v>
      </c>
      <c r="L20" s="4"/>
      <c r="M20" s="4"/>
      <c r="Q20" s="51" t="s">
        <v>49</v>
      </c>
      <c r="R20" s="35">
        <v>6801</v>
      </c>
      <c r="S20" s="36"/>
      <c r="T20" s="35">
        <v>11768</v>
      </c>
      <c r="U20" s="36"/>
      <c r="V20" s="35">
        <v>20753</v>
      </c>
      <c r="W20" s="36"/>
      <c r="X20" s="35">
        <v>33550</v>
      </c>
      <c r="Y20" s="36"/>
      <c r="Z20" s="35">
        <v>60122</v>
      </c>
      <c r="AA20" s="36"/>
      <c r="AB20" s="35">
        <v>60122</v>
      </c>
      <c r="AC20" s="37"/>
      <c r="AD20" s="35">
        <v>60122</v>
      </c>
      <c r="AE20" s="37"/>
    </row>
    <row r="21" spans="2:43" ht="15" customHeight="1" thickBot="1" x14ac:dyDescent="0.35">
      <c r="B21" s="16" t="s">
        <v>50</v>
      </c>
      <c r="C21" s="17">
        <v>4314</v>
      </c>
      <c r="L21" s="4"/>
      <c r="M21" s="4"/>
      <c r="Q21" s="52"/>
      <c r="R21" s="40">
        <v>4101</v>
      </c>
      <c r="S21" s="41"/>
      <c r="T21" s="40">
        <v>8508</v>
      </c>
      <c r="U21" s="41"/>
      <c r="V21" s="40">
        <v>10171</v>
      </c>
      <c r="W21" s="41"/>
      <c r="X21" s="40">
        <v>11686</v>
      </c>
      <c r="Y21" s="41"/>
      <c r="Z21" s="40">
        <v>3240</v>
      </c>
      <c r="AA21" s="41"/>
      <c r="AB21" s="40">
        <v>3240</v>
      </c>
      <c r="AC21" s="42"/>
      <c r="AD21" s="40">
        <v>3240</v>
      </c>
      <c r="AE21" s="42"/>
    </row>
    <row r="22" spans="2:43" ht="15" customHeight="1" thickBot="1" x14ac:dyDescent="0.35">
      <c r="B22" s="16" t="s">
        <v>51</v>
      </c>
      <c r="C22" s="17">
        <v>3071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7773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-1926</v>
      </c>
      <c r="S24" s="60"/>
      <c r="T24" s="60">
        <f>IF(T16&gt;0,T16-T20,"")</f>
        <v>2834</v>
      </c>
      <c r="U24" s="60"/>
      <c r="V24" s="60">
        <f>IF(V16&gt;0,V16-V20,"")</f>
        <v>3375</v>
      </c>
      <c r="W24" s="60"/>
      <c r="X24" s="60">
        <f>IF(X16&gt;0,X16-X20,"")</f>
        <v>15065</v>
      </c>
      <c r="Y24" s="60"/>
      <c r="Z24" s="60">
        <f>IF(Z16&gt;0,Z16-Z20,"")</f>
        <v>-2280</v>
      </c>
      <c r="AA24" s="60"/>
      <c r="AB24" s="60">
        <f>IF(AB16&gt;0,AB16-AB20,"")</f>
        <v>-1131</v>
      </c>
      <c r="AC24" s="61"/>
      <c r="AD24" s="60">
        <f>IF(AD16&gt;0,AD16-AD20,"")</f>
        <v>-1131</v>
      </c>
      <c r="AE24" s="61"/>
    </row>
    <row r="25" spans="2:43" x14ac:dyDescent="0.3">
      <c r="L25" s="4"/>
      <c r="M25" s="4"/>
      <c r="Q25" s="62"/>
      <c r="R25" s="63">
        <f>IF(R17&gt;=0,R17-R21,"")</f>
        <v>5228</v>
      </c>
      <c r="S25" s="64"/>
      <c r="T25" s="63">
        <f>IF(T17&gt;=0,T17-T21,"")</f>
        <v>1419</v>
      </c>
      <c r="U25" s="64"/>
      <c r="V25" s="63">
        <f>IF(V17&gt;=0,V17-V21,"")</f>
        <v>901</v>
      </c>
      <c r="W25" s="64"/>
      <c r="X25" s="63">
        <f>IF(X17&gt;=0,X17-X21,"")</f>
        <v>2393</v>
      </c>
      <c r="Y25" s="64"/>
      <c r="Z25" s="63">
        <f>IF(Z17&gt;=0,Z17-Z21,"")</f>
        <v>12044</v>
      </c>
      <c r="AA25" s="64"/>
      <c r="AB25" s="63">
        <f>IF(AB17&gt;=0,AB17-AB21,"")</f>
        <v>12054</v>
      </c>
      <c r="AC25" s="65"/>
      <c r="AD25" s="63">
        <f>IF(AD17&gt;=0,AD17-AD21,"")</f>
        <v>12054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2437.5</v>
      </c>
      <c r="S26" s="55"/>
      <c r="T26" s="67">
        <f>IFERROR(IF(T18&gt;0,T18-T22,""),"")</f>
        <v>4863.5</v>
      </c>
      <c r="U26" s="55"/>
      <c r="V26" s="67">
        <f>IFERROR(IF(V18&gt;0,V18-V22,""),"")</f>
        <v>4763</v>
      </c>
      <c r="W26" s="55"/>
      <c r="X26" s="67">
        <f>IFERROR(IF(X18&gt;0,X18-X22,""),"")</f>
        <v>12243.5</v>
      </c>
      <c r="Y26" s="55"/>
      <c r="Z26" s="67">
        <f>IFERROR(IF(Z18&gt;0,Z18-Z22,""),"")</f>
        <v>4613.5</v>
      </c>
      <c r="AA26" s="55"/>
      <c r="AB26" s="67">
        <f>IFERROR(IF(AB18&gt;0,AB18-AB22,""),"")</f>
        <v>574.5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12279</v>
      </c>
      <c r="D29" s="76">
        <f>C14</f>
        <v>8618</v>
      </c>
      <c r="E29" s="77">
        <f t="shared" ref="E29:E34" si="1">D29-C29</f>
        <v>-3661</v>
      </c>
      <c r="M29" s="4"/>
      <c r="O29" s="4"/>
    </row>
    <row r="30" spans="2:43" x14ac:dyDescent="0.3">
      <c r="B30" s="74" t="s">
        <v>56</v>
      </c>
      <c r="C30" s="75">
        <v>38091</v>
      </c>
      <c r="D30" s="76">
        <f>C7+C15+C16+C19+C20</f>
        <v>27688</v>
      </c>
      <c r="E30" s="77">
        <f t="shared" si="1"/>
        <v>-10403</v>
      </c>
      <c r="J30" s="53"/>
      <c r="L30" s="53"/>
      <c r="M30" s="4"/>
      <c r="O30" s="4"/>
    </row>
    <row r="31" spans="2:43" x14ac:dyDescent="0.3">
      <c r="B31" s="74" t="s">
        <v>21</v>
      </c>
      <c r="C31" s="75">
        <v>5948</v>
      </c>
      <c r="D31" s="76">
        <f>C6</f>
        <v>5948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14985</v>
      </c>
      <c r="D32" s="76">
        <f>C10+C11+C12+C13</f>
        <v>14985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15005</v>
      </c>
      <c r="D34" s="76">
        <f>C21+C22+C23</f>
        <v>15158</v>
      </c>
      <c r="E34" s="77">
        <f t="shared" si="1"/>
        <v>153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4703</v>
      </c>
      <c r="D35" s="80">
        <f>SUM(C8+C9)</f>
        <v>4703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3055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 t="str">
        <f t="shared" ref="U36:U65" si="3">IF(V36&gt;0,(V36-T36)/2,"")</f>
        <v/>
      </c>
      <c r="V36" s="104">
        <v>0</v>
      </c>
      <c r="W36" s="104">
        <f t="shared" ref="W36:W65" si="4">IF(X36&gt;0,(X36-V36)/2,"")</f>
        <v>1310</v>
      </c>
      <c r="X36" s="104">
        <v>2620</v>
      </c>
      <c r="Y36" s="104">
        <f t="shared" ref="Y36:Y65" si="5">IF(Z36&gt;0,(Z36-X36)/2,"")</f>
        <v>24.5</v>
      </c>
      <c r="Z36" s="104">
        <v>2669</v>
      </c>
      <c r="AA36" s="104">
        <f t="shared" ref="AA36:AA65" si="6">IF(AB36&gt;0,(AB36-Z36)/2,"")</f>
        <v>0</v>
      </c>
      <c r="AB36" s="104">
        <v>2669</v>
      </c>
      <c r="AC36" s="104">
        <f t="shared" ref="AC36:AC65" si="7">IF(AD36&gt;0,(AD36-AB36)/2,"")</f>
        <v>0</v>
      </c>
      <c r="AD36" s="104">
        <v>2669</v>
      </c>
      <c r="AE36" s="105">
        <f t="shared" ref="AE36:AE65" si="8">AD36-Q36</f>
        <v>-386</v>
      </c>
    </row>
    <row r="37" spans="2:31" ht="15.6" customHeight="1" x14ac:dyDescent="0.3">
      <c r="N37" s="212"/>
      <c r="O37" s="95" t="s">
        <v>66</v>
      </c>
      <c r="P37" s="106"/>
      <c r="Q37" s="106">
        <v>1440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814</v>
      </c>
      <c r="X37" s="106">
        <v>1628</v>
      </c>
      <c r="Y37" s="106">
        <f t="shared" si="5"/>
        <v>345.5</v>
      </c>
      <c r="Z37" s="106">
        <v>2319</v>
      </c>
      <c r="AA37" s="106">
        <f t="shared" si="6"/>
        <v>0</v>
      </c>
      <c r="AB37" s="106">
        <v>2319</v>
      </c>
      <c r="AC37" s="106">
        <f t="shared" si="7"/>
        <v>0</v>
      </c>
      <c r="AD37" s="106">
        <v>2319</v>
      </c>
      <c r="AE37" s="107">
        <f t="shared" si="8"/>
        <v>879</v>
      </c>
    </row>
    <row r="38" spans="2:31" ht="15.6" customHeight="1" x14ac:dyDescent="0.3">
      <c r="N38" s="212"/>
      <c r="O38" s="94" t="s">
        <v>67</v>
      </c>
      <c r="P38" s="108"/>
      <c r="Q38" s="108">
        <v>2580</v>
      </c>
      <c r="R38" s="108">
        <v>0</v>
      </c>
      <c r="S38" s="108">
        <f t="shared" si="2"/>
        <v>529.5</v>
      </c>
      <c r="T38" s="108">
        <v>1059</v>
      </c>
      <c r="U38" s="108">
        <f t="shared" si="3"/>
        <v>119</v>
      </c>
      <c r="V38" s="108">
        <v>1297</v>
      </c>
      <c r="W38" s="108">
        <f t="shared" si="4"/>
        <v>331</v>
      </c>
      <c r="X38" s="108">
        <v>1959</v>
      </c>
      <c r="Y38" s="108">
        <f t="shared" si="5"/>
        <v>310.5</v>
      </c>
      <c r="Z38" s="108">
        <v>2580</v>
      </c>
      <c r="AA38" s="108">
        <f t="shared" si="6"/>
        <v>0</v>
      </c>
      <c r="AB38" s="108">
        <v>2580</v>
      </c>
      <c r="AC38" s="108">
        <f t="shared" si="7"/>
        <v>0</v>
      </c>
      <c r="AD38" s="108">
        <v>2580</v>
      </c>
      <c r="AE38" s="109">
        <f t="shared" si="8"/>
        <v>0</v>
      </c>
    </row>
    <row r="39" spans="2:31" ht="15.6" customHeight="1" x14ac:dyDescent="0.3">
      <c r="N39" s="212"/>
      <c r="O39" s="95" t="s">
        <v>68</v>
      </c>
      <c r="P39" s="106"/>
      <c r="Q39" s="106">
        <v>3150</v>
      </c>
      <c r="R39" s="106">
        <v>0</v>
      </c>
      <c r="S39" s="106" t="str">
        <f t="shared" si="2"/>
        <v/>
      </c>
      <c r="T39" s="106">
        <v>0</v>
      </c>
      <c r="U39" s="106">
        <f t="shared" si="3"/>
        <v>681.5</v>
      </c>
      <c r="V39" s="106">
        <v>1363</v>
      </c>
      <c r="W39" s="106">
        <f t="shared" si="4"/>
        <v>286.5</v>
      </c>
      <c r="X39" s="106">
        <v>1936</v>
      </c>
      <c r="Y39" s="106">
        <f t="shared" si="5"/>
        <v>607</v>
      </c>
      <c r="Z39" s="106">
        <v>3150</v>
      </c>
      <c r="AA39" s="106">
        <f t="shared" si="6"/>
        <v>0</v>
      </c>
      <c r="AB39" s="106">
        <v>3150</v>
      </c>
      <c r="AC39" s="106">
        <f t="shared" si="7"/>
        <v>0</v>
      </c>
      <c r="AD39" s="106">
        <v>3150</v>
      </c>
      <c r="AE39" s="107">
        <f t="shared" si="8"/>
        <v>0</v>
      </c>
    </row>
    <row r="40" spans="2:31" ht="15.6" customHeight="1" x14ac:dyDescent="0.3">
      <c r="N40" s="212"/>
      <c r="O40" s="94" t="s">
        <v>69</v>
      </c>
      <c r="P40" s="108"/>
      <c r="Q40" s="108">
        <v>2886</v>
      </c>
      <c r="R40" s="108">
        <v>0</v>
      </c>
      <c r="S40" s="108" t="str">
        <f t="shared" si="2"/>
        <v/>
      </c>
      <c r="T40" s="108">
        <v>0</v>
      </c>
      <c r="U40" s="108" t="str">
        <f t="shared" si="3"/>
        <v/>
      </c>
      <c r="V40" s="108">
        <v>0</v>
      </c>
      <c r="W40" s="108">
        <f t="shared" si="4"/>
        <v>1046</v>
      </c>
      <c r="X40" s="108">
        <v>2092</v>
      </c>
      <c r="Y40" s="108">
        <f t="shared" si="5"/>
        <v>397</v>
      </c>
      <c r="Z40" s="108">
        <v>2886</v>
      </c>
      <c r="AA40" s="108">
        <f t="shared" si="6"/>
        <v>0</v>
      </c>
      <c r="AB40" s="108">
        <v>2886</v>
      </c>
      <c r="AC40" s="108">
        <f t="shared" si="7"/>
        <v>0</v>
      </c>
      <c r="AD40" s="108">
        <v>2886</v>
      </c>
      <c r="AE40" s="109">
        <f t="shared" si="8"/>
        <v>0</v>
      </c>
    </row>
    <row r="41" spans="2:31" ht="15.6" customHeight="1" x14ac:dyDescent="0.3">
      <c r="N41" s="212"/>
      <c r="O41" s="95" t="s">
        <v>70</v>
      </c>
      <c r="P41" s="106"/>
      <c r="Q41" s="106">
        <v>855</v>
      </c>
      <c r="R41" s="106">
        <v>0</v>
      </c>
      <c r="S41" s="106">
        <f t="shared" si="2"/>
        <v>60</v>
      </c>
      <c r="T41" s="106">
        <v>120</v>
      </c>
      <c r="U41" s="106">
        <f t="shared" si="3"/>
        <v>142.5</v>
      </c>
      <c r="V41" s="106">
        <v>405</v>
      </c>
      <c r="W41" s="106">
        <f t="shared" si="4"/>
        <v>225</v>
      </c>
      <c r="X41" s="106">
        <v>855</v>
      </c>
      <c r="Y41" s="106">
        <f t="shared" si="5"/>
        <v>0</v>
      </c>
      <c r="Z41" s="106">
        <v>855</v>
      </c>
      <c r="AA41" s="106">
        <f t="shared" si="6"/>
        <v>0</v>
      </c>
      <c r="AB41" s="106">
        <v>855</v>
      </c>
      <c r="AC41" s="106">
        <f t="shared" si="7"/>
        <v>0</v>
      </c>
      <c r="AD41" s="106">
        <v>855</v>
      </c>
      <c r="AE41" s="107">
        <f t="shared" si="8"/>
        <v>0</v>
      </c>
    </row>
    <row r="42" spans="2:31" ht="15.6" customHeight="1" x14ac:dyDescent="0.3">
      <c r="N42" s="212"/>
      <c r="O42" s="94" t="s">
        <v>71</v>
      </c>
      <c r="P42" s="108"/>
      <c r="Q42" s="108">
        <v>1212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370.5</v>
      </c>
      <c r="V42" s="108">
        <v>741</v>
      </c>
      <c r="W42" s="108">
        <f t="shared" si="4"/>
        <v>0</v>
      </c>
      <c r="X42" s="108">
        <v>741</v>
      </c>
      <c r="Y42" s="108">
        <f t="shared" si="5"/>
        <v>0</v>
      </c>
      <c r="Z42" s="108">
        <v>741</v>
      </c>
      <c r="AA42" s="108">
        <f t="shared" si="6"/>
        <v>0</v>
      </c>
      <c r="AB42" s="108">
        <v>741</v>
      </c>
      <c r="AC42" s="108">
        <f t="shared" si="7"/>
        <v>0</v>
      </c>
      <c r="AD42" s="108">
        <v>741</v>
      </c>
      <c r="AE42" s="109">
        <f t="shared" si="8"/>
        <v>-471</v>
      </c>
    </row>
    <row r="43" spans="2:31" ht="15.6" customHeight="1" x14ac:dyDescent="0.3">
      <c r="N43" s="212"/>
      <c r="O43" s="95" t="s">
        <v>72</v>
      </c>
      <c r="P43" s="106"/>
      <c r="Q43" s="106">
        <v>1756</v>
      </c>
      <c r="R43" s="106">
        <v>0</v>
      </c>
      <c r="S43" s="106">
        <f t="shared" si="2"/>
        <v>268</v>
      </c>
      <c r="T43" s="106">
        <v>536</v>
      </c>
      <c r="U43" s="106">
        <f t="shared" si="3"/>
        <v>193</v>
      </c>
      <c r="V43" s="106">
        <v>922</v>
      </c>
      <c r="W43" s="106">
        <f t="shared" si="4"/>
        <v>196.5</v>
      </c>
      <c r="X43" s="106">
        <v>1315</v>
      </c>
      <c r="Y43" s="106">
        <f t="shared" si="5"/>
        <v>220.5</v>
      </c>
      <c r="Z43" s="106">
        <v>1756</v>
      </c>
      <c r="AA43" s="106">
        <f t="shared" si="6"/>
        <v>0</v>
      </c>
      <c r="AB43" s="106">
        <v>1756</v>
      </c>
      <c r="AC43" s="106">
        <f t="shared" si="7"/>
        <v>0</v>
      </c>
      <c r="AD43" s="106">
        <v>1756</v>
      </c>
      <c r="AE43" s="107">
        <f t="shared" si="8"/>
        <v>0</v>
      </c>
    </row>
    <row r="44" spans="2:31" ht="15.6" customHeight="1" thickBot="1" x14ac:dyDescent="0.35">
      <c r="N44" s="213"/>
      <c r="O44" s="97" t="s">
        <v>73</v>
      </c>
      <c r="P44" s="110"/>
      <c r="Q44" s="110">
        <v>1744</v>
      </c>
      <c r="R44" s="110">
        <v>0</v>
      </c>
      <c r="S44" s="110">
        <f t="shared" si="2"/>
        <v>259</v>
      </c>
      <c r="T44" s="110">
        <v>518</v>
      </c>
      <c r="U44" s="110">
        <f t="shared" si="3"/>
        <v>244.5</v>
      </c>
      <c r="V44" s="110">
        <v>1007</v>
      </c>
      <c r="W44" s="110">
        <f t="shared" si="4"/>
        <v>329.5</v>
      </c>
      <c r="X44" s="110">
        <v>1666</v>
      </c>
      <c r="Y44" s="110">
        <f t="shared" si="5"/>
        <v>39</v>
      </c>
      <c r="Z44" s="110">
        <v>1744</v>
      </c>
      <c r="AA44" s="110">
        <f t="shared" si="6"/>
        <v>0</v>
      </c>
      <c r="AB44" s="110">
        <v>1744</v>
      </c>
      <c r="AC44" s="110">
        <f t="shared" si="7"/>
        <v>0</v>
      </c>
      <c r="AD44" s="110">
        <v>1744</v>
      </c>
      <c r="AE44" s="111">
        <f t="shared" si="8"/>
        <v>0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421</v>
      </c>
      <c r="T45" s="112">
        <v>1842</v>
      </c>
      <c r="U45" s="112">
        <f t="shared" si="3"/>
        <v>0</v>
      </c>
      <c r="V45" s="112">
        <v>1842</v>
      </c>
      <c r="W45" s="112">
        <f t="shared" si="4"/>
        <v>1287.5</v>
      </c>
      <c r="X45" s="112">
        <v>4417</v>
      </c>
      <c r="Y45" s="112">
        <f t="shared" si="5"/>
        <v>0</v>
      </c>
      <c r="Z45" s="112">
        <v>4417</v>
      </c>
      <c r="AA45" s="112">
        <f t="shared" si="6"/>
        <v>0</v>
      </c>
      <c r="AB45" s="112">
        <v>4417</v>
      </c>
      <c r="AC45" s="112">
        <f t="shared" si="7"/>
        <v>0</v>
      </c>
      <c r="AD45" s="112">
        <v>4417</v>
      </c>
      <c r="AE45" s="113">
        <f t="shared" si="8"/>
        <v>4417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1987</v>
      </c>
      <c r="X46" s="108">
        <v>3974</v>
      </c>
      <c r="Y46" s="108">
        <f t="shared" si="5"/>
        <v>0</v>
      </c>
      <c r="Z46" s="108">
        <v>3974</v>
      </c>
      <c r="AA46" s="108">
        <f t="shared" si="6"/>
        <v>0</v>
      </c>
      <c r="AB46" s="108">
        <v>3974</v>
      </c>
      <c r="AC46" s="108">
        <f t="shared" si="7"/>
        <v>0</v>
      </c>
      <c r="AD46" s="108">
        <v>3974</v>
      </c>
      <c r="AE46" s="109">
        <f t="shared" si="8"/>
        <v>3974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649.5</v>
      </c>
      <c r="X47" s="106">
        <v>1299</v>
      </c>
      <c r="Y47" s="106">
        <f t="shared" si="5"/>
        <v>269</v>
      </c>
      <c r="Z47" s="106">
        <v>1837</v>
      </c>
      <c r="AA47" s="106">
        <f t="shared" si="6"/>
        <v>173.5</v>
      </c>
      <c r="AB47" s="106">
        <v>2184</v>
      </c>
      <c r="AC47" s="106">
        <f t="shared" si="7"/>
        <v>0</v>
      </c>
      <c r="AD47" s="106">
        <v>2184</v>
      </c>
      <c r="AE47" s="107">
        <f t="shared" si="8"/>
        <v>2184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907</v>
      </c>
      <c r="S48" s="110">
        <f t="shared" si="2"/>
        <v>0</v>
      </c>
      <c r="T48" s="110">
        <v>907</v>
      </c>
      <c r="U48" s="110">
        <f t="shared" si="3"/>
        <v>24.5</v>
      </c>
      <c r="V48" s="110">
        <v>956</v>
      </c>
      <c r="W48" s="110">
        <f t="shared" si="4"/>
        <v>856</v>
      </c>
      <c r="X48" s="110">
        <v>2668</v>
      </c>
      <c r="Y48" s="110">
        <f t="shared" si="5"/>
        <v>0</v>
      </c>
      <c r="Z48" s="110">
        <v>2668</v>
      </c>
      <c r="AA48" s="110">
        <f t="shared" si="6"/>
        <v>0</v>
      </c>
      <c r="AB48" s="110">
        <v>2668</v>
      </c>
      <c r="AC48" s="110">
        <f t="shared" si="7"/>
        <v>0</v>
      </c>
      <c r="AD48" s="110">
        <v>2668</v>
      </c>
      <c r="AE48" s="111">
        <f t="shared" si="8"/>
        <v>2668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2288</v>
      </c>
      <c r="R49" s="112">
        <v>996</v>
      </c>
      <c r="S49" s="112">
        <f t="shared" si="2"/>
        <v>0</v>
      </c>
      <c r="T49" s="112">
        <v>996</v>
      </c>
      <c r="U49" s="112">
        <f t="shared" si="3"/>
        <v>448</v>
      </c>
      <c r="V49" s="112">
        <v>1892</v>
      </c>
      <c r="W49" s="112">
        <f t="shared" si="4"/>
        <v>0</v>
      </c>
      <c r="X49" s="112">
        <v>1892</v>
      </c>
      <c r="Y49" s="112">
        <f t="shared" si="5"/>
        <v>29</v>
      </c>
      <c r="Z49" s="112">
        <v>1950</v>
      </c>
      <c r="AA49" s="112">
        <f t="shared" si="6"/>
        <v>0</v>
      </c>
      <c r="AB49" s="112">
        <v>1950</v>
      </c>
      <c r="AC49" s="112">
        <f t="shared" si="7"/>
        <v>0</v>
      </c>
      <c r="AD49" s="112">
        <v>1950</v>
      </c>
      <c r="AE49" s="113">
        <f t="shared" si="8"/>
        <v>-338</v>
      </c>
    </row>
    <row r="50" spans="14:31" ht="15.6" customHeight="1" x14ac:dyDescent="0.3">
      <c r="N50" s="212"/>
      <c r="O50" s="94" t="s">
        <v>66</v>
      </c>
      <c r="P50" s="108"/>
      <c r="Q50" s="108">
        <v>3814</v>
      </c>
      <c r="R50" s="108">
        <v>900</v>
      </c>
      <c r="S50" s="108">
        <f t="shared" si="2"/>
        <v>236</v>
      </c>
      <c r="T50" s="108">
        <v>1372</v>
      </c>
      <c r="U50" s="108">
        <f t="shared" si="3"/>
        <v>0</v>
      </c>
      <c r="V50" s="108">
        <v>1372</v>
      </c>
      <c r="W50" s="108">
        <f t="shared" si="4"/>
        <v>1037.5</v>
      </c>
      <c r="X50" s="108">
        <v>3447</v>
      </c>
      <c r="Y50" s="108">
        <f t="shared" si="5"/>
        <v>183.5</v>
      </c>
      <c r="Z50" s="108">
        <v>3814</v>
      </c>
      <c r="AA50" s="108">
        <f t="shared" si="6"/>
        <v>0</v>
      </c>
      <c r="AB50" s="108">
        <v>3814</v>
      </c>
      <c r="AC50" s="108">
        <f t="shared" si="7"/>
        <v>0</v>
      </c>
      <c r="AD50" s="108">
        <v>3814</v>
      </c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>
        <v>2206</v>
      </c>
      <c r="R51" s="106">
        <v>1139</v>
      </c>
      <c r="S51" s="106">
        <f t="shared" si="2"/>
        <v>0</v>
      </c>
      <c r="T51" s="106">
        <v>1139</v>
      </c>
      <c r="U51" s="106">
        <f t="shared" si="3"/>
        <v>90.5</v>
      </c>
      <c r="V51" s="106">
        <v>1320</v>
      </c>
      <c r="W51" s="106">
        <f t="shared" si="4"/>
        <v>428</v>
      </c>
      <c r="X51" s="106">
        <v>2176</v>
      </c>
      <c r="Y51" s="106">
        <f t="shared" si="5"/>
        <v>154</v>
      </c>
      <c r="Z51" s="106">
        <v>2484</v>
      </c>
      <c r="AA51" s="106">
        <f t="shared" si="6"/>
        <v>0</v>
      </c>
      <c r="AB51" s="106">
        <v>2484</v>
      </c>
      <c r="AC51" s="106">
        <f t="shared" si="7"/>
        <v>0</v>
      </c>
      <c r="AD51" s="106">
        <v>2484</v>
      </c>
      <c r="AE51" s="107">
        <f t="shared" si="8"/>
        <v>278</v>
      </c>
    </row>
    <row r="52" spans="14:31" ht="15.6" customHeight="1" x14ac:dyDescent="0.3">
      <c r="N52" s="212"/>
      <c r="O52" s="94" t="s">
        <v>68</v>
      </c>
      <c r="P52" s="108"/>
      <c r="Q52" s="108">
        <v>2617</v>
      </c>
      <c r="R52" s="108">
        <v>1</v>
      </c>
      <c r="S52" s="108">
        <f t="shared" si="2"/>
        <v>0</v>
      </c>
      <c r="T52" s="108">
        <v>1</v>
      </c>
      <c r="U52" s="108">
        <f t="shared" si="3"/>
        <v>74</v>
      </c>
      <c r="V52" s="108">
        <v>149</v>
      </c>
      <c r="W52" s="108">
        <f t="shared" si="4"/>
        <v>162.5</v>
      </c>
      <c r="X52" s="108">
        <v>474</v>
      </c>
      <c r="Y52" s="108">
        <f t="shared" si="5"/>
        <v>0</v>
      </c>
      <c r="Z52" s="108">
        <v>474</v>
      </c>
      <c r="AA52" s="108">
        <f t="shared" si="6"/>
        <v>0</v>
      </c>
      <c r="AB52" s="108">
        <v>474</v>
      </c>
      <c r="AC52" s="108">
        <f t="shared" si="7"/>
        <v>0</v>
      </c>
      <c r="AD52" s="108">
        <v>474</v>
      </c>
      <c r="AE52" s="109">
        <f t="shared" si="8"/>
        <v>-2143</v>
      </c>
    </row>
    <row r="53" spans="14:31" ht="15.6" customHeight="1" x14ac:dyDescent="0.3">
      <c r="N53" s="212"/>
      <c r="O53" s="95" t="s">
        <v>69</v>
      </c>
      <c r="P53" s="106"/>
      <c r="Q53" s="106">
        <v>2968</v>
      </c>
      <c r="R53" s="106">
        <v>641</v>
      </c>
      <c r="S53" s="106">
        <f t="shared" si="2"/>
        <v>224</v>
      </c>
      <c r="T53" s="106">
        <v>1089</v>
      </c>
      <c r="U53" s="106">
        <f t="shared" si="3"/>
        <v>111.5</v>
      </c>
      <c r="V53" s="106">
        <v>1312</v>
      </c>
      <c r="W53" s="106">
        <f t="shared" si="4"/>
        <v>139.5</v>
      </c>
      <c r="X53" s="106">
        <v>1591</v>
      </c>
      <c r="Y53" s="106">
        <f t="shared" si="5"/>
        <v>78</v>
      </c>
      <c r="Z53" s="106">
        <v>1747</v>
      </c>
      <c r="AA53" s="106">
        <f t="shared" si="6"/>
        <v>0</v>
      </c>
      <c r="AB53" s="106">
        <v>1747</v>
      </c>
      <c r="AC53" s="106">
        <f t="shared" si="7"/>
        <v>0</v>
      </c>
      <c r="AD53" s="106">
        <v>1747</v>
      </c>
      <c r="AE53" s="107">
        <f t="shared" si="8"/>
        <v>-1221</v>
      </c>
    </row>
    <row r="54" spans="14:31" ht="15.6" customHeight="1" x14ac:dyDescent="0.3">
      <c r="N54" s="212"/>
      <c r="O54" s="94" t="s">
        <v>70</v>
      </c>
      <c r="P54" s="108"/>
      <c r="Q54" s="108">
        <v>1779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316</v>
      </c>
      <c r="X54" s="108">
        <v>632</v>
      </c>
      <c r="Y54" s="108">
        <f t="shared" si="5"/>
        <v>483.5</v>
      </c>
      <c r="Z54" s="108">
        <v>1599</v>
      </c>
      <c r="AA54" s="108">
        <f t="shared" si="6"/>
        <v>0</v>
      </c>
      <c r="AB54" s="108">
        <v>1599</v>
      </c>
      <c r="AC54" s="108">
        <f t="shared" si="7"/>
        <v>0</v>
      </c>
      <c r="AD54" s="108">
        <v>1599</v>
      </c>
      <c r="AE54" s="109">
        <f t="shared" si="8"/>
        <v>-180</v>
      </c>
    </row>
    <row r="55" spans="14:31" ht="15.6" customHeight="1" x14ac:dyDescent="0.3">
      <c r="N55" s="212"/>
      <c r="O55" s="95" t="s">
        <v>71</v>
      </c>
      <c r="P55" s="106"/>
      <c r="Q55" s="106">
        <v>1945</v>
      </c>
      <c r="R55" s="106">
        <v>5</v>
      </c>
      <c r="S55" s="106">
        <f t="shared" si="2"/>
        <v>1</v>
      </c>
      <c r="T55" s="106">
        <v>7</v>
      </c>
      <c r="U55" s="106">
        <f t="shared" si="3"/>
        <v>0</v>
      </c>
      <c r="V55" s="106">
        <v>7</v>
      </c>
      <c r="W55" s="106">
        <f t="shared" si="4"/>
        <v>270</v>
      </c>
      <c r="X55" s="106">
        <v>547</v>
      </c>
      <c r="Y55" s="106">
        <f t="shared" si="5"/>
        <v>220.5</v>
      </c>
      <c r="Z55" s="106">
        <v>988</v>
      </c>
      <c r="AA55" s="106">
        <f t="shared" si="6"/>
        <v>0</v>
      </c>
      <c r="AB55" s="106">
        <v>988</v>
      </c>
      <c r="AC55" s="106">
        <f t="shared" si="7"/>
        <v>0</v>
      </c>
      <c r="AD55" s="106">
        <v>988</v>
      </c>
      <c r="AE55" s="107">
        <f t="shared" si="8"/>
        <v>-957</v>
      </c>
    </row>
    <row r="56" spans="14:31" ht="15.6" customHeight="1" x14ac:dyDescent="0.3">
      <c r="N56" s="212"/>
      <c r="O56" s="94" t="s">
        <v>72</v>
      </c>
      <c r="P56" s="108"/>
      <c r="Q56" s="108">
        <v>3076</v>
      </c>
      <c r="R56" s="108">
        <v>1202</v>
      </c>
      <c r="S56" s="108">
        <f t="shared" si="2"/>
        <v>11.5</v>
      </c>
      <c r="T56" s="108">
        <v>1225</v>
      </c>
      <c r="U56" s="108">
        <f t="shared" si="3"/>
        <v>706</v>
      </c>
      <c r="V56" s="108">
        <v>2637</v>
      </c>
      <c r="W56" s="108">
        <f t="shared" si="4"/>
        <v>41</v>
      </c>
      <c r="X56" s="108">
        <v>2719</v>
      </c>
      <c r="Y56" s="108">
        <f t="shared" si="5"/>
        <v>75.5</v>
      </c>
      <c r="Z56" s="108">
        <v>2870</v>
      </c>
      <c r="AA56" s="108">
        <f t="shared" si="6"/>
        <v>0</v>
      </c>
      <c r="AB56" s="108">
        <v>2870</v>
      </c>
      <c r="AC56" s="108">
        <f t="shared" si="7"/>
        <v>0</v>
      </c>
      <c r="AD56" s="108">
        <v>2870</v>
      </c>
      <c r="AE56" s="109">
        <f t="shared" si="8"/>
        <v>-206</v>
      </c>
    </row>
    <row r="57" spans="14:31" ht="15.6" customHeight="1" thickBot="1" x14ac:dyDescent="0.35">
      <c r="N57" s="213"/>
      <c r="O57" s="99" t="s">
        <v>73</v>
      </c>
      <c r="P57" s="114"/>
      <c r="Q57" s="114">
        <v>222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36.5</v>
      </c>
      <c r="Z57" s="114">
        <v>73</v>
      </c>
      <c r="AA57" s="114">
        <f t="shared" si="6"/>
        <v>0</v>
      </c>
      <c r="AB57" s="114">
        <v>73</v>
      </c>
      <c r="AC57" s="114">
        <f t="shared" si="7"/>
        <v>0</v>
      </c>
      <c r="AD57" s="114">
        <v>73</v>
      </c>
      <c r="AE57" s="115">
        <f t="shared" si="8"/>
        <v>-149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5964</v>
      </c>
      <c r="R58" s="104">
        <v>350</v>
      </c>
      <c r="S58" s="104">
        <f t="shared" si="2"/>
        <v>684</v>
      </c>
      <c r="T58" s="104">
        <v>1718</v>
      </c>
      <c r="U58" s="104">
        <f t="shared" si="3"/>
        <v>415</v>
      </c>
      <c r="V58" s="104">
        <v>2548</v>
      </c>
      <c r="W58" s="104">
        <f t="shared" si="4"/>
        <v>156</v>
      </c>
      <c r="X58" s="104">
        <v>2860</v>
      </c>
      <c r="Y58" s="104">
        <f t="shared" si="5"/>
        <v>105</v>
      </c>
      <c r="Z58" s="104">
        <v>3070</v>
      </c>
      <c r="AA58" s="104">
        <f t="shared" si="6"/>
        <v>90</v>
      </c>
      <c r="AB58" s="104">
        <v>3250</v>
      </c>
      <c r="AC58" s="104">
        <f t="shared" si="7"/>
        <v>0</v>
      </c>
      <c r="AD58" s="104">
        <v>3250</v>
      </c>
      <c r="AE58" s="105">
        <f t="shared" si="8"/>
        <v>-2714</v>
      </c>
    </row>
    <row r="59" spans="14:31" ht="15.6" customHeight="1" x14ac:dyDescent="0.3">
      <c r="N59" s="212"/>
      <c r="O59" s="95" t="s">
        <v>66</v>
      </c>
      <c r="P59" s="106"/>
      <c r="Q59" s="106">
        <v>4524</v>
      </c>
      <c r="R59" s="106">
        <v>501</v>
      </c>
      <c r="S59" s="106">
        <f t="shared" si="2"/>
        <v>920</v>
      </c>
      <c r="T59" s="106">
        <v>2341</v>
      </c>
      <c r="U59" s="106">
        <f t="shared" si="3"/>
        <v>447.5</v>
      </c>
      <c r="V59" s="106">
        <v>3236</v>
      </c>
      <c r="W59" s="106">
        <f t="shared" si="4"/>
        <v>458</v>
      </c>
      <c r="X59" s="106">
        <v>4152</v>
      </c>
      <c r="Y59" s="106">
        <f t="shared" si="5"/>
        <v>150.5</v>
      </c>
      <c r="Z59" s="106">
        <v>4453</v>
      </c>
      <c r="AA59" s="106">
        <f t="shared" si="6"/>
        <v>0</v>
      </c>
      <c r="AB59" s="106">
        <v>4453</v>
      </c>
      <c r="AC59" s="106">
        <f t="shared" si="7"/>
        <v>0</v>
      </c>
      <c r="AD59" s="106">
        <v>4453</v>
      </c>
      <c r="AE59" s="107">
        <f t="shared" si="8"/>
        <v>-71</v>
      </c>
    </row>
    <row r="60" spans="14:31" ht="15.6" customHeight="1" x14ac:dyDescent="0.3">
      <c r="N60" s="212"/>
      <c r="O60" s="94" t="s">
        <v>67</v>
      </c>
      <c r="P60" s="108"/>
      <c r="Q60" s="108">
        <v>6282.5</v>
      </c>
      <c r="R60" s="108">
        <v>535</v>
      </c>
      <c r="S60" s="108">
        <f t="shared" si="2"/>
        <v>232.5</v>
      </c>
      <c r="T60" s="108">
        <v>1000</v>
      </c>
      <c r="U60" s="108">
        <f t="shared" si="3"/>
        <v>176.5</v>
      </c>
      <c r="V60" s="108">
        <v>1353</v>
      </c>
      <c r="W60" s="108">
        <f t="shared" si="4"/>
        <v>126</v>
      </c>
      <c r="X60" s="108">
        <v>1605</v>
      </c>
      <c r="Y60" s="108">
        <f t="shared" si="5"/>
        <v>174.5</v>
      </c>
      <c r="Z60" s="108">
        <v>1954</v>
      </c>
      <c r="AA60" s="108">
        <f t="shared" si="6"/>
        <v>311</v>
      </c>
      <c r="AB60" s="108">
        <v>2576</v>
      </c>
      <c r="AC60" s="108">
        <f t="shared" si="7"/>
        <v>0</v>
      </c>
      <c r="AD60" s="108">
        <v>2576</v>
      </c>
      <c r="AE60" s="109">
        <f t="shared" si="8"/>
        <v>-3706.5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6121</v>
      </c>
      <c r="R62" s="104">
        <v>2304</v>
      </c>
      <c r="S62" s="104">
        <f t="shared" si="2"/>
        <v>291.5</v>
      </c>
      <c r="T62" s="104">
        <v>2887</v>
      </c>
      <c r="U62" s="104">
        <f t="shared" si="3"/>
        <v>279</v>
      </c>
      <c r="V62" s="104">
        <v>3445</v>
      </c>
      <c r="W62" s="104">
        <f t="shared" si="4"/>
        <v>482.5</v>
      </c>
      <c r="X62" s="104">
        <v>4410</v>
      </c>
      <c r="Y62" s="104">
        <f t="shared" si="5"/>
        <v>0</v>
      </c>
      <c r="Z62" s="104">
        <v>4410</v>
      </c>
      <c r="AA62" s="104">
        <f t="shared" si="6"/>
        <v>0</v>
      </c>
      <c r="AB62" s="104">
        <v>4410</v>
      </c>
      <c r="AC62" s="104">
        <f t="shared" si="7"/>
        <v>0</v>
      </c>
      <c r="AD62" s="104">
        <v>4410</v>
      </c>
      <c r="AE62" s="105">
        <f t="shared" si="8"/>
        <v>-1711</v>
      </c>
    </row>
    <row r="63" spans="14:31" ht="15.6" customHeight="1" x14ac:dyDescent="0.3">
      <c r="N63" s="212"/>
      <c r="O63" s="95" t="s">
        <v>66</v>
      </c>
      <c r="P63" s="106"/>
      <c r="Q63" s="106">
        <v>9453</v>
      </c>
      <c r="R63" s="106">
        <v>2512</v>
      </c>
      <c r="S63" s="106">
        <f t="shared" si="2"/>
        <v>531.5</v>
      </c>
      <c r="T63" s="106">
        <v>3575</v>
      </c>
      <c r="U63" s="106">
        <f t="shared" si="3"/>
        <v>411</v>
      </c>
      <c r="V63" s="106">
        <v>4397</v>
      </c>
      <c r="W63" s="106">
        <f t="shared" si="4"/>
        <v>177</v>
      </c>
      <c r="X63" s="106">
        <v>4751</v>
      </c>
      <c r="Y63" s="106">
        <f t="shared" si="5"/>
        <v>538</v>
      </c>
      <c r="Z63" s="106">
        <v>5827</v>
      </c>
      <c r="AA63" s="106">
        <f t="shared" si="6"/>
        <v>5</v>
      </c>
      <c r="AB63" s="106">
        <v>5837</v>
      </c>
      <c r="AC63" s="106">
        <f t="shared" si="7"/>
        <v>0</v>
      </c>
      <c r="AD63" s="106">
        <v>5837</v>
      </c>
      <c r="AE63" s="107">
        <f t="shared" si="8"/>
        <v>-3616</v>
      </c>
    </row>
    <row r="64" spans="14:31" ht="15.6" customHeight="1" x14ac:dyDescent="0.3">
      <c r="N64" s="212"/>
      <c r="O64" s="94" t="s">
        <v>67</v>
      </c>
      <c r="P64" s="108"/>
      <c r="Q64" s="108">
        <v>5849</v>
      </c>
      <c r="R64" s="108">
        <v>708</v>
      </c>
      <c r="S64" s="108">
        <f t="shared" si="2"/>
        <v>325</v>
      </c>
      <c r="T64" s="108">
        <v>1358</v>
      </c>
      <c r="U64" s="108">
        <f t="shared" si="3"/>
        <v>108</v>
      </c>
      <c r="V64" s="108">
        <v>1574</v>
      </c>
      <c r="W64" s="108">
        <f t="shared" si="4"/>
        <v>363</v>
      </c>
      <c r="X64" s="108">
        <v>2300</v>
      </c>
      <c r="Y64" s="108">
        <f t="shared" si="5"/>
        <v>581</v>
      </c>
      <c r="Z64" s="108">
        <v>3462</v>
      </c>
      <c r="AA64" s="108">
        <f t="shared" si="6"/>
        <v>0</v>
      </c>
      <c r="AB64" s="108">
        <v>3462</v>
      </c>
      <c r="AC64" s="108">
        <f t="shared" si="7"/>
        <v>0</v>
      </c>
      <c r="AD64" s="108">
        <v>3462</v>
      </c>
      <c r="AE64" s="109">
        <f t="shared" si="8"/>
        <v>-2387</v>
      </c>
    </row>
    <row r="65" spans="14:31" ht="15.6" customHeight="1" thickBot="1" x14ac:dyDescent="0.35">
      <c r="N65" s="213"/>
      <c r="O65" s="99" t="s">
        <v>68</v>
      </c>
      <c r="P65" s="114"/>
      <c r="Q65" s="114">
        <v>2498</v>
      </c>
      <c r="R65" s="114">
        <v>367</v>
      </c>
      <c r="S65" s="114">
        <f t="shared" si="2"/>
        <v>168</v>
      </c>
      <c r="T65" s="114">
        <v>703</v>
      </c>
      <c r="U65" s="114">
        <f t="shared" si="3"/>
        <v>162.5</v>
      </c>
      <c r="V65" s="114">
        <v>1028</v>
      </c>
      <c r="W65" s="114">
        <f t="shared" si="4"/>
        <v>131.5</v>
      </c>
      <c r="X65" s="114">
        <v>1291</v>
      </c>
      <c r="Y65" s="114">
        <f t="shared" si="5"/>
        <v>131</v>
      </c>
      <c r="Z65" s="114">
        <v>1553</v>
      </c>
      <c r="AA65" s="114">
        <f t="shared" si="6"/>
        <v>0</v>
      </c>
      <c r="AB65" s="114">
        <v>1553</v>
      </c>
      <c r="AC65" s="114">
        <f t="shared" si="7"/>
        <v>0</v>
      </c>
      <c r="AD65" s="114">
        <v>1553</v>
      </c>
      <c r="AE65" s="115">
        <f t="shared" si="8"/>
        <v>-945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63" priority="11" operator="lessThan">
      <formula>0</formula>
    </cfRule>
    <cfRule type="cellIs" dxfId="1762" priority="12" operator="greaterThan">
      <formula>0</formula>
    </cfRule>
  </conditionalFormatting>
  <conditionalFormatting sqref="R25:AC25">
    <cfRule type="cellIs" dxfId="1761" priority="9" operator="lessThan">
      <formula>0</formula>
    </cfRule>
    <cfRule type="cellIs" dxfId="1760" priority="10" operator="greaterThan">
      <formula>0</formula>
    </cfRule>
  </conditionalFormatting>
  <conditionalFormatting sqref="R26 T26 V26 X26 Z26 AB26">
    <cfRule type="cellIs" dxfId="1759" priority="7" operator="lessThan">
      <formula>0</formula>
    </cfRule>
    <cfRule type="cellIs" dxfId="1758" priority="8" operator="greaterThan">
      <formula>0</formula>
    </cfRule>
  </conditionalFormatting>
  <conditionalFormatting sqref="AD24:AE24">
    <cfRule type="cellIs" dxfId="1757" priority="5" operator="lessThan">
      <formula>0</formula>
    </cfRule>
    <cfRule type="cellIs" dxfId="1756" priority="6" operator="greaterThan">
      <formula>0</formula>
    </cfRule>
  </conditionalFormatting>
  <conditionalFormatting sqref="AD25:AE25">
    <cfRule type="cellIs" dxfId="1755" priority="3" operator="lessThan">
      <formula>0</formula>
    </cfRule>
    <cfRule type="cellIs" dxfId="1754" priority="4" operator="greaterThan">
      <formula>0</formula>
    </cfRule>
  </conditionalFormatting>
  <conditionalFormatting sqref="AD26">
    <cfRule type="cellIs" dxfId="1753" priority="1" operator="lessThan">
      <formula>0</formula>
    </cfRule>
    <cfRule type="cellIs" dxfId="175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1"/>
    <pageSetUpPr fitToPage="1"/>
  </sheetPr>
  <dimension ref="B1:AQ65"/>
  <sheetViews>
    <sheetView topLeftCell="G3" zoomScale="70" zoomScaleNormal="7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44372</v>
      </c>
    </row>
    <row r="3" spans="2:42" ht="18.75" customHeight="1" thickBot="1" x14ac:dyDescent="0.35">
      <c r="B3" t="s">
        <v>1</v>
      </c>
      <c r="C3" s="3">
        <f>C2+1</f>
        <v>44373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20637</v>
      </c>
      <c r="G6" s="117">
        <v>17340.623124999998</v>
      </c>
      <c r="H6" s="117">
        <v>13328.307127960001</v>
      </c>
      <c r="I6" s="19">
        <f>G6+H6</f>
        <v>30668.930252959999</v>
      </c>
      <c r="J6" s="119">
        <v>18416</v>
      </c>
      <c r="K6" s="117">
        <v>15239.896500000001</v>
      </c>
      <c r="L6" s="117">
        <v>11344.23894134</v>
      </c>
      <c r="M6" s="19">
        <f>K6+L6</f>
        <v>26584.13544134</v>
      </c>
      <c r="N6" s="85">
        <v>62</v>
      </c>
      <c r="O6" s="85">
        <v>54</v>
      </c>
      <c r="P6" s="92"/>
      <c r="Q6" s="20">
        <f>J6-P6</f>
        <v>18416</v>
      </c>
      <c r="R6" s="21">
        <v>4436</v>
      </c>
      <c r="S6" s="20">
        <f>IF(R6&gt;0,(R6-R7-$Q6),"")</f>
        <v>-14653</v>
      </c>
      <c r="T6" s="21">
        <v>5901</v>
      </c>
      <c r="U6" s="20">
        <f>IF(T6&gt;0,(T6-T7-$Q6),"")</f>
        <v>-13085</v>
      </c>
      <c r="V6" s="21">
        <v>9815</v>
      </c>
      <c r="W6" s="20">
        <f>IF(V6&gt;0,(V6-V7-$Q6),"")</f>
        <v>-9182</v>
      </c>
      <c r="X6" s="21">
        <v>11117.1</v>
      </c>
      <c r="Y6" s="20">
        <f>IF(X6&gt;0,(X6-X7-$Q6),"")</f>
        <v>-7342</v>
      </c>
      <c r="Z6" s="21">
        <v>11121.1</v>
      </c>
      <c r="AA6" s="20">
        <f>IF(Z6&gt;0,(Z6-Z7-$Q6),"")</f>
        <v>-7342</v>
      </c>
      <c r="AB6" s="21">
        <v>11121.1</v>
      </c>
      <c r="AC6" s="22">
        <f>IF(AB6&gt;0,(AB6-AB7-$Q6),"")</f>
        <v>-7342</v>
      </c>
      <c r="AD6" s="21">
        <v>11121.1</v>
      </c>
      <c r="AE6" s="22">
        <f>IF(AD6&gt;0,(AD6-AD7-$Q6),"")</f>
        <v>-7342</v>
      </c>
    </row>
    <row r="7" spans="2:42" x14ac:dyDescent="0.3">
      <c r="B7" s="16" t="s">
        <v>23</v>
      </c>
      <c r="C7" s="17">
        <v>496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673</v>
      </c>
      <c r="S7" s="24"/>
      <c r="T7" s="25">
        <v>570</v>
      </c>
      <c r="U7" s="24"/>
      <c r="V7" s="25">
        <v>581</v>
      </c>
      <c r="W7" s="24"/>
      <c r="X7" s="25">
        <v>43.1</v>
      </c>
      <c r="Y7" s="24"/>
      <c r="Z7" s="25">
        <v>47.1</v>
      </c>
      <c r="AA7" s="24"/>
      <c r="AB7" s="25">
        <v>47.1</v>
      </c>
      <c r="AC7" s="26"/>
      <c r="AD7" s="25">
        <v>47.1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2939</v>
      </c>
      <c r="E8" s="29" t="s">
        <v>27</v>
      </c>
      <c r="F8" s="119">
        <v>13192</v>
      </c>
      <c r="G8" s="117">
        <v>5637.8680000000004</v>
      </c>
      <c r="H8" s="117">
        <v>1241.1811845</v>
      </c>
      <c r="I8" s="19">
        <f>G8+H8</f>
        <v>6879.0491845000006</v>
      </c>
      <c r="J8" s="119">
        <v>12984</v>
      </c>
      <c r="K8" s="117">
        <v>5563.2174999999997</v>
      </c>
      <c r="L8" s="117">
        <v>1252.6273674199999</v>
      </c>
      <c r="M8" s="19">
        <f>K8+L8</f>
        <v>6815.8448674199999</v>
      </c>
      <c r="N8" s="87">
        <v>26</v>
      </c>
      <c r="O8" s="87">
        <v>21</v>
      </c>
      <c r="P8" s="92"/>
      <c r="Q8" s="20">
        <f>J8-P8</f>
        <v>12984</v>
      </c>
      <c r="R8" s="21">
        <v>1801</v>
      </c>
      <c r="S8" s="20">
        <f>IF(R8&gt;0,(R8-R9-$Q8),"")</f>
        <v>-11195</v>
      </c>
      <c r="T8" s="21">
        <v>2585</v>
      </c>
      <c r="U8" s="20">
        <f>IF(T8&gt;0,(T8-T9-$Q8),"")</f>
        <v>-10411</v>
      </c>
      <c r="V8" s="21">
        <v>9620</v>
      </c>
      <c r="W8" s="20">
        <f>IF(V8&gt;0,(V8-V9-$Q8),"")</f>
        <v>-3376</v>
      </c>
      <c r="X8" s="21">
        <v>12609</v>
      </c>
      <c r="Y8" s="20">
        <f>IF(X8&gt;0,(X8-X9-$Q8),"")</f>
        <v>-387</v>
      </c>
      <c r="Z8" s="21">
        <v>12609</v>
      </c>
      <c r="AA8" s="20">
        <f>IF(Z8&gt;0,(Z8-Z9-$Q8),"")</f>
        <v>-387</v>
      </c>
      <c r="AB8" s="21">
        <v>12609</v>
      </c>
      <c r="AC8" s="22">
        <f>IF(AB8&gt;0,(AB8-AB9-$Q8),"")</f>
        <v>-387</v>
      </c>
      <c r="AD8" s="21">
        <v>12609</v>
      </c>
      <c r="AE8" s="22">
        <f>IF(AD8&gt;0,(AD8-AD9-$Q8),"")</f>
        <v>-387</v>
      </c>
    </row>
    <row r="9" spans="2:42" x14ac:dyDescent="0.3">
      <c r="B9" s="28" t="s">
        <v>28</v>
      </c>
      <c r="C9" s="17">
        <v>2129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12</v>
      </c>
      <c r="S9" s="24"/>
      <c r="T9" s="30">
        <v>12</v>
      </c>
      <c r="U9" s="24"/>
      <c r="V9" s="30">
        <v>12</v>
      </c>
      <c r="W9" s="24"/>
      <c r="X9" s="30">
        <v>12</v>
      </c>
      <c r="Y9" s="24"/>
      <c r="Z9" s="30">
        <v>12</v>
      </c>
      <c r="AA9" s="24"/>
      <c r="AB9" s="30">
        <v>12</v>
      </c>
      <c r="AC9" s="26"/>
      <c r="AD9" s="30">
        <v>12</v>
      </c>
      <c r="AE9" s="26"/>
    </row>
    <row r="10" spans="2:42" x14ac:dyDescent="0.3">
      <c r="B10" s="16" t="s">
        <v>30</v>
      </c>
      <c r="C10" s="17">
        <v>5022</v>
      </c>
      <c r="E10" s="18" t="s">
        <v>31</v>
      </c>
      <c r="F10" s="119">
        <v>8911</v>
      </c>
      <c r="G10" s="117">
        <v>7085.589500000001</v>
      </c>
      <c r="H10" s="117">
        <v>1748.1727375</v>
      </c>
      <c r="I10" s="19">
        <f>G10+H10</f>
        <v>8833.762237500001</v>
      </c>
      <c r="J10" s="119">
        <v>8417</v>
      </c>
      <c r="K10" s="117">
        <v>6216.5341249999992</v>
      </c>
      <c r="L10" s="117">
        <v>1560.79747</v>
      </c>
      <c r="M10" s="19">
        <f>K10+L10</f>
        <v>7777.3315949999997</v>
      </c>
      <c r="N10" s="88">
        <v>43</v>
      </c>
      <c r="O10" s="88">
        <v>39</v>
      </c>
      <c r="P10" s="92"/>
      <c r="Q10" s="20">
        <f>J10-P10</f>
        <v>8417</v>
      </c>
      <c r="R10" s="21">
        <v>1477</v>
      </c>
      <c r="S10" s="20">
        <f>IF(R10&gt;0,(R10-R11-$Q10),"")</f>
        <v>-7677</v>
      </c>
      <c r="T10" s="21">
        <v>2523</v>
      </c>
      <c r="U10" s="20">
        <f>IF(T10&gt;0,(T10-T11-$Q10),"")</f>
        <v>-7375</v>
      </c>
      <c r="V10" s="21">
        <v>4860</v>
      </c>
      <c r="W10" s="20">
        <f>IF(V10&gt;0,(V10-V11-$Q10),"")</f>
        <v>-6160</v>
      </c>
      <c r="X10" s="21">
        <v>5718</v>
      </c>
      <c r="Y10" s="20">
        <f>IF(X10&gt;0,(X10-X11-$Q10),"")</f>
        <v>-5835</v>
      </c>
      <c r="Z10" s="21">
        <v>6923</v>
      </c>
      <c r="AA10" s="20">
        <f>IF(Z10&gt;0,(Z10-Z11-$Q10),"")</f>
        <v>-5047</v>
      </c>
      <c r="AB10" s="21">
        <v>6923</v>
      </c>
      <c r="AC10" s="22">
        <f>IF(AB10&gt;0,(AB10-AB11-$Q10),"")</f>
        <v>-5047</v>
      </c>
      <c r="AD10" s="21">
        <v>6923</v>
      </c>
      <c r="AE10" s="22">
        <f>IF(AD10&gt;0,(AD10-AD11-$Q10),"")</f>
        <v>-5047</v>
      </c>
    </row>
    <row r="11" spans="2:42" x14ac:dyDescent="0.3">
      <c r="B11" s="16" t="s">
        <v>32</v>
      </c>
      <c r="C11" s="17">
        <v>2104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737</v>
      </c>
      <c r="S11" s="24"/>
      <c r="T11" s="30">
        <v>1481</v>
      </c>
      <c r="U11" s="24"/>
      <c r="V11" s="30">
        <v>2603</v>
      </c>
      <c r="W11" s="24"/>
      <c r="X11" s="30">
        <v>3136</v>
      </c>
      <c r="Y11" s="24"/>
      <c r="Z11" s="30">
        <v>3553</v>
      </c>
      <c r="AA11" s="24"/>
      <c r="AB11" s="30">
        <v>3553</v>
      </c>
      <c r="AC11" s="26"/>
      <c r="AD11" s="30">
        <v>3553</v>
      </c>
      <c r="AE11" s="26"/>
    </row>
    <row r="12" spans="2:42" x14ac:dyDescent="0.3">
      <c r="B12" s="16" t="s">
        <v>34</v>
      </c>
      <c r="C12" s="17">
        <v>1693</v>
      </c>
      <c r="E12" s="29" t="s">
        <v>35</v>
      </c>
      <c r="F12" s="119">
        <v>11686</v>
      </c>
      <c r="G12" s="117">
        <v>13233.728999999999</v>
      </c>
      <c r="H12" s="117">
        <v>15582.6602</v>
      </c>
      <c r="I12" s="19">
        <f>G12+H12</f>
        <v>28816.389199999998</v>
      </c>
      <c r="J12" s="119">
        <v>11131</v>
      </c>
      <c r="K12" s="117">
        <v>12060.361000000001</v>
      </c>
      <c r="L12" s="117">
        <v>14286.07215188</v>
      </c>
      <c r="M12" s="19">
        <f>K12+L12</f>
        <v>26346.433151880003</v>
      </c>
      <c r="N12" s="88">
        <v>49</v>
      </c>
      <c r="O12" s="88">
        <v>38</v>
      </c>
      <c r="P12" s="92"/>
      <c r="Q12" s="20">
        <f>J12-P12</f>
        <v>11131</v>
      </c>
      <c r="R12" s="21">
        <v>2266</v>
      </c>
      <c r="S12" s="20">
        <f>IF(R12&gt;0,(R12-R13-$Q12),"")</f>
        <v>-9906</v>
      </c>
      <c r="T12" s="21">
        <v>5077</v>
      </c>
      <c r="U12" s="20">
        <f>IF(T12&gt;0,(T12-T13-$Q12),"")</f>
        <v>-7095</v>
      </c>
      <c r="V12" s="21">
        <v>8317</v>
      </c>
      <c r="W12" s="20">
        <f>IF(V12&gt;0,(V12-V13-$Q12),"")</f>
        <v>-3858</v>
      </c>
      <c r="X12" s="21">
        <v>10682</v>
      </c>
      <c r="Y12" s="20">
        <f>IF(X12&gt;0,(X12-X13-$Q12),"")</f>
        <v>-1493</v>
      </c>
      <c r="Z12" s="21">
        <v>10682</v>
      </c>
      <c r="AA12" s="20">
        <f>IF(Z12&gt;0,(Z12-Z13-$Q12),"")</f>
        <v>-1493</v>
      </c>
      <c r="AB12" s="21">
        <v>10682</v>
      </c>
      <c r="AC12" s="22">
        <f>IF(AB12&gt;0,(AB12-AB13-$Q12),"")</f>
        <v>-1493</v>
      </c>
      <c r="AD12" s="21">
        <v>10682</v>
      </c>
      <c r="AE12" s="22">
        <f>IF(AD12&gt;0,(AD12-AD13-$Q12),"")</f>
        <v>-1493</v>
      </c>
    </row>
    <row r="13" spans="2:42" x14ac:dyDescent="0.3">
      <c r="B13" s="16" t="s">
        <v>36</v>
      </c>
      <c r="C13" s="17">
        <v>4956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1041</v>
      </c>
      <c r="S13" s="24"/>
      <c r="T13" s="30">
        <v>1041</v>
      </c>
      <c r="U13" s="24"/>
      <c r="V13" s="30">
        <v>1044</v>
      </c>
      <c r="W13" s="24"/>
      <c r="X13" s="30">
        <v>1044</v>
      </c>
      <c r="Y13" s="24"/>
      <c r="Z13" s="30">
        <v>1044</v>
      </c>
      <c r="AA13" s="24"/>
      <c r="AB13" s="30">
        <v>1044</v>
      </c>
      <c r="AC13" s="26"/>
      <c r="AD13" s="30">
        <v>1044</v>
      </c>
      <c r="AE13" s="26"/>
    </row>
    <row r="14" spans="2:42" x14ac:dyDescent="0.3">
      <c r="B14" s="16" t="s">
        <v>38</v>
      </c>
      <c r="C14" s="17">
        <v>2980</v>
      </c>
      <c r="E14" s="18" t="s">
        <v>39</v>
      </c>
      <c r="F14" s="119">
        <v>22923</v>
      </c>
      <c r="G14" s="117">
        <v>22525.1875</v>
      </c>
      <c r="H14" s="117">
        <v>25394.950649040009</v>
      </c>
      <c r="I14" s="19">
        <f>G14+H14</f>
        <v>47920.138149040009</v>
      </c>
      <c r="J14" s="119">
        <v>23700</v>
      </c>
      <c r="K14" s="117">
        <v>23380.96875</v>
      </c>
      <c r="L14" s="117">
        <v>26129.79389284</v>
      </c>
      <c r="M14" s="19">
        <f>K14+L14</f>
        <v>49510.762642839996</v>
      </c>
      <c r="N14" s="88">
        <v>56</v>
      </c>
      <c r="O14" s="88">
        <v>48</v>
      </c>
      <c r="P14" s="92"/>
      <c r="Q14" s="20">
        <f>J14-P14</f>
        <v>23700</v>
      </c>
      <c r="R14" s="21">
        <v>4264</v>
      </c>
      <c r="S14" s="20">
        <f>IF(R14&gt;0,(R14-R15-$Q14),"")</f>
        <v>-22790</v>
      </c>
      <c r="T14" s="21">
        <v>7380</v>
      </c>
      <c r="U14" s="20">
        <f>IF(T14&gt;0,(T14-T15-$Q14),"")</f>
        <v>-22515</v>
      </c>
      <c r="V14" s="21">
        <v>7955</v>
      </c>
      <c r="W14" s="20">
        <f>IF(V14&gt;0,(V14-V15-$Q14),"")</f>
        <v>-22374</v>
      </c>
      <c r="X14" s="21">
        <v>10110</v>
      </c>
      <c r="Y14" s="20">
        <f>IF(X14&gt;0,(X14-X15-$Q14),"")</f>
        <v>-20774</v>
      </c>
      <c r="Z14" s="21">
        <v>12490</v>
      </c>
      <c r="AA14" s="20">
        <f>IF(Z14&gt;0,(Z14-Z15-$Q14),"")</f>
        <v>-19153</v>
      </c>
      <c r="AB14" s="21">
        <v>12951</v>
      </c>
      <c r="AC14" s="22">
        <f>IF(AB14&gt;0,(AB14-AB15-$Q14),"")</f>
        <v>-18692</v>
      </c>
      <c r="AD14" s="21">
        <v>12951</v>
      </c>
      <c r="AE14" s="22">
        <f>IF(AD14&gt;0,(AD14-AD15-$Q14),"")</f>
        <v>-18692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8</v>
      </c>
      <c r="P15" s="93" t="s">
        <v>41</v>
      </c>
      <c r="Q15" s="24"/>
      <c r="R15" s="25">
        <v>3354</v>
      </c>
      <c r="S15" s="24"/>
      <c r="T15" s="25">
        <v>6195</v>
      </c>
      <c r="U15" s="24"/>
      <c r="V15" s="25">
        <v>6629</v>
      </c>
      <c r="W15" s="24"/>
      <c r="X15" s="25">
        <v>7184</v>
      </c>
      <c r="Y15" s="24"/>
      <c r="Z15" s="25">
        <v>7943</v>
      </c>
      <c r="AA15" s="24"/>
      <c r="AB15" s="25">
        <v>7943</v>
      </c>
      <c r="AC15" s="26"/>
      <c r="AD15" s="25">
        <v>7943</v>
      </c>
      <c r="AE15" s="26"/>
    </row>
    <row r="16" spans="2:42" ht="15" customHeight="1" thickBot="1" x14ac:dyDescent="0.35">
      <c r="B16" s="28" t="s">
        <v>42</v>
      </c>
      <c r="C16" s="17">
        <v>13264</v>
      </c>
      <c r="E16" s="84"/>
      <c r="F16" s="31">
        <f t="shared" ref="F16:M16" si="0">SUM(F6:F15)</f>
        <v>77349</v>
      </c>
      <c r="G16" s="31">
        <f t="shared" si="0"/>
        <v>65822.997124999994</v>
      </c>
      <c r="H16" s="31">
        <f t="shared" si="0"/>
        <v>57295.271899000007</v>
      </c>
      <c r="I16" s="32">
        <f t="shared" si="0"/>
        <v>123118.26902400001</v>
      </c>
      <c r="J16" s="33">
        <f t="shared" si="0"/>
        <v>74648</v>
      </c>
      <c r="K16" s="33">
        <f t="shared" si="0"/>
        <v>62460.977874999997</v>
      </c>
      <c r="L16" s="33">
        <f t="shared" si="0"/>
        <v>54573.529823479999</v>
      </c>
      <c r="M16" s="33">
        <f t="shared" si="0"/>
        <v>117034.50769848</v>
      </c>
      <c r="N16" s="31">
        <f>SUM(N14,N12,N10,N8,N6)</f>
        <v>236</v>
      </c>
      <c r="O16" s="31">
        <f>SUM(O14,O12,O10,O8,O6)</f>
        <v>200</v>
      </c>
      <c r="P16" s="34">
        <f>SUM(P6:P15)</f>
        <v>0</v>
      </c>
      <c r="Q16" s="34">
        <f>SUM(Q6:Q15)</f>
        <v>74648</v>
      </c>
      <c r="R16" s="35">
        <f>R6+R8+R10+R12+R14-R7-R9-R11-R13-R15</f>
        <v>8427</v>
      </c>
      <c r="S16" s="36">
        <f>IF(R16&gt;1,(R16-$Q16),"")</f>
        <v>-66221</v>
      </c>
      <c r="T16" s="35">
        <f>T6+T8+T10+T12+T14-T7-T9-T11-T13-T15</f>
        <v>14167</v>
      </c>
      <c r="U16" s="36">
        <f>IF(T16&gt;1,(T16-$Q16),"")</f>
        <v>-60481</v>
      </c>
      <c r="V16" s="35">
        <f>V6+V8+V10+V12+V14-V7-V9-V11-V13-V15</f>
        <v>29698</v>
      </c>
      <c r="W16" s="36">
        <f>IF(V16&gt;1,(V16-$Q16),"")</f>
        <v>-44950</v>
      </c>
      <c r="X16" s="35">
        <f>X6+X8+X10+X12+X14-X7-X9-X11-X13-X15</f>
        <v>38817</v>
      </c>
      <c r="Y16" s="36">
        <f>IF(X16&gt;1,(X16-$Q16),"")</f>
        <v>-35831</v>
      </c>
      <c r="Z16" s="35">
        <f>Z6+Z8+Z10+Z12+Z14-Z7-Z9-Z11-Z13-Z15</f>
        <v>41226</v>
      </c>
      <c r="AA16" s="36">
        <f>IF(Z16&gt;1,(Z16-$Q16),"")</f>
        <v>-33422</v>
      </c>
      <c r="AB16" s="35">
        <f>AB6+AB8+AB10+AB12+AB14-AB7-AB9-AB11-AB13-AB15</f>
        <v>41687</v>
      </c>
      <c r="AC16" s="37">
        <f>IF(AB16&gt;1,(AB16-$Q16),"")</f>
        <v>-32961</v>
      </c>
      <c r="AD16" s="35">
        <f>AD6+AD8+AD10+AD12+AD14-AD7-AD9-AD11-AD13-AD15</f>
        <v>41687</v>
      </c>
      <c r="AE16" s="37">
        <f>IF(AD16&gt;1,(AD16-$Q16),"")</f>
        <v>-32961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36</v>
      </c>
      <c r="P17" s="38" t="s">
        <v>44</v>
      </c>
      <c r="Q17" s="39"/>
      <c r="R17" s="40">
        <f>R15+R13+R11+R9+R7</f>
        <v>5817</v>
      </c>
      <c r="S17" s="41"/>
      <c r="T17" s="40">
        <f>T15+T13+T11+T9+T7</f>
        <v>9299</v>
      </c>
      <c r="U17" s="41"/>
      <c r="V17" s="40">
        <f>V15+V13+V11+V9+V7</f>
        <v>10869</v>
      </c>
      <c r="W17" s="41"/>
      <c r="X17" s="40">
        <f>X15+X13+X11+X9+X7</f>
        <v>11419.1</v>
      </c>
      <c r="Y17" s="41"/>
      <c r="Z17" s="40">
        <f>Z15+Z13+Z11+Z9+Z7</f>
        <v>12599.1</v>
      </c>
      <c r="AA17" s="41"/>
      <c r="AB17" s="40">
        <f>AB15+AB13+AB11+AB9+AB7</f>
        <v>12599.1</v>
      </c>
      <c r="AC17" s="42"/>
      <c r="AD17" s="40">
        <f>AD15+AD13+AD11+AD9+AD7</f>
        <v>12599.1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4213.5</v>
      </c>
      <c r="S18" s="46"/>
      <c r="T18" s="47">
        <f>IF(T16&gt;0,(T16-R16)/2,"")</f>
        <v>2870</v>
      </c>
      <c r="U18" s="46"/>
      <c r="V18" s="47">
        <f>IF(V16&gt;0,(V16-T16)/2,"")</f>
        <v>7765.5</v>
      </c>
      <c r="W18" s="46"/>
      <c r="X18" s="47">
        <f>IF(X16&gt;0,(X16-V16)/2,"")</f>
        <v>4559.5</v>
      </c>
      <c r="Y18" s="46"/>
      <c r="Z18" s="47">
        <f>IF(Z16&gt;0,(Z16-X16)/2,"")</f>
        <v>1204.5</v>
      </c>
      <c r="AA18" s="46"/>
      <c r="AB18" s="47">
        <f>IF(AB16&gt;0,(AB16-Z16)/2,"")</f>
        <v>230.5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4875</v>
      </c>
      <c r="S20" s="36"/>
      <c r="T20" s="35">
        <v>14602</v>
      </c>
      <c r="U20" s="36"/>
      <c r="V20" s="35">
        <v>24128</v>
      </c>
      <c r="W20" s="36"/>
      <c r="X20" s="35">
        <v>48615</v>
      </c>
      <c r="Y20" s="36"/>
      <c r="Z20" s="35">
        <v>57842</v>
      </c>
      <c r="AA20" s="36"/>
      <c r="AB20" s="35">
        <v>58991</v>
      </c>
      <c r="AC20" s="37"/>
      <c r="AD20" s="35">
        <v>58991</v>
      </c>
      <c r="AE20" s="37">
        <v>-40929</v>
      </c>
    </row>
    <row r="21" spans="2:43" ht="15" customHeight="1" thickBot="1" x14ac:dyDescent="0.35">
      <c r="B21" s="16" t="s">
        <v>50</v>
      </c>
      <c r="C21" s="17">
        <v>7558</v>
      </c>
      <c r="L21" s="4"/>
      <c r="M21" s="4"/>
      <c r="Q21" s="52"/>
      <c r="R21" s="40">
        <v>9329</v>
      </c>
      <c r="S21" s="41"/>
      <c r="T21" s="40">
        <v>9927</v>
      </c>
      <c r="U21" s="41"/>
      <c r="V21" s="40">
        <v>11072</v>
      </c>
      <c r="W21" s="41"/>
      <c r="X21" s="40">
        <v>14079</v>
      </c>
      <c r="Y21" s="41"/>
      <c r="Z21" s="40">
        <v>15284</v>
      </c>
      <c r="AA21" s="41"/>
      <c r="AB21" s="40">
        <v>15294</v>
      </c>
      <c r="AC21" s="42"/>
      <c r="AD21" s="40">
        <v>15294</v>
      </c>
      <c r="AE21" s="42"/>
    </row>
    <row r="22" spans="2:43" ht="15" customHeight="1" thickBot="1" x14ac:dyDescent="0.35">
      <c r="B22" s="16" t="s">
        <v>51</v>
      </c>
      <c r="C22" s="17">
        <v>1015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4024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3552</v>
      </c>
      <c r="S24" s="60"/>
      <c r="T24" s="60">
        <f>IF(T16&gt;0,T16-T20,"")</f>
        <v>-435</v>
      </c>
      <c r="U24" s="60"/>
      <c r="V24" s="60">
        <f>IF(V16&gt;0,V16-V20,"")</f>
        <v>5570</v>
      </c>
      <c r="W24" s="60"/>
      <c r="X24" s="60">
        <f>IF(X16&gt;0,X16-X20,"")</f>
        <v>-9798</v>
      </c>
      <c r="Y24" s="60"/>
      <c r="Z24" s="60">
        <f>IF(Z16&gt;0,Z16-Z20,"")</f>
        <v>-16616</v>
      </c>
      <c r="AA24" s="60"/>
      <c r="AB24" s="60">
        <f>IF(AB16&gt;0,AB16-AB20,"")</f>
        <v>-17304</v>
      </c>
      <c r="AC24" s="61"/>
      <c r="AD24" s="60">
        <f>IF(AD16&gt;0,AD16-AD20,"")</f>
        <v>-17304</v>
      </c>
      <c r="AE24" s="61"/>
    </row>
    <row r="25" spans="2:43" x14ac:dyDescent="0.3">
      <c r="L25" s="4"/>
      <c r="M25" s="4"/>
      <c r="Q25" s="62"/>
      <c r="R25" s="63">
        <f>IF(R17&gt;=0,R17-R21,"")</f>
        <v>-3512</v>
      </c>
      <c r="S25" s="64"/>
      <c r="T25" s="63">
        <f>IF(T17&gt;=0,T17-T21,"")</f>
        <v>-628</v>
      </c>
      <c r="U25" s="64"/>
      <c r="V25" s="63">
        <f>IF(V17&gt;=0,V17-V21,"")</f>
        <v>-203</v>
      </c>
      <c r="W25" s="64"/>
      <c r="X25" s="63">
        <f>IF(X17&gt;=0,X17-X21,"")</f>
        <v>-2659.8999999999996</v>
      </c>
      <c r="Y25" s="64"/>
      <c r="Z25" s="63">
        <f>IF(Z17&gt;=0,Z17-Z21,"")</f>
        <v>-2684.8999999999996</v>
      </c>
      <c r="AA25" s="64"/>
      <c r="AB25" s="63">
        <f>IF(AB17&gt;=0,AB17-AB21,"")</f>
        <v>-2694.8999999999996</v>
      </c>
      <c r="AC25" s="65"/>
      <c r="AD25" s="63">
        <f>IF(AD17&gt;=0,AD17-AD21,"")</f>
        <v>-2694.8999999999996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4213.5</v>
      </c>
      <c r="S26" s="55"/>
      <c r="T26" s="67">
        <f>IFERROR(IF(T18&gt;0,T18-T22,""),"")</f>
        <v>2870</v>
      </c>
      <c r="U26" s="55"/>
      <c r="V26" s="67">
        <f>IFERROR(IF(V18&gt;0,V18-V22,""),"")</f>
        <v>7765.5</v>
      </c>
      <c r="W26" s="55"/>
      <c r="X26" s="67">
        <f>IFERROR(IF(X18&gt;0,X18-X22,""),"")</f>
        <v>4559.5</v>
      </c>
      <c r="Y26" s="55"/>
      <c r="Z26" s="67">
        <f>IFERROR(IF(Z18&gt;0,Z18-Z22,""),"")</f>
        <v>1204.5</v>
      </c>
      <c r="AA26" s="55"/>
      <c r="AB26" s="67">
        <f>IFERROR(IF(AB18&gt;0,AB18-AB22,""),"")</f>
        <v>230.5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11348</v>
      </c>
      <c r="D29" s="76">
        <f>C14</f>
        <v>2980</v>
      </c>
      <c r="E29" s="77">
        <f t="shared" ref="E29:E34" si="1">D29-C29</f>
        <v>-8368</v>
      </c>
      <c r="M29" s="4"/>
      <c r="O29" s="4"/>
    </row>
    <row r="30" spans="2:43" x14ac:dyDescent="0.3">
      <c r="B30" s="74" t="s">
        <v>56</v>
      </c>
      <c r="C30" s="75">
        <v>27887</v>
      </c>
      <c r="D30" s="76">
        <f>C7+C15+C16+C19+C20</f>
        <v>13760</v>
      </c>
      <c r="E30" s="77">
        <f t="shared" si="1"/>
        <v>-14127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13775</v>
      </c>
      <c r="D32" s="76">
        <f>C10+C11+C12+C13</f>
        <v>13775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12792</v>
      </c>
      <c r="D34" s="76">
        <f>C21+C22+C23</f>
        <v>12597</v>
      </c>
      <c r="E34" s="77">
        <f t="shared" si="1"/>
        <v>-195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5068</v>
      </c>
      <c r="D35" s="80">
        <f>SUM(C8+C9)</f>
        <v>5068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2124</v>
      </c>
      <c r="R36" s="104">
        <v>719</v>
      </c>
      <c r="S36" s="104">
        <f t="shared" ref="S36:S65" si="2">IF(T36&gt;0,(T36-R36)/2,"")</f>
        <v>0</v>
      </c>
      <c r="T36" s="104">
        <v>719</v>
      </c>
      <c r="U36" s="104">
        <f t="shared" ref="U36:U65" si="3">IF(V36&gt;0,(V36-T36)/2,"")</f>
        <v>264.5</v>
      </c>
      <c r="V36" s="104">
        <v>1248</v>
      </c>
      <c r="W36" s="104">
        <f t="shared" ref="W36:W65" si="4">IF(X36&gt;0,(X36-V36)/2,"")</f>
        <v>11</v>
      </c>
      <c r="X36" s="104">
        <v>1270</v>
      </c>
      <c r="Y36" s="104">
        <f t="shared" ref="Y36:Y65" si="5">IF(Z36&gt;0,(Z36-X36)/2,"")</f>
        <v>0</v>
      </c>
      <c r="Z36" s="104">
        <v>1270</v>
      </c>
      <c r="AA36" s="104">
        <f t="shared" ref="AA36:AA65" si="6">IF(AB36&gt;0,(AB36-Z36)/2,"")</f>
        <v>0</v>
      </c>
      <c r="AB36" s="104">
        <v>1270</v>
      </c>
      <c r="AC36" s="104">
        <f t="shared" ref="AC36:AC65" si="7">IF(AD36&gt;0,(AD36-AB36)/2,"")</f>
        <v>0</v>
      </c>
      <c r="AD36" s="104">
        <v>1270</v>
      </c>
      <c r="AE36" s="105">
        <f t="shared" ref="AE36:AE65" si="8">AD36-Q36</f>
        <v>-854</v>
      </c>
    </row>
    <row r="37" spans="2:31" ht="15.6" customHeight="1" x14ac:dyDescent="0.3">
      <c r="N37" s="212"/>
      <c r="O37" s="95" t="s">
        <v>66</v>
      </c>
      <c r="P37" s="106"/>
      <c r="Q37" s="106">
        <v>1344</v>
      </c>
      <c r="R37" s="106">
        <v>0</v>
      </c>
      <c r="S37" s="106">
        <f t="shared" si="2"/>
        <v>84.5</v>
      </c>
      <c r="T37" s="106">
        <v>169</v>
      </c>
      <c r="U37" s="106">
        <f t="shared" si="3"/>
        <v>286</v>
      </c>
      <c r="V37" s="106">
        <v>741</v>
      </c>
      <c r="W37" s="106">
        <f t="shared" si="4"/>
        <v>302.54999999999995</v>
      </c>
      <c r="X37" s="106">
        <v>1346.1</v>
      </c>
      <c r="Y37" s="106">
        <f t="shared" si="5"/>
        <v>2</v>
      </c>
      <c r="Z37" s="106">
        <v>1350.1</v>
      </c>
      <c r="AA37" s="106">
        <f t="shared" si="6"/>
        <v>0</v>
      </c>
      <c r="AB37" s="106">
        <v>1350.1</v>
      </c>
      <c r="AC37" s="106">
        <f t="shared" si="7"/>
        <v>0</v>
      </c>
      <c r="AD37" s="106">
        <v>1350.1</v>
      </c>
      <c r="AE37" s="107">
        <f t="shared" si="8"/>
        <v>6.0999999999999091</v>
      </c>
    </row>
    <row r="38" spans="2:31" ht="15.6" customHeight="1" x14ac:dyDescent="0.3">
      <c r="N38" s="212"/>
      <c r="O38" s="94" t="s">
        <v>67</v>
      </c>
      <c r="P38" s="108"/>
      <c r="Q38" s="108">
        <v>2526</v>
      </c>
      <c r="R38" s="108">
        <v>230</v>
      </c>
      <c r="S38" s="108">
        <f t="shared" si="2"/>
        <v>0</v>
      </c>
      <c r="T38" s="108">
        <v>230</v>
      </c>
      <c r="U38" s="108">
        <f t="shared" si="3"/>
        <v>142</v>
      </c>
      <c r="V38" s="108">
        <v>514</v>
      </c>
      <c r="W38" s="108">
        <f t="shared" si="4"/>
        <v>122.5</v>
      </c>
      <c r="X38" s="108">
        <v>759</v>
      </c>
      <c r="Y38" s="108">
        <f t="shared" si="5"/>
        <v>0</v>
      </c>
      <c r="Z38" s="108">
        <v>759</v>
      </c>
      <c r="AA38" s="108">
        <f t="shared" si="6"/>
        <v>0</v>
      </c>
      <c r="AB38" s="108">
        <v>759</v>
      </c>
      <c r="AC38" s="108">
        <f t="shared" si="7"/>
        <v>0</v>
      </c>
      <c r="AD38" s="108">
        <v>759</v>
      </c>
      <c r="AE38" s="109">
        <f t="shared" si="8"/>
        <v>-1767</v>
      </c>
    </row>
    <row r="39" spans="2:31" ht="15.6" customHeight="1" x14ac:dyDescent="0.3">
      <c r="N39" s="212"/>
      <c r="O39" s="95" t="s">
        <v>68</v>
      </c>
      <c r="P39" s="106"/>
      <c r="Q39" s="106">
        <v>3772</v>
      </c>
      <c r="R39" s="106">
        <v>732</v>
      </c>
      <c r="S39" s="106">
        <f t="shared" si="2"/>
        <v>256.5</v>
      </c>
      <c r="T39" s="106">
        <v>1245</v>
      </c>
      <c r="U39" s="106">
        <f t="shared" si="3"/>
        <v>506</v>
      </c>
      <c r="V39" s="106">
        <v>2257</v>
      </c>
      <c r="W39" s="106">
        <f t="shared" si="4"/>
        <v>302</v>
      </c>
      <c r="X39" s="106">
        <v>2861</v>
      </c>
      <c r="Y39" s="106">
        <f t="shared" si="5"/>
        <v>0</v>
      </c>
      <c r="Z39" s="106">
        <v>2861</v>
      </c>
      <c r="AA39" s="106">
        <f t="shared" si="6"/>
        <v>0</v>
      </c>
      <c r="AB39" s="106">
        <v>2861</v>
      </c>
      <c r="AC39" s="106">
        <f t="shared" si="7"/>
        <v>0</v>
      </c>
      <c r="AD39" s="106">
        <v>2861</v>
      </c>
      <c r="AE39" s="107">
        <f t="shared" si="8"/>
        <v>-911</v>
      </c>
    </row>
    <row r="40" spans="2:31" ht="15.6" customHeight="1" x14ac:dyDescent="0.3">
      <c r="N40" s="212"/>
      <c r="O40" s="94" t="s">
        <v>69</v>
      </c>
      <c r="P40" s="108"/>
      <c r="Q40" s="108">
        <v>1542</v>
      </c>
      <c r="R40" s="108">
        <v>920</v>
      </c>
      <c r="S40" s="108">
        <f t="shared" si="2"/>
        <v>182</v>
      </c>
      <c r="T40" s="108">
        <v>1284</v>
      </c>
      <c r="U40" s="108">
        <f t="shared" si="3"/>
        <v>409.5</v>
      </c>
      <c r="V40" s="108">
        <v>2103</v>
      </c>
      <c r="W40" s="108">
        <f t="shared" si="4"/>
        <v>-275.5</v>
      </c>
      <c r="X40" s="108">
        <v>1552</v>
      </c>
      <c r="Y40" s="108">
        <f t="shared" si="5"/>
        <v>0</v>
      </c>
      <c r="Z40" s="108">
        <v>1552</v>
      </c>
      <c r="AA40" s="108">
        <f t="shared" si="6"/>
        <v>0</v>
      </c>
      <c r="AB40" s="108">
        <v>1552</v>
      </c>
      <c r="AC40" s="108">
        <f t="shared" si="7"/>
        <v>0</v>
      </c>
      <c r="AD40" s="108">
        <v>1552</v>
      </c>
      <c r="AE40" s="109">
        <f t="shared" si="8"/>
        <v>10</v>
      </c>
    </row>
    <row r="41" spans="2:31" ht="15.6" customHeight="1" x14ac:dyDescent="0.3">
      <c r="N41" s="212"/>
      <c r="O41" s="95" t="s">
        <v>70</v>
      </c>
      <c r="P41" s="106"/>
      <c r="Q41" s="106">
        <v>3099</v>
      </c>
      <c r="R41" s="106">
        <v>222</v>
      </c>
      <c r="S41" s="106">
        <f t="shared" si="2"/>
        <v>-38</v>
      </c>
      <c r="T41" s="106">
        <v>146</v>
      </c>
      <c r="U41" s="106">
        <f t="shared" si="3"/>
        <v>64.5</v>
      </c>
      <c r="V41" s="106">
        <v>275</v>
      </c>
      <c r="W41" s="106">
        <f t="shared" si="4"/>
        <v>0</v>
      </c>
      <c r="X41" s="106">
        <v>275</v>
      </c>
      <c r="Y41" s="106">
        <f t="shared" si="5"/>
        <v>0</v>
      </c>
      <c r="Z41" s="106">
        <v>275</v>
      </c>
      <c r="AA41" s="106">
        <f t="shared" si="6"/>
        <v>0</v>
      </c>
      <c r="AB41" s="106">
        <v>275</v>
      </c>
      <c r="AC41" s="106">
        <f t="shared" si="7"/>
        <v>0</v>
      </c>
      <c r="AD41" s="106">
        <v>275</v>
      </c>
      <c r="AE41" s="107">
        <f t="shared" si="8"/>
        <v>-2824</v>
      </c>
    </row>
    <row r="42" spans="2:31" ht="15.6" customHeight="1" x14ac:dyDescent="0.3">
      <c r="N42" s="212"/>
      <c r="O42" s="94" t="s">
        <v>71</v>
      </c>
      <c r="P42" s="108"/>
      <c r="Q42" s="108">
        <v>1205</v>
      </c>
      <c r="R42" s="108">
        <v>562</v>
      </c>
      <c r="S42" s="108">
        <f t="shared" si="2"/>
        <v>76.5</v>
      </c>
      <c r="T42" s="108">
        <v>715</v>
      </c>
      <c r="U42" s="108">
        <f t="shared" si="3"/>
        <v>0</v>
      </c>
      <c r="V42" s="108">
        <v>715</v>
      </c>
      <c r="W42" s="108">
        <f t="shared" si="4"/>
        <v>0</v>
      </c>
      <c r="X42" s="108">
        <v>715</v>
      </c>
      <c r="Y42" s="108">
        <f t="shared" si="5"/>
        <v>0</v>
      </c>
      <c r="Z42" s="108">
        <v>715</v>
      </c>
      <c r="AA42" s="108">
        <f t="shared" si="6"/>
        <v>0</v>
      </c>
      <c r="AB42" s="108">
        <v>715</v>
      </c>
      <c r="AC42" s="108">
        <f t="shared" si="7"/>
        <v>0</v>
      </c>
      <c r="AD42" s="108">
        <v>715</v>
      </c>
      <c r="AE42" s="109">
        <f t="shared" si="8"/>
        <v>-490</v>
      </c>
    </row>
    <row r="43" spans="2:31" ht="15.6" customHeight="1" x14ac:dyDescent="0.3">
      <c r="N43" s="212"/>
      <c r="O43" s="95" t="s">
        <v>72</v>
      </c>
      <c r="P43" s="106"/>
      <c r="Q43" s="106">
        <v>1647</v>
      </c>
      <c r="R43" s="106">
        <v>525</v>
      </c>
      <c r="S43" s="106">
        <f t="shared" si="2"/>
        <v>0</v>
      </c>
      <c r="T43" s="106">
        <v>525</v>
      </c>
      <c r="U43" s="106">
        <f t="shared" si="3"/>
        <v>184.5</v>
      </c>
      <c r="V43" s="106">
        <v>894</v>
      </c>
      <c r="W43" s="106">
        <f t="shared" si="4"/>
        <v>141.5</v>
      </c>
      <c r="X43" s="106">
        <v>1177</v>
      </c>
      <c r="Y43" s="106">
        <f t="shared" si="5"/>
        <v>0</v>
      </c>
      <c r="Z43" s="106">
        <v>1177</v>
      </c>
      <c r="AA43" s="106">
        <f t="shared" si="6"/>
        <v>0</v>
      </c>
      <c r="AB43" s="106">
        <v>1177</v>
      </c>
      <c r="AC43" s="106">
        <f t="shared" si="7"/>
        <v>0</v>
      </c>
      <c r="AD43" s="106">
        <v>1177</v>
      </c>
      <c r="AE43" s="107">
        <f t="shared" si="8"/>
        <v>-470</v>
      </c>
    </row>
    <row r="44" spans="2:31" ht="15.6" customHeight="1" thickBot="1" x14ac:dyDescent="0.35">
      <c r="N44" s="213"/>
      <c r="O44" s="97" t="s">
        <v>73</v>
      </c>
      <c r="P44" s="110"/>
      <c r="Q44" s="110">
        <v>1157</v>
      </c>
      <c r="R44" s="110">
        <v>526</v>
      </c>
      <c r="S44" s="110">
        <f t="shared" si="2"/>
        <v>171</v>
      </c>
      <c r="T44" s="110">
        <v>868</v>
      </c>
      <c r="U44" s="110">
        <f t="shared" si="3"/>
        <v>100</v>
      </c>
      <c r="V44" s="110">
        <v>1068</v>
      </c>
      <c r="W44" s="110">
        <f t="shared" si="4"/>
        <v>47</v>
      </c>
      <c r="X44" s="110">
        <v>1162</v>
      </c>
      <c r="Y44" s="110">
        <f t="shared" si="5"/>
        <v>0</v>
      </c>
      <c r="Z44" s="110">
        <v>1162</v>
      </c>
      <c r="AA44" s="110">
        <f t="shared" si="6"/>
        <v>0</v>
      </c>
      <c r="AB44" s="110">
        <v>1162</v>
      </c>
      <c r="AC44" s="110">
        <f t="shared" si="7"/>
        <v>0</v>
      </c>
      <c r="AD44" s="110">
        <v>1162</v>
      </c>
      <c r="AE44" s="111">
        <f t="shared" si="8"/>
        <v>5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4237</v>
      </c>
      <c r="R45" s="112">
        <v>1000</v>
      </c>
      <c r="S45" s="112">
        <f t="shared" si="2"/>
        <v>392</v>
      </c>
      <c r="T45" s="112">
        <v>1784</v>
      </c>
      <c r="U45" s="112">
        <f t="shared" si="3"/>
        <v>1226.5</v>
      </c>
      <c r="V45" s="112">
        <v>4237</v>
      </c>
      <c r="W45" s="112">
        <f t="shared" si="4"/>
        <v>0</v>
      </c>
      <c r="X45" s="112">
        <v>4237</v>
      </c>
      <c r="Y45" s="112">
        <f t="shared" si="5"/>
        <v>0</v>
      </c>
      <c r="Z45" s="112">
        <v>4237</v>
      </c>
      <c r="AA45" s="112">
        <f t="shared" si="6"/>
        <v>0</v>
      </c>
      <c r="AB45" s="112">
        <v>4237</v>
      </c>
      <c r="AC45" s="112">
        <f t="shared" si="7"/>
        <v>0</v>
      </c>
      <c r="AD45" s="112">
        <v>4237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3128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1021</v>
      </c>
      <c r="V46" s="108">
        <v>2042</v>
      </c>
      <c r="W46" s="108">
        <f t="shared" si="4"/>
        <v>543</v>
      </c>
      <c r="X46" s="108">
        <v>3128</v>
      </c>
      <c r="Y46" s="108">
        <f t="shared" si="5"/>
        <v>0</v>
      </c>
      <c r="Z46" s="108">
        <v>3128</v>
      </c>
      <c r="AA46" s="108">
        <f t="shared" si="6"/>
        <v>0</v>
      </c>
      <c r="AB46" s="108">
        <v>3128</v>
      </c>
      <c r="AC46" s="108">
        <f t="shared" si="7"/>
        <v>0</v>
      </c>
      <c r="AD46" s="108">
        <v>3128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2005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119</v>
      </c>
      <c r="V47" s="106">
        <v>238</v>
      </c>
      <c r="W47" s="106">
        <f t="shared" si="4"/>
        <v>690</v>
      </c>
      <c r="X47" s="106">
        <v>1618</v>
      </c>
      <c r="Y47" s="106">
        <f t="shared" si="5"/>
        <v>0</v>
      </c>
      <c r="Z47" s="106">
        <v>1618</v>
      </c>
      <c r="AA47" s="106">
        <f t="shared" si="6"/>
        <v>0</v>
      </c>
      <c r="AB47" s="106">
        <v>1618</v>
      </c>
      <c r="AC47" s="106">
        <f t="shared" si="7"/>
        <v>0</v>
      </c>
      <c r="AD47" s="106">
        <v>1618</v>
      </c>
      <c r="AE47" s="107">
        <f t="shared" si="8"/>
        <v>-387</v>
      </c>
    </row>
    <row r="48" spans="2:31" ht="15.6" customHeight="1" thickBot="1" x14ac:dyDescent="0.35">
      <c r="N48" s="213"/>
      <c r="O48" s="97" t="s">
        <v>68</v>
      </c>
      <c r="P48" s="110"/>
      <c r="Q48" s="110">
        <v>3614</v>
      </c>
      <c r="R48" s="110">
        <v>801</v>
      </c>
      <c r="S48" s="110">
        <f t="shared" si="2"/>
        <v>0</v>
      </c>
      <c r="T48" s="110">
        <v>801</v>
      </c>
      <c r="U48" s="110">
        <f t="shared" si="3"/>
        <v>1151</v>
      </c>
      <c r="V48" s="110">
        <v>3103</v>
      </c>
      <c r="W48" s="110">
        <f t="shared" si="4"/>
        <v>261.5</v>
      </c>
      <c r="X48" s="110">
        <v>3626</v>
      </c>
      <c r="Y48" s="110">
        <f t="shared" si="5"/>
        <v>0</v>
      </c>
      <c r="Z48" s="110">
        <v>3626</v>
      </c>
      <c r="AA48" s="110">
        <f t="shared" si="6"/>
        <v>0</v>
      </c>
      <c r="AB48" s="110">
        <v>3626</v>
      </c>
      <c r="AC48" s="110">
        <f t="shared" si="7"/>
        <v>0</v>
      </c>
      <c r="AD48" s="110">
        <v>3626</v>
      </c>
      <c r="AE48" s="111">
        <f t="shared" si="8"/>
        <v>12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263</v>
      </c>
      <c r="R49" s="112">
        <v>4</v>
      </c>
      <c r="S49" s="112">
        <f t="shared" si="2"/>
        <v>66</v>
      </c>
      <c r="T49" s="112">
        <v>136</v>
      </c>
      <c r="U49" s="112">
        <f t="shared" si="3"/>
        <v>23</v>
      </c>
      <c r="V49" s="112">
        <v>182</v>
      </c>
      <c r="W49" s="112">
        <f t="shared" si="4"/>
        <v>0</v>
      </c>
      <c r="X49" s="112">
        <v>182</v>
      </c>
      <c r="Y49" s="112">
        <f t="shared" si="5"/>
        <v>33.5</v>
      </c>
      <c r="Z49" s="112">
        <v>249</v>
      </c>
      <c r="AA49" s="112">
        <f t="shared" si="6"/>
        <v>0</v>
      </c>
      <c r="AB49" s="112">
        <v>249</v>
      </c>
      <c r="AC49" s="112">
        <f t="shared" si="7"/>
        <v>0</v>
      </c>
      <c r="AD49" s="112">
        <v>249</v>
      </c>
      <c r="AE49" s="113">
        <f t="shared" si="8"/>
        <v>-14</v>
      </c>
    </row>
    <row r="50" spans="14:31" ht="15.6" customHeight="1" x14ac:dyDescent="0.3">
      <c r="N50" s="212"/>
      <c r="O50" s="94" t="s">
        <v>66</v>
      </c>
      <c r="P50" s="108"/>
      <c r="Q50" s="108">
        <v>103</v>
      </c>
      <c r="R50" s="108">
        <v>0</v>
      </c>
      <c r="S50" s="108" t="str">
        <f t="shared" si="2"/>
        <v/>
      </c>
      <c r="T50" s="108">
        <v>0</v>
      </c>
      <c r="U50" s="108">
        <f t="shared" si="3"/>
        <v>31.5</v>
      </c>
      <c r="V50" s="108">
        <v>63</v>
      </c>
      <c r="W50" s="108">
        <f t="shared" si="4"/>
        <v>0</v>
      </c>
      <c r="X50" s="108">
        <v>63</v>
      </c>
      <c r="Y50" s="108">
        <f t="shared" si="5"/>
        <v>0</v>
      </c>
      <c r="Z50" s="108">
        <v>63</v>
      </c>
      <c r="AA50" s="108">
        <f t="shared" si="6"/>
        <v>0</v>
      </c>
      <c r="AB50" s="108">
        <v>63</v>
      </c>
      <c r="AC50" s="108">
        <f t="shared" si="7"/>
        <v>0</v>
      </c>
      <c r="AD50" s="108">
        <v>63</v>
      </c>
      <c r="AE50" s="109">
        <f t="shared" si="8"/>
        <v>-40</v>
      </c>
    </row>
    <row r="51" spans="14:31" ht="15.6" customHeight="1" x14ac:dyDescent="0.3">
      <c r="N51" s="212"/>
      <c r="O51" s="95" t="s">
        <v>67</v>
      </c>
      <c r="P51" s="106"/>
      <c r="Q51" s="106">
        <v>2080</v>
      </c>
      <c r="R51" s="106">
        <v>688</v>
      </c>
      <c r="S51" s="106">
        <f t="shared" si="2"/>
        <v>0</v>
      </c>
      <c r="T51" s="106">
        <v>688</v>
      </c>
      <c r="U51" s="106">
        <f t="shared" si="3"/>
        <v>317.5</v>
      </c>
      <c r="V51" s="106">
        <v>1323</v>
      </c>
      <c r="W51" s="106">
        <f t="shared" si="4"/>
        <v>143</v>
      </c>
      <c r="X51" s="106">
        <v>1609</v>
      </c>
      <c r="Y51" s="106">
        <f t="shared" si="5"/>
        <v>89</v>
      </c>
      <c r="Z51" s="106">
        <v>1787</v>
      </c>
      <c r="AA51" s="106">
        <f t="shared" si="6"/>
        <v>0</v>
      </c>
      <c r="AB51" s="106">
        <v>1787</v>
      </c>
      <c r="AC51" s="106">
        <f t="shared" si="7"/>
        <v>0</v>
      </c>
      <c r="AD51" s="106">
        <v>1787</v>
      </c>
      <c r="AE51" s="107">
        <f t="shared" si="8"/>
        <v>-293</v>
      </c>
    </row>
    <row r="52" spans="14:31" ht="15.6" customHeight="1" x14ac:dyDescent="0.3">
      <c r="N52" s="212"/>
      <c r="O52" s="94" t="s">
        <v>68</v>
      </c>
      <c r="P52" s="108"/>
      <c r="Q52" s="108">
        <v>594</v>
      </c>
      <c r="R52" s="108">
        <v>1</v>
      </c>
      <c r="S52" s="108">
        <f t="shared" si="2"/>
        <v>0</v>
      </c>
      <c r="T52" s="108">
        <v>1</v>
      </c>
      <c r="U52" s="108">
        <f t="shared" si="3"/>
        <v>177.5</v>
      </c>
      <c r="V52" s="108">
        <v>356</v>
      </c>
      <c r="W52" s="108">
        <f t="shared" si="4"/>
        <v>0</v>
      </c>
      <c r="X52" s="108">
        <v>356</v>
      </c>
      <c r="Y52" s="108">
        <f t="shared" si="5"/>
        <v>27</v>
      </c>
      <c r="Z52" s="108">
        <v>410</v>
      </c>
      <c r="AA52" s="108">
        <f t="shared" si="6"/>
        <v>0</v>
      </c>
      <c r="AB52" s="108">
        <v>410</v>
      </c>
      <c r="AC52" s="108">
        <f t="shared" si="7"/>
        <v>0</v>
      </c>
      <c r="AD52" s="108">
        <v>410</v>
      </c>
      <c r="AE52" s="109">
        <f t="shared" si="8"/>
        <v>-184</v>
      </c>
    </row>
    <row r="53" spans="14:31" ht="15.6" customHeight="1" x14ac:dyDescent="0.3">
      <c r="N53" s="212"/>
      <c r="O53" s="95" t="s">
        <v>69</v>
      </c>
      <c r="P53" s="106"/>
      <c r="Q53" s="106">
        <v>3099</v>
      </c>
      <c r="R53" s="106">
        <v>154</v>
      </c>
      <c r="S53" s="106">
        <f t="shared" si="2"/>
        <v>445.5</v>
      </c>
      <c r="T53" s="106">
        <v>1045</v>
      </c>
      <c r="U53" s="106">
        <f t="shared" si="3"/>
        <v>455</v>
      </c>
      <c r="V53" s="106">
        <v>1955</v>
      </c>
      <c r="W53" s="106">
        <f t="shared" si="4"/>
        <v>111.5</v>
      </c>
      <c r="X53" s="106">
        <v>2178</v>
      </c>
      <c r="Y53" s="106">
        <f t="shared" si="5"/>
        <v>185</v>
      </c>
      <c r="Z53" s="106">
        <v>2548</v>
      </c>
      <c r="AA53" s="106">
        <f t="shared" si="6"/>
        <v>0</v>
      </c>
      <c r="AB53" s="106">
        <v>2548</v>
      </c>
      <c r="AC53" s="106">
        <f t="shared" si="7"/>
        <v>0</v>
      </c>
      <c r="AD53" s="106">
        <v>2548</v>
      </c>
      <c r="AE53" s="107">
        <f t="shared" si="8"/>
        <v>-551</v>
      </c>
    </row>
    <row r="54" spans="14:31" ht="15.6" customHeight="1" x14ac:dyDescent="0.3">
      <c r="N54" s="212"/>
      <c r="O54" s="94" t="s">
        <v>70</v>
      </c>
      <c r="P54" s="108"/>
      <c r="Q54" s="108">
        <v>936</v>
      </c>
      <c r="R54" s="108">
        <v>8</v>
      </c>
      <c r="S54" s="108">
        <f t="shared" si="2"/>
        <v>0</v>
      </c>
      <c r="T54" s="108">
        <v>8</v>
      </c>
      <c r="U54" s="108">
        <f t="shared" si="3"/>
        <v>113.5</v>
      </c>
      <c r="V54" s="108">
        <v>235</v>
      </c>
      <c r="W54" s="108">
        <f t="shared" si="4"/>
        <v>168</v>
      </c>
      <c r="X54" s="108">
        <v>571</v>
      </c>
      <c r="Y54" s="108">
        <f t="shared" si="5"/>
        <v>98.5</v>
      </c>
      <c r="Z54" s="108">
        <v>768</v>
      </c>
      <c r="AA54" s="108">
        <f t="shared" si="6"/>
        <v>0</v>
      </c>
      <c r="AB54" s="108">
        <v>768</v>
      </c>
      <c r="AC54" s="108">
        <f t="shared" si="7"/>
        <v>0</v>
      </c>
      <c r="AD54" s="108">
        <v>768</v>
      </c>
      <c r="AE54" s="109">
        <f t="shared" si="8"/>
        <v>-168</v>
      </c>
    </row>
    <row r="55" spans="14:31" ht="15.6" customHeight="1" x14ac:dyDescent="0.3">
      <c r="N55" s="212"/>
      <c r="O55" s="95" t="s">
        <v>71</v>
      </c>
      <c r="P55" s="106"/>
      <c r="Q55" s="106">
        <v>953</v>
      </c>
      <c r="R55" s="106">
        <v>620</v>
      </c>
      <c r="S55" s="106">
        <f t="shared" si="2"/>
        <v>11.5</v>
      </c>
      <c r="T55" s="106">
        <v>643</v>
      </c>
      <c r="U55" s="106">
        <f t="shared" si="3"/>
        <v>0</v>
      </c>
      <c r="V55" s="106">
        <v>643</v>
      </c>
      <c r="W55" s="106">
        <f t="shared" si="4"/>
        <v>6.5</v>
      </c>
      <c r="X55" s="106">
        <v>656</v>
      </c>
      <c r="Y55" s="106">
        <f t="shared" si="5"/>
        <v>103</v>
      </c>
      <c r="Z55" s="106">
        <v>862</v>
      </c>
      <c r="AA55" s="106">
        <f t="shared" si="6"/>
        <v>0</v>
      </c>
      <c r="AB55" s="106">
        <v>862</v>
      </c>
      <c r="AC55" s="106">
        <f t="shared" si="7"/>
        <v>0</v>
      </c>
      <c r="AD55" s="106">
        <v>862</v>
      </c>
      <c r="AE55" s="107">
        <f t="shared" si="8"/>
        <v>-91</v>
      </c>
    </row>
    <row r="56" spans="14:31" ht="15.6" customHeight="1" x14ac:dyDescent="0.3">
      <c r="N56" s="212"/>
      <c r="O56" s="94" t="s">
        <v>72</v>
      </c>
      <c r="P56" s="108"/>
      <c r="Q56" s="108">
        <v>151</v>
      </c>
      <c r="R56" s="108">
        <v>2</v>
      </c>
      <c r="S56" s="108">
        <f t="shared" si="2"/>
        <v>0</v>
      </c>
      <c r="T56" s="108">
        <v>2</v>
      </c>
      <c r="U56" s="108">
        <f t="shared" si="3"/>
        <v>8</v>
      </c>
      <c r="V56" s="108">
        <v>18</v>
      </c>
      <c r="W56" s="108">
        <f t="shared" si="4"/>
        <v>0</v>
      </c>
      <c r="X56" s="108">
        <v>18</v>
      </c>
      <c r="Y56" s="108">
        <f t="shared" si="5"/>
        <v>66.5</v>
      </c>
      <c r="Z56" s="108">
        <v>151</v>
      </c>
      <c r="AA56" s="108">
        <f t="shared" si="6"/>
        <v>0</v>
      </c>
      <c r="AB56" s="108">
        <v>151</v>
      </c>
      <c r="AC56" s="108">
        <f t="shared" si="7"/>
        <v>0</v>
      </c>
      <c r="AD56" s="108">
        <v>151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238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42.5</v>
      </c>
      <c r="V57" s="114">
        <v>85</v>
      </c>
      <c r="W57" s="114">
        <f t="shared" si="4"/>
        <v>0</v>
      </c>
      <c r="X57" s="114">
        <v>85</v>
      </c>
      <c r="Y57" s="114">
        <f t="shared" si="5"/>
        <v>0</v>
      </c>
      <c r="Z57" s="114">
        <v>85</v>
      </c>
      <c r="AA57" s="114">
        <f t="shared" si="6"/>
        <v>0</v>
      </c>
      <c r="AB57" s="114">
        <v>85</v>
      </c>
      <c r="AC57" s="114">
        <f t="shared" si="7"/>
        <v>0</v>
      </c>
      <c r="AD57" s="114">
        <v>85</v>
      </c>
      <c r="AE57" s="115">
        <f t="shared" si="8"/>
        <v>-153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4952</v>
      </c>
      <c r="R58" s="104">
        <v>799</v>
      </c>
      <c r="S58" s="104">
        <f t="shared" si="2"/>
        <v>547</v>
      </c>
      <c r="T58" s="104">
        <v>1893</v>
      </c>
      <c r="U58" s="104">
        <f t="shared" si="3"/>
        <v>870</v>
      </c>
      <c r="V58" s="104">
        <v>3633</v>
      </c>
      <c r="W58" s="104">
        <f t="shared" si="4"/>
        <v>605.5</v>
      </c>
      <c r="X58" s="104">
        <v>4844</v>
      </c>
      <c r="Y58" s="104">
        <f t="shared" si="5"/>
        <v>0</v>
      </c>
      <c r="Z58" s="104">
        <v>4844</v>
      </c>
      <c r="AA58" s="104">
        <f t="shared" si="6"/>
        <v>0</v>
      </c>
      <c r="AB58" s="104">
        <v>4844</v>
      </c>
      <c r="AC58" s="104">
        <f t="shared" si="7"/>
        <v>0</v>
      </c>
      <c r="AD58" s="104">
        <v>4844</v>
      </c>
      <c r="AE58" s="105">
        <f t="shared" si="8"/>
        <v>-108</v>
      </c>
    </row>
    <row r="59" spans="14:31" ht="15.6" customHeight="1" x14ac:dyDescent="0.3">
      <c r="N59" s="212"/>
      <c r="O59" s="95" t="s">
        <v>66</v>
      </c>
      <c r="P59" s="106"/>
      <c r="Q59" s="106">
        <v>3993</v>
      </c>
      <c r="R59" s="106">
        <v>651</v>
      </c>
      <c r="S59" s="106">
        <f t="shared" si="2"/>
        <v>576</v>
      </c>
      <c r="T59" s="106">
        <v>1803</v>
      </c>
      <c r="U59" s="106">
        <f t="shared" si="3"/>
        <v>415</v>
      </c>
      <c r="V59" s="106">
        <v>2633</v>
      </c>
      <c r="W59" s="106">
        <f t="shared" si="4"/>
        <v>577</v>
      </c>
      <c r="X59" s="106">
        <v>3787</v>
      </c>
      <c r="Y59" s="106">
        <f t="shared" si="5"/>
        <v>0</v>
      </c>
      <c r="Z59" s="106">
        <v>3787</v>
      </c>
      <c r="AA59" s="106">
        <f t="shared" si="6"/>
        <v>0</v>
      </c>
      <c r="AB59" s="106">
        <v>3787</v>
      </c>
      <c r="AC59" s="106">
        <f t="shared" si="7"/>
        <v>0</v>
      </c>
      <c r="AD59" s="106">
        <v>3787</v>
      </c>
      <c r="AE59" s="107">
        <f t="shared" si="8"/>
        <v>-206</v>
      </c>
    </row>
    <row r="60" spans="14:31" ht="15.6" customHeight="1" x14ac:dyDescent="0.3">
      <c r="N60" s="212"/>
      <c r="O60" s="94" t="s">
        <v>67</v>
      </c>
      <c r="P60" s="108"/>
      <c r="Q60" s="108">
        <v>2186</v>
      </c>
      <c r="R60" s="108">
        <v>816</v>
      </c>
      <c r="S60" s="108">
        <f t="shared" si="2"/>
        <v>282.5</v>
      </c>
      <c r="T60" s="108">
        <v>1381</v>
      </c>
      <c r="U60" s="108">
        <f t="shared" si="3"/>
        <v>335</v>
      </c>
      <c r="V60" s="108">
        <v>2051</v>
      </c>
      <c r="W60" s="108">
        <f t="shared" si="4"/>
        <v>0</v>
      </c>
      <c r="X60" s="108">
        <v>2051</v>
      </c>
      <c r="Y60" s="108">
        <f t="shared" si="5"/>
        <v>0</v>
      </c>
      <c r="Z60" s="108">
        <v>2051</v>
      </c>
      <c r="AA60" s="108">
        <f t="shared" si="6"/>
        <v>0</v>
      </c>
      <c r="AB60" s="108">
        <v>2051</v>
      </c>
      <c r="AC60" s="108">
        <f t="shared" si="7"/>
        <v>0</v>
      </c>
      <c r="AD60" s="108">
        <v>2051</v>
      </c>
      <c r="AE60" s="109">
        <f t="shared" si="8"/>
        <v>-135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5151</v>
      </c>
      <c r="R62" s="104">
        <v>1569</v>
      </c>
      <c r="S62" s="104">
        <f t="shared" si="2"/>
        <v>324</v>
      </c>
      <c r="T62" s="104">
        <v>2217</v>
      </c>
      <c r="U62" s="104">
        <f t="shared" si="3"/>
        <v>-32</v>
      </c>
      <c r="V62" s="104">
        <v>2153</v>
      </c>
      <c r="W62" s="104">
        <f t="shared" si="4"/>
        <v>0</v>
      </c>
      <c r="X62" s="104">
        <v>2153</v>
      </c>
      <c r="Y62" s="104">
        <f t="shared" si="5"/>
        <v>822</v>
      </c>
      <c r="Z62" s="104">
        <v>3797</v>
      </c>
      <c r="AA62" s="104">
        <f t="shared" si="6"/>
        <v>0</v>
      </c>
      <c r="AB62" s="104">
        <v>3797</v>
      </c>
      <c r="AC62" s="104">
        <f t="shared" si="7"/>
        <v>0</v>
      </c>
      <c r="AD62" s="104">
        <v>3797</v>
      </c>
      <c r="AE62" s="105">
        <f t="shared" si="8"/>
        <v>-1354</v>
      </c>
    </row>
    <row r="63" spans="14:31" ht="15.6" customHeight="1" x14ac:dyDescent="0.3">
      <c r="N63" s="212"/>
      <c r="O63" s="95" t="s">
        <v>66</v>
      </c>
      <c r="P63" s="106"/>
      <c r="Q63" s="106">
        <v>9112</v>
      </c>
      <c r="R63" s="106">
        <v>2213</v>
      </c>
      <c r="S63" s="106">
        <f t="shared" si="2"/>
        <v>387.5</v>
      </c>
      <c r="T63" s="106">
        <v>2988</v>
      </c>
      <c r="U63" s="106">
        <f t="shared" si="3"/>
        <v>202.5</v>
      </c>
      <c r="V63" s="106">
        <v>3393</v>
      </c>
      <c r="W63" s="106">
        <f t="shared" si="4"/>
        <v>601.5</v>
      </c>
      <c r="X63" s="106">
        <v>4596</v>
      </c>
      <c r="Y63" s="106">
        <f t="shared" si="5"/>
        <v>0</v>
      </c>
      <c r="Z63" s="106">
        <v>4596</v>
      </c>
      <c r="AA63" s="106">
        <f t="shared" si="6"/>
        <v>81</v>
      </c>
      <c r="AB63" s="106">
        <v>4758</v>
      </c>
      <c r="AC63" s="106">
        <f t="shared" si="7"/>
        <v>0</v>
      </c>
      <c r="AD63" s="106">
        <v>4758</v>
      </c>
      <c r="AE63" s="107">
        <f t="shared" si="8"/>
        <v>-4354</v>
      </c>
    </row>
    <row r="64" spans="14:31" ht="15.6" customHeight="1" x14ac:dyDescent="0.3">
      <c r="N64" s="212"/>
      <c r="O64" s="94" t="s">
        <v>67</v>
      </c>
      <c r="P64" s="108"/>
      <c r="Q64" s="108">
        <v>6160</v>
      </c>
      <c r="R64" s="108">
        <v>33</v>
      </c>
      <c r="S64" s="108">
        <f t="shared" si="2"/>
        <v>662</v>
      </c>
      <c r="T64" s="108">
        <v>1357</v>
      </c>
      <c r="U64" s="108">
        <f t="shared" si="3"/>
        <v>117</v>
      </c>
      <c r="V64" s="108">
        <v>1591</v>
      </c>
      <c r="W64" s="108">
        <f t="shared" si="4"/>
        <v>376.5</v>
      </c>
      <c r="X64" s="108">
        <v>2344</v>
      </c>
      <c r="Y64" s="108">
        <f t="shared" si="5"/>
        <v>323</v>
      </c>
      <c r="Z64" s="108">
        <v>2990</v>
      </c>
      <c r="AA64" s="108">
        <f t="shared" si="6"/>
        <v>0</v>
      </c>
      <c r="AB64" s="108">
        <v>2990</v>
      </c>
      <c r="AC64" s="108">
        <f t="shared" si="7"/>
        <v>0</v>
      </c>
      <c r="AD64" s="108">
        <v>2990</v>
      </c>
      <c r="AE64" s="109">
        <f t="shared" si="8"/>
        <v>-3170</v>
      </c>
    </row>
    <row r="65" spans="14:31" ht="15.6" customHeight="1" thickBot="1" x14ac:dyDescent="0.35">
      <c r="N65" s="213"/>
      <c r="O65" s="99" t="s">
        <v>68</v>
      </c>
      <c r="P65" s="114"/>
      <c r="Q65" s="114">
        <v>2788</v>
      </c>
      <c r="R65" s="114">
        <v>295</v>
      </c>
      <c r="S65" s="114">
        <f t="shared" si="2"/>
        <v>144</v>
      </c>
      <c r="T65" s="114">
        <v>583</v>
      </c>
      <c r="U65" s="114">
        <f t="shared" si="3"/>
        <v>0</v>
      </c>
      <c r="V65" s="114">
        <v>583</v>
      </c>
      <c r="W65" s="114">
        <f t="shared" si="4"/>
        <v>67.5</v>
      </c>
      <c r="X65" s="114">
        <v>718</v>
      </c>
      <c r="Y65" s="114">
        <f t="shared" si="5"/>
        <v>45</v>
      </c>
      <c r="Z65" s="114">
        <v>808</v>
      </c>
      <c r="AA65" s="114">
        <f t="shared" si="6"/>
        <v>149.5</v>
      </c>
      <c r="AB65" s="114">
        <v>1107</v>
      </c>
      <c r="AC65" s="114">
        <f t="shared" si="7"/>
        <v>0</v>
      </c>
      <c r="AD65" s="114">
        <v>1107</v>
      </c>
      <c r="AE65" s="115">
        <f t="shared" si="8"/>
        <v>-1681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51" priority="11" operator="lessThan">
      <formula>0</formula>
    </cfRule>
    <cfRule type="cellIs" dxfId="1750" priority="12" operator="greaterThan">
      <formula>0</formula>
    </cfRule>
  </conditionalFormatting>
  <conditionalFormatting sqref="R25:AC25">
    <cfRule type="cellIs" dxfId="1749" priority="9" operator="lessThan">
      <formula>0</formula>
    </cfRule>
    <cfRule type="cellIs" dxfId="1748" priority="10" operator="greaterThan">
      <formula>0</formula>
    </cfRule>
  </conditionalFormatting>
  <conditionalFormatting sqref="R26 T26 V26 X26 Z26 AB26">
    <cfRule type="cellIs" dxfId="1747" priority="7" operator="lessThan">
      <formula>0</formula>
    </cfRule>
    <cfRule type="cellIs" dxfId="1746" priority="8" operator="greaterThan">
      <formula>0</formula>
    </cfRule>
  </conditionalFormatting>
  <conditionalFormatting sqref="AD24:AE24">
    <cfRule type="cellIs" dxfId="1745" priority="5" operator="lessThan">
      <formula>0</formula>
    </cfRule>
    <cfRule type="cellIs" dxfId="1744" priority="6" operator="greaterThan">
      <formula>0</formula>
    </cfRule>
  </conditionalFormatting>
  <conditionalFormatting sqref="AD25:AE25">
    <cfRule type="cellIs" dxfId="1743" priority="3" operator="lessThan">
      <formula>0</formula>
    </cfRule>
    <cfRule type="cellIs" dxfId="1742" priority="4" operator="greaterThan">
      <formula>0</formula>
    </cfRule>
  </conditionalFormatting>
  <conditionalFormatting sqref="AD26">
    <cfRule type="cellIs" dxfId="1741" priority="1" operator="lessThan">
      <formula>0</formula>
    </cfRule>
    <cfRule type="cellIs" dxfId="174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1"/>
    <pageSetUpPr fitToPage="1"/>
  </sheetPr>
  <dimension ref="B1:AQ65"/>
  <sheetViews>
    <sheetView topLeftCell="H1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44373</v>
      </c>
    </row>
    <row r="3" spans="2:42" ht="18.75" customHeight="1" thickBot="1" x14ac:dyDescent="0.35">
      <c r="B3" t="s">
        <v>1</v>
      </c>
      <c r="C3" s="3">
        <f>C2+1</f>
        <v>44374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/>
      <c r="E6" s="18" t="s">
        <v>22</v>
      </c>
      <c r="F6" s="119">
        <v>19981</v>
      </c>
      <c r="G6" s="117">
        <v>16818.989874999999</v>
      </c>
      <c r="H6" s="117">
        <v>13128.87591004</v>
      </c>
      <c r="I6" s="19">
        <f>G6+H6</f>
        <v>29947.865785039998</v>
      </c>
      <c r="J6" s="119">
        <v>19610</v>
      </c>
      <c r="K6" s="117">
        <v>15426.83425</v>
      </c>
      <c r="L6" s="117">
        <v>12110.24990162</v>
      </c>
      <c r="M6" s="19">
        <f>K6+L6</f>
        <v>27537.084151620002</v>
      </c>
      <c r="N6" s="85">
        <v>75</v>
      </c>
      <c r="O6" s="85">
        <v>59</v>
      </c>
      <c r="P6" s="92"/>
      <c r="Q6" s="20">
        <f>J6-P6</f>
        <v>19610</v>
      </c>
      <c r="R6" s="21">
        <v>4517</v>
      </c>
      <c r="S6" s="20">
        <f>IF(R6&gt;0,(R6-R7-$Q6),"")</f>
        <v>-15162</v>
      </c>
      <c r="T6" s="21">
        <v>8013</v>
      </c>
      <c r="U6" s="20">
        <f>IF(T6&gt;0,(T6-T7-$Q6),"")</f>
        <v>-11681</v>
      </c>
      <c r="V6" s="21">
        <v>11983</v>
      </c>
      <c r="W6" s="20">
        <f>IF(V6&gt;0,(V6-V7-$Q6),"")</f>
        <v>-8109</v>
      </c>
      <c r="X6" s="21">
        <v>13160</v>
      </c>
      <c r="Y6" s="20">
        <f>IF(X6&gt;0,(X6-X7-$Q6),"")</f>
        <v>-6935</v>
      </c>
      <c r="Z6" s="21">
        <v>13160</v>
      </c>
      <c r="AA6" s="20">
        <f>IF(Z6&gt;0,(Z6-Z7-$Q6),"")</f>
        <v>-6935</v>
      </c>
      <c r="AB6" s="21">
        <v>13160</v>
      </c>
      <c r="AC6" s="22">
        <f>IF(AB6&gt;0,(AB6-AB7-$Q6),"")</f>
        <v>-6935</v>
      </c>
      <c r="AD6" s="21">
        <v>13160</v>
      </c>
      <c r="AE6" s="22">
        <f>IF(AD6&gt;0,(AD6-AD7-$Q6),"")</f>
        <v>-6935</v>
      </c>
    </row>
    <row r="7" spans="2:42" x14ac:dyDescent="0.3">
      <c r="B7" s="16" t="s">
        <v>23</v>
      </c>
      <c r="C7" s="17">
        <v>2227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69</v>
      </c>
      <c r="S7" s="24"/>
      <c r="T7" s="25">
        <v>84</v>
      </c>
      <c r="U7" s="24"/>
      <c r="V7" s="25">
        <v>482</v>
      </c>
      <c r="W7" s="24"/>
      <c r="X7" s="25">
        <v>485</v>
      </c>
      <c r="Y7" s="24"/>
      <c r="Z7" s="25">
        <v>485</v>
      </c>
      <c r="AA7" s="24"/>
      <c r="AB7" s="25">
        <v>485</v>
      </c>
      <c r="AC7" s="26"/>
      <c r="AD7" s="25">
        <v>485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3857</v>
      </c>
      <c r="E8" s="29" t="s">
        <v>27</v>
      </c>
      <c r="F8" s="119">
        <v>15918</v>
      </c>
      <c r="G8" s="117">
        <v>6831.48</v>
      </c>
      <c r="H8" s="117">
        <v>1531.9703552999999</v>
      </c>
      <c r="I8" s="19">
        <f>G8+H8</f>
        <v>8363.4503552999995</v>
      </c>
      <c r="J8" s="119">
        <v>15222</v>
      </c>
      <c r="K8" s="117">
        <v>6496.0059999999994</v>
      </c>
      <c r="L8" s="117">
        <v>1484.53525208</v>
      </c>
      <c r="M8" s="19">
        <f>K8+L8</f>
        <v>7980.5412520799991</v>
      </c>
      <c r="N8" s="87">
        <v>32</v>
      </c>
      <c r="O8" s="87">
        <v>21</v>
      </c>
      <c r="P8" s="92"/>
      <c r="Q8" s="20">
        <f>J8-P8</f>
        <v>15222</v>
      </c>
      <c r="R8" s="21">
        <v>2000</v>
      </c>
      <c r="S8" s="20">
        <f>IF(R8&gt;0,(R8-R9-$Q8),"")</f>
        <v>-13263</v>
      </c>
      <c r="T8" s="21">
        <v>2000</v>
      </c>
      <c r="U8" s="20">
        <f>IF(T8&gt;0,(T8-T9-$Q8),"")</f>
        <v>-13263</v>
      </c>
      <c r="V8" s="21">
        <v>12718</v>
      </c>
      <c r="W8" s="20">
        <f>IF(V8&gt;0,(V8-V9-$Q8),"")</f>
        <v>-2785</v>
      </c>
      <c r="X8" s="21">
        <v>13561</v>
      </c>
      <c r="Y8" s="20">
        <f>IF(X8&gt;0,(X8-X9-$Q8),"")</f>
        <v>-1942</v>
      </c>
      <c r="Z8" s="21">
        <v>13801</v>
      </c>
      <c r="AA8" s="20">
        <f>IF(Z8&gt;0,(Z8-Z9-$Q8),"")</f>
        <v>-1942</v>
      </c>
      <c r="AB8" s="21">
        <v>13801</v>
      </c>
      <c r="AC8" s="22">
        <f>IF(AB8&gt;0,(AB8-AB9-$Q8),"")</f>
        <v>-1942</v>
      </c>
      <c r="AD8" s="21">
        <v>13801</v>
      </c>
      <c r="AE8" s="22">
        <f>IF(AD8&gt;0,(AD8-AD9-$Q8),"")</f>
        <v>-1942</v>
      </c>
    </row>
    <row r="9" spans="2:42" x14ac:dyDescent="0.3">
      <c r="B9" s="28" t="s">
        <v>28</v>
      </c>
      <c r="C9" s="17">
        <v>1673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41</v>
      </c>
      <c r="S9" s="24"/>
      <c r="T9" s="30">
        <v>41</v>
      </c>
      <c r="U9" s="24"/>
      <c r="V9" s="30">
        <v>281</v>
      </c>
      <c r="W9" s="24"/>
      <c r="X9" s="30">
        <v>281</v>
      </c>
      <c r="Y9" s="24"/>
      <c r="Z9" s="30">
        <v>521</v>
      </c>
      <c r="AA9" s="24"/>
      <c r="AB9" s="30">
        <v>521</v>
      </c>
      <c r="AC9" s="26"/>
      <c r="AD9" s="30">
        <v>521</v>
      </c>
      <c r="AE9" s="26"/>
    </row>
    <row r="10" spans="2:42" x14ac:dyDescent="0.3">
      <c r="B10" s="16" t="s">
        <v>30</v>
      </c>
      <c r="C10" s="17">
        <v>4592</v>
      </c>
      <c r="E10" s="18" t="s">
        <v>31</v>
      </c>
      <c r="F10" s="119">
        <v>17422</v>
      </c>
      <c r="G10" s="117">
        <v>13816.725</v>
      </c>
      <c r="H10" s="117">
        <v>1661.3200200000001</v>
      </c>
      <c r="I10" s="19">
        <f>G10+H10</f>
        <v>15478.045020000001</v>
      </c>
      <c r="J10" s="119">
        <v>17689</v>
      </c>
      <c r="K10" s="117">
        <v>14069.939</v>
      </c>
      <c r="L10" s="117">
        <v>1690.53027</v>
      </c>
      <c r="M10" s="19">
        <f>K10+L10</f>
        <v>15760.46927</v>
      </c>
      <c r="N10" s="88">
        <v>51</v>
      </c>
      <c r="O10" s="88">
        <v>38</v>
      </c>
      <c r="P10" s="92"/>
      <c r="Q10" s="20">
        <f>J10-P10</f>
        <v>17689</v>
      </c>
      <c r="R10" s="21">
        <v>3058</v>
      </c>
      <c r="S10" s="20">
        <f>IF(R10&gt;0,(R10-R11-$Q10),"")</f>
        <v>-15003</v>
      </c>
      <c r="T10" s="21">
        <v>5744</v>
      </c>
      <c r="U10" s="20">
        <f>IF(T10&gt;0,(T10-T11-$Q10),"")</f>
        <v>-13198</v>
      </c>
      <c r="V10" s="21">
        <v>7603</v>
      </c>
      <c r="W10" s="20">
        <f>IF(V10&gt;0,(V10-V11-$Q10),"")</f>
        <v>-11492</v>
      </c>
      <c r="X10" s="21">
        <v>12410</v>
      </c>
      <c r="Y10" s="20">
        <f>IF(X10&gt;0,(X10-X11-$Q10),"")</f>
        <v>-7110</v>
      </c>
      <c r="Z10" s="21">
        <v>14048</v>
      </c>
      <c r="AA10" s="20">
        <f>IF(Z10&gt;0,(Z10-Z11-$Q10),"")</f>
        <v>-5628</v>
      </c>
      <c r="AB10" s="21">
        <v>14048</v>
      </c>
      <c r="AC10" s="22">
        <f>IF(AB10&gt;0,(AB10-AB11-$Q10),"")</f>
        <v>-5628</v>
      </c>
      <c r="AD10" s="21">
        <v>14048</v>
      </c>
      <c r="AE10" s="22">
        <f>IF(AD10&gt;0,(AD10-AD11-$Q10),"")</f>
        <v>-5628</v>
      </c>
    </row>
    <row r="11" spans="2:42" x14ac:dyDescent="0.3">
      <c r="B11" s="16" t="s">
        <v>32</v>
      </c>
      <c r="C11" s="17">
        <v>2149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372</v>
      </c>
      <c r="S11" s="24"/>
      <c r="T11" s="30">
        <v>1253</v>
      </c>
      <c r="U11" s="24"/>
      <c r="V11" s="30">
        <v>1406</v>
      </c>
      <c r="W11" s="24"/>
      <c r="X11" s="30">
        <v>1831</v>
      </c>
      <c r="Y11" s="24"/>
      <c r="Z11" s="30">
        <v>1987</v>
      </c>
      <c r="AA11" s="24"/>
      <c r="AB11" s="30">
        <v>1987</v>
      </c>
      <c r="AC11" s="26"/>
      <c r="AD11" s="30">
        <v>1987</v>
      </c>
      <c r="AE11" s="26"/>
    </row>
    <row r="12" spans="2:42" x14ac:dyDescent="0.3">
      <c r="B12" s="16" t="s">
        <v>34</v>
      </c>
      <c r="C12" s="17">
        <v>1720</v>
      </c>
      <c r="E12" s="29" t="s">
        <v>35</v>
      </c>
      <c r="F12" s="119">
        <v>11333</v>
      </c>
      <c r="G12" s="117">
        <v>11038.43375</v>
      </c>
      <c r="H12" s="117">
        <v>17177.972355260001</v>
      </c>
      <c r="I12" s="19">
        <f>G12+H12</f>
        <v>28216.406105260001</v>
      </c>
      <c r="J12" s="119">
        <v>10781</v>
      </c>
      <c r="K12" s="117">
        <v>9692.3590000000022</v>
      </c>
      <c r="L12" s="117">
        <v>14893.46322362</v>
      </c>
      <c r="M12" s="19">
        <f>K12+L12</f>
        <v>24585.822223620002</v>
      </c>
      <c r="N12" s="88">
        <v>51</v>
      </c>
      <c r="O12" s="88">
        <v>39</v>
      </c>
      <c r="P12" s="92"/>
      <c r="Q12" s="20">
        <f>J12-P12</f>
        <v>10781</v>
      </c>
      <c r="R12" s="21">
        <v>2545</v>
      </c>
      <c r="S12" s="20">
        <f>IF(R12&gt;0,(R12-R13-$Q12),"")</f>
        <v>-9213</v>
      </c>
      <c r="T12" s="21">
        <v>3684</v>
      </c>
      <c r="U12" s="20">
        <f>IF(T12&gt;0,(T12-T13-$Q12),"")</f>
        <v>-8074</v>
      </c>
      <c r="V12" s="21">
        <v>5429</v>
      </c>
      <c r="W12" s="20">
        <f>IF(V12&gt;0,(V12-V13-$Q12),"")</f>
        <v>-6363</v>
      </c>
      <c r="X12" s="21">
        <v>7366</v>
      </c>
      <c r="Y12" s="20">
        <f>IF(X12&gt;0,(X12-X13-$Q12),"")</f>
        <v>-4459</v>
      </c>
      <c r="Z12" s="21">
        <v>7366</v>
      </c>
      <c r="AA12" s="20">
        <f>IF(Z12&gt;0,(Z12-Z13-$Q12),"")</f>
        <v>-4459</v>
      </c>
      <c r="AB12" s="21">
        <v>7366</v>
      </c>
      <c r="AC12" s="22">
        <f>IF(AB12&gt;0,(AB12-AB13-$Q12),"")</f>
        <v>-4459</v>
      </c>
      <c r="AD12" s="21">
        <v>7366</v>
      </c>
      <c r="AE12" s="22">
        <f>IF(AD12&gt;0,(AD12-AD13-$Q12),"")</f>
        <v>-4459</v>
      </c>
    </row>
    <row r="13" spans="2:42" x14ac:dyDescent="0.3">
      <c r="B13" s="16" t="s">
        <v>36</v>
      </c>
      <c r="C13" s="17">
        <v>5186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977</v>
      </c>
      <c r="S13" s="24"/>
      <c r="T13" s="30">
        <v>977</v>
      </c>
      <c r="U13" s="24"/>
      <c r="V13" s="30">
        <v>1011</v>
      </c>
      <c r="W13" s="24"/>
      <c r="X13" s="30">
        <v>1044</v>
      </c>
      <c r="Y13" s="24"/>
      <c r="Z13" s="30">
        <v>1044</v>
      </c>
      <c r="AA13" s="24"/>
      <c r="AB13" s="30">
        <v>1044</v>
      </c>
      <c r="AC13" s="26"/>
      <c r="AD13" s="30">
        <v>1044</v>
      </c>
      <c r="AE13" s="26"/>
    </row>
    <row r="14" spans="2:42" x14ac:dyDescent="0.3">
      <c r="B14" s="16" t="s">
        <v>38</v>
      </c>
      <c r="C14" s="17">
        <v>5507</v>
      </c>
      <c r="E14" s="18" t="s">
        <v>39</v>
      </c>
      <c r="F14" s="119">
        <v>21450</v>
      </c>
      <c r="G14" s="117">
        <v>20951.90625</v>
      </c>
      <c r="H14" s="117">
        <v>22930.343717899999</v>
      </c>
      <c r="I14" s="19">
        <f>G14+H14</f>
        <v>43882.249967900003</v>
      </c>
      <c r="J14" s="119">
        <v>21450</v>
      </c>
      <c r="K14" s="117">
        <v>20951.90625</v>
      </c>
      <c r="L14" s="117">
        <v>22905.343717899988</v>
      </c>
      <c r="M14" s="19">
        <f>K14+L14</f>
        <v>43857.249967899988</v>
      </c>
      <c r="N14" s="88">
        <v>67</v>
      </c>
      <c r="O14" s="88">
        <v>39</v>
      </c>
      <c r="P14" s="92"/>
      <c r="Q14" s="20">
        <f>J14-P14</f>
        <v>21450</v>
      </c>
      <c r="R14" s="21">
        <v>3699</v>
      </c>
      <c r="S14" s="20">
        <f>IF(R14&gt;0,(R14-R15-$Q14),"")</f>
        <v>-21156</v>
      </c>
      <c r="T14" s="21">
        <v>7921</v>
      </c>
      <c r="U14" s="20">
        <f>IF(T14&gt;0,(T14-T15-$Q14),"")</f>
        <v>-20643</v>
      </c>
      <c r="V14" s="21">
        <v>8820</v>
      </c>
      <c r="W14" s="20">
        <f>IF(V14&gt;0,(V14-V15-$Q14),"")</f>
        <v>-20436</v>
      </c>
      <c r="X14" s="21">
        <v>10682</v>
      </c>
      <c r="Y14" s="20">
        <f>IF(X14&gt;0,(X14-X15-$Q14),"")</f>
        <v>-20155</v>
      </c>
      <c r="Z14" s="21">
        <v>13183</v>
      </c>
      <c r="AA14" s="20">
        <f>IF(Z14&gt;0,(Z14-Z15-$Q14),"")</f>
        <v>-18201</v>
      </c>
      <c r="AB14" s="21">
        <v>14440</v>
      </c>
      <c r="AC14" s="22">
        <f>IF(AB14&gt;0,(AB14-AB15-$Q14),"")</f>
        <v>-16954</v>
      </c>
      <c r="AD14" s="21">
        <v>14440</v>
      </c>
      <c r="AE14" s="22">
        <f>IF(AD14&gt;0,(AD14-AD15-$Q14),"")</f>
        <v>-16954</v>
      </c>
    </row>
    <row r="15" spans="2:42" ht="15" customHeight="1" thickBot="1" x14ac:dyDescent="0.35">
      <c r="B15" s="16" t="s">
        <v>40</v>
      </c>
      <c r="C15" s="17">
        <v>2695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28</v>
      </c>
      <c r="P15" s="93" t="s">
        <v>41</v>
      </c>
      <c r="Q15" s="24"/>
      <c r="R15" s="25">
        <v>3405</v>
      </c>
      <c r="S15" s="24"/>
      <c r="T15" s="25">
        <v>7114</v>
      </c>
      <c r="U15" s="24"/>
      <c r="V15" s="25">
        <v>7806</v>
      </c>
      <c r="W15" s="24"/>
      <c r="X15" s="25">
        <v>9387</v>
      </c>
      <c r="Y15" s="24"/>
      <c r="Z15" s="25">
        <v>9934</v>
      </c>
      <c r="AA15" s="24"/>
      <c r="AB15" s="25">
        <v>9944</v>
      </c>
      <c r="AC15" s="26"/>
      <c r="AD15" s="25">
        <v>9944</v>
      </c>
      <c r="AE15" s="26"/>
    </row>
    <row r="16" spans="2:42" ht="15" customHeight="1" thickBot="1" x14ac:dyDescent="0.35">
      <c r="B16" s="28" t="s">
        <v>42</v>
      </c>
      <c r="C16" s="17">
        <v>11400</v>
      </c>
      <c r="E16" s="84"/>
      <c r="F16" s="31">
        <f t="shared" ref="F16:M16" si="0">SUM(F6:F15)</f>
        <v>86104</v>
      </c>
      <c r="G16" s="31">
        <f t="shared" si="0"/>
        <v>69457.534874999998</v>
      </c>
      <c r="H16" s="31">
        <f t="shared" si="0"/>
        <v>56430.482358499998</v>
      </c>
      <c r="I16" s="32">
        <f t="shared" si="0"/>
        <v>125888.01723350001</v>
      </c>
      <c r="J16" s="33">
        <f t="shared" si="0"/>
        <v>84752</v>
      </c>
      <c r="K16" s="33">
        <f t="shared" si="0"/>
        <v>66637.044500000004</v>
      </c>
      <c r="L16" s="33">
        <f t="shared" si="0"/>
        <v>53084.122365219984</v>
      </c>
      <c r="M16" s="33">
        <f t="shared" si="0"/>
        <v>119721.16686522</v>
      </c>
      <c r="N16" s="31">
        <f>SUM(N14,N12,N10,N8,N6)</f>
        <v>276</v>
      </c>
      <c r="O16" s="31">
        <f>SUM(O14,O12,O10,O8,O6)</f>
        <v>196</v>
      </c>
      <c r="P16" s="34">
        <f>SUM(P6:P15)</f>
        <v>0</v>
      </c>
      <c r="Q16" s="34">
        <f>SUM(Q6:Q15)</f>
        <v>84752</v>
      </c>
      <c r="R16" s="35">
        <f>R6+R8+R10+R12+R14-R7-R9-R11-R13-R15</f>
        <v>10955</v>
      </c>
      <c r="S16" s="36">
        <f>IF(R16&gt;1,(R16-$Q16),"")</f>
        <v>-73797</v>
      </c>
      <c r="T16" s="35">
        <f>T6+T8+T10+T12+T14-T7-T9-T11-T13-T15</f>
        <v>17893</v>
      </c>
      <c r="U16" s="36">
        <f>IF(T16&gt;1,(T16-$Q16),"")</f>
        <v>-66859</v>
      </c>
      <c r="V16" s="35">
        <f>V6+V8+V10+V12+V14-V7-V9-V11-V13-V15</f>
        <v>35567</v>
      </c>
      <c r="W16" s="36">
        <f>IF(V16&gt;1,(V16-$Q16),"")</f>
        <v>-49185</v>
      </c>
      <c r="X16" s="35">
        <f>X6+X8+X10+X12+X14-X7-X9-X11-X13-X15</f>
        <v>44151</v>
      </c>
      <c r="Y16" s="36">
        <f>IF(X16&gt;1,(X16-$Q16),"")</f>
        <v>-40601</v>
      </c>
      <c r="Z16" s="35">
        <f>Z6+Z8+Z10+Z12+Z14-Z7-Z9-Z11-Z13-Z15</f>
        <v>47587</v>
      </c>
      <c r="AA16" s="36">
        <f>IF(Z16&gt;1,(Z16-$Q16),"")</f>
        <v>-37165</v>
      </c>
      <c r="AB16" s="35">
        <f>AB6+AB8+AB10+AB12+AB14-AB7-AB9-AB11-AB13-AB15</f>
        <v>48834</v>
      </c>
      <c r="AC16" s="37">
        <f>IF(AB16&gt;1,(AB16-$Q16),"")</f>
        <v>-35918</v>
      </c>
      <c r="AD16" s="35">
        <f>AD6+AD8+AD10+AD12+AD14-AD7-AD9-AD11-AD13-AD15</f>
        <v>48834</v>
      </c>
      <c r="AE16" s="37">
        <f>IF(AD16&gt;1,(AD16-$Q16),"")</f>
        <v>-35918</v>
      </c>
    </row>
    <row r="17" spans="2:43" s="4" customFormat="1" ht="15" customHeight="1" thickBot="1" x14ac:dyDescent="0.3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80</v>
      </c>
      <c r="P17" s="38" t="s">
        <v>44</v>
      </c>
      <c r="Q17" s="39"/>
      <c r="R17" s="40">
        <f>R15+R13+R11+R9+R7</f>
        <v>4864</v>
      </c>
      <c r="S17" s="41"/>
      <c r="T17" s="40">
        <f>T15+T13+T11+T9+T7</f>
        <v>9469</v>
      </c>
      <c r="U17" s="41"/>
      <c r="V17" s="40">
        <f>V15+V13+V11+V9+V7</f>
        <v>10986</v>
      </c>
      <c r="W17" s="41"/>
      <c r="X17" s="40">
        <f>X15+X13+X11+X9+X7</f>
        <v>13028</v>
      </c>
      <c r="Y17" s="41"/>
      <c r="Z17" s="40">
        <f>Z15+Z13+Z11+Z9+Z7</f>
        <v>13971</v>
      </c>
      <c r="AA17" s="41"/>
      <c r="AB17" s="40">
        <f>AB15+AB13+AB11+AB9+AB7</f>
        <v>13981</v>
      </c>
      <c r="AC17" s="42"/>
      <c r="AD17" s="40">
        <f>AD15+AD13+AD11+AD9+AD7</f>
        <v>13981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5477.5</v>
      </c>
      <c r="S18" s="46"/>
      <c r="T18" s="47">
        <f>IF(T16&gt;0,(T16-R16)/2,"")</f>
        <v>3469</v>
      </c>
      <c r="U18" s="46"/>
      <c r="V18" s="47">
        <f>IF(V16&gt;0,(V16-T16)/2,"")</f>
        <v>8837</v>
      </c>
      <c r="W18" s="46"/>
      <c r="X18" s="47">
        <f>IF(X16&gt;0,(X16-V16)/2,"")</f>
        <v>4292</v>
      </c>
      <c r="Y18" s="46"/>
      <c r="Z18" s="47">
        <f>IF(Z16&gt;0,(Z16-X16)/2,"")</f>
        <v>1718</v>
      </c>
      <c r="AA18" s="46"/>
      <c r="AB18" s="47">
        <f>IF(AB16&gt;0,(AB16-Z16)/2,"")</f>
        <v>623.5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1716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574</v>
      </c>
      <c r="L20" s="4"/>
      <c r="M20" s="4"/>
      <c r="Q20" s="51" t="s">
        <v>49</v>
      </c>
      <c r="R20" s="35">
        <v>8427</v>
      </c>
      <c r="S20" s="36"/>
      <c r="T20" s="35">
        <v>14167</v>
      </c>
      <c r="U20" s="36"/>
      <c r="V20" s="35">
        <v>29698</v>
      </c>
      <c r="W20" s="36"/>
      <c r="X20" s="35">
        <v>38817</v>
      </c>
      <c r="Y20" s="36"/>
      <c r="Z20" s="35">
        <v>41226</v>
      </c>
      <c r="AA20" s="36"/>
      <c r="AB20" s="35">
        <v>41687</v>
      </c>
      <c r="AC20" s="37"/>
      <c r="AD20" s="35">
        <v>41687</v>
      </c>
      <c r="AE20" s="37">
        <v>-32961</v>
      </c>
    </row>
    <row r="21" spans="2:43" ht="15" customHeight="1" thickBot="1" x14ac:dyDescent="0.35">
      <c r="B21" s="16" t="s">
        <v>50</v>
      </c>
      <c r="C21" s="17">
        <v>7951</v>
      </c>
      <c r="L21" s="4"/>
      <c r="M21" s="4"/>
      <c r="Q21" s="52"/>
      <c r="R21" s="40">
        <v>5817</v>
      </c>
      <c r="S21" s="41"/>
      <c r="T21" s="40">
        <v>9299</v>
      </c>
      <c r="U21" s="41"/>
      <c r="V21" s="40">
        <v>10869</v>
      </c>
      <c r="W21" s="41"/>
      <c r="X21" s="40">
        <v>11419.1</v>
      </c>
      <c r="Y21" s="41"/>
      <c r="Z21" s="40">
        <v>12599.1</v>
      </c>
      <c r="AA21" s="41"/>
      <c r="AB21" s="40">
        <v>12599.1</v>
      </c>
      <c r="AC21" s="42"/>
      <c r="AD21" s="40">
        <v>12599.1</v>
      </c>
      <c r="AE21" s="42"/>
    </row>
    <row r="22" spans="2:43" ht="15" customHeight="1" thickBot="1" x14ac:dyDescent="0.35">
      <c r="B22" s="16" t="s">
        <v>51</v>
      </c>
      <c r="C22" s="17">
        <v>2427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4326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2528</v>
      </c>
      <c r="S24" s="60"/>
      <c r="T24" s="60">
        <f>IF(T16&gt;0,T16-T20,"")</f>
        <v>3726</v>
      </c>
      <c r="U24" s="60"/>
      <c r="V24" s="60">
        <f>IF(V16&gt;0,V16-V20,"")</f>
        <v>5869</v>
      </c>
      <c r="W24" s="60"/>
      <c r="X24" s="60">
        <f>IF(X16&gt;0,X16-X20,"")</f>
        <v>5334</v>
      </c>
      <c r="Y24" s="60"/>
      <c r="Z24" s="60">
        <f>IF(Z16&gt;0,Z16-Z20,"")</f>
        <v>6361</v>
      </c>
      <c r="AA24" s="60"/>
      <c r="AB24" s="60">
        <f>IF(AB16&gt;0,AB16-AB20,"")</f>
        <v>7147</v>
      </c>
      <c r="AC24" s="61"/>
      <c r="AD24" s="60">
        <f>IF(AD16&gt;0,AD16-AD20,"")</f>
        <v>7147</v>
      </c>
      <c r="AE24" s="61"/>
    </row>
    <row r="25" spans="2:43" x14ac:dyDescent="0.3">
      <c r="L25" s="4"/>
      <c r="M25" s="4"/>
      <c r="Q25" s="62"/>
      <c r="R25" s="63">
        <f>IF(R17&gt;=0,R17-R21,"")</f>
        <v>-953</v>
      </c>
      <c r="S25" s="64"/>
      <c r="T25" s="63">
        <f>IF(T17&gt;=0,T17-T21,"")</f>
        <v>170</v>
      </c>
      <c r="U25" s="64"/>
      <c r="V25" s="63">
        <f>IF(V17&gt;=0,V17-V21,"")</f>
        <v>117</v>
      </c>
      <c r="W25" s="64"/>
      <c r="X25" s="63">
        <f>IF(X17&gt;=0,X17-X21,"")</f>
        <v>1608.8999999999996</v>
      </c>
      <c r="Y25" s="64"/>
      <c r="Z25" s="63">
        <f>IF(Z17&gt;=0,Z17-Z21,"")</f>
        <v>1371.8999999999996</v>
      </c>
      <c r="AA25" s="64"/>
      <c r="AB25" s="63">
        <f>IF(AB17&gt;=0,AB17-AB21,"")</f>
        <v>1381.8999999999996</v>
      </c>
      <c r="AC25" s="65"/>
      <c r="AD25" s="63">
        <f>IF(AD17&gt;=0,AD17-AD21,"")</f>
        <v>1381.8999999999996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5477.5</v>
      </c>
      <c r="S26" s="55"/>
      <c r="T26" s="67">
        <f>IFERROR(IF(T18&gt;0,T18-T22,""),"")</f>
        <v>3469</v>
      </c>
      <c r="U26" s="55"/>
      <c r="V26" s="67">
        <f>IFERROR(IF(V18&gt;0,V18-V22,""),"")</f>
        <v>8837</v>
      </c>
      <c r="W26" s="55"/>
      <c r="X26" s="67">
        <f>IFERROR(IF(X18&gt;0,X18-X22,""),"")</f>
        <v>4292</v>
      </c>
      <c r="Y26" s="55"/>
      <c r="Z26" s="67">
        <f>IFERROR(IF(Z18&gt;0,Z18-Z22,""),"")</f>
        <v>1718</v>
      </c>
      <c r="AA26" s="55"/>
      <c r="AB26" s="67">
        <f>IFERROR(IF(AB18&gt;0,AB18-AB22,""),"")</f>
        <v>623.5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9113</v>
      </c>
      <c r="D29" s="76">
        <f>C14</f>
        <v>5507</v>
      </c>
      <c r="E29" s="77">
        <f t="shared" ref="E29:E34" si="1">D29-C29</f>
        <v>-3606</v>
      </c>
      <c r="M29" s="4"/>
      <c r="O29" s="4"/>
    </row>
    <row r="30" spans="2:43" x14ac:dyDescent="0.3">
      <c r="B30" s="74" t="s">
        <v>56</v>
      </c>
      <c r="C30" s="75">
        <v>34821</v>
      </c>
      <c r="D30" s="76">
        <f>C7+C15+C16+C19+C20</f>
        <v>18612</v>
      </c>
      <c r="E30" s="77">
        <f t="shared" si="1"/>
        <v>-16209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13647</v>
      </c>
      <c r="D32" s="76">
        <f>C10+C11+C12+C13</f>
        <v>13647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15418</v>
      </c>
      <c r="D34" s="76">
        <f>C21+C22+C23</f>
        <v>14704</v>
      </c>
      <c r="E34" s="77">
        <f t="shared" si="1"/>
        <v>-714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5530</v>
      </c>
      <c r="D35" s="80">
        <f>SUM(C8+C9)</f>
        <v>5530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2162</v>
      </c>
      <c r="R36" s="104">
        <v>138</v>
      </c>
      <c r="S36" s="104">
        <f t="shared" ref="S36:S65" si="2">IF(T36&gt;0,(T36-R36)/2,"")</f>
        <v>0</v>
      </c>
      <c r="T36" s="104">
        <v>138</v>
      </c>
      <c r="U36" s="104">
        <f t="shared" ref="U36:U65" si="3">IF(V36&gt;0,(V36-T36)/2,"")</f>
        <v>432.5</v>
      </c>
      <c r="V36" s="104">
        <v>1003</v>
      </c>
      <c r="W36" s="104">
        <f t="shared" ref="W36:W65" si="4">IF(X36&gt;0,(X36-V36)/2,"")</f>
        <v>9.5</v>
      </c>
      <c r="X36" s="104">
        <v>1022</v>
      </c>
      <c r="Y36" s="104">
        <f t="shared" ref="Y36:Y65" si="5">IF(Z36&gt;0,(Z36-X36)/2,"")</f>
        <v>0</v>
      </c>
      <c r="Z36" s="104">
        <v>1022</v>
      </c>
      <c r="AA36" s="104">
        <f t="shared" ref="AA36:AA65" si="6">IF(AB36&gt;0,(AB36-Z36)/2,"")</f>
        <v>0</v>
      </c>
      <c r="AB36" s="104">
        <v>1022</v>
      </c>
      <c r="AC36" s="104">
        <f t="shared" ref="AC36:AC65" si="7">IF(AD36&gt;0,(AD36-AB36)/2,"")</f>
        <v>0</v>
      </c>
      <c r="AD36" s="104">
        <v>1022</v>
      </c>
      <c r="AE36" s="105">
        <f t="shared" ref="AE36:AE65" si="8">AD36-Q36</f>
        <v>-1140</v>
      </c>
    </row>
    <row r="37" spans="2:31" ht="15.6" customHeight="1" x14ac:dyDescent="0.3">
      <c r="N37" s="212"/>
      <c r="O37" s="95" t="s">
        <v>66</v>
      </c>
      <c r="P37" s="106"/>
      <c r="Q37" s="106">
        <v>1309</v>
      </c>
      <c r="R37" s="106">
        <v>0</v>
      </c>
      <c r="S37" s="106">
        <f t="shared" si="2"/>
        <v>61</v>
      </c>
      <c r="T37" s="106">
        <v>122</v>
      </c>
      <c r="U37" s="106">
        <f t="shared" si="3"/>
        <v>21.5</v>
      </c>
      <c r="V37" s="106">
        <v>165</v>
      </c>
      <c r="W37" s="106">
        <f t="shared" si="4"/>
        <v>45.5</v>
      </c>
      <c r="X37" s="106">
        <v>256</v>
      </c>
      <c r="Y37" s="106">
        <f t="shared" si="5"/>
        <v>0</v>
      </c>
      <c r="Z37" s="106">
        <v>256</v>
      </c>
      <c r="AA37" s="106">
        <f t="shared" si="6"/>
        <v>0</v>
      </c>
      <c r="AB37" s="106">
        <v>256</v>
      </c>
      <c r="AC37" s="106">
        <f t="shared" si="7"/>
        <v>0</v>
      </c>
      <c r="AD37" s="106">
        <v>256</v>
      </c>
      <c r="AE37" s="107">
        <f t="shared" si="8"/>
        <v>-1053</v>
      </c>
    </row>
    <row r="38" spans="2:31" ht="15.6" customHeight="1" x14ac:dyDescent="0.3">
      <c r="N38" s="212"/>
      <c r="O38" s="94" t="s">
        <v>67</v>
      </c>
      <c r="P38" s="108"/>
      <c r="Q38" s="108">
        <v>2466</v>
      </c>
      <c r="R38" s="108">
        <v>1288</v>
      </c>
      <c r="S38" s="108">
        <f t="shared" si="2"/>
        <v>271.5</v>
      </c>
      <c r="T38" s="108">
        <v>1831</v>
      </c>
      <c r="U38" s="108">
        <f t="shared" si="3"/>
        <v>120.5</v>
      </c>
      <c r="V38" s="108">
        <v>2072</v>
      </c>
      <c r="W38" s="108">
        <f t="shared" si="4"/>
        <v>210</v>
      </c>
      <c r="X38" s="108">
        <v>2492</v>
      </c>
      <c r="Y38" s="108">
        <f t="shared" si="5"/>
        <v>0</v>
      </c>
      <c r="Z38" s="108">
        <v>2492</v>
      </c>
      <c r="AA38" s="108">
        <f t="shared" si="6"/>
        <v>0</v>
      </c>
      <c r="AB38" s="108">
        <v>2492</v>
      </c>
      <c r="AC38" s="108">
        <f t="shared" si="7"/>
        <v>0</v>
      </c>
      <c r="AD38" s="108">
        <v>2492</v>
      </c>
      <c r="AE38" s="109">
        <f t="shared" si="8"/>
        <v>26</v>
      </c>
    </row>
    <row r="39" spans="2:31" ht="15.6" customHeight="1" x14ac:dyDescent="0.3">
      <c r="N39" s="212"/>
      <c r="O39" s="95" t="s">
        <v>68</v>
      </c>
      <c r="P39" s="106"/>
      <c r="Q39" s="106">
        <v>3629</v>
      </c>
      <c r="R39" s="106">
        <v>0</v>
      </c>
      <c r="S39" s="106">
        <f t="shared" si="2"/>
        <v>577.5</v>
      </c>
      <c r="T39" s="106">
        <v>1155</v>
      </c>
      <c r="U39" s="106">
        <f t="shared" si="3"/>
        <v>652.5</v>
      </c>
      <c r="V39" s="106">
        <v>2460</v>
      </c>
      <c r="W39" s="106">
        <f t="shared" si="4"/>
        <v>282.5</v>
      </c>
      <c r="X39" s="106">
        <v>3025</v>
      </c>
      <c r="Y39" s="106">
        <f t="shared" si="5"/>
        <v>0</v>
      </c>
      <c r="Z39" s="106">
        <v>3025</v>
      </c>
      <c r="AA39" s="106">
        <f t="shared" si="6"/>
        <v>0</v>
      </c>
      <c r="AB39" s="106">
        <v>3025</v>
      </c>
      <c r="AC39" s="106">
        <f t="shared" si="7"/>
        <v>0</v>
      </c>
      <c r="AD39" s="106">
        <v>3025</v>
      </c>
      <c r="AE39" s="107">
        <f t="shared" si="8"/>
        <v>-604</v>
      </c>
    </row>
    <row r="40" spans="2:31" ht="15.6" customHeight="1" x14ac:dyDescent="0.3">
      <c r="N40" s="212"/>
      <c r="O40" s="94" t="s">
        <v>69</v>
      </c>
      <c r="P40" s="108"/>
      <c r="Q40" s="108">
        <v>2447</v>
      </c>
      <c r="R40" s="108">
        <v>1467</v>
      </c>
      <c r="S40" s="108">
        <f t="shared" si="2"/>
        <v>239.5</v>
      </c>
      <c r="T40" s="108">
        <v>1946</v>
      </c>
      <c r="U40" s="108">
        <f t="shared" si="3"/>
        <v>270</v>
      </c>
      <c r="V40" s="108">
        <v>2486</v>
      </c>
      <c r="W40" s="108">
        <f t="shared" si="4"/>
        <v>0</v>
      </c>
      <c r="X40" s="108">
        <v>2486</v>
      </c>
      <c r="Y40" s="108">
        <f t="shared" si="5"/>
        <v>0</v>
      </c>
      <c r="Z40" s="108">
        <v>2486</v>
      </c>
      <c r="AA40" s="108">
        <f t="shared" si="6"/>
        <v>0</v>
      </c>
      <c r="AB40" s="108">
        <v>2486</v>
      </c>
      <c r="AC40" s="108">
        <f t="shared" si="7"/>
        <v>0</v>
      </c>
      <c r="AD40" s="108">
        <v>2486</v>
      </c>
      <c r="AE40" s="109">
        <f t="shared" si="8"/>
        <v>39</v>
      </c>
    </row>
    <row r="41" spans="2:31" ht="15.6" customHeight="1" x14ac:dyDescent="0.3">
      <c r="N41" s="212"/>
      <c r="O41" s="95" t="s">
        <v>70</v>
      </c>
      <c r="P41" s="106"/>
      <c r="Q41" s="106">
        <v>3284</v>
      </c>
      <c r="R41" s="106">
        <v>252</v>
      </c>
      <c r="S41" s="106">
        <f t="shared" si="2"/>
        <v>0</v>
      </c>
      <c r="T41" s="106">
        <v>252</v>
      </c>
      <c r="U41" s="106">
        <f t="shared" si="3"/>
        <v>116</v>
      </c>
      <c r="V41" s="106">
        <v>484</v>
      </c>
      <c r="W41" s="106">
        <f t="shared" si="4"/>
        <v>0</v>
      </c>
      <c r="X41" s="106">
        <v>484</v>
      </c>
      <c r="Y41" s="106">
        <f t="shared" si="5"/>
        <v>0</v>
      </c>
      <c r="Z41" s="106">
        <v>484</v>
      </c>
      <c r="AA41" s="106">
        <f t="shared" si="6"/>
        <v>0</v>
      </c>
      <c r="AB41" s="106">
        <v>484</v>
      </c>
      <c r="AC41" s="106">
        <f t="shared" si="7"/>
        <v>0</v>
      </c>
      <c r="AD41" s="106">
        <v>484</v>
      </c>
      <c r="AE41" s="107">
        <f t="shared" si="8"/>
        <v>-2800</v>
      </c>
    </row>
    <row r="42" spans="2:31" ht="15.6" customHeight="1" x14ac:dyDescent="0.3">
      <c r="N42" s="212"/>
      <c r="O42" s="94" t="s">
        <v>71</v>
      </c>
      <c r="P42" s="108"/>
      <c r="Q42" s="108">
        <v>1227</v>
      </c>
      <c r="R42" s="108">
        <v>0</v>
      </c>
      <c r="S42" s="108">
        <f t="shared" si="2"/>
        <v>356.5</v>
      </c>
      <c r="T42" s="108">
        <v>713</v>
      </c>
      <c r="U42" s="108">
        <f t="shared" si="3"/>
        <v>0</v>
      </c>
      <c r="V42" s="108">
        <v>713</v>
      </c>
      <c r="W42" s="108">
        <f t="shared" si="4"/>
        <v>0</v>
      </c>
      <c r="X42" s="108">
        <v>713</v>
      </c>
      <c r="Y42" s="108">
        <f t="shared" si="5"/>
        <v>0</v>
      </c>
      <c r="Z42" s="108">
        <v>713</v>
      </c>
      <c r="AA42" s="108">
        <f t="shared" si="6"/>
        <v>0</v>
      </c>
      <c r="AB42" s="108">
        <v>713</v>
      </c>
      <c r="AC42" s="108">
        <f t="shared" si="7"/>
        <v>0</v>
      </c>
      <c r="AD42" s="108">
        <v>713</v>
      </c>
      <c r="AE42" s="109">
        <f t="shared" si="8"/>
        <v>-514</v>
      </c>
    </row>
    <row r="43" spans="2:31" ht="15.6" customHeight="1" x14ac:dyDescent="0.3">
      <c r="N43" s="212"/>
      <c r="O43" s="95" t="s">
        <v>72</v>
      </c>
      <c r="P43" s="106"/>
      <c r="Q43" s="106">
        <v>1694</v>
      </c>
      <c r="R43" s="106">
        <v>538</v>
      </c>
      <c r="S43" s="106">
        <f t="shared" si="2"/>
        <v>0</v>
      </c>
      <c r="T43" s="106">
        <v>538</v>
      </c>
      <c r="U43" s="106">
        <f t="shared" si="3"/>
        <v>372</v>
      </c>
      <c r="V43" s="106">
        <v>1282</v>
      </c>
      <c r="W43" s="106">
        <f t="shared" si="4"/>
        <v>0</v>
      </c>
      <c r="X43" s="106">
        <v>1282</v>
      </c>
      <c r="Y43" s="106">
        <f t="shared" si="5"/>
        <v>0</v>
      </c>
      <c r="Z43" s="106">
        <v>1282</v>
      </c>
      <c r="AA43" s="106">
        <f t="shared" si="6"/>
        <v>0</v>
      </c>
      <c r="AB43" s="106">
        <v>1282</v>
      </c>
      <c r="AC43" s="106">
        <f t="shared" si="7"/>
        <v>0</v>
      </c>
      <c r="AD43" s="106">
        <v>1282</v>
      </c>
      <c r="AE43" s="107">
        <f t="shared" si="8"/>
        <v>-412</v>
      </c>
    </row>
    <row r="44" spans="2:31" ht="15.6" customHeight="1" thickBot="1" x14ac:dyDescent="0.35">
      <c r="N44" s="213"/>
      <c r="O44" s="97" t="s">
        <v>73</v>
      </c>
      <c r="P44" s="110"/>
      <c r="Q44" s="110">
        <v>1392</v>
      </c>
      <c r="R44" s="110">
        <v>834</v>
      </c>
      <c r="S44" s="110">
        <f t="shared" si="2"/>
        <v>242</v>
      </c>
      <c r="T44" s="110">
        <v>1318</v>
      </c>
      <c r="U44" s="110">
        <f t="shared" si="3"/>
        <v>0</v>
      </c>
      <c r="V44" s="110">
        <v>1318</v>
      </c>
      <c r="W44" s="110">
        <f t="shared" si="4"/>
        <v>41</v>
      </c>
      <c r="X44" s="110">
        <v>1400</v>
      </c>
      <c r="Y44" s="110">
        <f t="shared" si="5"/>
        <v>0</v>
      </c>
      <c r="Z44" s="110">
        <v>1400</v>
      </c>
      <c r="AA44" s="110">
        <f t="shared" si="6"/>
        <v>0</v>
      </c>
      <c r="AB44" s="110">
        <v>1400</v>
      </c>
      <c r="AC44" s="110">
        <f t="shared" si="7"/>
        <v>0</v>
      </c>
      <c r="AD44" s="110">
        <v>1400</v>
      </c>
      <c r="AE44" s="111">
        <f t="shared" si="8"/>
        <v>8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4711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1855.5</v>
      </c>
      <c r="V45" s="112">
        <v>4711</v>
      </c>
      <c r="W45" s="112">
        <f t="shared" si="4"/>
        <v>0</v>
      </c>
      <c r="X45" s="112">
        <v>4711</v>
      </c>
      <c r="Y45" s="112">
        <f t="shared" si="5"/>
        <v>0</v>
      </c>
      <c r="Z45" s="112">
        <v>4711</v>
      </c>
      <c r="AA45" s="112">
        <f t="shared" si="6"/>
        <v>0</v>
      </c>
      <c r="AB45" s="112">
        <v>4711</v>
      </c>
      <c r="AC45" s="112">
        <f t="shared" si="7"/>
        <v>0</v>
      </c>
      <c r="AD45" s="112">
        <v>4711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3759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1167.5</v>
      </c>
      <c r="V46" s="108">
        <v>2335</v>
      </c>
      <c r="W46" s="108">
        <f t="shared" si="4"/>
        <v>0</v>
      </c>
      <c r="X46" s="108">
        <v>2335</v>
      </c>
      <c r="Y46" s="108">
        <f t="shared" si="5"/>
        <v>0</v>
      </c>
      <c r="Z46" s="108">
        <v>2335</v>
      </c>
      <c r="AA46" s="108">
        <f t="shared" si="6"/>
        <v>0</v>
      </c>
      <c r="AB46" s="108">
        <v>2335</v>
      </c>
      <c r="AC46" s="108">
        <f t="shared" si="7"/>
        <v>0</v>
      </c>
      <c r="AD46" s="108">
        <v>2335</v>
      </c>
      <c r="AE46" s="109">
        <f t="shared" si="8"/>
        <v>-1424</v>
      </c>
    </row>
    <row r="47" spans="2:31" ht="15.6" customHeight="1" x14ac:dyDescent="0.3">
      <c r="N47" s="212"/>
      <c r="O47" s="95" t="s">
        <v>67</v>
      </c>
      <c r="P47" s="106"/>
      <c r="Q47" s="106">
        <v>2565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602</v>
      </c>
      <c r="V47" s="106">
        <v>1204</v>
      </c>
      <c r="W47" s="106">
        <f t="shared" si="4"/>
        <v>421.5</v>
      </c>
      <c r="X47" s="106">
        <v>2047</v>
      </c>
      <c r="Y47" s="106">
        <f t="shared" si="5"/>
        <v>0</v>
      </c>
      <c r="Z47" s="106">
        <v>2047</v>
      </c>
      <c r="AA47" s="106">
        <f t="shared" si="6"/>
        <v>0</v>
      </c>
      <c r="AB47" s="106">
        <v>2047</v>
      </c>
      <c r="AC47" s="106">
        <f t="shared" si="7"/>
        <v>0</v>
      </c>
      <c r="AD47" s="106">
        <v>2047</v>
      </c>
      <c r="AE47" s="107">
        <f t="shared" si="8"/>
        <v>-518</v>
      </c>
    </row>
    <row r="48" spans="2:31" ht="15.6" customHeight="1" thickBot="1" x14ac:dyDescent="0.35">
      <c r="N48" s="213"/>
      <c r="O48" s="97" t="s">
        <v>68</v>
      </c>
      <c r="P48" s="110"/>
      <c r="Q48" s="110">
        <v>4187</v>
      </c>
      <c r="R48" s="110">
        <v>1000</v>
      </c>
      <c r="S48" s="110">
        <f t="shared" si="2"/>
        <v>0</v>
      </c>
      <c r="T48" s="110">
        <v>1000</v>
      </c>
      <c r="U48" s="110">
        <f t="shared" si="3"/>
        <v>1734</v>
      </c>
      <c r="V48" s="110">
        <v>4468</v>
      </c>
      <c r="W48" s="110">
        <f t="shared" si="4"/>
        <v>0</v>
      </c>
      <c r="X48" s="110">
        <v>4468</v>
      </c>
      <c r="Y48" s="110">
        <f t="shared" si="5"/>
        <v>120</v>
      </c>
      <c r="Z48" s="110">
        <v>4708</v>
      </c>
      <c r="AA48" s="110">
        <f t="shared" si="6"/>
        <v>0</v>
      </c>
      <c r="AB48" s="110">
        <v>4708</v>
      </c>
      <c r="AC48" s="110">
        <f t="shared" si="7"/>
        <v>0</v>
      </c>
      <c r="AD48" s="110">
        <v>4708</v>
      </c>
      <c r="AE48" s="111">
        <f t="shared" si="8"/>
        <v>521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2245</v>
      </c>
      <c r="R49" s="112">
        <v>1028</v>
      </c>
      <c r="S49" s="112">
        <f t="shared" si="2"/>
        <v>-2</v>
      </c>
      <c r="T49" s="112">
        <v>1024</v>
      </c>
      <c r="U49" s="112">
        <f t="shared" si="3"/>
        <v>446.5</v>
      </c>
      <c r="V49" s="112">
        <v>1917</v>
      </c>
      <c r="W49" s="112">
        <f t="shared" si="4"/>
        <v>0</v>
      </c>
      <c r="X49" s="112">
        <v>1917</v>
      </c>
      <c r="Y49" s="112">
        <f t="shared" si="5"/>
        <v>54</v>
      </c>
      <c r="Z49" s="112">
        <v>2025</v>
      </c>
      <c r="AA49" s="112">
        <f t="shared" si="6"/>
        <v>0</v>
      </c>
      <c r="AB49" s="112">
        <v>2025</v>
      </c>
      <c r="AC49" s="112">
        <f t="shared" si="7"/>
        <v>0</v>
      </c>
      <c r="AD49" s="112">
        <v>2025</v>
      </c>
      <c r="AE49" s="113">
        <f t="shared" si="8"/>
        <v>-220</v>
      </c>
    </row>
    <row r="50" spans="14:31" ht="15.6" customHeight="1" x14ac:dyDescent="0.3">
      <c r="N50" s="212"/>
      <c r="O50" s="94" t="s">
        <v>66</v>
      </c>
      <c r="P50" s="108"/>
      <c r="Q50" s="108">
        <v>3833</v>
      </c>
      <c r="R50" s="108">
        <v>1153</v>
      </c>
      <c r="S50" s="108">
        <f t="shared" si="2"/>
        <v>0</v>
      </c>
      <c r="T50" s="108">
        <v>1153</v>
      </c>
      <c r="U50" s="108">
        <f t="shared" si="3"/>
        <v>0</v>
      </c>
      <c r="V50" s="108">
        <v>1153</v>
      </c>
      <c r="W50" s="108">
        <f t="shared" si="4"/>
        <v>735</v>
      </c>
      <c r="X50" s="108">
        <v>2623</v>
      </c>
      <c r="Y50" s="108">
        <f t="shared" si="5"/>
        <v>335</v>
      </c>
      <c r="Z50" s="108">
        <v>3293</v>
      </c>
      <c r="AA50" s="108">
        <f t="shared" si="6"/>
        <v>0</v>
      </c>
      <c r="AB50" s="108">
        <v>3293</v>
      </c>
      <c r="AC50" s="108">
        <f t="shared" si="7"/>
        <v>0</v>
      </c>
      <c r="AD50" s="108">
        <v>3293</v>
      </c>
      <c r="AE50" s="109">
        <f t="shared" si="8"/>
        <v>-540</v>
      </c>
    </row>
    <row r="51" spans="14:31" ht="15.6" customHeight="1" x14ac:dyDescent="0.3">
      <c r="N51" s="212"/>
      <c r="O51" s="95" t="s">
        <v>67</v>
      </c>
      <c r="P51" s="106"/>
      <c r="Q51" s="106">
        <v>1585</v>
      </c>
      <c r="R51" s="106">
        <v>265</v>
      </c>
      <c r="S51" s="106">
        <f t="shared" si="2"/>
        <v>48</v>
      </c>
      <c r="T51" s="106">
        <v>361</v>
      </c>
      <c r="U51" s="106">
        <f t="shared" si="3"/>
        <v>213</v>
      </c>
      <c r="V51" s="106">
        <v>787</v>
      </c>
      <c r="W51" s="106">
        <f t="shared" si="4"/>
        <v>37</v>
      </c>
      <c r="X51" s="106">
        <v>861</v>
      </c>
      <c r="Y51" s="106">
        <f t="shared" si="5"/>
        <v>24</v>
      </c>
      <c r="Z51" s="106">
        <v>909</v>
      </c>
      <c r="AA51" s="106">
        <f t="shared" si="6"/>
        <v>0</v>
      </c>
      <c r="AB51" s="106">
        <v>909</v>
      </c>
      <c r="AC51" s="106">
        <f t="shared" si="7"/>
        <v>0</v>
      </c>
      <c r="AD51" s="106">
        <v>909</v>
      </c>
      <c r="AE51" s="107">
        <f t="shared" si="8"/>
        <v>-676</v>
      </c>
    </row>
    <row r="52" spans="14:31" ht="15.6" customHeight="1" x14ac:dyDescent="0.3">
      <c r="N52" s="212"/>
      <c r="O52" s="94" t="s">
        <v>68</v>
      </c>
      <c r="P52" s="108"/>
      <c r="Q52" s="108">
        <v>677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221</v>
      </c>
      <c r="X52" s="108">
        <v>442</v>
      </c>
      <c r="Y52" s="108">
        <f t="shared" si="5"/>
        <v>0</v>
      </c>
      <c r="Z52" s="108">
        <v>442</v>
      </c>
      <c r="AA52" s="108">
        <f t="shared" si="6"/>
        <v>0</v>
      </c>
      <c r="AB52" s="108">
        <v>442</v>
      </c>
      <c r="AC52" s="108">
        <f t="shared" si="7"/>
        <v>0</v>
      </c>
      <c r="AD52" s="108">
        <v>442</v>
      </c>
      <c r="AE52" s="109">
        <f t="shared" si="8"/>
        <v>-235</v>
      </c>
    </row>
    <row r="53" spans="14:31" ht="15.6" customHeight="1" x14ac:dyDescent="0.3">
      <c r="N53" s="212"/>
      <c r="O53" s="95" t="s">
        <v>69</v>
      </c>
      <c r="P53" s="106"/>
      <c r="Q53" s="106">
        <v>3027</v>
      </c>
      <c r="R53" s="106">
        <v>99</v>
      </c>
      <c r="S53" s="106">
        <f t="shared" si="2"/>
        <v>549</v>
      </c>
      <c r="T53" s="106">
        <v>1197</v>
      </c>
      <c r="U53" s="106">
        <f t="shared" si="3"/>
        <v>104</v>
      </c>
      <c r="V53" s="106">
        <v>1405</v>
      </c>
      <c r="W53" s="106">
        <f t="shared" si="4"/>
        <v>319.5</v>
      </c>
      <c r="X53" s="106">
        <v>2044</v>
      </c>
      <c r="Y53" s="106">
        <f t="shared" si="5"/>
        <v>151.5</v>
      </c>
      <c r="Z53" s="106">
        <v>2347</v>
      </c>
      <c r="AA53" s="106">
        <f t="shared" si="6"/>
        <v>0</v>
      </c>
      <c r="AB53" s="106">
        <v>2347</v>
      </c>
      <c r="AC53" s="106">
        <f t="shared" si="7"/>
        <v>0</v>
      </c>
      <c r="AD53" s="106">
        <v>2347</v>
      </c>
      <c r="AE53" s="107">
        <f t="shared" si="8"/>
        <v>-680</v>
      </c>
    </row>
    <row r="54" spans="14:31" ht="15.6" customHeight="1" x14ac:dyDescent="0.3">
      <c r="N54" s="212"/>
      <c r="O54" s="94" t="s">
        <v>70</v>
      </c>
      <c r="P54" s="108"/>
      <c r="Q54" s="108">
        <v>1190</v>
      </c>
      <c r="R54" s="108">
        <v>2</v>
      </c>
      <c r="S54" s="108">
        <f t="shared" si="2"/>
        <v>0</v>
      </c>
      <c r="T54" s="108">
        <v>2</v>
      </c>
      <c r="U54" s="108">
        <f t="shared" si="3"/>
        <v>0</v>
      </c>
      <c r="V54" s="108">
        <v>2</v>
      </c>
      <c r="W54" s="108">
        <f t="shared" si="4"/>
        <v>0</v>
      </c>
      <c r="X54" s="108">
        <v>2</v>
      </c>
      <c r="Y54" s="108">
        <f t="shared" si="5"/>
        <v>119</v>
      </c>
      <c r="Z54" s="108">
        <v>240</v>
      </c>
      <c r="AA54" s="108">
        <f t="shared" si="6"/>
        <v>0</v>
      </c>
      <c r="AB54" s="108">
        <v>240</v>
      </c>
      <c r="AC54" s="108">
        <f t="shared" si="7"/>
        <v>0</v>
      </c>
      <c r="AD54" s="108">
        <v>240</v>
      </c>
      <c r="AE54" s="109">
        <f t="shared" si="8"/>
        <v>-950</v>
      </c>
    </row>
    <row r="55" spans="14:31" ht="15.6" customHeight="1" x14ac:dyDescent="0.3">
      <c r="N55" s="212"/>
      <c r="O55" s="95" t="s">
        <v>71</v>
      </c>
      <c r="P55" s="106"/>
      <c r="Q55" s="106">
        <v>1925</v>
      </c>
      <c r="R55" s="106">
        <v>328</v>
      </c>
      <c r="S55" s="106">
        <f t="shared" si="2"/>
        <v>150</v>
      </c>
      <c r="T55" s="106">
        <v>628</v>
      </c>
      <c r="U55" s="106">
        <f t="shared" si="3"/>
        <v>104</v>
      </c>
      <c r="V55" s="106">
        <v>836</v>
      </c>
      <c r="W55" s="106">
        <f t="shared" si="4"/>
        <v>375</v>
      </c>
      <c r="X55" s="106">
        <v>1586</v>
      </c>
      <c r="Y55" s="106">
        <f t="shared" si="5"/>
        <v>125</v>
      </c>
      <c r="Z55" s="106">
        <v>1836</v>
      </c>
      <c r="AA55" s="106">
        <f t="shared" si="6"/>
        <v>0</v>
      </c>
      <c r="AB55" s="106">
        <v>1836</v>
      </c>
      <c r="AC55" s="106">
        <f t="shared" si="7"/>
        <v>0</v>
      </c>
      <c r="AD55" s="106">
        <v>1836</v>
      </c>
      <c r="AE55" s="107">
        <f t="shared" si="8"/>
        <v>-89</v>
      </c>
    </row>
    <row r="56" spans="14:31" ht="15.6" customHeight="1" x14ac:dyDescent="0.3">
      <c r="N56" s="212"/>
      <c r="O56" s="94" t="s">
        <v>72</v>
      </c>
      <c r="P56" s="108"/>
      <c r="Q56" s="108">
        <v>2937</v>
      </c>
      <c r="R56" s="108">
        <v>183</v>
      </c>
      <c r="S56" s="108">
        <f t="shared" si="2"/>
        <v>598</v>
      </c>
      <c r="T56" s="108">
        <v>1379</v>
      </c>
      <c r="U56" s="108">
        <f t="shared" si="3"/>
        <v>62</v>
      </c>
      <c r="V56" s="108">
        <v>1503</v>
      </c>
      <c r="W56" s="108">
        <f t="shared" si="4"/>
        <v>716</v>
      </c>
      <c r="X56" s="108">
        <v>2935</v>
      </c>
      <c r="Y56" s="108">
        <f t="shared" si="5"/>
        <v>1</v>
      </c>
      <c r="Z56" s="108">
        <v>2937</v>
      </c>
      <c r="AA56" s="108">
        <f t="shared" si="6"/>
        <v>0</v>
      </c>
      <c r="AB56" s="108">
        <v>2937</v>
      </c>
      <c r="AC56" s="108">
        <f t="shared" si="7"/>
        <v>0</v>
      </c>
      <c r="AD56" s="108">
        <v>2937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270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9.5</v>
      </c>
      <c r="Z57" s="114">
        <v>19</v>
      </c>
      <c r="AA57" s="114">
        <f t="shared" si="6"/>
        <v>0</v>
      </c>
      <c r="AB57" s="114">
        <v>19</v>
      </c>
      <c r="AC57" s="114">
        <f t="shared" si="7"/>
        <v>0</v>
      </c>
      <c r="AD57" s="114">
        <v>19</v>
      </c>
      <c r="AE57" s="115">
        <f t="shared" si="8"/>
        <v>-251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3370</v>
      </c>
      <c r="R58" s="104">
        <v>528</v>
      </c>
      <c r="S58" s="104">
        <f t="shared" si="2"/>
        <v>147</v>
      </c>
      <c r="T58" s="104">
        <v>822</v>
      </c>
      <c r="U58" s="104">
        <f t="shared" si="3"/>
        <v>306</v>
      </c>
      <c r="V58" s="104">
        <v>1434</v>
      </c>
      <c r="W58" s="104">
        <f t="shared" si="4"/>
        <v>156.5</v>
      </c>
      <c r="X58" s="104">
        <v>1747</v>
      </c>
      <c r="Y58" s="104">
        <f t="shared" si="5"/>
        <v>0</v>
      </c>
      <c r="Z58" s="104">
        <v>1747</v>
      </c>
      <c r="AA58" s="104">
        <f t="shared" si="6"/>
        <v>0</v>
      </c>
      <c r="AB58" s="104">
        <v>1747</v>
      </c>
      <c r="AC58" s="104">
        <f t="shared" si="7"/>
        <v>0</v>
      </c>
      <c r="AD58" s="104">
        <v>1747</v>
      </c>
      <c r="AE58" s="105">
        <f t="shared" si="8"/>
        <v>-1623</v>
      </c>
    </row>
    <row r="59" spans="14:31" ht="15.6" customHeight="1" x14ac:dyDescent="0.3">
      <c r="N59" s="212"/>
      <c r="O59" s="95" t="s">
        <v>66</v>
      </c>
      <c r="P59" s="106"/>
      <c r="Q59" s="106">
        <v>4207</v>
      </c>
      <c r="R59" s="106">
        <v>1190</v>
      </c>
      <c r="S59" s="106">
        <f t="shared" si="2"/>
        <v>287.5</v>
      </c>
      <c r="T59" s="106">
        <v>1765</v>
      </c>
      <c r="U59" s="106">
        <f t="shared" si="3"/>
        <v>246</v>
      </c>
      <c r="V59" s="106">
        <v>2257</v>
      </c>
      <c r="W59" s="106">
        <f t="shared" si="4"/>
        <v>541.5</v>
      </c>
      <c r="X59" s="106">
        <v>3340</v>
      </c>
      <c r="Y59" s="106">
        <f t="shared" si="5"/>
        <v>0</v>
      </c>
      <c r="Z59" s="106">
        <v>3340</v>
      </c>
      <c r="AA59" s="106">
        <f t="shared" si="6"/>
        <v>0</v>
      </c>
      <c r="AB59" s="106">
        <v>3340</v>
      </c>
      <c r="AC59" s="106">
        <f t="shared" si="7"/>
        <v>0</v>
      </c>
      <c r="AD59" s="106">
        <v>3340</v>
      </c>
      <c r="AE59" s="107">
        <f t="shared" si="8"/>
        <v>-867</v>
      </c>
    </row>
    <row r="60" spans="14:31" ht="15.6" customHeight="1" x14ac:dyDescent="0.3">
      <c r="N60" s="212"/>
      <c r="O60" s="94" t="s">
        <v>67</v>
      </c>
      <c r="P60" s="108"/>
      <c r="Q60" s="108">
        <v>3204</v>
      </c>
      <c r="R60" s="108">
        <v>827</v>
      </c>
      <c r="S60" s="108">
        <f t="shared" si="2"/>
        <v>135</v>
      </c>
      <c r="T60" s="108">
        <v>1097</v>
      </c>
      <c r="U60" s="108">
        <f t="shared" si="3"/>
        <v>320.5</v>
      </c>
      <c r="V60" s="108">
        <v>1738</v>
      </c>
      <c r="W60" s="108">
        <f t="shared" si="4"/>
        <v>270.5</v>
      </c>
      <c r="X60" s="108">
        <v>2279</v>
      </c>
      <c r="Y60" s="108">
        <f t="shared" si="5"/>
        <v>0</v>
      </c>
      <c r="Z60" s="108">
        <v>2279</v>
      </c>
      <c r="AA60" s="108">
        <f t="shared" si="6"/>
        <v>0</v>
      </c>
      <c r="AB60" s="108">
        <v>2279</v>
      </c>
      <c r="AC60" s="108">
        <f t="shared" si="7"/>
        <v>0</v>
      </c>
      <c r="AD60" s="108">
        <v>2279</v>
      </c>
      <c r="AE60" s="109">
        <f t="shared" si="8"/>
        <v>-925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6736</v>
      </c>
      <c r="R62" s="104">
        <v>720</v>
      </c>
      <c r="S62" s="104">
        <f t="shared" si="2"/>
        <v>1263.5</v>
      </c>
      <c r="T62" s="104">
        <v>3247</v>
      </c>
      <c r="U62" s="104">
        <f t="shared" si="3"/>
        <v>285</v>
      </c>
      <c r="V62" s="104">
        <v>3817</v>
      </c>
      <c r="W62" s="104">
        <f t="shared" si="4"/>
        <v>32.5</v>
      </c>
      <c r="X62" s="104">
        <v>3882</v>
      </c>
      <c r="Y62" s="104">
        <f t="shared" si="5"/>
        <v>202.5</v>
      </c>
      <c r="Z62" s="104">
        <v>4287</v>
      </c>
      <c r="AA62" s="104">
        <f t="shared" si="6"/>
        <v>343</v>
      </c>
      <c r="AB62" s="104">
        <v>4973</v>
      </c>
      <c r="AC62" s="104">
        <f t="shared" si="7"/>
        <v>0</v>
      </c>
      <c r="AD62" s="104">
        <v>4973</v>
      </c>
      <c r="AE62" s="105">
        <f t="shared" si="8"/>
        <v>-1763</v>
      </c>
    </row>
    <row r="63" spans="14:31" ht="15.6" customHeight="1" x14ac:dyDescent="0.3">
      <c r="N63" s="212"/>
      <c r="O63" s="95" t="s">
        <v>66</v>
      </c>
      <c r="P63" s="106"/>
      <c r="Q63" s="106">
        <v>7389</v>
      </c>
      <c r="R63" s="106">
        <v>2068</v>
      </c>
      <c r="S63" s="106">
        <f t="shared" si="2"/>
        <v>562</v>
      </c>
      <c r="T63" s="106">
        <v>3192</v>
      </c>
      <c r="U63" s="106">
        <f t="shared" si="3"/>
        <v>0</v>
      </c>
      <c r="V63" s="106">
        <v>3192</v>
      </c>
      <c r="W63" s="106">
        <f t="shared" si="4"/>
        <v>344</v>
      </c>
      <c r="X63" s="106">
        <v>3880</v>
      </c>
      <c r="Y63" s="106">
        <f t="shared" si="5"/>
        <v>339</v>
      </c>
      <c r="Z63" s="106">
        <v>4558</v>
      </c>
      <c r="AA63" s="106">
        <f t="shared" si="6"/>
        <v>204</v>
      </c>
      <c r="AB63" s="106">
        <v>4966</v>
      </c>
      <c r="AC63" s="106">
        <f t="shared" si="7"/>
        <v>0</v>
      </c>
      <c r="AD63" s="106">
        <v>4966</v>
      </c>
      <c r="AE63" s="107">
        <f t="shared" si="8"/>
        <v>-2423</v>
      </c>
    </row>
    <row r="64" spans="14:31" ht="15.6" customHeight="1" x14ac:dyDescent="0.3">
      <c r="N64" s="212"/>
      <c r="O64" s="94" t="s">
        <v>67</v>
      </c>
      <c r="P64" s="108"/>
      <c r="Q64" s="108">
        <v>5540</v>
      </c>
      <c r="R64" s="108">
        <v>776</v>
      </c>
      <c r="S64" s="108">
        <f t="shared" si="2"/>
        <v>149</v>
      </c>
      <c r="T64" s="108">
        <v>1074</v>
      </c>
      <c r="U64" s="108">
        <f t="shared" si="3"/>
        <v>95.5</v>
      </c>
      <c r="V64" s="108">
        <v>1265</v>
      </c>
      <c r="W64" s="108">
        <f t="shared" si="4"/>
        <v>472</v>
      </c>
      <c r="X64" s="108">
        <v>2209</v>
      </c>
      <c r="Y64" s="108">
        <f t="shared" si="5"/>
        <v>324.5</v>
      </c>
      <c r="Z64" s="108">
        <v>2858</v>
      </c>
      <c r="AA64" s="108">
        <f t="shared" si="6"/>
        <v>81.5</v>
      </c>
      <c r="AB64" s="108">
        <v>3021</v>
      </c>
      <c r="AC64" s="108">
        <f t="shared" si="7"/>
        <v>0</v>
      </c>
      <c r="AD64" s="108">
        <v>3021</v>
      </c>
      <c r="AE64" s="109">
        <f t="shared" si="8"/>
        <v>-2519</v>
      </c>
    </row>
    <row r="65" spans="14:31" ht="15.6" customHeight="1" thickBot="1" x14ac:dyDescent="0.35">
      <c r="N65" s="213"/>
      <c r="O65" s="99" t="s">
        <v>68</v>
      </c>
      <c r="P65" s="114"/>
      <c r="Q65" s="114">
        <v>1478</v>
      </c>
      <c r="R65" s="114">
        <v>135</v>
      </c>
      <c r="S65" s="114">
        <f t="shared" si="2"/>
        <v>0</v>
      </c>
      <c r="T65" s="114">
        <v>135</v>
      </c>
      <c r="U65" s="114">
        <f t="shared" si="3"/>
        <v>69</v>
      </c>
      <c r="V65" s="114">
        <v>273</v>
      </c>
      <c r="W65" s="114">
        <f t="shared" si="4"/>
        <v>0</v>
      </c>
      <c r="X65" s="114">
        <v>273</v>
      </c>
      <c r="Y65" s="114">
        <f t="shared" si="5"/>
        <v>384.5</v>
      </c>
      <c r="Z65" s="114">
        <v>1042</v>
      </c>
      <c r="AA65" s="114">
        <f t="shared" si="6"/>
        <v>0</v>
      </c>
      <c r="AB65" s="114">
        <v>1042</v>
      </c>
      <c r="AC65" s="114">
        <f t="shared" si="7"/>
        <v>0</v>
      </c>
      <c r="AD65" s="114">
        <v>1042</v>
      </c>
      <c r="AE65" s="115">
        <f t="shared" si="8"/>
        <v>-436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39" priority="11" operator="lessThan">
      <formula>0</formula>
    </cfRule>
    <cfRule type="cellIs" dxfId="1738" priority="12" operator="greaterThan">
      <formula>0</formula>
    </cfRule>
  </conditionalFormatting>
  <conditionalFormatting sqref="R25:AC25">
    <cfRule type="cellIs" dxfId="1737" priority="9" operator="lessThan">
      <formula>0</formula>
    </cfRule>
    <cfRule type="cellIs" dxfId="1736" priority="10" operator="greaterThan">
      <formula>0</formula>
    </cfRule>
  </conditionalFormatting>
  <conditionalFormatting sqref="R26 T26 V26 X26 Z26 AB26">
    <cfRule type="cellIs" dxfId="1735" priority="7" operator="lessThan">
      <formula>0</formula>
    </cfRule>
    <cfRule type="cellIs" dxfId="1734" priority="8" operator="greaterThan">
      <formula>0</formula>
    </cfRule>
  </conditionalFormatting>
  <conditionalFormatting sqref="AD24:AE24">
    <cfRule type="cellIs" dxfId="1733" priority="5" operator="lessThan">
      <formula>0</formula>
    </cfRule>
    <cfRule type="cellIs" dxfId="1732" priority="6" operator="greaterThan">
      <formula>0</formula>
    </cfRule>
  </conditionalFormatting>
  <conditionalFormatting sqref="AD25:AE25">
    <cfRule type="cellIs" dxfId="1731" priority="3" operator="lessThan">
      <formula>0</formula>
    </cfRule>
    <cfRule type="cellIs" dxfId="1730" priority="4" operator="greaterThan">
      <formula>0</formula>
    </cfRule>
  </conditionalFormatting>
  <conditionalFormatting sqref="AD26">
    <cfRule type="cellIs" dxfId="1729" priority="1" operator="lessThan">
      <formula>0</formula>
    </cfRule>
    <cfRule type="cellIs" dxfId="172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1"/>
    <pageSetUpPr fitToPage="1"/>
  </sheetPr>
  <dimension ref="B1:AQ65"/>
  <sheetViews>
    <sheetView topLeftCell="E1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44374</v>
      </c>
    </row>
    <row r="3" spans="2:42" ht="18.75" customHeight="1" thickBot="1" x14ac:dyDescent="0.35">
      <c r="B3" t="s">
        <v>1</v>
      </c>
      <c r="C3" s="3">
        <f>C2+1</f>
        <v>44375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4494</v>
      </c>
      <c r="E6" s="18" t="s">
        <v>22</v>
      </c>
      <c r="F6" s="119">
        <v>17711</v>
      </c>
      <c r="G6" s="117">
        <v>14853.60475</v>
      </c>
      <c r="H6" s="117">
        <v>9049.6008062799956</v>
      </c>
      <c r="I6" s="19">
        <f>G6+H6</f>
        <v>23903.205556279994</v>
      </c>
      <c r="J6" s="119">
        <v>17875</v>
      </c>
      <c r="K6" s="117">
        <v>14426.476624999999</v>
      </c>
      <c r="L6" s="117">
        <v>8373.5137541999975</v>
      </c>
      <c r="M6" s="19">
        <f>K6+L6</f>
        <v>22799.990379199997</v>
      </c>
      <c r="N6" s="85">
        <v>67</v>
      </c>
      <c r="O6" s="85">
        <v>46</v>
      </c>
      <c r="P6" s="92"/>
      <c r="Q6" s="20">
        <f>J6-P6</f>
        <v>17875</v>
      </c>
      <c r="R6" s="21">
        <v>0</v>
      </c>
      <c r="S6" s="20" t="str">
        <f>IF(R6&gt;0,(R6-R7-$Q6),"")</f>
        <v/>
      </c>
      <c r="T6" s="21">
        <v>6819</v>
      </c>
      <c r="U6" s="20">
        <f>IF(T6&gt;0,(T6-T7-$Q6),"")</f>
        <v>-11309</v>
      </c>
      <c r="V6" s="21">
        <v>8772</v>
      </c>
      <c r="W6" s="20">
        <f>IF(V6&gt;0,(V6-V7-$Q6),"")</f>
        <v>-9356</v>
      </c>
      <c r="X6" s="21">
        <v>13598</v>
      </c>
      <c r="Y6" s="20">
        <f>IF(X6&gt;0,(X6-X7-$Q6),"")</f>
        <v>-4991</v>
      </c>
      <c r="Z6" s="21">
        <v>13598</v>
      </c>
      <c r="AA6" s="20">
        <f>IF(Z6&gt;0,(Z6-Z7-$Q6),"")</f>
        <v>-4991</v>
      </c>
      <c r="AB6" s="21">
        <v>13616</v>
      </c>
      <c r="AC6" s="22">
        <f>IF(AB6&gt;0,(AB6-AB7-$Q6),"")</f>
        <v>-4973</v>
      </c>
      <c r="AD6" s="21">
        <v>13607</v>
      </c>
      <c r="AE6" s="22">
        <f>IF(AD6&gt;0,(AD6-AD7-$Q6),"")</f>
        <v>-4982</v>
      </c>
    </row>
    <row r="7" spans="2:42" x14ac:dyDescent="0.3">
      <c r="B7" s="16" t="s">
        <v>23</v>
      </c>
      <c r="C7" s="17">
        <v>145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21</v>
      </c>
      <c r="P7" s="93" t="s">
        <v>24</v>
      </c>
      <c r="Q7" s="24"/>
      <c r="R7" s="25">
        <v>0</v>
      </c>
      <c r="S7" s="24"/>
      <c r="T7" s="25">
        <v>253</v>
      </c>
      <c r="U7" s="24"/>
      <c r="V7" s="25">
        <v>253</v>
      </c>
      <c r="W7" s="24"/>
      <c r="X7" s="25">
        <v>714</v>
      </c>
      <c r="Y7" s="24"/>
      <c r="Z7" s="25">
        <v>714</v>
      </c>
      <c r="AA7" s="24"/>
      <c r="AB7" s="25">
        <v>714</v>
      </c>
      <c r="AC7" s="26"/>
      <c r="AD7" s="25">
        <v>714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2085</v>
      </c>
      <c r="E8" s="29" t="s">
        <v>27</v>
      </c>
      <c r="F8" s="119">
        <v>14420</v>
      </c>
      <c r="G8" s="117">
        <v>6187.8700000000008</v>
      </c>
      <c r="H8" s="117">
        <v>1418.0664041</v>
      </c>
      <c r="I8" s="19">
        <f>G8+H8</f>
        <v>7605.9364041000008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28</v>
      </c>
      <c r="O8" s="87">
        <v>20</v>
      </c>
      <c r="P8" s="92"/>
      <c r="Q8" s="20">
        <f>J8-P8</f>
        <v>0</v>
      </c>
      <c r="R8" s="21">
        <v>1905</v>
      </c>
      <c r="S8" s="20">
        <f>IF(R8&gt;0,(R8-R9-$Q8),"")</f>
        <v>1902</v>
      </c>
      <c r="T8" s="21">
        <v>2696</v>
      </c>
      <c r="U8" s="20">
        <f>IF(T8&gt;0,(T8-T9-$Q8),"")</f>
        <v>2693</v>
      </c>
      <c r="V8" s="21">
        <v>12089</v>
      </c>
      <c r="W8" s="20">
        <f>IF(V8&gt;0,(V8-V9-$Q8),"")</f>
        <v>12086</v>
      </c>
      <c r="X8" s="21">
        <v>12089</v>
      </c>
      <c r="Y8" s="20">
        <f>IF(X8&gt;0,(X8-X9-$Q8),"")</f>
        <v>12086</v>
      </c>
      <c r="Z8" s="21">
        <v>12089</v>
      </c>
      <c r="AA8" s="20">
        <f>IF(Z8&gt;0,(Z8-Z9-$Q8),"")</f>
        <v>12086</v>
      </c>
      <c r="AB8" s="21">
        <v>12386</v>
      </c>
      <c r="AC8" s="22">
        <f>IF(AB8&gt;0,(AB8-AB9-$Q8),"")</f>
        <v>12383</v>
      </c>
      <c r="AD8" s="21">
        <v>14184</v>
      </c>
      <c r="AE8" s="22">
        <f>IF(AD8&gt;0,(AD8-AD9-$Q8),"")</f>
        <v>13282</v>
      </c>
    </row>
    <row r="9" spans="2:42" x14ac:dyDescent="0.3">
      <c r="B9" s="28" t="s">
        <v>28</v>
      </c>
      <c r="C9" s="17">
        <v>1607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3</v>
      </c>
      <c r="S9" s="24"/>
      <c r="T9" s="30">
        <v>3</v>
      </c>
      <c r="U9" s="24"/>
      <c r="V9" s="30">
        <v>3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902</v>
      </c>
      <c r="AE9" s="26"/>
    </row>
    <row r="10" spans="2:42" x14ac:dyDescent="0.3">
      <c r="B10" s="16" t="s">
        <v>30</v>
      </c>
      <c r="C10" s="17">
        <v>4507</v>
      </c>
      <c r="E10" s="18" t="s">
        <v>31</v>
      </c>
      <c r="F10" s="119">
        <v>11927</v>
      </c>
      <c r="G10" s="117">
        <v>8688.0948749999989</v>
      </c>
      <c r="H10" s="117">
        <v>1571.2961949999999</v>
      </c>
      <c r="I10" s="19">
        <f>G10+H10</f>
        <v>10259.391069999998</v>
      </c>
      <c r="J10" s="119">
        <v>12207</v>
      </c>
      <c r="K10" s="117">
        <v>8699.6183749999982</v>
      </c>
      <c r="L10" s="117">
        <v>1610.9664475</v>
      </c>
      <c r="M10" s="19">
        <f>K10+L10</f>
        <v>10310.584822499997</v>
      </c>
      <c r="N10" s="88">
        <v>36</v>
      </c>
      <c r="O10" s="88">
        <v>22</v>
      </c>
      <c r="P10" s="92"/>
      <c r="Q10" s="20">
        <f>J10-P10</f>
        <v>12207</v>
      </c>
      <c r="R10" s="21">
        <v>1010</v>
      </c>
      <c r="S10" s="20">
        <f>IF(R10&gt;0,(R10-R11-$Q10),"")</f>
        <v>-11197</v>
      </c>
      <c r="T10" s="21">
        <v>1889</v>
      </c>
      <c r="U10" s="20">
        <f>IF(T10&gt;0,(T10-T11-$Q10),"")</f>
        <v>-10384</v>
      </c>
      <c r="V10" s="21">
        <v>4486</v>
      </c>
      <c r="W10" s="20">
        <f>IF(V10&gt;0,(V10-V11-$Q10),"")</f>
        <v>-7906</v>
      </c>
      <c r="X10" s="21">
        <v>7665</v>
      </c>
      <c r="Y10" s="20">
        <f>IF(X10&gt;0,(X10-X11-$Q10),"")</f>
        <v>-5561</v>
      </c>
      <c r="Z10" s="21">
        <v>7797</v>
      </c>
      <c r="AA10" s="20">
        <f>IF(Z10&gt;0,(Z10-Z11-$Q10),"")</f>
        <v>-5429</v>
      </c>
      <c r="AB10" s="21">
        <v>7797</v>
      </c>
      <c r="AC10" s="22">
        <f>IF(AB10&gt;0,(AB10-AB11-$Q10),"")</f>
        <v>-5429</v>
      </c>
      <c r="AD10" s="21">
        <v>7874</v>
      </c>
      <c r="AE10" s="22">
        <f>IF(AD10&gt;0,(AD10-AD11-$Q10),"")</f>
        <v>-5352</v>
      </c>
    </row>
    <row r="11" spans="2:42" x14ac:dyDescent="0.3">
      <c r="B11" s="16" t="s">
        <v>32</v>
      </c>
      <c r="C11" s="17">
        <v>2090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>
        <v>0</v>
      </c>
      <c r="S11" s="24"/>
      <c r="T11" s="30">
        <v>66</v>
      </c>
      <c r="U11" s="24"/>
      <c r="V11" s="30">
        <v>185</v>
      </c>
      <c r="W11" s="24"/>
      <c r="X11" s="30">
        <v>1019</v>
      </c>
      <c r="Y11" s="24"/>
      <c r="Z11" s="30">
        <v>1019</v>
      </c>
      <c r="AA11" s="24"/>
      <c r="AB11" s="30">
        <v>1019</v>
      </c>
      <c r="AC11" s="26"/>
      <c r="AD11" s="30">
        <v>1019</v>
      </c>
      <c r="AE11" s="26"/>
    </row>
    <row r="12" spans="2:42" x14ac:dyDescent="0.3">
      <c r="B12" s="16" t="s">
        <v>34</v>
      </c>
      <c r="C12" s="17">
        <v>1671</v>
      </c>
      <c r="E12" s="29" t="s">
        <v>35</v>
      </c>
      <c r="F12" s="119">
        <v>10546</v>
      </c>
      <c r="G12" s="117">
        <v>10757.332</v>
      </c>
      <c r="H12" s="117">
        <v>13759.9710866</v>
      </c>
      <c r="I12" s="19">
        <f>G12+H12</f>
        <v>24517.303086600001</v>
      </c>
      <c r="J12" s="119">
        <v>11165</v>
      </c>
      <c r="K12" s="117">
        <v>11127.1675</v>
      </c>
      <c r="L12" s="117">
        <v>13371.79571538</v>
      </c>
      <c r="M12" s="19">
        <f>K12+L12</f>
        <v>24498.963215379998</v>
      </c>
      <c r="N12" s="88">
        <v>48</v>
      </c>
      <c r="O12" s="88">
        <v>23</v>
      </c>
      <c r="P12" s="92"/>
      <c r="Q12" s="20">
        <f>J12-P12</f>
        <v>11165</v>
      </c>
      <c r="R12" s="21">
        <v>2090</v>
      </c>
      <c r="S12" s="20">
        <f>IF(R12&gt;0,(R12-R13-$Q12),"")</f>
        <v>-9116</v>
      </c>
      <c r="T12" s="21">
        <v>2796</v>
      </c>
      <c r="U12" s="20">
        <f>IF(T12&gt;0,(T12-T13-$Q12),"")</f>
        <v>-8410</v>
      </c>
      <c r="V12" s="21">
        <v>4340</v>
      </c>
      <c r="W12" s="20">
        <f>IF(V12&gt;0,(V12-V13-$Q12),"")</f>
        <v>-6866</v>
      </c>
      <c r="X12" s="21">
        <v>5744</v>
      </c>
      <c r="Y12" s="20">
        <f>IF(X12&gt;0,(X12-X13-$Q12),"")</f>
        <v>-5462</v>
      </c>
      <c r="Z12" s="21">
        <v>8266</v>
      </c>
      <c r="AA12" s="20">
        <f>IF(Z12&gt;0,(Z12-Z13-$Q12),"")</f>
        <v>-2940</v>
      </c>
      <c r="AB12" s="21">
        <v>8296</v>
      </c>
      <c r="AC12" s="22">
        <f>IF(AB12&gt;0,(AB12-AB13-$Q12),"")</f>
        <v>-2915</v>
      </c>
      <c r="AD12" s="21">
        <v>8296</v>
      </c>
      <c r="AE12" s="22">
        <f>IF(AD12&gt;0,(AD12-AD13-$Q12),"")</f>
        <v>-2915</v>
      </c>
    </row>
    <row r="13" spans="2:42" x14ac:dyDescent="0.3">
      <c r="B13" s="16" t="s">
        <v>36</v>
      </c>
      <c r="C13" s="17">
        <v>5114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25</v>
      </c>
      <c r="P13" s="93" t="s">
        <v>37</v>
      </c>
      <c r="Q13" s="24"/>
      <c r="R13" s="30">
        <v>41</v>
      </c>
      <c r="S13" s="24"/>
      <c r="T13" s="30">
        <v>41</v>
      </c>
      <c r="U13" s="24"/>
      <c r="V13" s="30">
        <v>41</v>
      </c>
      <c r="W13" s="24"/>
      <c r="X13" s="30">
        <v>41</v>
      </c>
      <c r="Y13" s="24"/>
      <c r="Z13" s="30">
        <v>41</v>
      </c>
      <c r="AA13" s="24"/>
      <c r="AB13" s="30">
        <v>46</v>
      </c>
      <c r="AC13" s="26"/>
      <c r="AD13" s="30">
        <v>46</v>
      </c>
      <c r="AE13" s="26"/>
    </row>
    <row r="14" spans="2:42" x14ac:dyDescent="0.3">
      <c r="B14" s="16" t="s">
        <v>38</v>
      </c>
      <c r="C14" s="17">
        <v>9206</v>
      </c>
      <c r="E14" s="18" t="s">
        <v>39</v>
      </c>
      <c r="F14" s="119">
        <v>18640</v>
      </c>
      <c r="G14" s="117">
        <v>18734.03125</v>
      </c>
      <c r="H14" s="117">
        <v>21382.272459799991</v>
      </c>
      <c r="I14" s="19">
        <f>G14+H14</f>
        <v>40116.303709799991</v>
      </c>
      <c r="J14" s="119">
        <v>18670</v>
      </c>
      <c r="K14" s="117">
        <v>18768.53125</v>
      </c>
      <c r="L14" s="117">
        <v>21397.929344799999</v>
      </c>
      <c r="M14" s="19">
        <f>K14+L14</f>
        <v>40166.460594799995</v>
      </c>
      <c r="N14" s="88">
        <v>62</v>
      </c>
      <c r="O14" s="88">
        <v>39</v>
      </c>
      <c r="P14" s="92"/>
      <c r="Q14" s="20">
        <f>J14-P14</f>
        <v>18670</v>
      </c>
      <c r="R14" s="21">
        <v>3862</v>
      </c>
      <c r="S14" s="20">
        <f>IF(R14&gt;0,(R14-R15-$Q14),"")</f>
        <v>-14863</v>
      </c>
      <c r="T14" s="21">
        <v>7025</v>
      </c>
      <c r="U14" s="20">
        <f>IF(T14&gt;0,(T14-T15-$Q14),"")</f>
        <v>-11775</v>
      </c>
      <c r="V14" s="21">
        <v>9301</v>
      </c>
      <c r="W14" s="20">
        <f>IF(V14&gt;0,(V14-V15-$Q14),"")</f>
        <v>-9581</v>
      </c>
      <c r="X14" s="21">
        <v>12267</v>
      </c>
      <c r="Y14" s="20">
        <f>IF(X14&gt;0,(X14-X15-$Q14),"")</f>
        <v>-6916</v>
      </c>
      <c r="Z14" s="21">
        <v>13317</v>
      </c>
      <c r="AA14" s="20">
        <f>IF(Z14&gt;0,(Z14-Z15-$Q14),"")</f>
        <v>-5866</v>
      </c>
      <c r="AB14" s="21">
        <v>13317</v>
      </c>
      <c r="AC14" s="22">
        <f>IF(AB14&gt;0,(AB14-AB15-$Q14),"")</f>
        <v>-5866</v>
      </c>
      <c r="AD14" s="21">
        <v>13317</v>
      </c>
      <c r="AE14" s="22">
        <f>IF(AD14&gt;0,(AD14-AD15-$Q14),"")</f>
        <v>-5866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>
        <v>55</v>
      </c>
      <c r="S15" s="24"/>
      <c r="T15" s="25">
        <v>130</v>
      </c>
      <c r="U15" s="24"/>
      <c r="V15" s="25">
        <v>212</v>
      </c>
      <c r="W15" s="24"/>
      <c r="X15" s="25">
        <v>513</v>
      </c>
      <c r="Y15" s="24"/>
      <c r="Z15" s="25">
        <v>513</v>
      </c>
      <c r="AA15" s="24"/>
      <c r="AB15" s="25">
        <v>513</v>
      </c>
      <c r="AC15" s="26"/>
      <c r="AD15" s="25">
        <v>513</v>
      </c>
      <c r="AE15" s="26"/>
    </row>
    <row r="16" spans="2:42" ht="15" customHeight="1" thickBot="1" x14ac:dyDescent="0.35">
      <c r="B16" s="28" t="s">
        <v>42</v>
      </c>
      <c r="C16" s="17">
        <v>10552</v>
      </c>
      <c r="E16" s="84"/>
      <c r="F16" s="31">
        <f t="shared" ref="F16:M16" si="0">SUM(F6:F15)</f>
        <v>73244</v>
      </c>
      <c r="G16" s="31">
        <f t="shared" si="0"/>
        <v>59220.932874999999</v>
      </c>
      <c r="H16" s="31">
        <f t="shared" si="0"/>
        <v>47181.20695177999</v>
      </c>
      <c r="I16" s="32">
        <f t="shared" si="0"/>
        <v>106402.13982677998</v>
      </c>
      <c r="J16" s="33">
        <f t="shared" si="0"/>
        <v>59917</v>
      </c>
      <c r="K16" s="33">
        <f t="shared" si="0"/>
        <v>53021.793749999997</v>
      </c>
      <c r="L16" s="33">
        <f t="shared" si="0"/>
        <v>44754.205261879993</v>
      </c>
      <c r="M16" s="33">
        <f t="shared" si="0"/>
        <v>97775.999011879991</v>
      </c>
      <c r="N16" s="31">
        <f>SUM(N14,N12,N10,N8,N6)</f>
        <v>241</v>
      </c>
      <c r="O16" s="31">
        <f>SUM(O14,O12,O10,O8,O6)</f>
        <v>150</v>
      </c>
      <c r="P16" s="34">
        <f>SUM(P6:P15)</f>
        <v>0</v>
      </c>
      <c r="Q16" s="34">
        <f>SUM(Q6:Q15)</f>
        <v>59917</v>
      </c>
      <c r="R16" s="35">
        <f>R6+R8+R10+R12+R14-R7-R9-R11-R13-R15</f>
        <v>8768</v>
      </c>
      <c r="S16" s="36">
        <f>IF(R16&gt;1,(R16-$Q16),"")</f>
        <v>-51149</v>
      </c>
      <c r="T16" s="35">
        <f>T6+T8+T10+T12+T14-T7-T9-T11-T13-T15</f>
        <v>20732</v>
      </c>
      <c r="U16" s="36">
        <f>IF(T16&gt;1,(T16-$Q16),"")</f>
        <v>-39185</v>
      </c>
      <c r="V16" s="35">
        <f>V6+V8+V10+V12+V14-V7-V9-V11-V13-V15</f>
        <v>38294</v>
      </c>
      <c r="W16" s="36">
        <f>IF(V16&gt;1,(V16-$Q16),"")</f>
        <v>-21623</v>
      </c>
      <c r="X16" s="35">
        <f>X6+X8+X10+X12+X14-X7-X9-X11-X13-X15</f>
        <v>49073</v>
      </c>
      <c r="Y16" s="36">
        <f>IF(X16&gt;1,(X16-$Q16),"")</f>
        <v>-10844</v>
      </c>
      <c r="Z16" s="35">
        <f>Z6+Z8+Z10+Z12+Z14-Z7-Z9-Z11-Z13-Z15</f>
        <v>52777</v>
      </c>
      <c r="AA16" s="36">
        <f>IF(Z16&gt;1,(Z16-$Q16),"")</f>
        <v>-7140</v>
      </c>
      <c r="AB16" s="35">
        <f>AB6+AB8+AB10+AB12+AB14-AB7-AB9-AB11-AB13-AB15</f>
        <v>53117</v>
      </c>
      <c r="AC16" s="37">
        <f>IF(AB16&gt;1,(AB16-$Q16),"")</f>
        <v>-6800</v>
      </c>
      <c r="AD16" s="35">
        <f>AD6+AD8+AD10+AD12+AD14-AD7-AD9-AD11-AD13-AD15</f>
        <v>54084</v>
      </c>
      <c r="AE16" s="37">
        <f>IF(AD16&gt;1,(AD16-$Q16),"")</f>
        <v>-5833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91</v>
      </c>
      <c r="P17" s="38" t="s">
        <v>44</v>
      </c>
      <c r="Q17" s="39"/>
      <c r="R17" s="40">
        <f>R15+R13+R11+R9+R7</f>
        <v>99</v>
      </c>
      <c r="S17" s="41"/>
      <c r="T17" s="40">
        <f>T15+T13+T11+T9+T7</f>
        <v>493</v>
      </c>
      <c r="U17" s="41"/>
      <c r="V17" s="40">
        <f>V15+V13+V11+V9+V7</f>
        <v>694</v>
      </c>
      <c r="W17" s="41"/>
      <c r="X17" s="40">
        <f>X15+X13+X11+X9+X7</f>
        <v>2290</v>
      </c>
      <c r="Y17" s="41"/>
      <c r="Z17" s="40">
        <f>Z15+Z13+Z11+Z9+Z7</f>
        <v>2290</v>
      </c>
      <c r="AA17" s="41"/>
      <c r="AB17" s="40">
        <f>AB15+AB13+AB11+AB9+AB7</f>
        <v>2295</v>
      </c>
      <c r="AC17" s="42"/>
      <c r="AD17" s="40">
        <f>AD15+AD13+AD11+AD9+AD7</f>
        <v>3194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4384</v>
      </c>
      <c r="S18" s="46"/>
      <c r="T18" s="47">
        <f>IF(T16&gt;0,(T16-R16)/2,"")</f>
        <v>5982</v>
      </c>
      <c r="U18" s="46"/>
      <c r="V18" s="47">
        <f>IF(V16&gt;0,(V16-T16)/2,"")</f>
        <v>8781</v>
      </c>
      <c r="W18" s="46"/>
      <c r="X18" s="47">
        <f>IF(X16&gt;0,(X16-V16)/2,"")</f>
        <v>5389.5</v>
      </c>
      <c r="Y18" s="46"/>
      <c r="Z18" s="47">
        <f>IF(Z16&gt;0,(Z16-X16)/2,"")</f>
        <v>1852</v>
      </c>
      <c r="AA18" s="46"/>
      <c r="AB18" s="47">
        <f>IF(AB16&gt;0,(AB16-Z16)/2,"")</f>
        <v>170</v>
      </c>
      <c r="AC18" s="48"/>
      <c r="AD18" s="47">
        <f>IF(AD16&gt;0,(AD16-AB16)/2,"")</f>
        <v>483.5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10955</v>
      </c>
      <c r="S20" s="36"/>
      <c r="T20" s="35">
        <v>17893</v>
      </c>
      <c r="U20" s="36"/>
      <c r="V20" s="35">
        <v>35567</v>
      </c>
      <c r="W20" s="36"/>
      <c r="X20" s="35">
        <v>44151</v>
      </c>
      <c r="Y20" s="36"/>
      <c r="Z20" s="35">
        <v>47587</v>
      </c>
      <c r="AA20" s="36"/>
      <c r="AB20" s="35">
        <v>48834</v>
      </c>
      <c r="AC20" s="37"/>
      <c r="AD20" s="35">
        <v>48834</v>
      </c>
      <c r="AE20" s="37">
        <v>-35918</v>
      </c>
    </row>
    <row r="21" spans="2:43" ht="15" customHeight="1" thickBot="1" x14ac:dyDescent="0.35">
      <c r="B21" s="16" t="s">
        <v>50</v>
      </c>
      <c r="C21" s="17">
        <v>8500</v>
      </c>
      <c r="L21" s="4"/>
      <c r="M21" s="4"/>
      <c r="Q21" s="52"/>
      <c r="R21" s="40">
        <v>4864</v>
      </c>
      <c r="S21" s="41"/>
      <c r="T21" s="40">
        <v>9469</v>
      </c>
      <c r="U21" s="41"/>
      <c r="V21" s="40">
        <v>10986</v>
      </c>
      <c r="W21" s="41"/>
      <c r="X21" s="40">
        <v>13028</v>
      </c>
      <c r="Y21" s="41"/>
      <c r="Z21" s="40">
        <v>13971</v>
      </c>
      <c r="AA21" s="41"/>
      <c r="AB21" s="40">
        <v>13981</v>
      </c>
      <c r="AC21" s="42"/>
      <c r="AD21" s="40">
        <v>13981</v>
      </c>
      <c r="AE21" s="42"/>
    </row>
    <row r="22" spans="2:43" ht="15" customHeight="1" thickBot="1" x14ac:dyDescent="0.35">
      <c r="B22" s="16" t="s">
        <v>51</v>
      </c>
      <c r="C22" s="17">
        <v>868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4332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-2187</v>
      </c>
      <c r="S24" s="60"/>
      <c r="T24" s="60">
        <f>IF(T16&gt;0,T16-T20,"")</f>
        <v>2839</v>
      </c>
      <c r="U24" s="60"/>
      <c r="V24" s="60">
        <f>IF(V16&gt;0,V16-V20,"")</f>
        <v>2727</v>
      </c>
      <c r="W24" s="60"/>
      <c r="X24" s="60">
        <f>IF(X16&gt;0,X16-X20,"")</f>
        <v>4922</v>
      </c>
      <c r="Y24" s="60"/>
      <c r="Z24" s="60">
        <f>IF(Z16&gt;0,Z16-Z20,"")</f>
        <v>5190</v>
      </c>
      <c r="AA24" s="60"/>
      <c r="AB24" s="60">
        <f>IF(AB16&gt;0,AB16-AB20,"")</f>
        <v>4283</v>
      </c>
      <c r="AC24" s="61"/>
      <c r="AD24" s="60">
        <f>IF(AD16&gt;0,AD16-AD20,"")</f>
        <v>5250</v>
      </c>
      <c r="AE24" s="61"/>
    </row>
    <row r="25" spans="2:43" x14ac:dyDescent="0.3">
      <c r="L25" s="4"/>
      <c r="M25" s="4"/>
      <c r="Q25" s="62"/>
      <c r="R25" s="63">
        <f>IF(R17&gt;=0,R17-R21,"")</f>
        <v>-4765</v>
      </c>
      <c r="S25" s="64"/>
      <c r="T25" s="63">
        <f>IF(T17&gt;=0,T17-T21,"")</f>
        <v>-8976</v>
      </c>
      <c r="U25" s="64"/>
      <c r="V25" s="63">
        <f>IF(V17&gt;=0,V17-V21,"")</f>
        <v>-10292</v>
      </c>
      <c r="W25" s="64"/>
      <c r="X25" s="63">
        <f>IF(X17&gt;=0,X17-X21,"")</f>
        <v>-10738</v>
      </c>
      <c r="Y25" s="64"/>
      <c r="Z25" s="63">
        <f>IF(Z17&gt;=0,Z17-Z21,"")</f>
        <v>-11681</v>
      </c>
      <c r="AA25" s="64"/>
      <c r="AB25" s="63">
        <f>IF(AB17&gt;=0,AB17-AB21,"")</f>
        <v>-11686</v>
      </c>
      <c r="AC25" s="65"/>
      <c r="AD25" s="63">
        <f>IF(AD17&gt;=0,AD17-AD21,"")</f>
        <v>-10787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4384</v>
      </c>
      <c r="S26" s="55"/>
      <c r="T26" s="67">
        <f>IFERROR(IF(T18&gt;0,T18-T22,""),"")</f>
        <v>5982</v>
      </c>
      <c r="U26" s="55"/>
      <c r="V26" s="67">
        <f>IFERROR(IF(V18&gt;0,V18-V22,""),"")</f>
        <v>8781</v>
      </c>
      <c r="W26" s="55"/>
      <c r="X26" s="67">
        <f>IFERROR(IF(X18&gt;0,X18-X22,""),"")</f>
        <v>5389.5</v>
      </c>
      <c r="Y26" s="55"/>
      <c r="Z26" s="67">
        <f>IFERROR(IF(Z18&gt;0,Z18-Z22,""),"")</f>
        <v>1852</v>
      </c>
      <c r="AA26" s="55"/>
      <c r="AB26" s="67">
        <f>IFERROR(IF(AB18&gt;0,AB18-AB22,""),"")</f>
        <v>170</v>
      </c>
      <c r="AC26" s="56"/>
      <c r="AD26" s="67">
        <f>IFERROR(IF(AD18&gt;0,AD18-AD22,""),"")</f>
        <v>483.5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9110</v>
      </c>
      <c r="D29" s="76">
        <f>C14</f>
        <v>9206</v>
      </c>
      <c r="E29" s="77">
        <f t="shared" ref="E29:E34" si="1">D29-C29</f>
        <v>96</v>
      </c>
      <c r="M29" s="4"/>
      <c r="O29" s="4"/>
    </row>
    <row r="30" spans="2:43" x14ac:dyDescent="0.3">
      <c r="B30" s="74" t="s">
        <v>56</v>
      </c>
      <c r="C30" s="75">
        <v>23608</v>
      </c>
      <c r="D30" s="76">
        <f>C7+C15+C16+C19+C20</f>
        <v>10697</v>
      </c>
      <c r="E30" s="77">
        <f t="shared" si="1"/>
        <v>-12911</v>
      </c>
      <c r="J30" s="53"/>
      <c r="L30" s="53"/>
      <c r="M30" s="4"/>
      <c r="O30" s="4"/>
    </row>
    <row r="31" spans="2:43" x14ac:dyDescent="0.3">
      <c r="B31" s="74" t="s">
        <v>21</v>
      </c>
      <c r="C31" s="75">
        <v>4494</v>
      </c>
      <c r="D31" s="76">
        <f>C6</f>
        <v>4494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13382</v>
      </c>
      <c r="D32" s="76">
        <f>C10+C11+C12+C13</f>
        <v>13382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14020</v>
      </c>
      <c r="D34" s="76">
        <f>C21+C22+C23</f>
        <v>13700</v>
      </c>
      <c r="E34" s="77">
        <f t="shared" si="1"/>
        <v>-320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3692</v>
      </c>
      <c r="D35" s="80">
        <f>SUM(C8+C9)</f>
        <v>3692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2511</v>
      </c>
      <c r="R36" s="104">
        <v>0</v>
      </c>
      <c r="S36" s="104">
        <f t="shared" ref="S36:S65" si="2">IF(T36&gt;0,(T36-R36)/2,"")</f>
        <v>427.5</v>
      </c>
      <c r="T36" s="104">
        <v>855</v>
      </c>
      <c r="U36" s="104">
        <f t="shared" ref="U36:U65" si="3">IF(V36&gt;0,(V36-T36)/2,"")</f>
        <v>6</v>
      </c>
      <c r="V36" s="104">
        <v>867</v>
      </c>
      <c r="W36" s="104">
        <f t="shared" ref="W36:W65" si="4">IF(X36&gt;0,(X36-V36)/2,"")</f>
        <v>0</v>
      </c>
      <c r="X36" s="104">
        <v>867</v>
      </c>
      <c r="Y36" s="104">
        <f t="shared" ref="Y36:Y65" si="5">IF(Z36&gt;0,(Z36-X36)/2,"")</f>
        <v>0</v>
      </c>
      <c r="Z36" s="104">
        <v>867</v>
      </c>
      <c r="AA36" s="104">
        <f t="shared" ref="AA36:AA65" si="6">IF(AB36&gt;0,(AB36-Z36)/2,"")</f>
        <v>0</v>
      </c>
      <c r="AB36" s="104">
        <v>867</v>
      </c>
      <c r="AC36" s="104">
        <f t="shared" ref="AC36:AC65" si="7">IF(AD36&gt;0,(AD36-AB36)/2,"")</f>
        <v>0</v>
      </c>
      <c r="AD36" s="104">
        <v>867</v>
      </c>
      <c r="AE36" s="105">
        <f t="shared" ref="AE36:AE65" si="8">AD36-Q36</f>
        <v>-1644</v>
      </c>
    </row>
    <row r="37" spans="2:31" ht="15.6" customHeight="1" x14ac:dyDescent="0.3">
      <c r="N37" s="212"/>
      <c r="O37" s="95" t="s">
        <v>66</v>
      </c>
      <c r="P37" s="106"/>
      <c r="Q37" s="106">
        <v>1324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 t="str">
        <f t="shared" si="4"/>
        <v/>
      </c>
      <c r="X37" s="106">
        <v>0</v>
      </c>
      <c r="Y37" s="106" t="str">
        <f t="shared" si="5"/>
        <v/>
      </c>
      <c r="Z37" s="106">
        <v>0</v>
      </c>
      <c r="AA37" s="106" t="str">
        <f t="shared" si="6"/>
        <v/>
      </c>
      <c r="AB37" s="106">
        <v>0</v>
      </c>
      <c r="AC37" s="106" t="str">
        <f t="shared" si="7"/>
        <v/>
      </c>
      <c r="AD37" s="106">
        <v>0</v>
      </c>
      <c r="AE37" s="107">
        <f t="shared" si="8"/>
        <v>-1324</v>
      </c>
    </row>
    <row r="38" spans="2:31" ht="15.6" customHeight="1" x14ac:dyDescent="0.3">
      <c r="N38" s="212"/>
      <c r="O38" s="94" t="s">
        <v>67</v>
      </c>
      <c r="P38" s="108"/>
      <c r="Q38" s="108">
        <v>2449</v>
      </c>
      <c r="R38" s="108">
        <v>0</v>
      </c>
      <c r="S38" s="108">
        <f t="shared" si="2"/>
        <v>1142.5</v>
      </c>
      <c r="T38" s="108">
        <v>2285</v>
      </c>
      <c r="U38" s="108">
        <f t="shared" si="3"/>
        <v>103.5</v>
      </c>
      <c r="V38" s="108">
        <v>2492</v>
      </c>
      <c r="W38" s="108">
        <f t="shared" si="4"/>
        <v>95.5</v>
      </c>
      <c r="X38" s="108">
        <v>2683</v>
      </c>
      <c r="Y38" s="108">
        <f t="shared" si="5"/>
        <v>0</v>
      </c>
      <c r="Z38" s="108">
        <v>2683</v>
      </c>
      <c r="AA38" s="108">
        <f t="shared" si="6"/>
        <v>0</v>
      </c>
      <c r="AB38" s="108">
        <v>2683</v>
      </c>
      <c r="AC38" s="108">
        <f t="shared" si="7"/>
        <v>0</v>
      </c>
      <c r="AD38" s="108">
        <v>2683</v>
      </c>
      <c r="AE38" s="109">
        <f t="shared" si="8"/>
        <v>234</v>
      </c>
    </row>
    <row r="39" spans="2:31" ht="15.6" customHeight="1" x14ac:dyDescent="0.3">
      <c r="N39" s="212"/>
      <c r="O39" s="95" t="s">
        <v>68</v>
      </c>
      <c r="P39" s="106"/>
      <c r="Q39" s="106">
        <v>3034</v>
      </c>
      <c r="R39" s="106">
        <v>0</v>
      </c>
      <c r="S39" s="106">
        <f t="shared" si="2"/>
        <v>364.5</v>
      </c>
      <c r="T39" s="106">
        <v>729</v>
      </c>
      <c r="U39" s="106">
        <f t="shared" si="3"/>
        <v>0</v>
      </c>
      <c r="V39" s="106">
        <v>729</v>
      </c>
      <c r="W39" s="106">
        <f t="shared" si="4"/>
        <v>1381</v>
      </c>
      <c r="X39" s="106">
        <v>3491</v>
      </c>
      <c r="Y39" s="106">
        <f t="shared" si="5"/>
        <v>0</v>
      </c>
      <c r="Z39" s="106">
        <v>3491</v>
      </c>
      <c r="AA39" s="106">
        <f t="shared" si="6"/>
        <v>0</v>
      </c>
      <c r="AB39" s="106">
        <v>3491</v>
      </c>
      <c r="AC39" s="106">
        <f t="shared" si="7"/>
        <v>0</v>
      </c>
      <c r="AD39" s="106">
        <v>3491</v>
      </c>
      <c r="AE39" s="107">
        <f t="shared" si="8"/>
        <v>457</v>
      </c>
    </row>
    <row r="40" spans="2:31" ht="15.6" customHeight="1" x14ac:dyDescent="0.3">
      <c r="N40" s="212"/>
      <c r="O40" s="94" t="s">
        <v>69</v>
      </c>
      <c r="P40" s="108"/>
      <c r="Q40" s="108">
        <v>3006</v>
      </c>
      <c r="R40" s="108">
        <v>0</v>
      </c>
      <c r="S40" s="108">
        <f t="shared" si="2"/>
        <v>936.5</v>
      </c>
      <c r="T40" s="108">
        <v>1873</v>
      </c>
      <c r="U40" s="108">
        <f t="shared" si="3"/>
        <v>161.5</v>
      </c>
      <c r="V40" s="108">
        <v>2196</v>
      </c>
      <c r="W40" s="108">
        <f t="shared" si="4"/>
        <v>408.5</v>
      </c>
      <c r="X40" s="108">
        <v>3013</v>
      </c>
      <c r="Y40" s="108">
        <f t="shared" si="5"/>
        <v>0</v>
      </c>
      <c r="Z40" s="108">
        <v>3013</v>
      </c>
      <c r="AA40" s="108">
        <f t="shared" si="6"/>
        <v>0</v>
      </c>
      <c r="AB40" s="108">
        <v>3013</v>
      </c>
      <c r="AC40" s="108">
        <f t="shared" si="7"/>
        <v>0</v>
      </c>
      <c r="AD40" s="108">
        <v>3013</v>
      </c>
      <c r="AE40" s="109">
        <f t="shared" si="8"/>
        <v>7</v>
      </c>
    </row>
    <row r="41" spans="2:31" ht="15.6" customHeight="1" x14ac:dyDescent="0.3">
      <c r="N41" s="212"/>
      <c r="O41" s="95" t="s">
        <v>70</v>
      </c>
      <c r="P41" s="106"/>
      <c r="Q41" s="106">
        <v>825</v>
      </c>
      <c r="R41" s="106">
        <v>0</v>
      </c>
      <c r="S41" s="106">
        <f t="shared" si="2"/>
        <v>205.5</v>
      </c>
      <c r="T41" s="106">
        <v>411</v>
      </c>
      <c r="U41" s="106">
        <f t="shared" si="3"/>
        <v>83.5</v>
      </c>
      <c r="V41" s="106">
        <v>578</v>
      </c>
      <c r="W41" s="106">
        <f t="shared" si="4"/>
        <v>125.5</v>
      </c>
      <c r="X41" s="106">
        <v>829</v>
      </c>
      <c r="Y41" s="106">
        <f t="shared" si="5"/>
        <v>0</v>
      </c>
      <c r="Z41" s="106">
        <v>829</v>
      </c>
      <c r="AA41" s="106">
        <f t="shared" si="6"/>
        <v>0</v>
      </c>
      <c r="AB41" s="106">
        <v>829</v>
      </c>
      <c r="AC41" s="106">
        <f t="shared" si="7"/>
        <v>0</v>
      </c>
      <c r="AD41" s="106">
        <v>829</v>
      </c>
      <c r="AE41" s="107">
        <f t="shared" si="8"/>
        <v>4</v>
      </c>
    </row>
    <row r="42" spans="2:31" ht="15.6" customHeight="1" x14ac:dyDescent="0.3">
      <c r="N42" s="212"/>
      <c r="O42" s="94" t="s">
        <v>71</v>
      </c>
      <c r="P42" s="108"/>
      <c r="Q42" s="108">
        <v>1205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354</v>
      </c>
      <c r="V42" s="108">
        <v>708</v>
      </c>
      <c r="W42" s="108">
        <f t="shared" si="4"/>
        <v>0</v>
      </c>
      <c r="X42" s="108">
        <v>708</v>
      </c>
      <c r="Y42" s="108">
        <f t="shared" si="5"/>
        <v>0</v>
      </c>
      <c r="Z42" s="108">
        <v>708</v>
      </c>
      <c r="AA42" s="108">
        <f t="shared" si="6"/>
        <v>0</v>
      </c>
      <c r="AB42" s="108">
        <v>708</v>
      </c>
      <c r="AC42" s="108">
        <f t="shared" si="7"/>
        <v>0</v>
      </c>
      <c r="AD42" s="108">
        <v>708</v>
      </c>
      <c r="AE42" s="109">
        <f t="shared" si="8"/>
        <v>-497</v>
      </c>
    </row>
    <row r="43" spans="2:31" ht="15.6" customHeight="1" x14ac:dyDescent="0.3">
      <c r="N43" s="212"/>
      <c r="O43" s="95" t="s">
        <v>72</v>
      </c>
      <c r="P43" s="106"/>
      <c r="Q43" s="106">
        <v>1706</v>
      </c>
      <c r="R43" s="106">
        <v>0</v>
      </c>
      <c r="S43" s="106">
        <f t="shared" si="2"/>
        <v>95</v>
      </c>
      <c r="T43" s="106">
        <v>190</v>
      </c>
      <c r="U43" s="106">
        <f t="shared" si="3"/>
        <v>0</v>
      </c>
      <c r="V43" s="106">
        <v>190</v>
      </c>
      <c r="W43" s="106">
        <f t="shared" si="4"/>
        <v>0</v>
      </c>
      <c r="X43" s="106">
        <v>190</v>
      </c>
      <c r="Y43" s="106">
        <f t="shared" si="5"/>
        <v>0</v>
      </c>
      <c r="Z43" s="106">
        <v>190</v>
      </c>
      <c r="AA43" s="106">
        <f t="shared" si="6"/>
        <v>9</v>
      </c>
      <c r="AB43" s="106">
        <v>208</v>
      </c>
      <c r="AC43" s="106">
        <f t="shared" si="7"/>
        <v>-4.5</v>
      </c>
      <c r="AD43" s="106">
        <v>199</v>
      </c>
      <c r="AE43" s="107">
        <f t="shared" si="8"/>
        <v>-1507</v>
      </c>
    </row>
    <row r="44" spans="2:31" ht="15.6" customHeight="1" thickBot="1" x14ac:dyDescent="0.35">
      <c r="N44" s="213"/>
      <c r="O44" s="97" t="s">
        <v>73</v>
      </c>
      <c r="P44" s="110"/>
      <c r="Q44" s="110">
        <v>1815</v>
      </c>
      <c r="R44" s="110">
        <v>0</v>
      </c>
      <c r="S44" s="110">
        <f t="shared" si="2"/>
        <v>238</v>
      </c>
      <c r="T44" s="110">
        <v>476</v>
      </c>
      <c r="U44" s="110">
        <f t="shared" si="3"/>
        <v>268</v>
      </c>
      <c r="V44" s="110">
        <v>1012</v>
      </c>
      <c r="W44" s="110">
        <f t="shared" si="4"/>
        <v>402.5</v>
      </c>
      <c r="X44" s="110">
        <v>1817</v>
      </c>
      <c r="Y44" s="110">
        <f t="shared" si="5"/>
        <v>0</v>
      </c>
      <c r="Z44" s="110">
        <v>1817</v>
      </c>
      <c r="AA44" s="110">
        <f t="shared" si="6"/>
        <v>0</v>
      </c>
      <c r="AB44" s="110">
        <v>1817</v>
      </c>
      <c r="AC44" s="110">
        <f t="shared" si="7"/>
        <v>0</v>
      </c>
      <c r="AD44" s="110">
        <v>1817</v>
      </c>
      <c r="AE44" s="111">
        <f t="shared" si="8"/>
        <v>2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4509</v>
      </c>
      <c r="R45" s="112">
        <v>1000</v>
      </c>
      <c r="S45" s="112">
        <f t="shared" si="2"/>
        <v>395.5</v>
      </c>
      <c r="T45" s="112">
        <v>1791</v>
      </c>
      <c r="U45" s="112">
        <f t="shared" si="3"/>
        <v>1359</v>
      </c>
      <c r="V45" s="112">
        <v>4509</v>
      </c>
      <c r="W45" s="112">
        <f t="shared" si="4"/>
        <v>0</v>
      </c>
      <c r="X45" s="112">
        <v>4509</v>
      </c>
      <c r="Y45" s="112">
        <f t="shared" si="5"/>
        <v>0</v>
      </c>
      <c r="Z45" s="112">
        <v>4509</v>
      </c>
      <c r="AA45" s="112">
        <f t="shared" si="6"/>
        <v>0</v>
      </c>
      <c r="AB45" s="112">
        <v>4509</v>
      </c>
      <c r="AC45" s="112">
        <f t="shared" si="7"/>
        <v>0</v>
      </c>
      <c r="AD45" s="112">
        <v>4509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3468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1284.5</v>
      </c>
      <c r="V46" s="108">
        <v>2569</v>
      </c>
      <c r="W46" s="108">
        <f t="shared" si="4"/>
        <v>0</v>
      </c>
      <c r="X46" s="108">
        <v>2569</v>
      </c>
      <c r="Y46" s="108">
        <f t="shared" si="5"/>
        <v>0</v>
      </c>
      <c r="Z46" s="108">
        <v>2569</v>
      </c>
      <c r="AA46" s="108">
        <f t="shared" si="6"/>
        <v>0</v>
      </c>
      <c r="AB46" s="108">
        <v>2569</v>
      </c>
      <c r="AC46" s="108">
        <f t="shared" si="7"/>
        <v>899</v>
      </c>
      <c r="AD46" s="108">
        <v>4367</v>
      </c>
      <c r="AE46" s="109">
        <f t="shared" si="8"/>
        <v>899</v>
      </c>
    </row>
    <row r="47" spans="2:31" ht="15.6" customHeight="1" x14ac:dyDescent="0.3">
      <c r="N47" s="212"/>
      <c r="O47" s="95" t="s">
        <v>67</v>
      </c>
      <c r="P47" s="106"/>
      <c r="Q47" s="106">
        <v>2205</v>
      </c>
      <c r="R47" s="106">
        <v>5</v>
      </c>
      <c r="S47" s="106">
        <f t="shared" si="2"/>
        <v>0</v>
      </c>
      <c r="T47" s="106">
        <v>5</v>
      </c>
      <c r="U47" s="106">
        <f t="shared" si="3"/>
        <v>531</v>
      </c>
      <c r="V47" s="106">
        <v>1067</v>
      </c>
      <c r="W47" s="106">
        <f t="shared" si="4"/>
        <v>0</v>
      </c>
      <c r="X47" s="106">
        <v>1067</v>
      </c>
      <c r="Y47" s="106">
        <f t="shared" si="5"/>
        <v>0</v>
      </c>
      <c r="Z47" s="106">
        <v>1067</v>
      </c>
      <c r="AA47" s="106">
        <f t="shared" si="6"/>
        <v>148.5</v>
      </c>
      <c r="AB47" s="106">
        <v>1364</v>
      </c>
      <c r="AC47" s="106">
        <f t="shared" si="7"/>
        <v>0</v>
      </c>
      <c r="AD47" s="106">
        <v>1364</v>
      </c>
      <c r="AE47" s="107">
        <f t="shared" si="8"/>
        <v>-841</v>
      </c>
    </row>
    <row r="48" spans="2:31" ht="15.6" customHeight="1" thickBot="1" x14ac:dyDescent="0.35">
      <c r="N48" s="213"/>
      <c r="O48" s="97" t="s">
        <v>68</v>
      </c>
      <c r="P48" s="110"/>
      <c r="Q48" s="110">
        <v>3941</v>
      </c>
      <c r="R48" s="110">
        <v>900</v>
      </c>
      <c r="S48" s="110">
        <f t="shared" si="2"/>
        <v>0</v>
      </c>
      <c r="T48" s="110">
        <v>900</v>
      </c>
      <c r="U48" s="110">
        <f t="shared" si="3"/>
        <v>1522</v>
      </c>
      <c r="V48" s="110">
        <v>3944</v>
      </c>
      <c r="W48" s="110">
        <f t="shared" si="4"/>
        <v>0</v>
      </c>
      <c r="X48" s="110">
        <v>3944</v>
      </c>
      <c r="Y48" s="110">
        <f t="shared" si="5"/>
        <v>0</v>
      </c>
      <c r="Z48" s="110">
        <v>3944</v>
      </c>
      <c r="AA48" s="110">
        <f t="shared" si="6"/>
        <v>0</v>
      </c>
      <c r="AB48" s="110">
        <v>3944</v>
      </c>
      <c r="AC48" s="110">
        <f t="shared" si="7"/>
        <v>0</v>
      </c>
      <c r="AD48" s="110">
        <v>3944</v>
      </c>
      <c r="AE48" s="111">
        <f t="shared" si="8"/>
        <v>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418</v>
      </c>
      <c r="R49" s="112">
        <v>68</v>
      </c>
      <c r="S49" s="112">
        <f t="shared" si="2"/>
        <v>42.5</v>
      </c>
      <c r="T49" s="112">
        <v>153</v>
      </c>
      <c r="U49" s="112">
        <f t="shared" si="3"/>
        <v>0</v>
      </c>
      <c r="V49" s="112">
        <v>153</v>
      </c>
      <c r="W49" s="112">
        <f t="shared" si="4"/>
        <v>84</v>
      </c>
      <c r="X49" s="112">
        <v>321</v>
      </c>
      <c r="Y49" s="112">
        <f t="shared" si="5"/>
        <v>0</v>
      </c>
      <c r="Z49" s="112">
        <v>321</v>
      </c>
      <c r="AA49" s="112">
        <f t="shared" si="6"/>
        <v>0</v>
      </c>
      <c r="AB49" s="112">
        <v>321</v>
      </c>
      <c r="AC49" s="112">
        <f t="shared" si="7"/>
        <v>0</v>
      </c>
      <c r="AD49" s="112">
        <v>321</v>
      </c>
      <c r="AE49" s="113">
        <f t="shared" si="8"/>
        <v>-97</v>
      </c>
    </row>
    <row r="50" spans="14:31" ht="15.6" customHeight="1" x14ac:dyDescent="0.3">
      <c r="N50" s="212"/>
      <c r="O50" s="94" t="s">
        <v>66</v>
      </c>
      <c r="P50" s="108"/>
      <c r="Q50" s="108">
        <v>380</v>
      </c>
      <c r="R50" s="108">
        <v>303</v>
      </c>
      <c r="S50" s="108">
        <f t="shared" si="2"/>
        <v>0</v>
      </c>
      <c r="T50" s="108">
        <v>303</v>
      </c>
      <c r="U50" s="108">
        <f t="shared" si="3"/>
        <v>0</v>
      </c>
      <c r="V50" s="108">
        <v>303</v>
      </c>
      <c r="W50" s="108">
        <f t="shared" si="4"/>
        <v>0</v>
      </c>
      <c r="X50" s="108">
        <v>303</v>
      </c>
      <c r="Y50" s="108">
        <f t="shared" si="5"/>
        <v>0</v>
      </c>
      <c r="Z50" s="108">
        <v>303</v>
      </c>
      <c r="AA50" s="108">
        <f t="shared" si="6"/>
        <v>0</v>
      </c>
      <c r="AB50" s="108">
        <v>303</v>
      </c>
      <c r="AC50" s="108">
        <f t="shared" si="7"/>
        <v>38.5</v>
      </c>
      <c r="AD50" s="108">
        <v>380</v>
      </c>
      <c r="AE50" s="109">
        <f t="shared" si="8"/>
        <v>0</v>
      </c>
    </row>
    <row r="51" spans="14:31" ht="15.6" customHeight="1" x14ac:dyDescent="0.3">
      <c r="N51" s="212"/>
      <c r="O51" s="95" t="s">
        <v>67</v>
      </c>
      <c r="P51" s="106"/>
      <c r="Q51" s="106">
        <v>3313</v>
      </c>
      <c r="R51" s="106">
        <v>0</v>
      </c>
      <c r="S51" s="106">
        <f t="shared" si="2"/>
        <v>258.5</v>
      </c>
      <c r="T51" s="106">
        <v>517</v>
      </c>
      <c r="U51" s="106">
        <f t="shared" si="3"/>
        <v>378.5</v>
      </c>
      <c r="V51" s="106">
        <v>1274</v>
      </c>
      <c r="W51" s="106">
        <f t="shared" si="4"/>
        <v>60</v>
      </c>
      <c r="X51" s="106">
        <v>1394</v>
      </c>
      <c r="Y51" s="106">
        <f t="shared" si="5"/>
        <v>41.5</v>
      </c>
      <c r="Z51" s="106">
        <v>1477</v>
      </c>
      <c r="AA51" s="106">
        <f t="shared" si="6"/>
        <v>0</v>
      </c>
      <c r="AB51" s="106">
        <v>1477</v>
      </c>
      <c r="AC51" s="106">
        <f t="shared" si="7"/>
        <v>0</v>
      </c>
      <c r="AD51" s="106">
        <v>1477</v>
      </c>
      <c r="AE51" s="107">
        <f t="shared" si="8"/>
        <v>-1836</v>
      </c>
    </row>
    <row r="52" spans="14:31" ht="15.6" customHeight="1" x14ac:dyDescent="0.3">
      <c r="N52" s="212"/>
      <c r="O52" s="94" t="s">
        <v>68</v>
      </c>
      <c r="P52" s="108"/>
      <c r="Q52" s="108">
        <v>3771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209.5</v>
      </c>
      <c r="V52" s="108">
        <v>419</v>
      </c>
      <c r="W52" s="108">
        <f t="shared" si="4"/>
        <v>138.5</v>
      </c>
      <c r="X52" s="108">
        <v>696</v>
      </c>
      <c r="Y52" s="108">
        <f t="shared" si="5"/>
        <v>18.5</v>
      </c>
      <c r="Z52" s="108">
        <v>733</v>
      </c>
      <c r="AA52" s="108">
        <f t="shared" si="6"/>
        <v>0</v>
      </c>
      <c r="AB52" s="108">
        <v>733</v>
      </c>
      <c r="AC52" s="108">
        <f t="shared" si="7"/>
        <v>0</v>
      </c>
      <c r="AD52" s="108">
        <v>733</v>
      </c>
      <c r="AE52" s="109">
        <f t="shared" si="8"/>
        <v>-3038</v>
      </c>
    </row>
    <row r="53" spans="14:31" ht="15.6" customHeight="1" x14ac:dyDescent="0.3">
      <c r="N53" s="212"/>
      <c r="O53" s="95" t="s">
        <v>69</v>
      </c>
      <c r="P53" s="106"/>
      <c r="Q53" s="106">
        <v>4270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454</v>
      </c>
      <c r="V53" s="106">
        <v>908</v>
      </c>
      <c r="W53" s="106">
        <f t="shared" si="4"/>
        <v>540</v>
      </c>
      <c r="X53" s="106">
        <v>1988</v>
      </c>
      <c r="Y53" s="106">
        <f t="shared" si="5"/>
        <v>6</v>
      </c>
      <c r="Z53" s="106">
        <v>2000</v>
      </c>
      <c r="AA53" s="106">
        <f t="shared" si="6"/>
        <v>0</v>
      </c>
      <c r="AB53" s="106">
        <v>2000</v>
      </c>
      <c r="AC53" s="106">
        <f t="shared" si="7"/>
        <v>0</v>
      </c>
      <c r="AD53" s="106">
        <v>2000</v>
      </c>
      <c r="AE53" s="107">
        <f t="shared" si="8"/>
        <v>-2270</v>
      </c>
    </row>
    <row r="54" spans="14:31" ht="15.6" customHeight="1" x14ac:dyDescent="0.3">
      <c r="N54" s="212"/>
      <c r="O54" s="94" t="s">
        <v>70</v>
      </c>
      <c r="P54" s="108"/>
      <c r="Q54" s="108">
        <v>1827</v>
      </c>
      <c r="R54" s="108">
        <v>0</v>
      </c>
      <c r="S54" s="108" t="str">
        <f t="shared" si="2"/>
        <v/>
      </c>
      <c r="T54" s="108">
        <v>0</v>
      </c>
      <c r="U54" s="108">
        <f t="shared" si="3"/>
        <v>134</v>
      </c>
      <c r="V54" s="108">
        <v>268</v>
      </c>
      <c r="W54" s="108">
        <f t="shared" si="4"/>
        <v>679</v>
      </c>
      <c r="X54" s="108">
        <v>1626</v>
      </c>
      <c r="Y54" s="108">
        <f t="shared" si="5"/>
        <v>0</v>
      </c>
      <c r="Z54" s="108">
        <v>1626</v>
      </c>
      <c r="AA54" s="108">
        <f t="shared" si="6"/>
        <v>0</v>
      </c>
      <c r="AB54" s="108">
        <v>1626</v>
      </c>
      <c r="AC54" s="108">
        <f t="shared" si="7"/>
        <v>0</v>
      </c>
      <c r="AD54" s="108">
        <v>1626</v>
      </c>
      <c r="AE54" s="109">
        <f t="shared" si="8"/>
        <v>-201</v>
      </c>
    </row>
    <row r="55" spans="14:31" ht="15.6" customHeight="1" x14ac:dyDescent="0.3">
      <c r="N55" s="212"/>
      <c r="O55" s="95" t="s">
        <v>71</v>
      </c>
      <c r="P55" s="106"/>
      <c r="Q55" s="106">
        <v>912</v>
      </c>
      <c r="R55" s="106">
        <v>639</v>
      </c>
      <c r="S55" s="106">
        <f t="shared" si="2"/>
        <v>0</v>
      </c>
      <c r="T55" s="106">
        <v>639</v>
      </c>
      <c r="U55" s="106">
        <f t="shared" si="3"/>
        <v>81</v>
      </c>
      <c r="V55" s="106">
        <v>801</v>
      </c>
      <c r="W55" s="106">
        <f t="shared" si="4"/>
        <v>0</v>
      </c>
      <c r="X55" s="106">
        <v>801</v>
      </c>
      <c r="Y55" s="106">
        <f t="shared" si="5"/>
        <v>0</v>
      </c>
      <c r="Z55" s="106">
        <v>801</v>
      </c>
      <c r="AA55" s="106">
        <f t="shared" si="6"/>
        <v>0</v>
      </c>
      <c r="AB55" s="106">
        <v>801</v>
      </c>
      <c r="AC55" s="106">
        <f t="shared" si="7"/>
        <v>0</v>
      </c>
      <c r="AD55" s="106">
        <v>801</v>
      </c>
      <c r="AE55" s="107">
        <f t="shared" si="8"/>
        <v>-111</v>
      </c>
    </row>
    <row r="56" spans="14:31" ht="15.6" customHeight="1" x14ac:dyDescent="0.3">
      <c r="N56" s="212"/>
      <c r="O56" s="94" t="s">
        <v>72</v>
      </c>
      <c r="P56" s="108"/>
      <c r="Q56" s="108">
        <v>487</v>
      </c>
      <c r="R56" s="108">
        <v>0</v>
      </c>
      <c r="S56" s="108">
        <f t="shared" si="2"/>
        <v>138.5</v>
      </c>
      <c r="T56" s="108">
        <v>277</v>
      </c>
      <c r="U56" s="108">
        <f t="shared" si="3"/>
        <v>41.5</v>
      </c>
      <c r="V56" s="108">
        <v>360</v>
      </c>
      <c r="W56" s="108">
        <f t="shared" si="4"/>
        <v>63.5</v>
      </c>
      <c r="X56" s="108">
        <v>487</v>
      </c>
      <c r="Y56" s="108">
        <f t="shared" si="5"/>
        <v>0</v>
      </c>
      <c r="Z56" s="108">
        <v>487</v>
      </c>
      <c r="AA56" s="108">
        <f t="shared" si="6"/>
        <v>0</v>
      </c>
      <c r="AB56" s="108">
        <v>487</v>
      </c>
      <c r="AC56" s="108">
        <f t="shared" si="7"/>
        <v>0</v>
      </c>
      <c r="AD56" s="108">
        <v>487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235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>
        <f t="shared" si="4"/>
        <v>24.5</v>
      </c>
      <c r="X57" s="114">
        <v>49</v>
      </c>
      <c r="Y57" s="114">
        <f t="shared" si="5"/>
        <v>0</v>
      </c>
      <c r="Z57" s="114">
        <v>49</v>
      </c>
      <c r="AA57" s="114">
        <f t="shared" si="6"/>
        <v>0</v>
      </c>
      <c r="AB57" s="114">
        <v>49</v>
      </c>
      <c r="AC57" s="114">
        <f t="shared" si="7"/>
        <v>0</v>
      </c>
      <c r="AD57" s="114">
        <v>49</v>
      </c>
      <c r="AE57" s="115">
        <f t="shared" si="8"/>
        <v>-186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3734</v>
      </c>
      <c r="R58" s="104">
        <v>929</v>
      </c>
      <c r="S58" s="104">
        <f t="shared" si="2"/>
        <v>310</v>
      </c>
      <c r="T58" s="104">
        <v>1549</v>
      </c>
      <c r="U58" s="104">
        <f t="shared" si="3"/>
        <v>396</v>
      </c>
      <c r="V58" s="104">
        <v>2341</v>
      </c>
      <c r="W58" s="104">
        <f t="shared" si="4"/>
        <v>226.5</v>
      </c>
      <c r="X58" s="104">
        <v>2794</v>
      </c>
      <c r="Y58" s="104">
        <f t="shared" si="5"/>
        <v>54.5</v>
      </c>
      <c r="Z58" s="104">
        <v>2903</v>
      </c>
      <c r="AA58" s="104">
        <f t="shared" si="6"/>
        <v>0</v>
      </c>
      <c r="AB58" s="104">
        <v>2903</v>
      </c>
      <c r="AC58" s="104">
        <f t="shared" si="7"/>
        <v>0</v>
      </c>
      <c r="AD58" s="104">
        <v>2903</v>
      </c>
      <c r="AE58" s="105">
        <f t="shared" si="8"/>
        <v>-831</v>
      </c>
    </row>
    <row r="59" spans="14:31" ht="15.6" customHeight="1" x14ac:dyDescent="0.3">
      <c r="N59" s="212"/>
      <c r="O59" s="95" t="s">
        <v>66</v>
      </c>
      <c r="P59" s="106"/>
      <c r="Q59" s="106">
        <v>5020</v>
      </c>
      <c r="R59" s="106">
        <v>721</v>
      </c>
      <c r="S59" s="106">
        <f t="shared" si="2"/>
        <v>0</v>
      </c>
      <c r="T59" s="106">
        <v>721</v>
      </c>
      <c r="U59" s="106">
        <f t="shared" si="3"/>
        <v>376</v>
      </c>
      <c r="V59" s="106">
        <v>1473</v>
      </c>
      <c r="W59" s="106">
        <f t="shared" si="4"/>
        <v>381</v>
      </c>
      <c r="X59" s="106">
        <v>2235</v>
      </c>
      <c r="Y59" s="106">
        <f t="shared" si="5"/>
        <v>634.5</v>
      </c>
      <c r="Z59" s="106">
        <v>3504</v>
      </c>
      <c r="AA59" s="106">
        <f t="shared" si="6"/>
        <v>2.5</v>
      </c>
      <c r="AB59" s="106">
        <v>3509</v>
      </c>
      <c r="AC59" s="106">
        <f t="shared" si="7"/>
        <v>0</v>
      </c>
      <c r="AD59" s="106">
        <v>3509</v>
      </c>
      <c r="AE59" s="107">
        <f t="shared" si="8"/>
        <v>-1511</v>
      </c>
    </row>
    <row r="60" spans="14:31" ht="15.6" customHeight="1" x14ac:dyDescent="0.3">
      <c r="N60" s="212"/>
      <c r="O60" s="94" t="s">
        <v>67</v>
      </c>
      <c r="P60" s="108"/>
      <c r="Q60" s="108">
        <v>3301</v>
      </c>
      <c r="R60" s="108">
        <v>440</v>
      </c>
      <c r="S60" s="108">
        <f t="shared" si="2"/>
        <v>43</v>
      </c>
      <c r="T60" s="108">
        <v>526</v>
      </c>
      <c r="U60" s="108">
        <f t="shared" si="3"/>
        <v>0</v>
      </c>
      <c r="V60" s="108">
        <v>526</v>
      </c>
      <c r="W60" s="108">
        <f t="shared" si="4"/>
        <v>94.5</v>
      </c>
      <c r="X60" s="108">
        <v>715</v>
      </c>
      <c r="Y60" s="108">
        <f t="shared" si="5"/>
        <v>572</v>
      </c>
      <c r="Z60" s="108">
        <v>1859</v>
      </c>
      <c r="AA60" s="108">
        <f t="shared" si="6"/>
        <v>12.5</v>
      </c>
      <c r="AB60" s="108">
        <v>1884</v>
      </c>
      <c r="AC60" s="108">
        <f t="shared" si="7"/>
        <v>0</v>
      </c>
      <c r="AD60" s="108">
        <v>1884</v>
      </c>
      <c r="AE60" s="109">
        <f t="shared" si="8"/>
        <v>-1417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8081</v>
      </c>
      <c r="R62" s="104">
        <v>1324</v>
      </c>
      <c r="S62" s="104">
        <f t="shared" si="2"/>
        <v>255</v>
      </c>
      <c r="T62" s="104">
        <v>1834</v>
      </c>
      <c r="U62" s="104">
        <f t="shared" si="3"/>
        <v>378.5</v>
      </c>
      <c r="V62" s="104">
        <v>2591</v>
      </c>
      <c r="W62" s="104">
        <f t="shared" si="4"/>
        <v>545</v>
      </c>
      <c r="X62" s="104">
        <v>3681</v>
      </c>
      <c r="Y62" s="104">
        <f t="shared" si="5"/>
        <v>135</v>
      </c>
      <c r="Z62" s="104">
        <v>3951</v>
      </c>
      <c r="AA62" s="104">
        <f t="shared" si="6"/>
        <v>0</v>
      </c>
      <c r="AB62" s="104">
        <v>3951</v>
      </c>
      <c r="AC62" s="104">
        <f t="shared" si="7"/>
        <v>0</v>
      </c>
      <c r="AD62" s="104">
        <v>3951</v>
      </c>
      <c r="AE62" s="105">
        <f t="shared" si="8"/>
        <v>-4130</v>
      </c>
    </row>
    <row r="63" spans="14:31" ht="15.6" customHeight="1" x14ac:dyDescent="0.3">
      <c r="N63" s="212"/>
      <c r="O63" s="95" t="s">
        <v>66</v>
      </c>
      <c r="P63" s="106"/>
      <c r="Q63" s="106">
        <v>11736</v>
      </c>
      <c r="R63" s="106">
        <v>2143</v>
      </c>
      <c r="S63" s="106">
        <f t="shared" si="2"/>
        <v>654.5</v>
      </c>
      <c r="T63" s="106">
        <v>3452</v>
      </c>
      <c r="U63" s="106">
        <f t="shared" si="3"/>
        <v>286.5</v>
      </c>
      <c r="V63" s="106">
        <v>4025</v>
      </c>
      <c r="W63" s="106">
        <f t="shared" si="4"/>
        <v>226</v>
      </c>
      <c r="X63" s="106">
        <v>4477</v>
      </c>
      <c r="Y63" s="106">
        <f t="shared" si="5"/>
        <v>262.5</v>
      </c>
      <c r="Z63" s="106">
        <v>5002</v>
      </c>
      <c r="AA63" s="106">
        <f t="shared" si="6"/>
        <v>0</v>
      </c>
      <c r="AB63" s="106">
        <v>5002</v>
      </c>
      <c r="AC63" s="106">
        <f t="shared" si="7"/>
        <v>0</v>
      </c>
      <c r="AD63" s="106">
        <v>5002</v>
      </c>
      <c r="AE63" s="107">
        <f t="shared" si="8"/>
        <v>-6734</v>
      </c>
    </row>
    <row r="64" spans="14:31" ht="15.6" customHeight="1" x14ac:dyDescent="0.3">
      <c r="N64" s="212"/>
      <c r="O64" s="94" t="s">
        <v>67</v>
      </c>
      <c r="P64" s="108"/>
      <c r="Q64" s="108">
        <v>7189</v>
      </c>
      <c r="R64" s="108">
        <v>71</v>
      </c>
      <c r="S64" s="108">
        <f t="shared" si="2"/>
        <v>549.5</v>
      </c>
      <c r="T64" s="108">
        <v>1170</v>
      </c>
      <c r="U64" s="108">
        <f t="shared" si="3"/>
        <v>424.5</v>
      </c>
      <c r="V64" s="108">
        <v>2019</v>
      </c>
      <c r="W64" s="108">
        <f t="shared" si="4"/>
        <v>409.5</v>
      </c>
      <c r="X64" s="108">
        <v>2838</v>
      </c>
      <c r="Y64" s="108">
        <f t="shared" si="5"/>
        <v>44</v>
      </c>
      <c r="Z64" s="108">
        <v>2926</v>
      </c>
      <c r="AA64" s="108">
        <f t="shared" si="6"/>
        <v>0</v>
      </c>
      <c r="AB64" s="108">
        <v>2926</v>
      </c>
      <c r="AC64" s="108">
        <f t="shared" si="7"/>
        <v>0</v>
      </c>
      <c r="AD64" s="108">
        <v>2926</v>
      </c>
      <c r="AE64" s="109">
        <f t="shared" si="8"/>
        <v>-4263</v>
      </c>
    </row>
    <row r="65" spans="14:31" ht="15.6" customHeight="1" thickBot="1" x14ac:dyDescent="0.35">
      <c r="N65" s="213"/>
      <c r="O65" s="99" t="s">
        <v>68</v>
      </c>
      <c r="P65" s="114"/>
      <c r="Q65" s="114">
        <v>2022</v>
      </c>
      <c r="R65" s="114">
        <v>324</v>
      </c>
      <c r="S65" s="114">
        <f t="shared" si="2"/>
        <v>17.5</v>
      </c>
      <c r="T65" s="114">
        <v>359</v>
      </c>
      <c r="U65" s="114">
        <f t="shared" si="3"/>
        <v>48.5</v>
      </c>
      <c r="V65" s="114">
        <v>456</v>
      </c>
      <c r="W65" s="114">
        <f t="shared" si="4"/>
        <v>203</v>
      </c>
      <c r="X65" s="114">
        <v>862</v>
      </c>
      <c r="Y65" s="114">
        <f t="shared" si="5"/>
        <v>83.5</v>
      </c>
      <c r="Z65" s="114">
        <v>1029</v>
      </c>
      <c r="AA65" s="114">
        <f t="shared" si="6"/>
        <v>0</v>
      </c>
      <c r="AB65" s="114">
        <v>1029</v>
      </c>
      <c r="AC65" s="114">
        <f t="shared" si="7"/>
        <v>0</v>
      </c>
      <c r="AD65" s="114">
        <v>1029</v>
      </c>
      <c r="AE65" s="115">
        <f t="shared" si="8"/>
        <v>-993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27" priority="11" operator="lessThan">
      <formula>0</formula>
    </cfRule>
    <cfRule type="cellIs" dxfId="1726" priority="12" operator="greaterThan">
      <formula>0</formula>
    </cfRule>
  </conditionalFormatting>
  <conditionalFormatting sqref="R25:AC25">
    <cfRule type="cellIs" dxfId="1725" priority="9" operator="lessThan">
      <formula>0</formula>
    </cfRule>
    <cfRule type="cellIs" dxfId="1724" priority="10" operator="greaterThan">
      <formula>0</formula>
    </cfRule>
  </conditionalFormatting>
  <conditionalFormatting sqref="R26 T26 V26 X26 Z26 AB26">
    <cfRule type="cellIs" dxfId="1723" priority="7" operator="lessThan">
      <formula>0</formula>
    </cfRule>
    <cfRule type="cellIs" dxfId="1722" priority="8" operator="greaterThan">
      <formula>0</formula>
    </cfRule>
  </conditionalFormatting>
  <conditionalFormatting sqref="AD24:AE24">
    <cfRule type="cellIs" dxfId="1721" priority="5" operator="lessThan">
      <formula>0</formula>
    </cfRule>
    <cfRule type="cellIs" dxfId="1720" priority="6" operator="greaterThan">
      <formula>0</formula>
    </cfRule>
  </conditionalFormatting>
  <conditionalFormatting sqref="AD25:AE25">
    <cfRule type="cellIs" dxfId="1719" priority="3" operator="lessThan">
      <formula>0</formula>
    </cfRule>
    <cfRule type="cellIs" dxfId="1718" priority="4" operator="greaterThan">
      <formula>0</formula>
    </cfRule>
  </conditionalFormatting>
  <conditionalFormatting sqref="AD26">
    <cfRule type="cellIs" dxfId="1717" priority="1" operator="lessThan">
      <formula>0</formula>
    </cfRule>
    <cfRule type="cellIs" dxfId="171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44375</v>
      </c>
    </row>
    <row r="3" spans="2:42" ht="18.75" customHeight="1" thickBot="1" x14ac:dyDescent="0.35">
      <c r="B3" t="s">
        <v>1</v>
      </c>
      <c r="C3" s="3">
        <f>C2+1</f>
        <v>44376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4374</v>
      </c>
      <c r="E6" s="18" t="s">
        <v>22</v>
      </c>
      <c r="F6" s="119">
        <v>19961</v>
      </c>
      <c r="G6" s="117">
        <v>16679.661499999998</v>
      </c>
      <c r="H6" s="117">
        <v>13341.861947560001</v>
      </c>
      <c r="I6" s="19">
        <f>G6+H6</f>
        <v>30021.523447560001</v>
      </c>
      <c r="J6" s="119">
        <v>20226</v>
      </c>
      <c r="K6" s="117">
        <v>15944.730874999999</v>
      </c>
      <c r="L6" s="117">
        <v>12434.99716958001</v>
      </c>
      <c r="M6" s="19">
        <f>K6+L6</f>
        <v>28379.72804458001</v>
      </c>
      <c r="N6" s="85"/>
      <c r="O6" s="85"/>
      <c r="P6" s="92"/>
      <c r="Q6" s="20">
        <f>J6-P6</f>
        <v>20226</v>
      </c>
      <c r="R6" s="21">
        <v>0</v>
      </c>
      <c r="S6" s="20" t="str">
        <f>IF(R6&gt;0,(R6-R7-$Q6),"")</f>
        <v/>
      </c>
      <c r="T6" s="21">
        <v>3635</v>
      </c>
      <c r="U6" s="20">
        <f>IF(T6&gt;0,(T6-T7-$Q6),"")</f>
        <v>-16605</v>
      </c>
      <c r="V6" s="21">
        <v>6579</v>
      </c>
      <c r="W6" s="20">
        <f>IF(V6&gt;0,(V6-V7-$Q6),"")</f>
        <v>-14272</v>
      </c>
      <c r="X6" s="21">
        <v>9730</v>
      </c>
      <c r="Y6" s="20">
        <f>IF(X6&gt;0,(X6-X7-$Q6),"")</f>
        <v>-10541</v>
      </c>
      <c r="Z6" s="21">
        <v>11294</v>
      </c>
      <c r="AA6" s="20">
        <f>IF(Z6&gt;0,(Z6-Z7-$Q6),"")</f>
        <v>-8979</v>
      </c>
      <c r="AB6" s="21">
        <v>10906</v>
      </c>
      <c r="AC6" s="22">
        <f>IF(AB6&gt;0,(AB6-AB7-$Q6),"")</f>
        <v>-9367</v>
      </c>
      <c r="AD6" s="21">
        <v>11294</v>
      </c>
      <c r="AE6" s="22">
        <f>IF(AD6&gt;0,(AD6-AD7-$Q6),"")</f>
        <v>-8979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>
        <v>0</v>
      </c>
      <c r="S7" s="24"/>
      <c r="T7" s="25">
        <v>14</v>
      </c>
      <c r="U7" s="24"/>
      <c r="V7" s="25">
        <v>625</v>
      </c>
      <c r="W7" s="24"/>
      <c r="X7" s="25">
        <v>45</v>
      </c>
      <c r="Y7" s="24"/>
      <c r="Z7" s="25">
        <v>47</v>
      </c>
      <c r="AA7" s="24"/>
      <c r="AB7" s="25">
        <v>47</v>
      </c>
      <c r="AC7" s="26"/>
      <c r="AD7" s="25">
        <v>47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2688</v>
      </c>
      <c r="E8" s="29" t="s">
        <v>27</v>
      </c>
      <c r="F8" s="119">
        <v>15410</v>
      </c>
      <c r="G8" s="117">
        <v>6600.375</v>
      </c>
      <c r="H8" s="117">
        <v>1495.7798620999999</v>
      </c>
      <c r="I8" s="19">
        <f>G8+H8</f>
        <v>8096.1548621000002</v>
      </c>
      <c r="J8" s="119">
        <v>0</v>
      </c>
      <c r="K8" s="117">
        <v>0</v>
      </c>
      <c r="L8" s="117">
        <v>0</v>
      </c>
      <c r="M8" s="19">
        <f>K8+L8</f>
        <v>0</v>
      </c>
      <c r="N8" s="87"/>
      <c r="O8" s="87"/>
      <c r="P8" s="92"/>
      <c r="Q8" s="20">
        <f>J8-P8</f>
        <v>0</v>
      </c>
      <c r="R8" s="21">
        <v>1948</v>
      </c>
      <c r="S8" s="20">
        <f>IF(R8&gt;0,(R8-R9-$Q8),"")</f>
        <v>1931</v>
      </c>
      <c r="T8" s="21">
        <v>1948</v>
      </c>
      <c r="U8" s="20">
        <f>IF(T8&gt;0,(T8-T9-$Q8),"")</f>
        <v>1931</v>
      </c>
      <c r="V8" s="21">
        <v>2818</v>
      </c>
      <c r="W8" s="20">
        <f>IF(V8&gt;0,(V8-V9-$Q8),"")</f>
        <v>2801</v>
      </c>
      <c r="X8" s="21">
        <v>13676</v>
      </c>
      <c r="Y8" s="20">
        <f>IF(X8&gt;0,(X8-X9-$Q8),"")</f>
        <v>13659</v>
      </c>
      <c r="Z8" s="21">
        <v>14470</v>
      </c>
      <c r="AA8" s="20">
        <f>IF(Z8&gt;0,(Z8-Z9-$Q8),"")</f>
        <v>14453</v>
      </c>
      <c r="AB8" s="21">
        <v>14470</v>
      </c>
      <c r="AC8" s="22">
        <f>IF(AB8&gt;0,(AB8-AB9-$Q8),"")</f>
        <v>14453</v>
      </c>
      <c r="AD8" s="21">
        <v>14470</v>
      </c>
      <c r="AE8" s="22">
        <f>IF(AD8&gt;0,(AD8-AD9-$Q8),"")</f>
        <v>14453</v>
      </c>
    </row>
    <row r="9" spans="2:42" x14ac:dyDescent="0.3">
      <c r="B9" s="28" t="s">
        <v>28</v>
      </c>
      <c r="C9" s="17">
        <v>1653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>
        <v>17</v>
      </c>
      <c r="S9" s="24"/>
      <c r="T9" s="30">
        <v>17</v>
      </c>
      <c r="U9" s="24"/>
      <c r="V9" s="30">
        <v>17</v>
      </c>
      <c r="W9" s="24"/>
      <c r="X9" s="30">
        <v>17</v>
      </c>
      <c r="Y9" s="24"/>
      <c r="Z9" s="30">
        <v>17</v>
      </c>
      <c r="AA9" s="24"/>
      <c r="AB9" s="30">
        <v>17</v>
      </c>
      <c r="AC9" s="26"/>
      <c r="AD9" s="30">
        <v>17</v>
      </c>
      <c r="AE9" s="26"/>
    </row>
    <row r="10" spans="2:42" x14ac:dyDescent="0.3">
      <c r="B10" s="16" t="s">
        <v>30</v>
      </c>
      <c r="C10" s="17">
        <v>4627</v>
      </c>
      <c r="E10" s="18" t="s">
        <v>31</v>
      </c>
      <c r="F10" s="119">
        <v>11256.355018587359</v>
      </c>
      <c r="G10" s="117">
        <v>7460.239261617101</v>
      </c>
      <c r="H10" s="117">
        <v>1680.3130812500001</v>
      </c>
      <c r="I10" s="19">
        <f>G10+H10</f>
        <v>9140.5523428671004</v>
      </c>
      <c r="J10" s="119">
        <v>12078.855018587359</v>
      </c>
      <c r="K10" s="117">
        <v>8292.5037616171012</v>
      </c>
      <c r="L10" s="117">
        <v>1785.5142625000001</v>
      </c>
      <c r="M10" s="19">
        <f>K10+L10</f>
        <v>10078.018024117102</v>
      </c>
      <c r="N10" s="88"/>
      <c r="O10" s="88"/>
      <c r="P10" s="92"/>
      <c r="Q10" s="20">
        <f>J10-P10</f>
        <v>12078.855018587359</v>
      </c>
      <c r="R10" s="21">
        <v>1064</v>
      </c>
      <c r="S10" s="20">
        <f>IF(R10&gt;0,(R10-R11-$Q10),"")</f>
        <v>-11493.855018587359</v>
      </c>
      <c r="T10" s="21">
        <v>1857</v>
      </c>
      <c r="U10" s="20">
        <f>IF(T10&gt;0,(T10-T11-$Q10),"")</f>
        <v>-11493.855018587359</v>
      </c>
      <c r="V10" s="21">
        <v>3620</v>
      </c>
      <c r="W10" s="20">
        <f>IF(V10&gt;0,(V10-V11-$Q10),"")</f>
        <v>-10500.855018587359</v>
      </c>
      <c r="X10" s="21">
        <v>5907</v>
      </c>
      <c r="Y10" s="20">
        <f>IF(X10&gt;0,(X10-X11-$Q10),"")</f>
        <v>-8621.8550185873592</v>
      </c>
      <c r="Z10" s="21">
        <v>6903</v>
      </c>
      <c r="AA10" s="20">
        <f>IF(Z10&gt;0,(Z10-Z11-$Q10),"")</f>
        <v>-8000.8550185873592</v>
      </c>
      <c r="AB10" s="21">
        <v>7115</v>
      </c>
      <c r="AC10" s="22">
        <f>IF(AB10&gt;0,(AB10-AB11-$Q10),"")</f>
        <v>-7789.8550185873592</v>
      </c>
      <c r="AD10" s="21">
        <v>7115</v>
      </c>
      <c r="AE10" s="22">
        <f>IF(AD10&gt;0,(AD10-AD11-$Q10),"")</f>
        <v>-7789.8550185873592</v>
      </c>
    </row>
    <row r="11" spans="2:42" x14ac:dyDescent="0.3">
      <c r="B11" s="16" t="s">
        <v>32</v>
      </c>
      <c r="C11" s="17">
        <v>2090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>
        <v>479</v>
      </c>
      <c r="S11" s="24"/>
      <c r="T11" s="30">
        <v>1272</v>
      </c>
      <c r="U11" s="24"/>
      <c r="V11" s="30">
        <v>2042</v>
      </c>
      <c r="W11" s="24"/>
      <c r="X11" s="30">
        <v>2450</v>
      </c>
      <c r="Y11" s="24"/>
      <c r="Z11" s="30">
        <v>2825</v>
      </c>
      <c r="AA11" s="24"/>
      <c r="AB11" s="30">
        <v>2826</v>
      </c>
      <c r="AC11" s="26"/>
      <c r="AD11" s="30">
        <v>2826</v>
      </c>
      <c r="AE11" s="26"/>
    </row>
    <row r="12" spans="2:42" x14ac:dyDescent="0.3">
      <c r="B12" s="16" t="s">
        <v>34</v>
      </c>
      <c r="C12" s="17">
        <v>1687</v>
      </c>
      <c r="E12" s="29" t="s">
        <v>35</v>
      </c>
      <c r="F12" s="119">
        <v>15046.292173034801</v>
      </c>
      <c r="G12" s="117">
        <v>12302.39297164201</v>
      </c>
      <c r="H12" s="117">
        <v>14242.75029676039</v>
      </c>
      <c r="I12" s="19">
        <f>G12+H12</f>
        <v>26545.1432684024</v>
      </c>
      <c r="J12" s="119">
        <v>15462.05763239875</v>
      </c>
      <c r="K12" s="117">
        <v>12444.69107632399</v>
      </c>
      <c r="L12" s="117">
        <v>13699.954508728641</v>
      </c>
      <c r="M12" s="19">
        <f>K12+L12</f>
        <v>26144.645585052633</v>
      </c>
      <c r="N12" s="88"/>
      <c r="O12" s="88"/>
      <c r="P12" s="92"/>
      <c r="Q12" s="20">
        <f>J12-P12</f>
        <v>15462.05763239875</v>
      </c>
      <c r="R12" s="21">
        <v>1324</v>
      </c>
      <c r="S12" s="20">
        <f>IF(R12&gt;0,(R12-R13-$Q12),"")</f>
        <v>-14675.05763239875</v>
      </c>
      <c r="T12" s="21">
        <v>3507</v>
      </c>
      <c r="U12" s="20">
        <f>IF(T12&gt;0,(T12-T13-$Q12),"")</f>
        <v>-12659.05763239875</v>
      </c>
      <c r="V12" s="21">
        <v>5448</v>
      </c>
      <c r="W12" s="20">
        <f>IF(V12&gt;0,(V12-V13-$Q12),"")</f>
        <v>-10904.05763239875</v>
      </c>
      <c r="X12" s="21">
        <v>8369</v>
      </c>
      <c r="Y12" s="20">
        <f>IF(X12&gt;0,(X12-X13-$Q12),"")</f>
        <v>-8248.0576323987498</v>
      </c>
      <c r="Z12" s="21">
        <v>9500</v>
      </c>
      <c r="AA12" s="20">
        <f>IF(Z12&gt;0,(Z12-Z13-$Q12),"")</f>
        <v>-7117.0576323987498</v>
      </c>
      <c r="AB12" s="21">
        <v>10546</v>
      </c>
      <c r="AC12" s="22">
        <f>IF(AB12&gt;0,(AB12-AB13-$Q12),"")</f>
        <v>-6540.0576323987498</v>
      </c>
      <c r="AD12" s="21">
        <v>10546</v>
      </c>
      <c r="AE12" s="22">
        <f>IF(AD12&gt;0,(AD12-AD13-$Q12),"")</f>
        <v>-6540.0576323987498</v>
      </c>
    </row>
    <row r="13" spans="2:42" x14ac:dyDescent="0.3">
      <c r="B13" s="16" t="s">
        <v>36</v>
      </c>
      <c r="C13" s="17">
        <v>4907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>
        <v>537</v>
      </c>
      <c r="S13" s="24"/>
      <c r="T13" s="30">
        <v>704</v>
      </c>
      <c r="U13" s="24"/>
      <c r="V13" s="30">
        <v>890</v>
      </c>
      <c r="W13" s="24"/>
      <c r="X13" s="30">
        <v>1155</v>
      </c>
      <c r="Y13" s="24"/>
      <c r="Z13" s="30">
        <v>1155</v>
      </c>
      <c r="AA13" s="24"/>
      <c r="AB13" s="30">
        <v>1624</v>
      </c>
      <c r="AC13" s="26"/>
      <c r="AD13" s="30">
        <v>1624</v>
      </c>
      <c r="AE13" s="26"/>
    </row>
    <row r="14" spans="2:42" x14ac:dyDescent="0.3">
      <c r="B14" s="16" t="s">
        <v>38</v>
      </c>
      <c r="C14" s="17">
        <v>11296</v>
      </c>
      <c r="E14" s="18" t="s">
        <v>39</v>
      </c>
      <c r="F14" s="119">
        <v>19176.196940185979</v>
      </c>
      <c r="G14" s="117">
        <v>18534.624893974618</v>
      </c>
      <c r="H14" s="117">
        <v>20484.21534457268</v>
      </c>
      <c r="I14" s="19">
        <f>G14+H14</f>
        <v>39018.840238547302</v>
      </c>
      <c r="J14" s="119">
        <v>19176.196940185979</v>
      </c>
      <c r="K14" s="117">
        <v>18534.624893974618</v>
      </c>
      <c r="L14" s="117">
        <v>20456.21534457268</v>
      </c>
      <c r="M14" s="19">
        <f>K14+L14</f>
        <v>38990.840238547302</v>
      </c>
      <c r="N14" s="88"/>
      <c r="O14" s="88"/>
      <c r="P14" s="92"/>
      <c r="Q14" s="20">
        <f>J14-P14</f>
        <v>19176.196940185979</v>
      </c>
      <c r="R14" s="21">
        <v>5430</v>
      </c>
      <c r="S14" s="20">
        <f>IF(R14&gt;0,(R14-R15-$Q14),"")</f>
        <v>-19176.196940185979</v>
      </c>
      <c r="T14" s="21">
        <v>8464</v>
      </c>
      <c r="U14" s="20">
        <f>IF(T14&gt;0,(T14-T15-$Q14),"")</f>
        <v>-18834.196940185979</v>
      </c>
      <c r="V14" s="21">
        <v>10019</v>
      </c>
      <c r="W14" s="20">
        <f>IF(V14&gt;0,(V14-V15-$Q14),"")</f>
        <v>-17895.196940185979</v>
      </c>
      <c r="X14" s="21">
        <v>12047</v>
      </c>
      <c r="Y14" s="20">
        <f>IF(X14&gt;0,(X14-X15-$Q14),"")</f>
        <v>-16725.196940185979</v>
      </c>
      <c r="Z14" s="21">
        <v>12506</v>
      </c>
      <c r="AA14" s="20">
        <f>IF(Z14&gt;0,(Z14-Z15-$Q14),"")</f>
        <v>-16266.196940185979</v>
      </c>
      <c r="AB14" s="21">
        <v>12506</v>
      </c>
      <c r="AC14" s="22">
        <f>IF(AB14&gt;0,(AB14-AB15-$Q14),"")</f>
        <v>-16266.196940185979</v>
      </c>
      <c r="AD14" s="21">
        <v>12506</v>
      </c>
      <c r="AE14" s="22">
        <f>IF(AD14&gt;0,(AD14-AD15-$Q14),"")</f>
        <v>-16266.196940185979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>
        <v>5430</v>
      </c>
      <c r="S15" s="24"/>
      <c r="T15" s="25">
        <v>8122</v>
      </c>
      <c r="U15" s="24"/>
      <c r="V15" s="25">
        <v>8738</v>
      </c>
      <c r="W15" s="24"/>
      <c r="X15" s="25">
        <v>9596</v>
      </c>
      <c r="Y15" s="24"/>
      <c r="Z15" s="25">
        <v>9596</v>
      </c>
      <c r="AA15" s="24"/>
      <c r="AB15" s="25">
        <v>9596</v>
      </c>
      <c r="AC15" s="26"/>
      <c r="AD15" s="25">
        <v>9596</v>
      </c>
      <c r="AE15" s="26"/>
    </row>
    <row r="16" spans="2:42" ht="15" customHeight="1" thickBot="1" x14ac:dyDescent="0.35">
      <c r="B16" s="28" t="s">
        <v>42</v>
      </c>
      <c r="C16" s="17">
        <v>11950</v>
      </c>
      <c r="E16" s="84"/>
      <c r="F16" s="31">
        <f t="shared" ref="F16:M16" si="0">SUM(F6:F15)</f>
        <v>80849.844131808146</v>
      </c>
      <c r="G16" s="31">
        <f t="shared" si="0"/>
        <v>61577.293627233725</v>
      </c>
      <c r="H16" s="31">
        <f t="shared" si="0"/>
        <v>51244.920532243072</v>
      </c>
      <c r="I16" s="32">
        <f t="shared" si="0"/>
        <v>112822.2141594768</v>
      </c>
      <c r="J16" s="33">
        <f t="shared" si="0"/>
        <v>66943.109591172091</v>
      </c>
      <c r="K16" s="33">
        <f t="shared" si="0"/>
        <v>55216.550606915713</v>
      </c>
      <c r="L16" s="33">
        <f t="shared" si="0"/>
        <v>48376.681285381332</v>
      </c>
      <c r="M16" s="33">
        <f t="shared" si="0"/>
        <v>103593.23189229704</v>
      </c>
      <c r="N16" s="31">
        <f>SUM(N14,N12,N10,N8,N6)</f>
        <v>0</v>
      </c>
      <c r="O16" s="31">
        <f>SUM(O14,O12,O10,O8,O6)</f>
        <v>0</v>
      </c>
      <c r="P16" s="34">
        <f>SUM(P6:P15)</f>
        <v>0</v>
      </c>
      <c r="Q16" s="34">
        <f>SUM(Q6:Q15)</f>
        <v>66943.109591172091</v>
      </c>
      <c r="R16" s="35">
        <f>R6+R8+R10+R12+R14-R7-R9-R11-R13-R15</f>
        <v>3303</v>
      </c>
      <c r="S16" s="36">
        <f>IF(R16&gt;1,(R16-$Q16),"")</f>
        <v>-63640.109591172091</v>
      </c>
      <c r="T16" s="35">
        <f>T6+T8+T10+T12+T14-T7-T9-T11-T13-T15</f>
        <v>9282</v>
      </c>
      <c r="U16" s="36">
        <f>IF(T16&gt;1,(T16-$Q16),"")</f>
        <v>-57661.109591172091</v>
      </c>
      <c r="V16" s="35">
        <f>V6+V8+V10+V12+V14-V7-V9-V11-V13-V15</f>
        <v>16172</v>
      </c>
      <c r="W16" s="36">
        <f>IF(V16&gt;1,(V16-$Q16),"")</f>
        <v>-50771.109591172091</v>
      </c>
      <c r="X16" s="35">
        <f>X6+X8+X10+X12+X14-X7-X9-X11-X13-X15</f>
        <v>36466</v>
      </c>
      <c r="Y16" s="36">
        <f>IF(X16&gt;1,(X16-$Q16),"")</f>
        <v>-30477.109591172091</v>
      </c>
      <c r="Z16" s="35">
        <f>Z6+Z8+Z10+Z12+Z14-Z7-Z9-Z11-Z13-Z15</f>
        <v>41033</v>
      </c>
      <c r="AA16" s="36">
        <f>IF(Z16&gt;1,(Z16-$Q16),"")</f>
        <v>-25910.109591172091</v>
      </c>
      <c r="AB16" s="35">
        <f>AB6+AB8+AB10+AB12+AB14-AB7-AB9-AB11-AB13-AB15</f>
        <v>41433</v>
      </c>
      <c r="AC16" s="37">
        <f>IF(AB16&gt;1,(AB16-$Q16),"")</f>
        <v>-25510.109591172091</v>
      </c>
      <c r="AD16" s="35">
        <f>AD6+AD8+AD10+AD12+AD14-AD7-AD9-AD11-AD13-AD15</f>
        <v>41821</v>
      </c>
      <c r="AE16" s="37">
        <f>IF(AD16&gt;1,(AD16-$Q16),"")</f>
        <v>-25122.109591172091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6463</v>
      </c>
      <c r="S17" s="41"/>
      <c r="T17" s="40">
        <f>T15+T13+T11+T9+T7</f>
        <v>10129</v>
      </c>
      <c r="U17" s="41"/>
      <c r="V17" s="40">
        <f>V15+V13+V11+V9+V7</f>
        <v>12312</v>
      </c>
      <c r="W17" s="41"/>
      <c r="X17" s="40">
        <f>X15+X13+X11+X9+X7</f>
        <v>13263</v>
      </c>
      <c r="Y17" s="41"/>
      <c r="Z17" s="40">
        <f>Z15+Z13+Z11+Z9+Z7</f>
        <v>13640</v>
      </c>
      <c r="AA17" s="41"/>
      <c r="AB17" s="40">
        <f>AB15+AB13+AB11+AB9+AB7</f>
        <v>14110</v>
      </c>
      <c r="AC17" s="42"/>
      <c r="AD17" s="40">
        <f>AD15+AD13+AD11+AD9+AD7</f>
        <v>14110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1651.5</v>
      </c>
      <c r="S18" s="46"/>
      <c r="T18" s="47">
        <f>IF(T16&gt;0,(T16-R16)/2,"")</f>
        <v>2989.5</v>
      </c>
      <c r="U18" s="46"/>
      <c r="V18" s="47">
        <f>IF(V16&gt;0,(V16-T16)/2,"")</f>
        <v>3445</v>
      </c>
      <c r="W18" s="46"/>
      <c r="X18" s="47">
        <f>IF(X16&gt;0,(X16-V16)/2,"")</f>
        <v>10147</v>
      </c>
      <c r="Y18" s="46"/>
      <c r="Z18" s="47">
        <f>IF(Z16&gt;0,(Z16-X16)/2,"")</f>
        <v>2283.5</v>
      </c>
      <c r="AA18" s="46"/>
      <c r="AB18" s="47">
        <f>IF(AB16&gt;0,(AB16-Z16)/2,"")</f>
        <v>200</v>
      </c>
      <c r="AC18" s="48"/>
      <c r="AD18" s="47">
        <f>IF(AD16&gt;0,(AD16-AB16)/2,"")</f>
        <v>194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8768</v>
      </c>
      <c r="S20" s="36"/>
      <c r="T20" s="35">
        <v>20732</v>
      </c>
      <c r="U20" s="36"/>
      <c r="V20" s="35">
        <v>38294</v>
      </c>
      <c r="W20" s="36"/>
      <c r="X20" s="35">
        <v>49073</v>
      </c>
      <c r="Y20" s="36"/>
      <c r="Z20" s="35">
        <v>52777</v>
      </c>
      <c r="AA20" s="36"/>
      <c r="AB20" s="35">
        <v>53117</v>
      </c>
      <c r="AC20" s="37"/>
      <c r="AD20" s="35">
        <v>54084</v>
      </c>
      <c r="AE20" s="37">
        <v>-5833</v>
      </c>
    </row>
    <row r="21" spans="2:43" ht="15" customHeight="1" thickBot="1" x14ac:dyDescent="0.35">
      <c r="B21" s="16" t="s">
        <v>50</v>
      </c>
      <c r="C21" s="17">
        <v>8187</v>
      </c>
      <c r="L21" s="4"/>
      <c r="M21" s="4"/>
      <c r="Q21" s="52"/>
      <c r="R21" s="40">
        <v>99</v>
      </c>
      <c r="S21" s="41"/>
      <c r="T21" s="40">
        <v>493</v>
      </c>
      <c r="U21" s="41"/>
      <c r="V21" s="40">
        <v>694</v>
      </c>
      <c r="W21" s="41"/>
      <c r="X21" s="40">
        <v>2290</v>
      </c>
      <c r="Y21" s="41"/>
      <c r="Z21" s="40">
        <v>2290</v>
      </c>
      <c r="AA21" s="41"/>
      <c r="AB21" s="40">
        <v>2295</v>
      </c>
      <c r="AC21" s="42"/>
      <c r="AD21" s="40">
        <v>3194</v>
      </c>
      <c r="AE21" s="42"/>
    </row>
    <row r="22" spans="2:43" ht="15" customHeight="1" thickBot="1" x14ac:dyDescent="0.35">
      <c r="B22" s="16" t="s">
        <v>51</v>
      </c>
      <c r="C22" s="17">
        <v>1828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4438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-5465</v>
      </c>
      <c r="S24" s="60"/>
      <c r="T24" s="60">
        <f>IF(T16&gt;0,T16-T20,"")</f>
        <v>-11450</v>
      </c>
      <c r="U24" s="60"/>
      <c r="V24" s="60">
        <f>IF(V16&gt;0,V16-V20,"")</f>
        <v>-22122</v>
      </c>
      <c r="W24" s="60"/>
      <c r="X24" s="60">
        <f>IF(X16&gt;0,X16-X20,"")</f>
        <v>-12607</v>
      </c>
      <c r="Y24" s="60"/>
      <c r="Z24" s="60">
        <f>IF(Z16&gt;0,Z16-Z20,"")</f>
        <v>-11744</v>
      </c>
      <c r="AA24" s="60"/>
      <c r="AB24" s="60">
        <f>IF(AB16&gt;0,AB16-AB20,"")</f>
        <v>-11684</v>
      </c>
      <c r="AC24" s="61"/>
      <c r="AD24" s="60">
        <f>IF(AD16&gt;0,AD16-AD20,"")</f>
        <v>-12263</v>
      </c>
      <c r="AE24" s="61"/>
    </row>
    <row r="25" spans="2:43" x14ac:dyDescent="0.3">
      <c r="L25" s="4"/>
      <c r="M25" s="4"/>
      <c r="Q25" s="62"/>
      <c r="R25" s="63">
        <f>IF(R17&gt;=0,R17-R21,"")</f>
        <v>6364</v>
      </c>
      <c r="S25" s="64"/>
      <c r="T25" s="63">
        <f>IF(T17&gt;=0,T17-T21,"")</f>
        <v>9636</v>
      </c>
      <c r="U25" s="64"/>
      <c r="V25" s="63">
        <f>IF(V17&gt;=0,V17-V21,"")</f>
        <v>11618</v>
      </c>
      <c r="W25" s="64"/>
      <c r="X25" s="63">
        <f>IF(X17&gt;=0,X17-X21,"")</f>
        <v>10973</v>
      </c>
      <c r="Y25" s="64"/>
      <c r="Z25" s="63">
        <f>IF(Z17&gt;=0,Z17-Z21,"")</f>
        <v>11350</v>
      </c>
      <c r="AA25" s="64"/>
      <c r="AB25" s="63">
        <f>IF(AB17&gt;=0,AB17-AB21,"")</f>
        <v>11815</v>
      </c>
      <c r="AC25" s="65"/>
      <c r="AD25" s="63">
        <f>IF(AD17&gt;=0,AD17-AD21,"")</f>
        <v>10916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1651.5</v>
      </c>
      <c r="S26" s="55"/>
      <c r="T26" s="67">
        <f>IFERROR(IF(T18&gt;0,T18-T22,""),"")</f>
        <v>2989.5</v>
      </c>
      <c r="U26" s="55"/>
      <c r="V26" s="67">
        <f>IFERROR(IF(V18&gt;0,V18-V22,""),"")</f>
        <v>3445</v>
      </c>
      <c r="W26" s="55"/>
      <c r="X26" s="67">
        <f>IFERROR(IF(X18&gt;0,X18-X22,""),"")</f>
        <v>10147</v>
      </c>
      <c r="Y26" s="55"/>
      <c r="Z26" s="67">
        <f>IFERROR(IF(Z18&gt;0,Z18-Z22,""),"")</f>
        <v>2283.5</v>
      </c>
      <c r="AA26" s="55"/>
      <c r="AB26" s="67">
        <f>IFERROR(IF(AB18&gt;0,AB18-AB22,""),"")</f>
        <v>200</v>
      </c>
      <c r="AC26" s="56"/>
      <c r="AD26" s="67">
        <f>IFERROR(IF(AD18&gt;0,AD18-AD22,""),"")</f>
        <v>194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10122</v>
      </c>
      <c r="D29" s="76">
        <f>C14</f>
        <v>11296</v>
      </c>
      <c r="E29" s="77">
        <f t="shared" ref="E29:E34" si="1">D29-C29</f>
        <v>1174</v>
      </c>
      <c r="M29" s="4"/>
      <c r="O29" s="4"/>
    </row>
    <row r="30" spans="2:43" x14ac:dyDescent="0.3">
      <c r="B30" s="74" t="s">
        <v>56</v>
      </c>
      <c r="C30" s="75">
        <v>26127.844131808131</v>
      </c>
      <c r="D30" s="76">
        <f>C7+C15+C16+C19+C20</f>
        <v>11950</v>
      </c>
      <c r="E30" s="77">
        <f t="shared" si="1"/>
        <v>-14177.844131808131</v>
      </c>
      <c r="J30" s="53"/>
      <c r="L30" s="53"/>
      <c r="M30" s="4"/>
      <c r="O30" s="4"/>
    </row>
    <row r="31" spans="2:43" x14ac:dyDescent="0.3">
      <c r="B31" s="74" t="s">
        <v>21</v>
      </c>
      <c r="C31" s="75">
        <v>4374</v>
      </c>
      <c r="D31" s="76">
        <f>C6</f>
        <v>4374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13311</v>
      </c>
      <c r="D32" s="76">
        <f>C10+C11+C12+C13</f>
        <v>13311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14930</v>
      </c>
      <c r="D34" s="76">
        <f>C21+C22+C23</f>
        <v>14453</v>
      </c>
      <c r="E34" s="77">
        <f t="shared" si="1"/>
        <v>-477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4341</v>
      </c>
      <c r="D35" s="80">
        <f>SUM(C8+C9)</f>
        <v>4341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2440</v>
      </c>
      <c r="R36" s="104">
        <v>0</v>
      </c>
      <c r="S36" s="104">
        <f t="shared" ref="S36:S65" si="2">IF(T36&gt;0,(T36-R36)/2,"")</f>
        <v>82</v>
      </c>
      <c r="T36" s="104">
        <v>164</v>
      </c>
      <c r="U36" s="104">
        <f t="shared" ref="U36:U65" si="3">IF(V36&gt;0,(V36-T36)/2,"")</f>
        <v>0</v>
      </c>
      <c r="V36" s="104">
        <v>164</v>
      </c>
      <c r="W36" s="104">
        <f t="shared" ref="W36:W65" si="4">IF(X36&gt;0,(X36-V36)/2,"")</f>
        <v>13</v>
      </c>
      <c r="X36" s="104">
        <v>190</v>
      </c>
      <c r="Y36" s="104">
        <f t="shared" ref="Y36:Y65" si="5">IF(Z36&gt;0,(Z36-X36)/2,"")</f>
        <v>0</v>
      </c>
      <c r="Z36" s="104">
        <v>190</v>
      </c>
      <c r="AA36" s="104">
        <f t="shared" ref="AA36:AA65" si="6">IF(AB36&gt;0,(AB36-Z36)/2,"")</f>
        <v>0</v>
      </c>
      <c r="AB36" s="104">
        <v>190</v>
      </c>
      <c r="AC36" s="104">
        <f t="shared" ref="AC36:AC65" si="7">IF(AD36&gt;0,(AD36-AB36)/2,"")</f>
        <v>0</v>
      </c>
      <c r="AD36" s="104">
        <v>190</v>
      </c>
      <c r="AE36" s="105">
        <f t="shared" ref="AE36:AE65" si="8">AD36-Q36</f>
        <v>-2250</v>
      </c>
    </row>
    <row r="37" spans="2:31" ht="15.6" customHeight="1" x14ac:dyDescent="0.3">
      <c r="N37" s="212"/>
      <c r="O37" s="95" t="s">
        <v>66</v>
      </c>
      <c r="P37" s="106"/>
      <c r="Q37" s="106">
        <v>1304</v>
      </c>
      <c r="R37" s="106">
        <v>0</v>
      </c>
      <c r="S37" s="106">
        <f t="shared" si="2"/>
        <v>97.5</v>
      </c>
      <c r="T37" s="106">
        <v>195</v>
      </c>
      <c r="U37" s="106">
        <f t="shared" si="3"/>
        <v>27.5</v>
      </c>
      <c r="V37" s="106">
        <v>250</v>
      </c>
      <c r="W37" s="106">
        <f t="shared" si="4"/>
        <v>21.5</v>
      </c>
      <c r="X37" s="106">
        <v>293</v>
      </c>
      <c r="Y37" s="106">
        <f t="shared" si="5"/>
        <v>0</v>
      </c>
      <c r="Z37" s="106">
        <v>293</v>
      </c>
      <c r="AA37" s="106">
        <f t="shared" si="6"/>
        <v>0</v>
      </c>
      <c r="AB37" s="106">
        <v>293</v>
      </c>
      <c r="AC37" s="106">
        <f t="shared" si="7"/>
        <v>0</v>
      </c>
      <c r="AD37" s="106">
        <v>293</v>
      </c>
      <c r="AE37" s="107">
        <f t="shared" si="8"/>
        <v>-1011</v>
      </c>
    </row>
    <row r="38" spans="2:31" ht="15.6" customHeight="1" x14ac:dyDescent="0.3">
      <c r="N38" s="212"/>
      <c r="O38" s="94" t="s">
        <v>67</v>
      </c>
      <c r="P38" s="108"/>
      <c r="Q38" s="108">
        <v>2413</v>
      </c>
      <c r="R38" s="108">
        <v>0</v>
      </c>
      <c r="S38" s="108">
        <f t="shared" si="2"/>
        <v>232</v>
      </c>
      <c r="T38" s="108">
        <v>464</v>
      </c>
      <c r="U38" s="108">
        <f t="shared" si="3"/>
        <v>115</v>
      </c>
      <c r="V38" s="108">
        <v>694</v>
      </c>
      <c r="W38" s="108">
        <f t="shared" si="4"/>
        <v>0</v>
      </c>
      <c r="X38" s="108">
        <v>694</v>
      </c>
      <c r="Y38" s="108">
        <f t="shared" si="5"/>
        <v>0</v>
      </c>
      <c r="Z38" s="108">
        <v>694</v>
      </c>
      <c r="AA38" s="108">
        <f t="shared" si="6"/>
        <v>0</v>
      </c>
      <c r="AB38" s="108">
        <v>694</v>
      </c>
      <c r="AC38" s="108">
        <f t="shared" si="7"/>
        <v>0</v>
      </c>
      <c r="AD38" s="108">
        <v>694</v>
      </c>
      <c r="AE38" s="109">
        <f t="shared" si="8"/>
        <v>-1719</v>
      </c>
    </row>
    <row r="39" spans="2:31" ht="15.6" customHeight="1" x14ac:dyDescent="0.3">
      <c r="N39" s="212"/>
      <c r="O39" s="95" t="s">
        <v>68</v>
      </c>
      <c r="P39" s="106"/>
      <c r="Q39" s="106">
        <v>3562</v>
      </c>
      <c r="R39" s="106">
        <v>0</v>
      </c>
      <c r="S39" s="106">
        <f t="shared" si="2"/>
        <v>363.5</v>
      </c>
      <c r="T39" s="106">
        <v>727</v>
      </c>
      <c r="U39" s="106">
        <f t="shared" si="3"/>
        <v>913</v>
      </c>
      <c r="V39" s="106">
        <v>2553</v>
      </c>
      <c r="W39" s="106">
        <f t="shared" si="4"/>
        <v>210.5</v>
      </c>
      <c r="X39" s="106">
        <v>2974</v>
      </c>
      <c r="Y39" s="106">
        <f t="shared" si="5"/>
        <v>0</v>
      </c>
      <c r="Z39" s="106">
        <v>2974</v>
      </c>
      <c r="AA39" s="106">
        <f t="shared" si="6"/>
        <v>0</v>
      </c>
      <c r="AB39" s="106">
        <v>2974</v>
      </c>
      <c r="AC39" s="106">
        <f t="shared" si="7"/>
        <v>0</v>
      </c>
      <c r="AD39" s="106">
        <v>2974</v>
      </c>
      <c r="AE39" s="107">
        <f t="shared" si="8"/>
        <v>-588</v>
      </c>
    </row>
    <row r="40" spans="2:31" ht="15.6" customHeight="1" x14ac:dyDescent="0.3">
      <c r="N40" s="212"/>
      <c r="O40" s="94" t="s">
        <v>69</v>
      </c>
      <c r="P40" s="108"/>
      <c r="Q40" s="108">
        <v>2549</v>
      </c>
      <c r="R40" s="108">
        <v>0</v>
      </c>
      <c r="S40" s="108">
        <f t="shared" si="2"/>
        <v>383.5</v>
      </c>
      <c r="T40" s="108">
        <v>767</v>
      </c>
      <c r="U40" s="108">
        <f t="shared" si="3"/>
        <v>340</v>
      </c>
      <c r="V40" s="108">
        <v>1447</v>
      </c>
      <c r="W40" s="108">
        <f t="shared" si="4"/>
        <v>238.5</v>
      </c>
      <c r="X40" s="108">
        <v>1924</v>
      </c>
      <c r="Y40" s="108">
        <f t="shared" si="5"/>
        <v>313.5</v>
      </c>
      <c r="Z40" s="108">
        <v>2551</v>
      </c>
      <c r="AA40" s="108">
        <f t="shared" si="6"/>
        <v>-194</v>
      </c>
      <c r="AB40" s="108">
        <v>2163</v>
      </c>
      <c r="AC40" s="108">
        <f t="shared" si="7"/>
        <v>194</v>
      </c>
      <c r="AD40" s="108">
        <v>2551</v>
      </c>
      <c r="AE40" s="109">
        <f t="shared" si="8"/>
        <v>2</v>
      </c>
    </row>
    <row r="41" spans="2:31" ht="15.6" customHeight="1" x14ac:dyDescent="0.3">
      <c r="N41" s="212"/>
      <c r="O41" s="95" t="s">
        <v>70</v>
      </c>
      <c r="P41" s="106"/>
      <c r="Q41" s="106">
        <v>3505</v>
      </c>
      <c r="R41" s="106">
        <v>0</v>
      </c>
      <c r="S41" s="106">
        <f t="shared" si="2"/>
        <v>169.5</v>
      </c>
      <c r="T41" s="106">
        <v>339</v>
      </c>
      <c r="U41" s="106">
        <f t="shared" si="3"/>
        <v>0</v>
      </c>
      <c r="V41" s="106">
        <v>339</v>
      </c>
      <c r="W41" s="106">
        <f t="shared" si="4"/>
        <v>48.5</v>
      </c>
      <c r="X41" s="106">
        <v>436</v>
      </c>
      <c r="Y41" s="106">
        <f t="shared" si="5"/>
        <v>110.5</v>
      </c>
      <c r="Z41" s="106">
        <v>657</v>
      </c>
      <c r="AA41" s="106">
        <f t="shared" si="6"/>
        <v>0</v>
      </c>
      <c r="AB41" s="106">
        <v>657</v>
      </c>
      <c r="AC41" s="106">
        <f t="shared" si="7"/>
        <v>0</v>
      </c>
      <c r="AD41" s="106">
        <v>657</v>
      </c>
      <c r="AE41" s="107">
        <f t="shared" si="8"/>
        <v>-2848</v>
      </c>
    </row>
    <row r="42" spans="2:31" ht="15.6" customHeight="1" x14ac:dyDescent="0.3">
      <c r="N42" s="212"/>
      <c r="O42" s="94" t="s">
        <v>71</v>
      </c>
      <c r="P42" s="108"/>
      <c r="Q42" s="108">
        <v>1172</v>
      </c>
      <c r="R42" s="108">
        <v>0</v>
      </c>
      <c r="S42" s="108">
        <f t="shared" si="2"/>
        <v>272.5</v>
      </c>
      <c r="T42" s="108">
        <v>545</v>
      </c>
      <c r="U42" s="108">
        <f t="shared" si="3"/>
        <v>76.5</v>
      </c>
      <c r="V42" s="108">
        <v>698</v>
      </c>
      <c r="W42" s="108">
        <f t="shared" si="4"/>
        <v>0</v>
      </c>
      <c r="X42" s="108">
        <v>698</v>
      </c>
      <c r="Y42" s="108">
        <f t="shared" si="5"/>
        <v>0</v>
      </c>
      <c r="Z42" s="108">
        <v>698</v>
      </c>
      <c r="AA42" s="108">
        <f t="shared" si="6"/>
        <v>0</v>
      </c>
      <c r="AB42" s="108">
        <v>698</v>
      </c>
      <c r="AC42" s="108">
        <f t="shared" si="7"/>
        <v>0</v>
      </c>
      <c r="AD42" s="108">
        <v>698</v>
      </c>
      <c r="AE42" s="109">
        <f t="shared" si="8"/>
        <v>-474</v>
      </c>
    </row>
    <row r="43" spans="2:31" ht="15.6" customHeight="1" x14ac:dyDescent="0.3">
      <c r="N43" s="212"/>
      <c r="O43" s="95" t="s">
        <v>72</v>
      </c>
      <c r="P43" s="106"/>
      <c r="Q43" s="106">
        <v>1690</v>
      </c>
      <c r="R43" s="106">
        <v>0</v>
      </c>
      <c r="S43" s="106" t="str">
        <f t="shared" si="2"/>
        <v/>
      </c>
      <c r="T43" s="106">
        <v>0</v>
      </c>
      <c r="U43" s="106" t="str">
        <f t="shared" si="3"/>
        <v/>
      </c>
      <c r="V43" s="106">
        <v>0</v>
      </c>
      <c r="W43" s="106">
        <f t="shared" si="4"/>
        <v>504</v>
      </c>
      <c r="X43" s="106">
        <v>1008</v>
      </c>
      <c r="Y43" s="106">
        <f t="shared" si="5"/>
        <v>327.5</v>
      </c>
      <c r="Z43" s="106">
        <v>1663</v>
      </c>
      <c r="AA43" s="106">
        <f t="shared" si="6"/>
        <v>0</v>
      </c>
      <c r="AB43" s="106">
        <v>1663</v>
      </c>
      <c r="AC43" s="106">
        <f t="shared" si="7"/>
        <v>0</v>
      </c>
      <c r="AD43" s="106">
        <v>1663</v>
      </c>
      <c r="AE43" s="107">
        <f t="shared" si="8"/>
        <v>-27</v>
      </c>
    </row>
    <row r="44" spans="2:31" ht="15.6" customHeight="1" thickBot="1" x14ac:dyDescent="0.35">
      <c r="N44" s="213"/>
      <c r="O44" s="97" t="s">
        <v>73</v>
      </c>
      <c r="P44" s="110"/>
      <c r="Q44" s="110">
        <v>1591</v>
      </c>
      <c r="R44" s="110">
        <v>0</v>
      </c>
      <c r="S44" s="110">
        <f t="shared" si="2"/>
        <v>217</v>
      </c>
      <c r="T44" s="110">
        <v>434</v>
      </c>
      <c r="U44" s="110">
        <f t="shared" si="3"/>
        <v>0</v>
      </c>
      <c r="V44" s="110">
        <v>434</v>
      </c>
      <c r="W44" s="110">
        <f t="shared" si="4"/>
        <v>539.5</v>
      </c>
      <c r="X44" s="110">
        <v>1513</v>
      </c>
      <c r="Y44" s="110">
        <f t="shared" si="5"/>
        <v>30.5</v>
      </c>
      <c r="Z44" s="110">
        <v>1574</v>
      </c>
      <c r="AA44" s="110">
        <f t="shared" si="6"/>
        <v>0</v>
      </c>
      <c r="AB44" s="110">
        <v>1574</v>
      </c>
      <c r="AC44" s="110">
        <f t="shared" si="7"/>
        <v>0</v>
      </c>
      <c r="AD44" s="110">
        <v>1574</v>
      </c>
      <c r="AE44" s="111">
        <f t="shared" si="8"/>
        <v>-17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4672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435</v>
      </c>
      <c r="V45" s="112">
        <v>1870</v>
      </c>
      <c r="W45" s="112">
        <f t="shared" si="4"/>
        <v>1401</v>
      </c>
      <c r="X45" s="112">
        <v>4672</v>
      </c>
      <c r="Y45" s="112">
        <f t="shared" si="5"/>
        <v>0</v>
      </c>
      <c r="Z45" s="112">
        <v>4672</v>
      </c>
      <c r="AA45" s="112">
        <f t="shared" si="6"/>
        <v>0</v>
      </c>
      <c r="AB45" s="112">
        <v>4672</v>
      </c>
      <c r="AC45" s="112">
        <f t="shared" si="7"/>
        <v>0</v>
      </c>
      <c r="AD45" s="112">
        <v>4672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3699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1849.5</v>
      </c>
      <c r="X46" s="108">
        <v>3699</v>
      </c>
      <c r="Y46" s="108">
        <f t="shared" si="5"/>
        <v>0</v>
      </c>
      <c r="Z46" s="108">
        <v>3699</v>
      </c>
      <c r="AA46" s="108">
        <f t="shared" si="6"/>
        <v>0</v>
      </c>
      <c r="AB46" s="108">
        <v>3699</v>
      </c>
      <c r="AC46" s="108">
        <f t="shared" si="7"/>
        <v>0</v>
      </c>
      <c r="AD46" s="108">
        <v>3699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2447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579.5</v>
      </c>
      <c r="X47" s="106">
        <v>1159</v>
      </c>
      <c r="Y47" s="106">
        <f t="shared" si="5"/>
        <v>397</v>
      </c>
      <c r="Z47" s="106">
        <v>1953</v>
      </c>
      <c r="AA47" s="106">
        <f t="shared" si="6"/>
        <v>0</v>
      </c>
      <c r="AB47" s="106">
        <v>1953</v>
      </c>
      <c r="AC47" s="106">
        <f t="shared" si="7"/>
        <v>0</v>
      </c>
      <c r="AD47" s="106">
        <v>1953</v>
      </c>
      <c r="AE47" s="107">
        <f t="shared" si="8"/>
        <v>-494</v>
      </c>
    </row>
    <row r="48" spans="2:31" ht="15.6" customHeight="1" thickBot="1" x14ac:dyDescent="0.35">
      <c r="N48" s="213"/>
      <c r="O48" s="97" t="s">
        <v>68</v>
      </c>
      <c r="P48" s="110"/>
      <c r="Q48" s="110">
        <v>4129</v>
      </c>
      <c r="R48" s="110">
        <v>948</v>
      </c>
      <c r="S48" s="110">
        <f t="shared" si="2"/>
        <v>0</v>
      </c>
      <c r="T48" s="110">
        <v>948</v>
      </c>
      <c r="U48" s="110">
        <f t="shared" si="3"/>
        <v>0</v>
      </c>
      <c r="V48" s="110">
        <v>948</v>
      </c>
      <c r="W48" s="110">
        <f t="shared" si="4"/>
        <v>1599</v>
      </c>
      <c r="X48" s="110">
        <v>4146</v>
      </c>
      <c r="Y48" s="110">
        <f t="shared" si="5"/>
        <v>0</v>
      </c>
      <c r="Z48" s="110">
        <v>4146</v>
      </c>
      <c r="AA48" s="110">
        <f t="shared" si="6"/>
        <v>0</v>
      </c>
      <c r="AB48" s="110">
        <v>4146</v>
      </c>
      <c r="AC48" s="110">
        <f t="shared" si="7"/>
        <v>0</v>
      </c>
      <c r="AD48" s="110">
        <v>4146</v>
      </c>
      <c r="AE48" s="111">
        <f t="shared" si="8"/>
        <v>17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264</v>
      </c>
      <c r="R49" s="112">
        <v>0</v>
      </c>
      <c r="S49" s="112" t="str">
        <f t="shared" si="2"/>
        <v/>
      </c>
      <c r="T49" s="112">
        <v>0</v>
      </c>
      <c r="U49" s="112">
        <f t="shared" si="3"/>
        <v>25</v>
      </c>
      <c r="V49" s="112">
        <v>50</v>
      </c>
      <c r="W49" s="112">
        <f t="shared" si="4"/>
        <v>84</v>
      </c>
      <c r="X49" s="112">
        <v>218</v>
      </c>
      <c r="Y49" s="112">
        <f t="shared" si="5"/>
        <v>9</v>
      </c>
      <c r="Z49" s="112">
        <v>236</v>
      </c>
      <c r="AA49" s="112">
        <f t="shared" si="6"/>
        <v>0</v>
      </c>
      <c r="AB49" s="112">
        <v>236</v>
      </c>
      <c r="AC49" s="112">
        <f t="shared" si="7"/>
        <v>0</v>
      </c>
      <c r="AD49" s="112">
        <v>236</v>
      </c>
      <c r="AE49" s="113">
        <f t="shared" si="8"/>
        <v>-28</v>
      </c>
    </row>
    <row r="50" spans="14:31" ht="15.6" customHeight="1" x14ac:dyDescent="0.3">
      <c r="N50" s="212"/>
      <c r="O50" s="94" t="s">
        <v>66</v>
      </c>
      <c r="P50" s="108"/>
      <c r="Q50" s="108">
        <v>354</v>
      </c>
      <c r="R50" s="108">
        <v>0</v>
      </c>
      <c r="S50" s="108" t="str">
        <f t="shared" si="2"/>
        <v/>
      </c>
      <c r="T50" s="108">
        <v>0</v>
      </c>
      <c r="U50" s="108">
        <f t="shared" si="3"/>
        <v>153</v>
      </c>
      <c r="V50" s="108">
        <v>306</v>
      </c>
      <c r="W50" s="108">
        <f t="shared" si="4"/>
        <v>0</v>
      </c>
      <c r="X50" s="108">
        <v>306</v>
      </c>
      <c r="Y50" s="108">
        <f t="shared" si="5"/>
        <v>0</v>
      </c>
      <c r="Z50" s="108">
        <v>306</v>
      </c>
      <c r="AA50" s="108">
        <f t="shared" si="6"/>
        <v>6</v>
      </c>
      <c r="AB50" s="108">
        <v>318</v>
      </c>
      <c r="AC50" s="108">
        <f t="shared" si="7"/>
        <v>0</v>
      </c>
      <c r="AD50" s="108">
        <v>318</v>
      </c>
      <c r="AE50" s="109">
        <f t="shared" si="8"/>
        <v>-36</v>
      </c>
    </row>
    <row r="51" spans="14:31" ht="15.6" customHeight="1" x14ac:dyDescent="0.3">
      <c r="N51" s="212"/>
      <c r="O51" s="95" t="s">
        <v>67</v>
      </c>
      <c r="P51" s="106"/>
      <c r="Q51" s="106">
        <v>1878</v>
      </c>
      <c r="R51" s="106">
        <v>435</v>
      </c>
      <c r="S51" s="106">
        <f t="shared" si="2"/>
        <v>247</v>
      </c>
      <c r="T51" s="106">
        <v>929</v>
      </c>
      <c r="U51" s="106">
        <f t="shared" si="3"/>
        <v>38</v>
      </c>
      <c r="V51" s="106">
        <v>1005</v>
      </c>
      <c r="W51" s="106">
        <f t="shared" si="4"/>
        <v>258</v>
      </c>
      <c r="X51" s="106">
        <v>1521</v>
      </c>
      <c r="Y51" s="106">
        <f t="shared" si="5"/>
        <v>38.5</v>
      </c>
      <c r="Z51" s="106">
        <v>1598</v>
      </c>
      <c r="AA51" s="106">
        <f t="shared" si="6"/>
        <v>0</v>
      </c>
      <c r="AB51" s="106">
        <v>1598</v>
      </c>
      <c r="AC51" s="106">
        <f t="shared" si="7"/>
        <v>0</v>
      </c>
      <c r="AD51" s="106">
        <v>1598</v>
      </c>
      <c r="AE51" s="107">
        <f t="shared" si="8"/>
        <v>-280</v>
      </c>
    </row>
    <row r="52" spans="14:31" ht="15.6" customHeight="1" x14ac:dyDescent="0.3">
      <c r="N52" s="212"/>
      <c r="O52" s="94" t="s">
        <v>68</v>
      </c>
      <c r="P52" s="108"/>
      <c r="Q52" s="108">
        <v>3623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356.5</v>
      </c>
      <c r="X52" s="108">
        <v>713</v>
      </c>
      <c r="Y52" s="108">
        <f t="shared" si="5"/>
        <v>28.5</v>
      </c>
      <c r="Z52" s="108">
        <v>770</v>
      </c>
      <c r="AA52" s="108">
        <f t="shared" si="6"/>
        <v>96.5</v>
      </c>
      <c r="AB52" s="108">
        <v>963</v>
      </c>
      <c r="AC52" s="108">
        <f t="shared" si="7"/>
        <v>0</v>
      </c>
      <c r="AD52" s="108">
        <v>963</v>
      </c>
      <c r="AE52" s="109">
        <f t="shared" si="8"/>
        <v>-2660</v>
      </c>
    </row>
    <row r="53" spans="14:31" ht="15.6" customHeight="1" x14ac:dyDescent="0.3">
      <c r="N53" s="212"/>
      <c r="O53" s="95" t="s">
        <v>69</v>
      </c>
      <c r="P53" s="106"/>
      <c r="Q53" s="106">
        <v>2643.855018587361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639.5</v>
      </c>
      <c r="V53" s="106">
        <v>1279</v>
      </c>
      <c r="W53" s="106">
        <f t="shared" si="4"/>
        <v>136</v>
      </c>
      <c r="X53" s="106">
        <v>1551</v>
      </c>
      <c r="Y53" s="106">
        <f t="shared" si="5"/>
        <v>163.5</v>
      </c>
      <c r="Z53" s="106">
        <v>1878</v>
      </c>
      <c r="AA53" s="106">
        <f t="shared" si="6"/>
        <v>3</v>
      </c>
      <c r="AB53" s="106">
        <v>1884</v>
      </c>
      <c r="AC53" s="106">
        <f t="shared" si="7"/>
        <v>0</v>
      </c>
      <c r="AD53" s="106">
        <v>1884</v>
      </c>
      <c r="AE53" s="107">
        <f t="shared" si="8"/>
        <v>-759.85501858736097</v>
      </c>
    </row>
    <row r="54" spans="14:31" ht="15.6" customHeight="1" x14ac:dyDescent="0.3">
      <c r="N54" s="212"/>
      <c r="O54" s="94" t="s">
        <v>70</v>
      </c>
      <c r="P54" s="108"/>
      <c r="Q54" s="108">
        <v>1709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214</v>
      </c>
      <c r="Z54" s="108">
        <v>428</v>
      </c>
      <c r="AA54" s="108">
        <f t="shared" si="6"/>
        <v>0</v>
      </c>
      <c r="AB54" s="108">
        <v>428</v>
      </c>
      <c r="AC54" s="108">
        <f t="shared" si="7"/>
        <v>0</v>
      </c>
      <c r="AD54" s="108">
        <v>428</v>
      </c>
      <c r="AE54" s="109">
        <f t="shared" si="8"/>
        <v>-1281</v>
      </c>
    </row>
    <row r="55" spans="14:31" ht="15.6" customHeight="1" x14ac:dyDescent="0.3">
      <c r="N55" s="212"/>
      <c r="O55" s="95" t="s">
        <v>71</v>
      </c>
      <c r="P55" s="106"/>
      <c r="Q55" s="106">
        <v>944</v>
      </c>
      <c r="R55" s="106">
        <v>629</v>
      </c>
      <c r="S55" s="106">
        <f t="shared" si="2"/>
        <v>149.5</v>
      </c>
      <c r="T55" s="106">
        <v>928</v>
      </c>
      <c r="U55" s="106">
        <f t="shared" si="3"/>
        <v>13</v>
      </c>
      <c r="V55" s="106">
        <v>954</v>
      </c>
      <c r="W55" s="106">
        <f t="shared" si="4"/>
        <v>54</v>
      </c>
      <c r="X55" s="106">
        <v>1062</v>
      </c>
      <c r="Y55" s="106">
        <f t="shared" si="5"/>
        <v>2.5</v>
      </c>
      <c r="Z55" s="106">
        <v>1067</v>
      </c>
      <c r="AA55" s="106">
        <f t="shared" si="6"/>
        <v>0.5</v>
      </c>
      <c r="AB55" s="106">
        <v>1068</v>
      </c>
      <c r="AC55" s="106">
        <f t="shared" si="7"/>
        <v>0</v>
      </c>
      <c r="AD55" s="106">
        <v>1068</v>
      </c>
      <c r="AE55" s="107">
        <f t="shared" si="8"/>
        <v>124</v>
      </c>
    </row>
    <row r="56" spans="14:31" ht="15.6" customHeight="1" x14ac:dyDescent="0.3">
      <c r="N56" s="212"/>
      <c r="O56" s="94" t="s">
        <v>72</v>
      </c>
      <c r="P56" s="108"/>
      <c r="Q56" s="108">
        <v>442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13</v>
      </c>
      <c r="V56" s="108">
        <v>26</v>
      </c>
      <c r="W56" s="108">
        <f t="shared" si="4"/>
        <v>166</v>
      </c>
      <c r="X56" s="108">
        <v>358</v>
      </c>
      <c r="Y56" s="108">
        <f t="shared" si="5"/>
        <v>42</v>
      </c>
      <c r="Z56" s="108">
        <v>442</v>
      </c>
      <c r="AA56" s="108">
        <f t="shared" si="6"/>
        <v>0</v>
      </c>
      <c r="AB56" s="108">
        <v>442</v>
      </c>
      <c r="AC56" s="108">
        <f t="shared" si="7"/>
        <v>0</v>
      </c>
      <c r="AD56" s="108">
        <v>442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221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>
        <f t="shared" si="4"/>
        <v>89</v>
      </c>
      <c r="X57" s="114">
        <v>178</v>
      </c>
      <c r="Y57" s="114">
        <f t="shared" si="5"/>
        <v>0</v>
      </c>
      <c r="Z57" s="114">
        <v>178</v>
      </c>
      <c r="AA57" s="114">
        <f t="shared" si="6"/>
        <v>0</v>
      </c>
      <c r="AB57" s="114">
        <v>178</v>
      </c>
      <c r="AC57" s="114">
        <f t="shared" si="7"/>
        <v>0</v>
      </c>
      <c r="AD57" s="114">
        <v>178</v>
      </c>
      <c r="AE57" s="115">
        <f t="shared" si="8"/>
        <v>-43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5428</v>
      </c>
      <c r="R58" s="104">
        <v>448</v>
      </c>
      <c r="S58" s="104">
        <f t="shared" si="2"/>
        <v>126</v>
      </c>
      <c r="T58" s="104">
        <v>700</v>
      </c>
      <c r="U58" s="104">
        <f t="shared" si="3"/>
        <v>440</v>
      </c>
      <c r="V58" s="104">
        <v>1580</v>
      </c>
      <c r="W58" s="104">
        <f t="shared" si="4"/>
        <v>1019.5</v>
      </c>
      <c r="X58" s="104">
        <v>3619</v>
      </c>
      <c r="Y58" s="104">
        <f t="shared" si="5"/>
        <v>118.5</v>
      </c>
      <c r="Z58" s="104">
        <v>3856</v>
      </c>
      <c r="AA58" s="104">
        <f t="shared" si="6"/>
        <v>0</v>
      </c>
      <c r="AB58" s="104">
        <v>3856</v>
      </c>
      <c r="AC58" s="104">
        <f t="shared" si="7"/>
        <v>0</v>
      </c>
      <c r="AD58" s="104">
        <v>3856</v>
      </c>
      <c r="AE58" s="105">
        <f t="shared" si="8"/>
        <v>-1572</v>
      </c>
    </row>
    <row r="59" spans="14:31" ht="15.6" customHeight="1" x14ac:dyDescent="0.3">
      <c r="N59" s="212"/>
      <c r="O59" s="95" t="s">
        <v>66</v>
      </c>
      <c r="P59" s="106"/>
      <c r="Q59" s="106">
        <v>4650</v>
      </c>
      <c r="R59" s="106">
        <v>508</v>
      </c>
      <c r="S59" s="106">
        <f t="shared" si="2"/>
        <v>773.5</v>
      </c>
      <c r="T59" s="106">
        <v>2055</v>
      </c>
      <c r="U59" s="106">
        <f t="shared" si="3"/>
        <v>329</v>
      </c>
      <c r="V59" s="106">
        <v>2713</v>
      </c>
      <c r="W59" s="106">
        <f t="shared" si="4"/>
        <v>405.5</v>
      </c>
      <c r="X59" s="106">
        <v>3524</v>
      </c>
      <c r="Y59" s="106">
        <f t="shared" si="5"/>
        <v>29.5</v>
      </c>
      <c r="Z59" s="106">
        <v>3583</v>
      </c>
      <c r="AA59" s="106">
        <f t="shared" si="6"/>
        <v>523</v>
      </c>
      <c r="AB59" s="106">
        <v>4629</v>
      </c>
      <c r="AC59" s="106">
        <f t="shared" si="7"/>
        <v>0</v>
      </c>
      <c r="AD59" s="106">
        <v>4629</v>
      </c>
      <c r="AE59" s="107">
        <f t="shared" si="8"/>
        <v>-21</v>
      </c>
    </row>
    <row r="60" spans="14:31" ht="15.6" customHeight="1" x14ac:dyDescent="0.3">
      <c r="N60" s="212"/>
      <c r="O60" s="94" t="s">
        <v>67</v>
      </c>
      <c r="P60" s="108"/>
      <c r="Q60" s="108">
        <v>5384.0576323987534</v>
      </c>
      <c r="R60" s="108">
        <v>368</v>
      </c>
      <c r="S60" s="108">
        <f t="shared" si="2"/>
        <v>192</v>
      </c>
      <c r="T60" s="108">
        <v>752</v>
      </c>
      <c r="U60" s="108">
        <f t="shared" si="3"/>
        <v>201.5</v>
      </c>
      <c r="V60" s="108">
        <v>1155</v>
      </c>
      <c r="W60" s="108">
        <f t="shared" si="4"/>
        <v>35.5</v>
      </c>
      <c r="X60" s="108">
        <v>1226</v>
      </c>
      <c r="Y60" s="108">
        <f t="shared" si="5"/>
        <v>417.5</v>
      </c>
      <c r="Z60" s="108">
        <v>2061</v>
      </c>
      <c r="AA60" s="108">
        <f t="shared" si="6"/>
        <v>0</v>
      </c>
      <c r="AB60" s="108">
        <v>2061</v>
      </c>
      <c r="AC60" s="108">
        <f t="shared" si="7"/>
        <v>0</v>
      </c>
      <c r="AD60" s="108">
        <v>2061</v>
      </c>
      <c r="AE60" s="109">
        <f t="shared" si="8"/>
        <v>-3323.0576323987534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5879.8056358381509</v>
      </c>
      <c r="R62" s="104">
        <v>1029</v>
      </c>
      <c r="S62" s="104">
        <f t="shared" si="2"/>
        <v>318</v>
      </c>
      <c r="T62" s="104">
        <v>1665</v>
      </c>
      <c r="U62" s="104">
        <f t="shared" si="3"/>
        <v>129.5</v>
      </c>
      <c r="V62" s="104">
        <v>1924</v>
      </c>
      <c r="W62" s="104">
        <f t="shared" si="4"/>
        <v>94.5</v>
      </c>
      <c r="X62" s="104">
        <v>2113</v>
      </c>
      <c r="Y62" s="104">
        <f t="shared" si="5"/>
        <v>0</v>
      </c>
      <c r="Z62" s="104">
        <v>2113</v>
      </c>
      <c r="AA62" s="104">
        <f t="shared" si="6"/>
        <v>0</v>
      </c>
      <c r="AB62" s="104">
        <v>2113</v>
      </c>
      <c r="AC62" s="104">
        <f t="shared" si="7"/>
        <v>0</v>
      </c>
      <c r="AD62" s="104">
        <v>2113</v>
      </c>
      <c r="AE62" s="105">
        <f t="shared" si="8"/>
        <v>-3766.8056358381509</v>
      </c>
    </row>
    <row r="63" spans="14:31" ht="15.6" customHeight="1" x14ac:dyDescent="0.3">
      <c r="N63" s="212"/>
      <c r="O63" s="95" t="s">
        <v>66</v>
      </c>
      <c r="P63" s="106"/>
      <c r="Q63" s="106">
        <v>4897</v>
      </c>
      <c r="R63" s="106">
        <v>2596</v>
      </c>
      <c r="S63" s="106">
        <f t="shared" si="2"/>
        <v>644</v>
      </c>
      <c r="T63" s="106">
        <v>3884</v>
      </c>
      <c r="U63" s="106">
        <f t="shared" si="3"/>
        <v>365</v>
      </c>
      <c r="V63" s="106">
        <v>4614</v>
      </c>
      <c r="W63" s="106">
        <f t="shared" si="4"/>
        <v>18</v>
      </c>
      <c r="X63" s="106">
        <v>4650</v>
      </c>
      <c r="Y63" s="106">
        <f t="shared" si="5"/>
        <v>72</v>
      </c>
      <c r="Z63" s="106">
        <v>4794</v>
      </c>
      <c r="AA63" s="106">
        <f t="shared" si="6"/>
        <v>0</v>
      </c>
      <c r="AB63" s="106">
        <v>4794</v>
      </c>
      <c r="AC63" s="106">
        <f t="shared" si="7"/>
        <v>0</v>
      </c>
      <c r="AD63" s="106">
        <v>4794</v>
      </c>
      <c r="AE63" s="107">
        <f t="shared" si="8"/>
        <v>-103</v>
      </c>
    </row>
    <row r="64" spans="14:31" ht="15.6" customHeight="1" x14ac:dyDescent="0.3">
      <c r="N64" s="212"/>
      <c r="O64" s="94" t="s">
        <v>67</v>
      </c>
      <c r="P64" s="108"/>
      <c r="Q64" s="108">
        <v>6051.891304347826</v>
      </c>
      <c r="R64" s="108">
        <v>1159</v>
      </c>
      <c r="S64" s="108">
        <f t="shared" si="2"/>
        <v>555</v>
      </c>
      <c r="T64" s="108">
        <v>2269</v>
      </c>
      <c r="U64" s="108">
        <f t="shared" si="3"/>
        <v>215.5</v>
      </c>
      <c r="V64" s="108">
        <v>2700</v>
      </c>
      <c r="W64" s="108">
        <f t="shared" si="4"/>
        <v>746.5</v>
      </c>
      <c r="X64" s="108">
        <v>4193</v>
      </c>
      <c r="Y64" s="108">
        <f t="shared" si="5"/>
        <v>61.5</v>
      </c>
      <c r="Z64" s="108">
        <v>4316</v>
      </c>
      <c r="AA64" s="108">
        <f t="shared" si="6"/>
        <v>0</v>
      </c>
      <c r="AB64" s="108">
        <v>4316</v>
      </c>
      <c r="AC64" s="108">
        <f t="shared" si="7"/>
        <v>0</v>
      </c>
      <c r="AD64" s="108">
        <v>4316</v>
      </c>
      <c r="AE64" s="109">
        <f t="shared" si="8"/>
        <v>-1735.891304347826</v>
      </c>
    </row>
    <row r="65" spans="14:31" ht="15.6" customHeight="1" thickBot="1" x14ac:dyDescent="0.35">
      <c r="N65" s="213"/>
      <c r="O65" s="99" t="s">
        <v>68</v>
      </c>
      <c r="P65" s="114"/>
      <c r="Q65" s="114">
        <v>1947</v>
      </c>
      <c r="R65" s="114">
        <v>426</v>
      </c>
      <c r="S65" s="114">
        <f t="shared" si="2"/>
        <v>0</v>
      </c>
      <c r="T65" s="114">
        <v>426</v>
      </c>
      <c r="U65" s="114">
        <f t="shared" si="3"/>
        <v>67.5</v>
      </c>
      <c r="V65" s="114">
        <v>561</v>
      </c>
      <c r="W65" s="114">
        <f t="shared" si="4"/>
        <v>122.5</v>
      </c>
      <c r="X65" s="114">
        <v>806</v>
      </c>
      <c r="Y65" s="114">
        <f t="shared" si="5"/>
        <v>96</v>
      </c>
      <c r="Z65" s="114">
        <v>998</v>
      </c>
      <c r="AA65" s="114">
        <f t="shared" si="6"/>
        <v>0</v>
      </c>
      <c r="AB65" s="114">
        <v>998</v>
      </c>
      <c r="AC65" s="114">
        <f t="shared" si="7"/>
        <v>0</v>
      </c>
      <c r="AD65" s="114">
        <v>998</v>
      </c>
      <c r="AE65" s="115">
        <f t="shared" si="8"/>
        <v>-949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15" priority="11" operator="lessThan">
      <formula>0</formula>
    </cfRule>
    <cfRule type="cellIs" dxfId="1714" priority="12" operator="greaterThan">
      <formula>0</formula>
    </cfRule>
  </conditionalFormatting>
  <conditionalFormatting sqref="R25:AC25">
    <cfRule type="cellIs" dxfId="1713" priority="9" operator="lessThan">
      <formula>0</formula>
    </cfRule>
    <cfRule type="cellIs" dxfId="1712" priority="10" operator="greaterThan">
      <formula>0</formula>
    </cfRule>
  </conditionalFormatting>
  <conditionalFormatting sqref="R26 T26 V26 X26 Z26 AB26">
    <cfRule type="cellIs" dxfId="1711" priority="7" operator="lessThan">
      <formula>0</formula>
    </cfRule>
    <cfRule type="cellIs" dxfId="1710" priority="8" operator="greaterThan">
      <formula>0</formula>
    </cfRule>
  </conditionalFormatting>
  <conditionalFormatting sqref="AD24:AE24">
    <cfRule type="cellIs" dxfId="1709" priority="5" operator="lessThan">
      <formula>0</formula>
    </cfRule>
    <cfRule type="cellIs" dxfId="1708" priority="6" operator="greaterThan">
      <formula>0</formula>
    </cfRule>
  </conditionalFormatting>
  <conditionalFormatting sqref="AD25:AE25">
    <cfRule type="cellIs" dxfId="1707" priority="3" operator="lessThan">
      <formula>0</formula>
    </cfRule>
    <cfRule type="cellIs" dxfId="1706" priority="4" operator="greaterThan">
      <formula>0</formula>
    </cfRule>
  </conditionalFormatting>
  <conditionalFormatting sqref="AD26">
    <cfRule type="cellIs" dxfId="1705" priority="1" operator="lessThan">
      <formula>0</formula>
    </cfRule>
    <cfRule type="cellIs" dxfId="17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1"/>
    <pageSetUpPr fitToPage="1"/>
  </sheetPr>
  <dimension ref="B1:AQ65"/>
  <sheetViews>
    <sheetView topLeftCell="I1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44376</v>
      </c>
    </row>
    <row r="3" spans="2:42" ht="18.75" customHeight="1" thickBot="1" x14ac:dyDescent="0.35">
      <c r="B3" t="s">
        <v>1</v>
      </c>
      <c r="C3" s="3">
        <f>C2+1</f>
        <v>44377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4176</v>
      </c>
      <c r="E6" s="18" t="s">
        <v>22</v>
      </c>
      <c r="F6" s="119">
        <v>18578.20289855072</v>
      </c>
      <c r="G6" s="117">
        <v>15849.258786231891</v>
      </c>
      <c r="H6" s="117">
        <v>10226.53197245362</v>
      </c>
      <c r="I6" s="19">
        <f>G6+H6</f>
        <v>26075.790758685511</v>
      </c>
      <c r="J6" s="119">
        <v>19472</v>
      </c>
      <c r="K6" s="117">
        <v>16841.335500000001</v>
      </c>
      <c r="L6" s="117">
        <v>10385.3843244</v>
      </c>
      <c r="M6" s="19">
        <f>K6+L6</f>
        <v>27226.719824400003</v>
      </c>
      <c r="N6" s="85">
        <v>59</v>
      </c>
      <c r="O6" s="85">
        <v>50</v>
      </c>
      <c r="P6" s="92"/>
      <c r="Q6" s="20">
        <f>J6-P6</f>
        <v>19472</v>
      </c>
      <c r="R6" s="21">
        <v>3205</v>
      </c>
      <c r="S6" s="20">
        <f>IF(R6&gt;0,(R6-R7-$Q6),"")</f>
        <v>-16270</v>
      </c>
      <c r="T6" s="21">
        <v>7416</v>
      </c>
      <c r="U6" s="20">
        <f>IF(T6&gt;0,(T6-T7-$Q6),"")</f>
        <v>-12066</v>
      </c>
      <c r="V6" s="21">
        <v>11043</v>
      </c>
      <c r="W6" s="20">
        <f>IF(V6&gt;0,(V6-V7-$Q6),"")</f>
        <v>-8712</v>
      </c>
      <c r="X6" s="21">
        <v>15358</v>
      </c>
      <c r="Y6" s="20">
        <f>IF(X6&gt;0,(X6-X7-$Q6),"")</f>
        <v>-4693</v>
      </c>
      <c r="Z6" s="21">
        <v>15358</v>
      </c>
      <c r="AA6" s="20">
        <f>IF(Z6&gt;0,(Z6-Z7-$Q6),"")</f>
        <v>-4693</v>
      </c>
      <c r="AB6" s="21">
        <v>15358</v>
      </c>
      <c r="AC6" s="22">
        <f>IF(AB6&gt;0,(AB6-AB7-$Q6),"")</f>
        <v>-4693</v>
      </c>
      <c r="AD6" s="21">
        <v>15358</v>
      </c>
      <c r="AE6" s="22">
        <f>IF(AD6&gt;0,(AD6-AD7-$Q6),"")</f>
        <v>-4693</v>
      </c>
    </row>
    <row r="7" spans="2:42" x14ac:dyDescent="0.3">
      <c r="B7" s="16" t="s">
        <v>23</v>
      </c>
      <c r="C7" s="17">
        <v>2397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</v>
      </c>
      <c r="S7" s="24"/>
      <c r="T7" s="25">
        <v>10</v>
      </c>
      <c r="U7" s="24"/>
      <c r="V7" s="25">
        <v>283</v>
      </c>
      <c r="W7" s="24"/>
      <c r="X7" s="25">
        <v>579</v>
      </c>
      <c r="Y7" s="24"/>
      <c r="Z7" s="25">
        <v>579</v>
      </c>
      <c r="AA7" s="24"/>
      <c r="AB7" s="25">
        <v>579</v>
      </c>
      <c r="AC7" s="26"/>
      <c r="AD7" s="25">
        <v>579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2394</v>
      </c>
      <c r="E8" s="29" t="s">
        <v>27</v>
      </c>
      <c r="F8" s="119">
        <v>15500</v>
      </c>
      <c r="G8" s="117">
        <v>6666.5624999999991</v>
      </c>
      <c r="H8" s="117">
        <v>1517.8818306000001</v>
      </c>
      <c r="I8" s="19">
        <f>G8+H8</f>
        <v>8184.4443305999994</v>
      </c>
      <c r="J8" s="119">
        <v>14946</v>
      </c>
      <c r="K8" s="117">
        <v>6398.3195000000014</v>
      </c>
      <c r="L8" s="117">
        <v>1477.84418966</v>
      </c>
      <c r="M8" s="19">
        <f>K8+L8</f>
        <v>7876.1636896600012</v>
      </c>
      <c r="N8" s="87">
        <v>23</v>
      </c>
      <c r="O8" s="87">
        <v>18</v>
      </c>
      <c r="P8" s="92"/>
      <c r="Q8" s="20">
        <f>J8-P8</f>
        <v>14946</v>
      </c>
      <c r="R8" s="21">
        <v>9</v>
      </c>
      <c r="S8" s="20">
        <f>IF(R8&gt;0,(R8-R9-$Q8),"")</f>
        <v>-14937</v>
      </c>
      <c r="T8" s="21">
        <v>10954</v>
      </c>
      <c r="U8" s="20">
        <f>IF(T8&gt;0,(T8-T9-$Q8),"")</f>
        <v>-3992</v>
      </c>
      <c r="V8" s="21">
        <v>10954</v>
      </c>
      <c r="W8" s="20">
        <f>IF(V8&gt;0,(V8-V9-$Q8),"")</f>
        <v>-3992</v>
      </c>
      <c r="X8" s="21">
        <v>10954</v>
      </c>
      <c r="Y8" s="20">
        <f>IF(X8&gt;0,(X8-X9-$Q8),"")</f>
        <v>-3992</v>
      </c>
      <c r="Z8" s="21">
        <v>12307</v>
      </c>
      <c r="AA8" s="20">
        <f>IF(Z8&gt;0,(Z8-Z9-$Q8),"")</f>
        <v>-2639</v>
      </c>
      <c r="AB8" s="21">
        <v>12616</v>
      </c>
      <c r="AC8" s="22">
        <f>IF(AB8&gt;0,(AB8-AB9-$Q8),"")</f>
        <v>-2330</v>
      </c>
      <c r="AD8" s="21">
        <v>12616</v>
      </c>
      <c r="AE8" s="22">
        <f>IF(AD8&gt;0,(AD8-AD9-$Q8),"")</f>
        <v>-2330</v>
      </c>
    </row>
    <row r="9" spans="2:42" x14ac:dyDescent="0.3">
      <c r="B9" s="28" t="s">
        <v>28</v>
      </c>
      <c r="C9" s="17">
        <v>1916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6886</v>
      </c>
      <c r="E10" s="18" t="s">
        <v>31</v>
      </c>
      <c r="F10" s="119">
        <v>18472.11736610447</v>
      </c>
      <c r="G10" s="117">
        <v>14492.361135556421</v>
      </c>
      <c r="H10" s="117">
        <v>1598.714352083334</v>
      </c>
      <c r="I10" s="19">
        <f>G10+H10</f>
        <v>16091.075487639755</v>
      </c>
      <c r="J10" s="119">
        <v>19264.41053391053</v>
      </c>
      <c r="K10" s="117">
        <v>15067.081887265511</v>
      </c>
      <c r="L10" s="117">
        <v>1647.7552975000001</v>
      </c>
      <c r="M10" s="19">
        <f>K10+L10</f>
        <v>16714.837184765511</v>
      </c>
      <c r="N10" s="88">
        <v>41</v>
      </c>
      <c r="O10" s="88">
        <v>34</v>
      </c>
      <c r="P10" s="92"/>
      <c r="Q10" s="20">
        <f>J10-P10</f>
        <v>19264.41053391053</v>
      </c>
      <c r="R10" s="21">
        <v>3543</v>
      </c>
      <c r="S10" s="20">
        <f>IF(R10&gt;0,(R10-R11-$Q10),"")</f>
        <v>-16159.41053391053</v>
      </c>
      <c r="T10" s="21">
        <v>5561</v>
      </c>
      <c r="U10" s="20">
        <f>IF(T10&gt;0,(T10-T11-$Q10),"")</f>
        <v>-14163.41053391053</v>
      </c>
      <c r="V10" s="21">
        <v>7784</v>
      </c>
      <c r="W10" s="20">
        <f>IF(V10&gt;0,(V10-V11-$Q10),"")</f>
        <v>-12540.41053391053</v>
      </c>
      <c r="X10" s="21">
        <v>11370</v>
      </c>
      <c r="Y10" s="20">
        <f>IF(X10&gt;0,(X10-X11-$Q10),"")</f>
        <v>-9589.4105339105299</v>
      </c>
      <c r="Z10" s="21">
        <v>12663</v>
      </c>
      <c r="AA10" s="20">
        <f>IF(Z10&gt;0,(Z10-Z11-$Q10),"")</f>
        <v>-8303.4105339105299</v>
      </c>
      <c r="AB10" s="21">
        <v>14200</v>
      </c>
      <c r="AC10" s="22">
        <f>IF(AB10&gt;0,(AB10-AB11-$Q10),"")</f>
        <v>-7050.4105339105299</v>
      </c>
      <c r="AD10" s="21">
        <v>14148</v>
      </c>
      <c r="AE10" s="22">
        <f>IF(AD10&gt;0,(AD10-AD11-$Q10),"")</f>
        <v>-7050.4105339105299</v>
      </c>
    </row>
    <row r="11" spans="2:42" x14ac:dyDescent="0.3">
      <c r="B11" s="16" t="s">
        <v>32</v>
      </c>
      <c r="C11" s="17">
        <v>2189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438</v>
      </c>
      <c r="S11" s="24"/>
      <c r="T11" s="30">
        <v>460</v>
      </c>
      <c r="U11" s="24"/>
      <c r="V11" s="30">
        <v>1060</v>
      </c>
      <c r="W11" s="24"/>
      <c r="X11" s="30">
        <v>1695</v>
      </c>
      <c r="Y11" s="24"/>
      <c r="Z11" s="30">
        <v>1702</v>
      </c>
      <c r="AA11" s="24"/>
      <c r="AB11" s="30">
        <v>1986</v>
      </c>
      <c r="AC11" s="26"/>
      <c r="AD11" s="30">
        <v>1934</v>
      </c>
      <c r="AE11" s="26"/>
    </row>
    <row r="12" spans="2:42" x14ac:dyDescent="0.3">
      <c r="B12" s="16" t="s">
        <v>34</v>
      </c>
      <c r="C12" s="17">
        <v>1693</v>
      </c>
      <c r="E12" s="29" t="s">
        <v>35</v>
      </c>
      <c r="F12" s="119">
        <v>15077.487360753041</v>
      </c>
      <c r="G12" s="117">
        <v>11679.80406225926</v>
      </c>
      <c r="H12" s="117">
        <v>16292.949887239931</v>
      </c>
      <c r="I12" s="19">
        <f>G12+H12</f>
        <v>27972.753949499191</v>
      </c>
      <c r="J12" s="119">
        <v>16472.012536261911</v>
      </c>
      <c r="K12" s="117">
        <v>13724.080376502279</v>
      </c>
      <c r="L12" s="117">
        <v>17957.692758357622</v>
      </c>
      <c r="M12" s="19">
        <f>K12+L12</f>
        <v>31681.773134859901</v>
      </c>
      <c r="N12" s="88">
        <v>43</v>
      </c>
      <c r="O12" s="88">
        <v>36</v>
      </c>
      <c r="P12" s="92"/>
      <c r="Q12" s="20">
        <f>J12-P12</f>
        <v>16472.012536261911</v>
      </c>
      <c r="R12" s="21">
        <v>1977</v>
      </c>
      <c r="S12" s="20">
        <f>IF(R12&gt;0,(R12-R13-$Q12),"")</f>
        <v>-15362.012536261911</v>
      </c>
      <c r="T12" s="21">
        <v>2809</v>
      </c>
      <c r="U12" s="20">
        <f>IF(T12&gt;0,(T12-T13-$Q12),"")</f>
        <v>-14530.012536261911</v>
      </c>
      <c r="V12" s="21">
        <v>4193</v>
      </c>
      <c r="W12" s="20">
        <f>IF(V12&gt;0,(V12-V13-$Q12),"")</f>
        <v>-13146.012536261911</v>
      </c>
      <c r="X12" s="21">
        <v>4811.25</v>
      </c>
      <c r="Y12" s="20">
        <f>IF(X12&gt;0,(X12-X13-$Q12),"")</f>
        <v>-12780.012536261911</v>
      </c>
      <c r="Z12" s="21">
        <v>8854.25</v>
      </c>
      <c r="AA12" s="20">
        <f>IF(Z12&gt;0,(Z12-Z13-$Q12),"")</f>
        <v>-8738.012536261911</v>
      </c>
      <c r="AB12" s="21">
        <v>10236.25</v>
      </c>
      <c r="AC12" s="22">
        <f>IF(AB12&gt;0,(AB12-AB13-$Q12),"")</f>
        <v>-7357.012536261911</v>
      </c>
      <c r="AD12" s="21">
        <v>10236.25</v>
      </c>
      <c r="AE12" s="22">
        <f>IF(AD12&gt;0,(AD12-AD13-$Q12),"")</f>
        <v>-7357.012536261911</v>
      </c>
    </row>
    <row r="13" spans="2:42" x14ac:dyDescent="0.3">
      <c r="B13" s="16" t="s">
        <v>36</v>
      </c>
      <c r="C13" s="17">
        <v>5409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867</v>
      </c>
      <c r="S13" s="24"/>
      <c r="T13" s="30">
        <v>867</v>
      </c>
      <c r="U13" s="24"/>
      <c r="V13" s="30">
        <v>867</v>
      </c>
      <c r="W13" s="24"/>
      <c r="X13" s="30">
        <v>1119.25</v>
      </c>
      <c r="Y13" s="24"/>
      <c r="Z13" s="30">
        <v>1120.25</v>
      </c>
      <c r="AA13" s="24"/>
      <c r="AB13" s="30">
        <v>1121.25</v>
      </c>
      <c r="AC13" s="26"/>
      <c r="AD13" s="30">
        <v>1121.25</v>
      </c>
      <c r="AE13" s="26"/>
    </row>
    <row r="14" spans="2:42" x14ac:dyDescent="0.3">
      <c r="B14" s="16" t="s">
        <v>38</v>
      </c>
      <c r="C14" s="17">
        <v>8362</v>
      </c>
      <c r="E14" s="18" t="s">
        <v>39</v>
      </c>
      <c r="F14" s="119">
        <v>27505.858583679579</v>
      </c>
      <c r="G14" s="117">
        <v>19032.710505254599</v>
      </c>
      <c r="H14" s="117">
        <v>22788.418365469672</v>
      </c>
      <c r="I14" s="19">
        <f>G14+H14</f>
        <v>41821.128870724271</v>
      </c>
      <c r="J14" s="119">
        <v>27566.858583679579</v>
      </c>
      <c r="K14" s="117">
        <v>19112.960505254599</v>
      </c>
      <c r="L14" s="117">
        <v>22840.179700989669</v>
      </c>
      <c r="M14" s="19">
        <f>K14+L14</f>
        <v>41953.140206244265</v>
      </c>
      <c r="N14" s="88">
        <v>54</v>
      </c>
      <c r="O14" s="88">
        <v>39</v>
      </c>
      <c r="P14" s="92"/>
      <c r="Q14" s="20">
        <f>J14-P14</f>
        <v>27566.858583679579</v>
      </c>
      <c r="R14" s="21">
        <v>2857</v>
      </c>
      <c r="S14" s="20">
        <f>IF(R14&gt;0,(R14-R15-$Q14),"")</f>
        <v>-27119.858583679579</v>
      </c>
      <c r="T14" s="21">
        <v>5733</v>
      </c>
      <c r="U14" s="20">
        <f>IF(T14&gt;0,(T14-T15-$Q14),"")</f>
        <v>-26723.858583679579</v>
      </c>
      <c r="V14" s="21">
        <v>7663</v>
      </c>
      <c r="W14" s="20">
        <f>IF(V14&gt;0,(V14-V15-$Q14),"")</f>
        <v>-25879.858583679579</v>
      </c>
      <c r="X14" s="21">
        <v>9223</v>
      </c>
      <c r="Y14" s="20">
        <f>IF(X14&gt;0,(X14-X15-$Q14),"")</f>
        <v>-24692.858583679579</v>
      </c>
      <c r="Z14" s="21">
        <v>10611</v>
      </c>
      <c r="AA14" s="20">
        <f>IF(Z14&gt;0,(Z14-Z15-$Q14),"")</f>
        <v>-23304.858583679579</v>
      </c>
      <c r="AB14" s="21">
        <v>10611</v>
      </c>
      <c r="AC14" s="22">
        <f>IF(AB14&gt;0,(AB14-AB15-$Q14),"")</f>
        <v>-23304.858583679579</v>
      </c>
      <c r="AD14" s="21">
        <v>10500</v>
      </c>
      <c r="AE14" s="22">
        <f>IF(AD14&gt;0,(AD14-AD15-$Q14),"")</f>
        <v>-23415.858583679579</v>
      </c>
    </row>
    <row r="15" spans="2:42" ht="15" customHeight="1" thickBot="1" x14ac:dyDescent="0.35">
      <c r="B15" s="16" t="s">
        <v>40</v>
      </c>
      <c r="C15" s="17">
        <v>2695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15</v>
      </c>
      <c r="P15" s="93" t="s">
        <v>41</v>
      </c>
      <c r="Q15" s="24"/>
      <c r="R15" s="25">
        <v>2410</v>
      </c>
      <c r="S15" s="24"/>
      <c r="T15" s="25">
        <v>4890</v>
      </c>
      <c r="U15" s="24"/>
      <c r="V15" s="25">
        <v>5976</v>
      </c>
      <c r="W15" s="24"/>
      <c r="X15" s="25">
        <v>6349</v>
      </c>
      <c r="Y15" s="24"/>
      <c r="Z15" s="25">
        <v>6349</v>
      </c>
      <c r="AA15" s="24"/>
      <c r="AB15" s="25">
        <v>6349</v>
      </c>
      <c r="AC15" s="26"/>
      <c r="AD15" s="25">
        <v>6349</v>
      </c>
      <c r="AE15" s="26"/>
    </row>
    <row r="16" spans="2:42" ht="15" customHeight="1" thickBot="1" x14ac:dyDescent="0.35">
      <c r="B16" s="28" t="s">
        <v>42</v>
      </c>
      <c r="C16" s="17">
        <v>14500</v>
      </c>
      <c r="E16" s="84"/>
      <c r="F16" s="31">
        <f t="shared" ref="F16:M16" si="0">SUM(F6:F15)</f>
        <v>95133.666209087824</v>
      </c>
      <c r="G16" s="31">
        <f t="shared" si="0"/>
        <v>67720.696989302174</v>
      </c>
      <c r="H16" s="31">
        <f t="shared" si="0"/>
        <v>52424.496407846556</v>
      </c>
      <c r="I16" s="32">
        <f t="shared" si="0"/>
        <v>120145.19339714872</v>
      </c>
      <c r="J16" s="33">
        <f t="shared" si="0"/>
        <v>97721.281653852027</v>
      </c>
      <c r="K16" s="33">
        <f t="shared" si="0"/>
        <v>71143.777769022388</v>
      </c>
      <c r="L16" s="33">
        <f t="shared" si="0"/>
        <v>54308.856270907287</v>
      </c>
      <c r="M16" s="33">
        <f t="shared" si="0"/>
        <v>125452.63403992969</v>
      </c>
      <c r="N16" s="31">
        <f>SUM(N14,N12,N10,N8,N6)</f>
        <v>220</v>
      </c>
      <c r="O16" s="31">
        <f>SUM(O14,O12,O10,O8,O6)</f>
        <v>177</v>
      </c>
      <c r="P16" s="34">
        <f>SUM(P6:P15)</f>
        <v>0</v>
      </c>
      <c r="Q16" s="34">
        <f>SUM(Q6:Q15)</f>
        <v>97721.281653852027</v>
      </c>
      <c r="R16" s="35">
        <f>R6+R8+R10+R12+R14-R7-R9-R11-R13-R15</f>
        <v>7873</v>
      </c>
      <c r="S16" s="36">
        <f>IF(R16&gt;1,(R16-$Q16),"")</f>
        <v>-89848.281653852027</v>
      </c>
      <c r="T16" s="35">
        <f>T6+T8+T10+T12+T14-T7-T9-T11-T13-T15</f>
        <v>26246</v>
      </c>
      <c r="U16" s="36">
        <f>IF(T16&gt;1,(T16-$Q16),"")</f>
        <v>-71475.281653852027</v>
      </c>
      <c r="V16" s="35">
        <f>V6+V8+V10+V12+V14-V7-V9-V11-V13-V15</f>
        <v>33451</v>
      </c>
      <c r="W16" s="36">
        <f>IF(V16&gt;1,(V16-$Q16),"")</f>
        <v>-64270.281653852027</v>
      </c>
      <c r="X16" s="35">
        <f>X6+X8+X10+X12+X14-X7-X9-X11-X13-X15</f>
        <v>41974</v>
      </c>
      <c r="Y16" s="36">
        <f>IF(X16&gt;1,(X16-$Q16),"")</f>
        <v>-55747.281653852027</v>
      </c>
      <c r="Z16" s="35">
        <f>Z6+Z8+Z10+Z12+Z14-Z7-Z9-Z11-Z13-Z15</f>
        <v>50043</v>
      </c>
      <c r="AA16" s="36">
        <f>IF(Z16&gt;1,(Z16-$Q16),"")</f>
        <v>-47678.281653852027</v>
      </c>
      <c r="AB16" s="35">
        <f>AB6+AB8+AB10+AB12+AB14-AB7-AB9-AB11-AB13-AB15</f>
        <v>52986</v>
      </c>
      <c r="AC16" s="37">
        <f>IF(AB16&gt;1,(AB16-$Q16),"")</f>
        <v>-44735.281653852027</v>
      </c>
      <c r="AD16" s="35">
        <f>AD6+AD8+AD10+AD12+AD14-AD7-AD9-AD11-AD13-AD15</f>
        <v>52875</v>
      </c>
      <c r="AE16" s="37">
        <f>IF(AD16&gt;1,(AD16-$Q16),"")</f>
        <v>-44846.281653852027</v>
      </c>
    </row>
    <row r="17" spans="2:43" s="4" customFormat="1" ht="15" customHeight="1" thickBot="1" x14ac:dyDescent="0.3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3718</v>
      </c>
      <c r="S17" s="41"/>
      <c r="T17" s="40">
        <f>T15+T13+T11+T9+T7</f>
        <v>6227</v>
      </c>
      <c r="U17" s="41"/>
      <c r="V17" s="40">
        <f>V15+V13+V11+V9+V7</f>
        <v>8186</v>
      </c>
      <c r="W17" s="41"/>
      <c r="X17" s="40">
        <f>X15+X13+X11+X9+X7</f>
        <v>9742.25</v>
      </c>
      <c r="Y17" s="41"/>
      <c r="Z17" s="40">
        <f>Z15+Z13+Z11+Z9+Z7</f>
        <v>9750.25</v>
      </c>
      <c r="AA17" s="41"/>
      <c r="AB17" s="40">
        <f>AB15+AB13+AB11+AB9+AB7</f>
        <v>10035.25</v>
      </c>
      <c r="AC17" s="42"/>
      <c r="AD17" s="40">
        <f>AD15+AD13+AD11+AD9+AD7</f>
        <v>9983.25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3936.5</v>
      </c>
      <c r="S18" s="46"/>
      <c r="T18" s="47">
        <f>IF(T16&gt;0,(T16-R16)/2,"")</f>
        <v>9186.5</v>
      </c>
      <c r="U18" s="46"/>
      <c r="V18" s="47">
        <f>IF(V16&gt;0,(V16-T16)/2,"")</f>
        <v>3602.5</v>
      </c>
      <c r="W18" s="46"/>
      <c r="X18" s="47">
        <f>IF(X16&gt;0,(X16-V16)/2,"")</f>
        <v>4261.5</v>
      </c>
      <c r="Y18" s="46"/>
      <c r="Z18" s="47">
        <f>IF(Z16&gt;0,(Z16-X16)/2,"")</f>
        <v>4034.5</v>
      </c>
      <c r="AA18" s="46"/>
      <c r="AB18" s="47">
        <f>IF(AB16&gt;0,(AB16-Z16)/2,"")</f>
        <v>1471.5</v>
      </c>
      <c r="AC18" s="48"/>
      <c r="AD18" s="47">
        <f>IF(AD16&gt;0,(AD16-AB16)/2,"")</f>
        <v>-55.5</v>
      </c>
      <c r="AE18" s="48"/>
    </row>
    <row r="19" spans="2:43" ht="15" customHeight="1" thickBot="1" x14ac:dyDescent="0.35">
      <c r="B19" s="43" t="s">
        <v>47</v>
      </c>
      <c r="C19" s="17">
        <v>1236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574</v>
      </c>
      <c r="L20" s="4"/>
      <c r="M20" s="4"/>
      <c r="Q20" s="51" t="s">
        <v>49</v>
      </c>
      <c r="R20" s="35">
        <v>3303</v>
      </c>
      <c r="S20" s="36"/>
      <c r="T20" s="35">
        <v>9282</v>
      </c>
      <c r="U20" s="36"/>
      <c r="V20" s="35">
        <v>16172</v>
      </c>
      <c r="W20" s="36"/>
      <c r="X20" s="35">
        <v>36466</v>
      </c>
      <c r="Y20" s="36"/>
      <c r="Z20" s="35">
        <v>41033</v>
      </c>
      <c r="AA20" s="36"/>
      <c r="AB20" s="35">
        <v>41433</v>
      </c>
      <c r="AC20" s="37"/>
      <c r="AD20" s="35">
        <v>41821</v>
      </c>
      <c r="AE20" s="37">
        <v>-25122.109591172091</v>
      </c>
    </row>
    <row r="21" spans="2:43" ht="15" customHeight="1" thickBot="1" x14ac:dyDescent="0.35">
      <c r="B21" s="16" t="s">
        <v>50</v>
      </c>
      <c r="C21" s="17">
        <v>8815</v>
      </c>
      <c r="L21" s="4"/>
      <c r="M21" s="4"/>
      <c r="Q21" s="52"/>
      <c r="R21" s="40">
        <v>6463</v>
      </c>
      <c r="S21" s="41"/>
      <c r="T21" s="40">
        <v>10129</v>
      </c>
      <c r="U21" s="41"/>
      <c r="V21" s="40">
        <v>12312</v>
      </c>
      <c r="W21" s="41"/>
      <c r="X21" s="40">
        <v>13263</v>
      </c>
      <c r="Y21" s="41"/>
      <c r="Z21" s="40">
        <v>13640</v>
      </c>
      <c r="AA21" s="41"/>
      <c r="AB21" s="40">
        <v>14110</v>
      </c>
      <c r="AC21" s="42"/>
      <c r="AD21" s="40">
        <v>14110</v>
      </c>
      <c r="AE21" s="42"/>
    </row>
    <row r="22" spans="2:43" ht="15" customHeight="1" thickBot="1" x14ac:dyDescent="0.35">
      <c r="B22" s="16" t="s">
        <v>51</v>
      </c>
      <c r="C22" s="17">
        <v>1063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4641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4570</v>
      </c>
      <c r="S24" s="60"/>
      <c r="T24" s="60">
        <f>IF(T16&gt;0,T16-T20,"")</f>
        <v>16964</v>
      </c>
      <c r="U24" s="60"/>
      <c r="V24" s="60">
        <f>IF(V16&gt;0,V16-V20,"")</f>
        <v>17279</v>
      </c>
      <c r="W24" s="60"/>
      <c r="X24" s="60">
        <f>IF(X16&gt;0,X16-X20,"")</f>
        <v>5508</v>
      </c>
      <c r="Y24" s="60"/>
      <c r="Z24" s="60">
        <f>IF(Z16&gt;0,Z16-Z20,"")</f>
        <v>9010</v>
      </c>
      <c r="AA24" s="60"/>
      <c r="AB24" s="60">
        <f>IF(AB16&gt;0,AB16-AB20,"")</f>
        <v>11553</v>
      </c>
      <c r="AC24" s="61"/>
      <c r="AD24" s="60">
        <f>IF(AD16&gt;0,AD16-AD20,"")</f>
        <v>11054</v>
      </c>
      <c r="AE24" s="61"/>
    </row>
    <row r="25" spans="2:43" x14ac:dyDescent="0.3">
      <c r="L25" s="4"/>
      <c r="M25" s="4"/>
      <c r="Q25" s="62"/>
      <c r="R25" s="63">
        <f>IF(R17&gt;=0,R17-R21,"")</f>
        <v>-2745</v>
      </c>
      <c r="S25" s="64"/>
      <c r="T25" s="63">
        <f>IF(T17&gt;=0,T17-T21,"")</f>
        <v>-3902</v>
      </c>
      <c r="U25" s="64"/>
      <c r="V25" s="63">
        <f>IF(V17&gt;=0,V17-V21,"")</f>
        <v>-4126</v>
      </c>
      <c r="W25" s="64"/>
      <c r="X25" s="63">
        <f>IF(X17&gt;=0,X17-X21,"")</f>
        <v>-3520.75</v>
      </c>
      <c r="Y25" s="64"/>
      <c r="Z25" s="63">
        <f>IF(Z17&gt;=0,Z17-Z21,"")</f>
        <v>-3889.75</v>
      </c>
      <c r="AA25" s="64"/>
      <c r="AB25" s="63">
        <f>IF(AB17&gt;=0,AB17-AB21,"")</f>
        <v>-4074.75</v>
      </c>
      <c r="AC25" s="65"/>
      <c r="AD25" s="63">
        <f>IF(AD17&gt;=0,AD17-AD21,"")</f>
        <v>-4126.75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3936.5</v>
      </c>
      <c r="S26" s="55"/>
      <c r="T26" s="67">
        <f>IFERROR(IF(T18&gt;0,T18-T22,""),"")</f>
        <v>9186.5</v>
      </c>
      <c r="U26" s="55"/>
      <c r="V26" s="67">
        <f>IFERROR(IF(V18&gt;0,V18-V22,""),"")</f>
        <v>3602.5</v>
      </c>
      <c r="W26" s="55"/>
      <c r="X26" s="67">
        <f>IFERROR(IF(X18&gt;0,X18-X22,""),"")</f>
        <v>4261.5</v>
      </c>
      <c r="Y26" s="55"/>
      <c r="Z26" s="67">
        <f>IFERROR(IF(Z18&gt;0,Z18-Z22,""),"")</f>
        <v>4034.5</v>
      </c>
      <c r="AA26" s="55"/>
      <c r="AB26" s="67">
        <f>IFERROR(IF(AB18&gt;0,AB18-AB22,""),"")</f>
        <v>1471.5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8105.791458949293</v>
      </c>
      <c r="D29" s="76">
        <f>C14</f>
        <v>8362</v>
      </c>
      <c r="E29" s="77">
        <f t="shared" ref="E29:E34" si="1">D29-C29</f>
        <v>256.20854105070703</v>
      </c>
      <c r="M29" s="4"/>
      <c r="O29" s="4"/>
    </row>
    <row r="30" spans="2:43" x14ac:dyDescent="0.3">
      <c r="B30" s="74" t="s">
        <v>56</v>
      </c>
      <c r="C30" s="75">
        <v>33173.874750138522</v>
      </c>
      <c r="D30" s="76">
        <f>C7+C15+C16+C19+C20</f>
        <v>21402</v>
      </c>
      <c r="E30" s="77">
        <f t="shared" si="1"/>
        <v>-11771.874750138522</v>
      </c>
      <c r="J30" s="53"/>
      <c r="L30" s="53"/>
      <c r="M30" s="4"/>
      <c r="O30" s="4"/>
    </row>
    <row r="31" spans="2:43" x14ac:dyDescent="0.3">
      <c r="B31" s="74" t="s">
        <v>21</v>
      </c>
      <c r="C31" s="75">
        <v>4176</v>
      </c>
      <c r="D31" s="76">
        <f>C6</f>
        <v>4176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16177</v>
      </c>
      <c r="D32" s="76">
        <f>C10+C11+C12+C13</f>
        <v>16177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15085</v>
      </c>
      <c r="D34" s="76">
        <f>C21+C22+C23</f>
        <v>14519</v>
      </c>
      <c r="E34" s="77">
        <f t="shared" si="1"/>
        <v>-566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4310</v>
      </c>
      <c r="D35" s="80">
        <f>SUM(C8+C9)</f>
        <v>4310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3051</v>
      </c>
      <c r="R36" s="104">
        <v>143</v>
      </c>
      <c r="S36" s="104">
        <f t="shared" ref="S36:S65" si="2">IF(T36&gt;0,(T36-R36)/2,"")</f>
        <v>434.5</v>
      </c>
      <c r="T36" s="104">
        <v>1012</v>
      </c>
      <c r="U36" s="104">
        <f t="shared" ref="U36:U65" si="3">IF(V36&gt;0,(V36-T36)/2,"")</f>
        <v>71</v>
      </c>
      <c r="V36" s="104">
        <v>1154</v>
      </c>
      <c r="W36" s="104">
        <f t="shared" ref="W36:W65" si="4">IF(X36&gt;0,(X36-V36)/2,"")</f>
        <v>13.5</v>
      </c>
      <c r="X36" s="104">
        <v>1181</v>
      </c>
      <c r="Y36" s="104">
        <f t="shared" ref="Y36:Y65" si="5">IF(Z36&gt;0,(Z36-X36)/2,"")</f>
        <v>0</v>
      </c>
      <c r="Z36" s="104">
        <v>1181</v>
      </c>
      <c r="AA36" s="104">
        <f t="shared" ref="AA36:AA65" si="6">IF(AB36&gt;0,(AB36-Z36)/2,"")</f>
        <v>0</v>
      </c>
      <c r="AB36" s="104">
        <v>1181</v>
      </c>
      <c r="AC36" s="104">
        <f t="shared" ref="AC36:AC65" si="7">IF(AD36&gt;0,(AD36-AB36)/2,"")</f>
        <v>0</v>
      </c>
      <c r="AD36" s="104">
        <v>1181</v>
      </c>
      <c r="AE36" s="105">
        <f t="shared" ref="AE36:AE65" si="8">AD36-Q36</f>
        <v>-1870</v>
      </c>
    </row>
    <row r="37" spans="2:31" ht="15.6" customHeight="1" x14ac:dyDescent="0.3">
      <c r="N37" s="212"/>
      <c r="O37" s="95" t="s">
        <v>66</v>
      </c>
      <c r="P37" s="106"/>
      <c r="Q37" s="106">
        <v>1538</v>
      </c>
      <c r="R37" s="106">
        <v>0</v>
      </c>
      <c r="S37" s="106">
        <f t="shared" si="2"/>
        <v>47.5</v>
      </c>
      <c r="T37" s="106">
        <v>95</v>
      </c>
      <c r="U37" s="106">
        <f t="shared" si="3"/>
        <v>0</v>
      </c>
      <c r="V37" s="106">
        <v>95</v>
      </c>
      <c r="W37" s="106">
        <f t="shared" si="4"/>
        <v>185</v>
      </c>
      <c r="X37" s="106">
        <v>465</v>
      </c>
      <c r="Y37" s="106">
        <f t="shared" si="5"/>
        <v>0</v>
      </c>
      <c r="Z37" s="106">
        <v>465</v>
      </c>
      <c r="AA37" s="106">
        <f t="shared" si="6"/>
        <v>0</v>
      </c>
      <c r="AB37" s="106">
        <v>465</v>
      </c>
      <c r="AC37" s="106">
        <f t="shared" si="7"/>
        <v>0</v>
      </c>
      <c r="AD37" s="106">
        <v>465</v>
      </c>
      <c r="AE37" s="107">
        <f t="shared" si="8"/>
        <v>-1073</v>
      </c>
    </row>
    <row r="38" spans="2:31" ht="15.6" customHeight="1" x14ac:dyDescent="0.3">
      <c r="N38" s="212"/>
      <c r="O38" s="94" t="s">
        <v>67</v>
      </c>
      <c r="P38" s="108"/>
      <c r="Q38" s="108">
        <v>2714</v>
      </c>
      <c r="R38" s="108">
        <v>1068</v>
      </c>
      <c r="S38" s="108">
        <f t="shared" si="2"/>
        <v>0</v>
      </c>
      <c r="T38" s="108">
        <v>1068</v>
      </c>
      <c r="U38" s="108">
        <f t="shared" si="3"/>
        <v>412</v>
      </c>
      <c r="V38" s="108">
        <v>1892</v>
      </c>
      <c r="W38" s="108">
        <f t="shared" si="4"/>
        <v>683</v>
      </c>
      <c r="X38" s="108">
        <v>3258</v>
      </c>
      <c r="Y38" s="108">
        <f t="shared" si="5"/>
        <v>0</v>
      </c>
      <c r="Z38" s="108">
        <v>3258</v>
      </c>
      <c r="AA38" s="108">
        <f t="shared" si="6"/>
        <v>0</v>
      </c>
      <c r="AB38" s="108">
        <v>3258</v>
      </c>
      <c r="AC38" s="108">
        <f t="shared" si="7"/>
        <v>0</v>
      </c>
      <c r="AD38" s="108">
        <v>3258</v>
      </c>
      <c r="AE38" s="109">
        <f t="shared" si="8"/>
        <v>544</v>
      </c>
    </row>
    <row r="39" spans="2:31" ht="15.6" customHeight="1" x14ac:dyDescent="0.3">
      <c r="N39" s="212"/>
      <c r="O39" s="95" t="s">
        <v>68</v>
      </c>
      <c r="P39" s="106"/>
      <c r="Q39" s="106">
        <v>3264</v>
      </c>
      <c r="R39" s="106">
        <v>1046</v>
      </c>
      <c r="S39" s="106">
        <f t="shared" si="2"/>
        <v>179.5</v>
      </c>
      <c r="T39" s="106">
        <v>1405</v>
      </c>
      <c r="U39" s="106">
        <f t="shared" si="3"/>
        <v>238.5</v>
      </c>
      <c r="V39" s="106">
        <v>1882</v>
      </c>
      <c r="W39" s="106">
        <f t="shared" si="4"/>
        <v>698</v>
      </c>
      <c r="X39" s="106">
        <v>3278</v>
      </c>
      <c r="Y39" s="106">
        <f t="shared" si="5"/>
        <v>0</v>
      </c>
      <c r="Z39" s="106">
        <v>3278</v>
      </c>
      <c r="AA39" s="106">
        <f t="shared" si="6"/>
        <v>0</v>
      </c>
      <c r="AB39" s="106">
        <v>3278</v>
      </c>
      <c r="AC39" s="106">
        <f t="shared" si="7"/>
        <v>0</v>
      </c>
      <c r="AD39" s="106">
        <v>3278</v>
      </c>
      <c r="AE39" s="107">
        <f t="shared" si="8"/>
        <v>14</v>
      </c>
    </row>
    <row r="40" spans="2:31" ht="15.6" customHeight="1" x14ac:dyDescent="0.3">
      <c r="N40" s="212"/>
      <c r="O40" s="94" t="s">
        <v>69</v>
      </c>
      <c r="P40" s="108"/>
      <c r="Q40" s="108">
        <v>3219</v>
      </c>
      <c r="R40" s="108">
        <v>668</v>
      </c>
      <c r="S40" s="108">
        <f t="shared" si="2"/>
        <v>265</v>
      </c>
      <c r="T40" s="108">
        <v>1198</v>
      </c>
      <c r="U40" s="108">
        <f t="shared" si="3"/>
        <v>485.5</v>
      </c>
      <c r="V40" s="108">
        <v>2169</v>
      </c>
      <c r="W40" s="108">
        <f t="shared" si="4"/>
        <v>375.5</v>
      </c>
      <c r="X40" s="108">
        <v>2920</v>
      </c>
      <c r="Y40" s="108">
        <f t="shared" si="5"/>
        <v>0</v>
      </c>
      <c r="Z40" s="108">
        <v>2920</v>
      </c>
      <c r="AA40" s="108">
        <f t="shared" si="6"/>
        <v>0</v>
      </c>
      <c r="AB40" s="108">
        <v>2920</v>
      </c>
      <c r="AC40" s="108">
        <f t="shared" si="7"/>
        <v>0</v>
      </c>
      <c r="AD40" s="108">
        <v>2920</v>
      </c>
      <c r="AE40" s="109">
        <f t="shared" si="8"/>
        <v>-299</v>
      </c>
    </row>
    <row r="41" spans="2:31" ht="15.6" customHeight="1" x14ac:dyDescent="0.3">
      <c r="N41" s="212"/>
      <c r="O41" s="95" t="s">
        <v>70</v>
      </c>
      <c r="P41" s="106"/>
      <c r="Q41" s="106">
        <v>792</v>
      </c>
      <c r="R41" s="106">
        <v>274</v>
      </c>
      <c r="S41" s="106">
        <f t="shared" si="2"/>
        <v>0</v>
      </c>
      <c r="T41" s="106">
        <v>274</v>
      </c>
      <c r="U41" s="106">
        <f t="shared" si="3"/>
        <v>68.5</v>
      </c>
      <c r="V41" s="106">
        <v>411</v>
      </c>
      <c r="W41" s="106">
        <f t="shared" si="4"/>
        <v>0</v>
      </c>
      <c r="X41" s="106">
        <v>411</v>
      </c>
      <c r="Y41" s="106">
        <f t="shared" si="5"/>
        <v>0</v>
      </c>
      <c r="Z41" s="106">
        <v>411</v>
      </c>
      <c r="AA41" s="106">
        <f t="shared" si="6"/>
        <v>0</v>
      </c>
      <c r="AB41" s="106">
        <v>411</v>
      </c>
      <c r="AC41" s="106">
        <f t="shared" si="7"/>
        <v>0</v>
      </c>
      <c r="AD41" s="106">
        <v>411</v>
      </c>
      <c r="AE41" s="107">
        <f t="shared" si="8"/>
        <v>-381</v>
      </c>
    </row>
    <row r="42" spans="2:31" ht="15.6" customHeight="1" x14ac:dyDescent="0.3">
      <c r="N42" s="212"/>
      <c r="O42" s="94" t="s">
        <v>71</v>
      </c>
      <c r="P42" s="108"/>
      <c r="Q42" s="108">
        <v>1266</v>
      </c>
      <c r="R42" s="108">
        <v>0</v>
      </c>
      <c r="S42" s="108">
        <f t="shared" si="2"/>
        <v>385.5</v>
      </c>
      <c r="T42" s="108">
        <v>771</v>
      </c>
      <c r="U42" s="108">
        <f t="shared" si="3"/>
        <v>0</v>
      </c>
      <c r="V42" s="108">
        <v>771</v>
      </c>
      <c r="W42" s="108">
        <f t="shared" si="4"/>
        <v>0</v>
      </c>
      <c r="X42" s="108">
        <v>771</v>
      </c>
      <c r="Y42" s="108">
        <f t="shared" si="5"/>
        <v>0</v>
      </c>
      <c r="Z42" s="108">
        <v>771</v>
      </c>
      <c r="AA42" s="108">
        <f t="shared" si="6"/>
        <v>0</v>
      </c>
      <c r="AB42" s="108">
        <v>771</v>
      </c>
      <c r="AC42" s="108">
        <f t="shared" si="7"/>
        <v>0</v>
      </c>
      <c r="AD42" s="108">
        <v>771</v>
      </c>
      <c r="AE42" s="109">
        <f t="shared" si="8"/>
        <v>-495</v>
      </c>
    </row>
    <row r="43" spans="2:31" ht="15.6" customHeight="1" x14ac:dyDescent="0.3">
      <c r="N43" s="212"/>
      <c r="O43" s="95" t="s">
        <v>72</v>
      </c>
      <c r="P43" s="106"/>
      <c r="Q43" s="106">
        <v>1770</v>
      </c>
      <c r="R43" s="106">
        <v>0</v>
      </c>
      <c r="S43" s="106">
        <f t="shared" si="2"/>
        <v>277</v>
      </c>
      <c r="T43" s="106">
        <v>554</v>
      </c>
      <c r="U43" s="106">
        <f t="shared" si="3"/>
        <v>538</v>
      </c>
      <c r="V43" s="106">
        <v>1630</v>
      </c>
      <c r="W43" s="106">
        <f t="shared" si="4"/>
        <v>0</v>
      </c>
      <c r="X43" s="106">
        <v>1630</v>
      </c>
      <c r="Y43" s="106">
        <f t="shared" si="5"/>
        <v>0</v>
      </c>
      <c r="Z43" s="106">
        <v>1630</v>
      </c>
      <c r="AA43" s="106">
        <f t="shared" si="6"/>
        <v>0</v>
      </c>
      <c r="AB43" s="106">
        <v>1630</v>
      </c>
      <c r="AC43" s="106">
        <f t="shared" si="7"/>
        <v>0</v>
      </c>
      <c r="AD43" s="106">
        <v>1630</v>
      </c>
      <c r="AE43" s="107">
        <f t="shared" si="8"/>
        <v>-140</v>
      </c>
    </row>
    <row r="44" spans="2:31" ht="15.6" customHeight="1" thickBot="1" x14ac:dyDescent="0.35">
      <c r="N44" s="213"/>
      <c r="O44" s="97" t="s">
        <v>73</v>
      </c>
      <c r="P44" s="110"/>
      <c r="Q44" s="110">
        <v>1858</v>
      </c>
      <c r="R44" s="110">
        <v>6</v>
      </c>
      <c r="S44" s="110">
        <f t="shared" si="2"/>
        <v>516.5</v>
      </c>
      <c r="T44" s="110">
        <v>1039</v>
      </c>
      <c r="U44" s="110">
        <f t="shared" si="3"/>
        <v>0</v>
      </c>
      <c r="V44" s="110">
        <v>1039</v>
      </c>
      <c r="W44" s="110">
        <f t="shared" si="4"/>
        <v>202.5</v>
      </c>
      <c r="X44" s="110">
        <v>1444</v>
      </c>
      <c r="Y44" s="110">
        <f t="shared" si="5"/>
        <v>0</v>
      </c>
      <c r="Z44" s="110">
        <v>1444</v>
      </c>
      <c r="AA44" s="110">
        <f t="shared" si="6"/>
        <v>0</v>
      </c>
      <c r="AB44" s="110">
        <v>1444</v>
      </c>
      <c r="AC44" s="110">
        <f t="shared" si="7"/>
        <v>0</v>
      </c>
      <c r="AD44" s="110">
        <v>1444</v>
      </c>
      <c r="AE44" s="111">
        <f t="shared" si="8"/>
        <v>-414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4782</v>
      </c>
      <c r="R45" s="112">
        <v>9</v>
      </c>
      <c r="S45" s="112">
        <f t="shared" si="2"/>
        <v>1435</v>
      </c>
      <c r="T45" s="112">
        <v>2879</v>
      </c>
      <c r="U45" s="112">
        <f t="shared" si="3"/>
        <v>0</v>
      </c>
      <c r="V45" s="112">
        <v>2879</v>
      </c>
      <c r="W45" s="112">
        <f t="shared" si="4"/>
        <v>0</v>
      </c>
      <c r="X45" s="112">
        <v>2879</v>
      </c>
      <c r="Y45" s="112">
        <f t="shared" si="5"/>
        <v>0</v>
      </c>
      <c r="Z45" s="112">
        <v>2879</v>
      </c>
      <c r="AA45" s="112">
        <f t="shared" si="6"/>
        <v>0</v>
      </c>
      <c r="AB45" s="112">
        <v>2879</v>
      </c>
      <c r="AC45" s="112">
        <f t="shared" si="7"/>
        <v>0</v>
      </c>
      <c r="AD45" s="112">
        <v>2879</v>
      </c>
      <c r="AE45" s="113">
        <f t="shared" si="8"/>
        <v>-1903</v>
      </c>
    </row>
    <row r="46" spans="2:31" ht="15.6" customHeight="1" x14ac:dyDescent="0.3">
      <c r="N46" s="212"/>
      <c r="O46" s="94" t="s">
        <v>66</v>
      </c>
      <c r="P46" s="108"/>
      <c r="Q46" s="108">
        <v>3686</v>
      </c>
      <c r="R46" s="108">
        <v>0</v>
      </c>
      <c r="S46" s="108">
        <f t="shared" si="2"/>
        <v>1843</v>
      </c>
      <c r="T46" s="108">
        <v>3686</v>
      </c>
      <c r="U46" s="108">
        <f t="shared" si="3"/>
        <v>0</v>
      </c>
      <c r="V46" s="108">
        <v>3686</v>
      </c>
      <c r="W46" s="108">
        <f t="shared" si="4"/>
        <v>0</v>
      </c>
      <c r="X46" s="108">
        <v>3686</v>
      </c>
      <c r="Y46" s="108">
        <f t="shared" si="5"/>
        <v>0</v>
      </c>
      <c r="Z46" s="108">
        <v>3686</v>
      </c>
      <c r="AA46" s="108">
        <f t="shared" si="6"/>
        <v>0</v>
      </c>
      <c r="AB46" s="108">
        <v>3686</v>
      </c>
      <c r="AC46" s="108">
        <f t="shared" si="7"/>
        <v>0</v>
      </c>
      <c r="AD46" s="108">
        <v>3686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2315</v>
      </c>
      <c r="R47" s="106">
        <v>0</v>
      </c>
      <c r="S47" s="106">
        <f t="shared" si="2"/>
        <v>576</v>
      </c>
      <c r="T47" s="106">
        <v>1152</v>
      </c>
      <c r="U47" s="106">
        <f t="shared" si="3"/>
        <v>0</v>
      </c>
      <c r="V47" s="106">
        <v>1152</v>
      </c>
      <c r="W47" s="106">
        <f t="shared" si="4"/>
        <v>0</v>
      </c>
      <c r="X47" s="106">
        <v>1152</v>
      </c>
      <c r="Y47" s="106">
        <f t="shared" si="5"/>
        <v>213.5</v>
      </c>
      <c r="Z47" s="106">
        <v>1579</v>
      </c>
      <c r="AA47" s="106">
        <f t="shared" si="6"/>
        <v>154.5</v>
      </c>
      <c r="AB47" s="106">
        <v>1888</v>
      </c>
      <c r="AC47" s="106">
        <f t="shared" si="7"/>
        <v>0</v>
      </c>
      <c r="AD47" s="106">
        <v>1888</v>
      </c>
      <c r="AE47" s="107">
        <f t="shared" si="8"/>
        <v>-427</v>
      </c>
    </row>
    <row r="48" spans="2:31" ht="15.6" customHeight="1" thickBot="1" x14ac:dyDescent="0.35">
      <c r="N48" s="213"/>
      <c r="O48" s="97" t="s">
        <v>68</v>
      </c>
      <c r="P48" s="110"/>
      <c r="Q48" s="110">
        <v>4163</v>
      </c>
      <c r="R48" s="110">
        <v>0</v>
      </c>
      <c r="S48" s="110">
        <f t="shared" si="2"/>
        <v>1618.5</v>
      </c>
      <c r="T48" s="110">
        <v>3237</v>
      </c>
      <c r="U48" s="110">
        <f t="shared" si="3"/>
        <v>0</v>
      </c>
      <c r="V48" s="110">
        <v>3237</v>
      </c>
      <c r="W48" s="110">
        <f t="shared" si="4"/>
        <v>0</v>
      </c>
      <c r="X48" s="110">
        <v>3237</v>
      </c>
      <c r="Y48" s="110">
        <f t="shared" si="5"/>
        <v>463</v>
      </c>
      <c r="Z48" s="110">
        <v>4163</v>
      </c>
      <c r="AA48" s="110">
        <f t="shared" si="6"/>
        <v>0</v>
      </c>
      <c r="AB48" s="110">
        <v>4163</v>
      </c>
      <c r="AC48" s="110">
        <f t="shared" si="7"/>
        <v>0</v>
      </c>
      <c r="AD48" s="110">
        <v>4163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2134.1428571428569</v>
      </c>
      <c r="R49" s="112">
        <v>1121</v>
      </c>
      <c r="S49" s="112">
        <f t="shared" si="2"/>
        <v>340.5</v>
      </c>
      <c r="T49" s="112">
        <v>1802</v>
      </c>
      <c r="U49" s="112">
        <f t="shared" si="3"/>
        <v>12.5</v>
      </c>
      <c r="V49" s="112">
        <v>1827</v>
      </c>
      <c r="W49" s="112">
        <f t="shared" si="4"/>
        <v>0</v>
      </c>
      <c r="X49" s="112">
        <v>1827</v>
      </c>
      <c r="Y49" s="112">
        <f t="shared" si="5"/>
        <v>0</v>
      </c>
      <c r="Z49" s="112">
        <v>1827</v>
      </c>
      <c r="AA49" s="112">
        <f t="shared" si="6"/>
        <v>59</v>
      </c>
      <c r="AB49" s="112">
        <v>1945</v>
      </c>
      <c r="AC49" s="112">
        <f t="shared" si="7"/>
        <v>0</v>
      </c>
      <c r="AD49" s="112">
        <v>1945</v>
      </c>
      <c r="AE49" s="113">
        <f t="shared" si="8"/>
        <v>-189.14285714285688</v>
      </c>
    </row>
    <row r="50" spans="14:31" ht="15.6" customHeight="1" x14ac:dyDescent="0.3">
      <c r="N50" s="212"/>
      <c r="O50" s="94" t="s">
        <v>66</v>
      </c>
      <c r="P50" s="108"/>
      <c r="Q50" s="108">
        <v>3708</v>
      </c>
      <c r="R50" s="108">
        <v>1077</v>
      </c>
      <c r="S50" s="108">
        <f t="shared" si="2"/>
        <v>300</v>
      </c>
      <c r="T50" s="108">
        <v>1677</v>
      </c>
      <c r="U50" s="108">
        <f t="shared" si="3"/>
        <v>0</v>
      </c>
      <c r="V50" s="108">
        <v>1677</v>
      </c>
      <c r="W50" s="108">
        <f t="shared" si="4"/>
        <v>770</v>
      </c>
      <c r="X50" s="108">
        <v>3217</v>
      </c>
      <c r="Y50" s="108">
        <f t="shared" si="5"/>
        <v>244.5</v>
      </c>
      <c r="Z50" s="108">
        <v>3706</v>
      </c>
      <c r="AA50" s="108">
        <f t="shared" si="6"/>
        <v>0</v>
      </c>
      <c r="AB50" s="108">
        <v>3706</v>
      </c>
      <c r="AC50" s="108">
        <f t="shared" si="7"/>
        <v>0</v>
      </c>
      <c r="AD50" s="108">
        <v>3706</v>
      </c>
      <c r="AE50" s="109">
        <f t="shared" si="8"/>
        <v>-2</v>
      </c>
    </row>
    <row r="51" spans="14:31" ht="15.6" customHeight="1" x14ac:dyDescent="0.3">
      <c r="N51" s="212"/>
      <c r="O51" s="95" t="s">
        <v>67</v>
      </c>
      <c r="P51" s="106"/>
      <c r="Q51" s="106">
        <v>1743</v>
      </c>
      <c r="R51" s="106">
        <v>65</v>
      </c>
      <c r="S51" s="106" t="str">
        <f t="shared" si="2"/>
        <v/>
      </c>
      <c r="T51" s="106">
        <v>-6</v>
      </c>
      <c r="U51" s="106">
        <f t="shared" si="3"/>
        <v>225.5</v>
      </c>
      <c r="V51" s="106">
        <v>445</v>
      </c>
      <c r="W51" s="106">
        <f t="shared" si="4"/>
        <v>215</v>
      </c>
      <c r="X51" s="106">
        <v>875</v>
      </c>
      <c r="Y51" s="106">
        <f t="shared" si="5"/>
        <v>3.5</v>
      </c>
      <c r="Z51" s="106">
        <v>882</v>
      </c>
      <c r="AA51" s="106">
        <f t="shared" si="6"/>
        <v>82</v>
      </c>
      <c r="AB51" s="106">
        <v>1046</v>
      </c>
      <c r="AC51" s="106">
        <f t="shared" si="7"/>
        <v>-41.5</v>
      </c>
      <c r="AD51" s="106">
        <v>963</v>
      </c>
      <c r="AE51" s="107">
        <f t="shared" si="8"/>
        <v>-780</v>
      </c>
    </row>
    <row r="52" spans="14:31" ht="15.6" customHeight="1" x14ac:dyDescent="0.3">
      <c r="N52" s="212"/>
      <c r="O52" s="94" t="s">
        <v>68</v>
      </c>
      <c r="P52" s="108"/>
      <c r="Q52" s="108">
        <v>2118</v>
      </c>
      <c r="R52" s="108">
        <v>31</v>
      </c>
      <c r="S52" s="108">
        <f t="shared" si="2"/>
        <v>505</v>
      </c>
      <c r="T52" s="108">
        <v>1041</v>
      </c>
      <c r="U52" s="108">
        <f t="shared" si="3"/>
        <v>0</v>
      </c>
      <c r="V52" s="108">
        <v>1041</v>
      </c>
      <c r="W52" s="108">
        <f t="shared" si="4"/>
        <v>0</v>
      </c>
      <c r="X52" s="108">
        <v>1041</v>
      </c>
      <c r="Y52" s="108">
        <f t="shared" si="5"/>
        <v>0</v>
      </c>
      <c r="Z52" s="108">
        <v>1041</v>
      </c>
      <c r="AA52" s="108">
        <f t="shared" si="6"/>
        <v>0</v>
      </c>
      <c r="AB52" s="108">
        <v>1041</v>
      </c>
      <c r="AC52" s="108">
        <f t="shared" si="7"/>
        <v>0</v>
      </c>
      <c r="AD52" s="108">
        <v>1041</v>
      </c>
      <c r="AE52" s="109">
        <f t="shared" si="8"/>
        <v>-1077</v>
      </c>
    </row>
    <row r="53" spans="14:31" ht="15.6" customHeight="1" x14ac:dyDescent="0.3">
      <c r="N53" s="212"/>
      <c r="O53" s="95" t="s">
        <v>69</v>
      </c>
      <c r="P53" s="106"/>
      <c r="Q53" s="106">
        <v>2484.2676767676771</v>
      </c>
      <c r="R53" s="106">
        <v>346</v>
      </c>
      <c r="S53" s="106">
        <f t="shared" si="2"/>
        <v>-104</v>
      </c>
      <c r="T53" s="106">
        <v>138</v>
      </c>
      <c r="U53" s="106">
        <f t="shared" si="3"/>
        <v>84</v>
      </c>
      <c r="V53" s="106">
        <v>306</v>
      </c>
      <c r="W53" s="106">
        <f t="shared" si="4"/>
        <v>460.5</v>
      </c>
      <c r="X53" s="106">
        <v>1227</v>
      </c>
      <c r="Y53" s="106">
        <f t="shared" si="5"/>
        <v>78.5</v>
      </c>
      <c r="Z53" s="106">
        <v>1384</v>
      </c>
      <c r="AA53" s="106">
        <f t="shared" si="6"/>
        <v>60</v>
      </c>
      <c r="AB53" s="106">
        <v>1504</v>
      </c>
      <c r="AC53" s="106">
        <f t="shared" si="7"/>
        <v>15.5</v>
      </c>
      <c r="AD53" s="106">
        <v>1535</v>
      </c>
      <c r="AE53" s="107">
        <f t="shared" si="8"/>
        <v>-949.26767676767713</v>
      </c>
    </row>
    <row r="54" spans="14:31" ht="15.6" customHeight="1" x14ac:dyDescent="0.3">
      <c r="N54" s="212"/>
      <c r="O54" s="94" t="s">
        <v>70</v>
      </c>
      <c r="P54" s="108"/>
      <c r="Q54" s="108">
        <v>1846</v>
      </c>
      <c r="R54" s="108">
        <v>0</v>
      </c>
      <c r="S54" s="108">
        <f t="shared" si="2"/>
        <v>2</v>
      </c>
      <c r="T54" s="108">
        <v>4</v>
      </c>
      <c r="U54" s="108">
        <f t="shared" si="3"/>
        <v>0</v>
      </c>
      <c r="V54" s="108">
        <v>4</v>
      </c>
      <c r="W54" s="108">
        <f t="shared" si="4"/>
        <v>0</v>
      </c>
      <c r="X54" s="108">
        <v>4</v>
      </c>
      <c r="Y54" s="108">
        <f t="shared" si="5"/>
        <v>320</v>
      </c>
      <c r="Z54" s="108">
        <v>644</v>
      </c>
      <c r="AA54" s="108">
        <f t="shared" si="6"/>
        <v>346.5</v>
      </c>
      <c r="AB54" s="108">
        <v>1337</v>
      </c>
      <c r="AC54" s="108">
        <f t="shared" si="7"/>
        <v>0</v>
      </c>
      <c r="AD54" s="108">
        <v>1337</v>
      </c>
      <c r="AE54" s="109">
        <f t="shared" si="8"/>
        <v>-509</v>
      </c>
    </row>
    <row r="55" spans="14:31" ht="15.6" customHeight="1" x14ac:dyDescent="0.3">
      <c r="N55" s="212"/>
      <c r="O55" s="95" t="s">
        <v>71</v>
      </c>
      <c r="P55" s="106"/>
      <c r="Q55" s="106">
        <v>1990</v>
      </c>
      <c r="R55" s="106">
        <v>-299</v>
      </c>
      <c r="S55" s="106" t="str">
        <f t="shared" si="2"/>
        <v/>
      </c>
      <c r="T55" s="106">
        <v>-299</v>
      </c>
      <c r="U55" s="106">
        <f t="shared" si="3"/>
        <v>189.5</v>
      </c>
      <c r="V55" s="106">
        <v>80</v>
      </c>
      <c r="W55" s="106">
        <f t="shared" si="4"/>
        <v>347.5</v>
      </c>
      <c r="X55" s="106">
        <v>775</v>
      </c>
      <c r="Y55" s="106">
        <f t="shared" si="5"/>
        <v>0</v>
      </c>
      <c r="Z55" s="106">
        <v>775</v>
      </c>
      <c r="AA55" s="106">
        <f t="shared" si="6"/>
        <v>0</v>
      </c>
      <c r="AB55" s="106">
        <v>775</v>
      </c>
      <c r="AC55" s="106">
        <f t="shared" si="7"/>
        <v>0</v>
      </c>
      <c r="AD55" s="106">
        <v>775</v>
      </c>
      <c r="AE55" s="107">
        <f t="shared" si="8"/>
        <v>-1215</v>
      </c>
    </row>
    <row r="56" spans="14:31" ht="15.6" customHeight="1" x14ac:dyDescent="0.3">
      <c r="N56" s="212"/>
      <c r="O56" s="94" t="s">
        <v>72</v>
      </c>
      <c r="P56" s="108"/>
      <c r="Q56" s="108">
        <v>2890</v>
      </c>
      <c r="R56" s="108">
        <v>1202</v>
      </c>
      <c r="S56" s="108">
        <f t="shared" si="2"/>
        <v>0</v>
      </c>
      <c r="T56" s="108">
        <v>1202</v>
      </c>
      <c r="U56" s="108">
        <f t="shared" si="3"/>
        <v>600</v>
      </c>
      <c r="V56" s="108">
        <v>2402</v>
      </c>
      <c r="W56" s="108">
        <f t="shared" si="4"/>
        <v>0</v>
      </c>
      <c r="X56" s="108">
        <v>2402</v>
      </c>
      <c r="Y56" s="108">
        <f t="shared" si="5"/>
        <v>0</v>
      </c>
      <c r="Z56" s="108">
        <v>2402</v>
      </c>
      <c r="AA56" s="108">
        <f t="shared" si="6"/>
        <v>144</v>
      </c>
      <c r="AB56" s="108">
        <v>2690</v>
      </c>
      <c r="AC56" s="108">
        <f t="shared" si="7"/>
        <v>0</v>
      </c>
      <c r="AD56" s="108">
        <v>2690</v>
      </c>
      <c r="AE56" s="109">
        <f t="shared" si="8"/>
        <v>-200</v>
      </c>
    </row>
    <row r="57" spans="14:31" ht="15.6" customHeight="1" thickBot="1" x14ac:dyDescent="0.35">
      <c r="N57" s="213"/>
      <c r="O57" s="99" t="s">
        <v>73</v>
      </c>
      <c r="P57" s="114"/>
      <c r="Q57" s="114">
        <v>351</v>
      </c>
      <c r="R57" s="114">
        <v>0</v>
      </c>
      <c r="S57" s="114">
        <f t="shared" si="2"/>
        <v>1</v>
      </c>
      <c r="T57" s="114">
        <v>2</v>
      </c>
      <c r="U57" s="114">
        <f t="shared" si="3"/>
        <v>0</v>
      </c>
      <c r="V57" s="114">
        <v>2</v>
      </c>
      <c r="W57" s="114">
        <f t="shared" si="4"/>
        <v>0</v>
      </c>
      <c r="X57" s="114">
        <v>2</v>
      </c>
      <c r="Y57" s="114">
        <f t="shared" si="5"/>
        <v>0</v>
      </c>
      <c r="Z57" s="114">
        <v>2</v>
      </c>
      <c r="AA57" s="114">
        <f t="shared" si="6"/>
        <v>77</v>
      </c>
      <c r="AB57" s="114">
        <v>156</v>
      </c>
      <c r="AC57" s="114">
        <f t="shared" si="7"/>
        <v>0</v>
      </c>
      <c r="AD57" s="114">
        <v>156</v>
      </c>
      <c r="AE57" s="115">
        <f t="shared" si="8"/>
        <v>-195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6345</v>
      </c>
      <c r="R58" s="104">
        <v>264</v>
      </c>
      <c r="S58" s="104">
        <f t="shared" si="2"/>
        <v>263</v>
      </c>
      <c r="T58" s="104">
        <v>790</v>
      </c>
      <c r="U58" s="104">
        <f t="shared" si="3"/>
        <v>366</v>
      </c>
      <c r="V58" s="104">
        <v>1522</v>
      </c>
      <c r="W58" s="104">
        <f t="shared" si="4"/>
        <v>16</v>
      </c>
      <c r="X58" s="104">
        <v>1554</v>
      </c>
      <c r="Y58" s="104">
        <f t="shared" si="5"/>
        <v>676</v>
      </c>
      <c r="Z58" s="104">
        <v>2906</v>
      </c>
      <c r="AA58" s="104">
        <f t="shared" si="6"/>
        <v>278.5</v>
      </c>
      <c r="AB58" s="104">
        <v>3463</v>
      </c>
      <c r="AC58" s="104">
        <f t="shared" si="7"/>
        <v>0</v>
      </c>
      <c r="AD58" s="104">
        <v>3463</v>
      </c>
      <c r="AE58" s="105">
        <f t="shared" si="8"/>
        <v>-2882</v>
      </c>
    </row>
    <row r="59" spans="14:31" ht="15.6" customHeight="1" x14ac:dyDescent="0.3">
      <c r="N59" s="212"/>
      <c r="O59" s="95" t="s">
        <v>66</v>
      </c>
      <c r="P59" s="106"/>
      <c r="Q59" s="106">
        <v>5069.5263157894733</v>
      </c>
      <c r="R59" s="106">
        <v>998</v>
      </c>
      <c r="S59" s="106">
        <f t="shared" si="2"/>
        <v>153</v>
      </c>
      <c r="T59" s="106">
        <v>1304</v>
      </c>
      <c r="U59" s="106">
        <f t="shared" si="3"/>
        <v>202</v>
      </c>
      <c r="V59" s="106">
        <v>1708</v>
      </c>
      <c r="W59" s="106">
        <f t="shared" si="4"/>
        <v>126</v>
      </c>
      <c r="X59" s="106">
        <v>1960</v>
      </c>
      <c r="Y59" s="106">
        <f t="shared" si="5"/>
        <v>1020</v>
      </c>
      <c r="Z59" s="106">
        <v>4000</v>
      </c>
      <c r="AA59" s="106">
        <f t="shared" si="6"/>
        <v>70</v>
      </c>
      <c r="AB59" s="106">
        <v>4140</v>
      </c>
      <c r="AC59" s="106">
        <f t="shared" si="7"/>
        <v>0</v>
      </c>
      <c r="AD59" s="106">
        <v>4140</v>
      </c>
      <c r="AE59" s="107">
        <f t="shared" si="8"/>
        <v>-929.5263157894733</v>
      </c>
    </row>
    <row r="60" spans="14:31" ht="15.6" customHeight="1" x14ac:dyDescent="0.3">
      <c r="N60" s="212"/>
      <c r="O60" s="94" t="s">
        <v>67</v>
      </c>
      <c r="P60" s="108"/>
      <c r="Q60" s="108">
        <v>5057.4862204724413</v>
      </c>
      <c r="R60" s="108">
        <v>715</v>
      </c>
      <c r="S60" s="108">
        <f t="shared" si="2"/>
        <v>0</v>
      </c>
      <c r="T60" s="108">
        <v>715</v>
      </c>
      <c r="U60" s="108">
        <f t="shared" si="3"/>
        <v>124</v>
      </c>
      <c r="V60" s="108">
        <v>963</v>
      </c>
      <c r="W60" s="108">
        <f t="shared" si="4"/>
        <v>167.125</v>
      </c>
      <c r="X60" s="108">
        <v>1297.25</v>
      </c>
      <c r="Y60" s="108">
        <f t="shared" si="5"/>
        <v>325.5</v>
      </c>
      <c r="Z60" s="108">
        <v>1948.25</v>
      </c>
      <c r="AA60" s="108">
        <f t="shared" si="6"/>
        <v>342.5</v>
      </c>
      <c r="AB60" s="108">
        <v>2633.25</v>
      </c>
      <c r="AC60" s="108">
        <f t="shared" si="7"/>
        <v>0</v>
      </c>
      <c r="AD60" s="108">
        <v>2633.25</v>
      </c>
      <c r="AE60" s="109">
        <f t="shared" si="8"/>
        <v>-2424.2362204724413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8305.4904003753927</v>
      </c>
      <c r="R62" s="104">
        <v>955</v>
      </c>
      <c r="S62" s="104">
        <f t="shared" si="2"/>
        <v>0</v>
      </c>
      <c r="T62" s="104">
        <v>955</v>
      </c>
      <c r="U62" s="104">
        <f t="shared" si="3"/>
        <v>0</v>
      </c>
      <c r="V62" s="104">
        <v>955</v>
      </c>
      <c r="W62" s="104">
        <f t="shared" si="4"/>
        <v>169.5</v>
      </c>
      <c r="X62" s="104">
        <v>1294</v>
      </c>
      <c r="Y62" s="104">
        <f t="shared" si="5"/>
        <v>0</v>
      </c>
      <c r="Z62" s="104">
        <v>1294</v>
      </c>
      <c r="AA62" s="104">
        <f t="shared" si="6"/>
        <v>0</v>
      </c>
      <c r="AB62" s="104">
        <v>1294</v>
      </c>
      <c r="AC62" s="104">
        <f t="shared" si="7"/>
        <v>0</v>
      </c>
      <c r="AD62" s="104">
        <v>1294</v>
      </c>
      <c r="AE62" s="105">
        <f t="shared" si="8"/>
        <v>-7011.4904003753927</v>
      </c>
    </row>
    <row r="63" spans="14:31" ht="15.6" customHeight="1" x14ac:dyDescent="0.3">
      <c r="N63" s="212"/>
      <c r="O63" s="95" t="s">
        <v>66</v>
      </c>
      <c r="P63" s="106"/>
      <c r="Q63" s="106">
        <v>8116</v>
      </c>
      <c r="R63" s="106">
        <v>905</v>
      </c>
      <c r="S63" s="106">
        <f t="shared" si="2"/>
        <v>623.5</v>
      </c>
      <c r="T63" s="106">
        <v>2152</v>
      </c>
      <c r="U63" s="106">
        <f t="shared" si="3"/>
        <v>499.5</v>
      </c>
      <c r="V63" s="106">
        <v>3151</v>
      </c>
      <c r="W63" s="106">
        <f t="shared" si="4"/>
        <v>140.5</v>
      </c>
      <c r="X63" s="106">
        <v>3432</v>
      </c>
      <c r="Y63" s="106">
        <f t="shared" si="5"/>
        <v>362</v>
      </c>
      <c r="Z63" s="106">
        <v>4156</v>
      </c>
      <c r="AA63" s="106">
        <f t="shared" si="6"/>
        <v>0</v>
      </c>
      <c r="AB63" s="106">
        <v>4156</v>
      </c>
      <c r="AC63" s="106">
        <f t="shared" si="7"/>
        <v>0</v>
      </c>
      <c r="AD63" s="106">
        <v>4156</v>
      </c>
      <c r="AE63" s="107">
        <f t="shared" si="8"/>
        <v>-3960</v>
      </c>
    </row>
    <row r="64" spans="14:31" ht="15.6" customHeight="1" x14ac:dyDescent="0.3">
      <c r="N64" s="212"/>
      <c r="O64" s="94" t="s">
        <v>67</v>
      </c>
      <c r="P64" s="108"/>
      <c r="Q64" s="108">
        <v>7382.7950819672133</v>
      </c>
      <c r="R64" s="108">
        <v>528</v>
      </c>
      <c r="S64" s="108">
        <f t="shared" si="2"/>
        <v>694.5</v>
      </c>
      <c r="T64" s="108">
        <v>1917</v>
      </c>
      <c r="U64" s="108">
        <f t="shared" si="3"/>
        <v>416</v>
      </c>
      <c r="V64" s="108">
        <v>2749</v>
      </c>
      <c r="W64" s="108">
        <f t="shared" si="4"/>
        <v>283.5</v>
      </c>
      <c r="X64" s="108">
        <v>3316</v>
      </c>
      <c r="Y64" s="108">
        <f t="shared" si="5"/>
        <v>240.5</v>
      </c>
      <c r="Z64" s="108">
        <v>3797</v>
      </c>
      <c r="AA64" s="108">
        <f t="shared" si="6"/>
        <v>0</v>
      </c>
      <c r="AB64" s="108">
        <v>3797</v>
      </c>
      <c r="AC64" s="108">
        <f t="shared" si="7"/>
        <v>-55.5</v>
      </c>
      <c r="AD64" s="108">
        <v>3686</v>
      </c>
      <c r="AE64" s="109">
        <f t="shared" si="8"/>
        <v>-3696.7950819672133</v>
      </c>
    </row>
    <row r="65" spans="14:31" ht="15.6" customHeight="1" thickBot="1" x14ac:dyDescent="0.35">
      <c r="N65" s="213"/>
      <c r="O65" s="99" t="s">
        <v>68</v>
      </c>
      <c r="P65" s="114"/>
      <c r="Q65" s="114">
        <v>3331.455454278153</v>
      </c>
      <c r="R65" s="114">
        <v>469</v>
      </c>
      <c r="S65" s="114">
        <f t="shared" si="2"/>
        <v>120</v>
      </c>
      <c r="T65" s="114">
        <v>709</v>
      </c>
      <c r="U65" s="114">
        <f t="shared" si="3"/>
        <v>49.5</v>
      </c>
      <c r="V65" s="114">
        <v>808</v>
      </c>
      <c r="W65" s="114">
        <f t="shared" si="4"/>
        <v>149</v>
      </c>
      <c r="X65" s="114">
        <v>1106</v>
      </c>
      <c r="Y65" s="114">
        <f t="shared" si="5"/>
        <v>91.5</v>
      </c>
      <c r="Z65" s="114">
        <v>1289</v>
      </c>
      <c r="AA65" s="114">
        <f t="shared" si="6"/>
        <v>0</v>
      </c>
      <c r="AB65" s="114">
        <v>1289</v>
      </c>
      <c r="AC65" s="114">
        <f t="shared" si="7"/>
        <v>0</v>
      </c>
      <c r="AD65" s="114">
        <v>1289</v>
      </c>
      <c r="AE65" s="115">
        <f t="shared" si="8"/>
        <v>-2042.455454278153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03" priority="11" operator="lessThan">
      <formula>0</formula>
    </cfRule>
    <cfRule type="cellIs" dxfId="1702" priority="12" operator="greaterThan">
      <formula>0</formula>
    </cfRule>
  </conditionalFormatting>
  <conditionalFormatting sqref="R25:AC25">
    <cfRule type="cellIs" dxfId="1701" priority="9" operator="lessThan">
      <formula>0</formula>
    </cfRule>
    <cfRule type="cellIs" dxfId="1700" priority="10" operator="greaterThan">
      <formula>0</formula>
    </cfRule>
  </conditionalFormatting>
  <conditionalFormatting sqref="R26 T26 V26 X26 Z26 AB26">
    <cfRule type="cellIs" dxfId="1699" priority="7" operator="lessThan">
      <formula>0</formula>
    </cfRule>
    <cfRule type="cellIs" dxfId="1698" priority="8" operator="greaterThan">
      <formula>0</formula>
    </cfRule>
  </conditionalFormatting>
  <conditionalFormatting sqref="AD24:AE24">
    <cfRule type="cellIs" dxfId="1697" priority="5" operator="lessThan">
      <formula>0</formula>
    </cfRule>
    <cfRule type="cellIs" dxfId="1696" priority="6" operator="greaterThan">
      <formula>0</formula>
    </cfRule>
  </conditionalFormatting>
  <conditionalFormatting sqref="AD25:AE25">
    <cfRule type="cellIs" dxfId="1695" priority="3" operator="lessThan">
      <formula>0</formula>
    </cfRule>
    <cfRule type="cellIs" dxfId="1694" priority="4" operator="greaterThan">
      <formula>0</formula>
    </cfRule>
  </conditionalFormatting>
  <conditionalFormatting sqref="AD26">
    <cfRule type="cellIs" dxfId="1693" priority="1" operator="lessThan">
      <formula>0</formula>
    </cfRule>
    <cfRule type="cellIs" dxfId="16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1"/>
    <pageSetUpPr fitToPage="1"/>
  </sheetPr>
  <dimension ref="B1:AQ65"/>
  <sheetViews>
    <sheetView topLeftCell="H1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44377</v>
      </c>
    </row>
    <row r="3" spans="2:42" ht="18.75" customHeight="1" thickBot="1" x14ac:dyDescent="0.35">
      <c r="B3" t="s">
        <v>1</v>
      </c>
      <c r="C3" s="3">
        <f>C2+1</f>
        <v>44378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18981.41358024691</v>
      </c>
      <c r="G6" s="117">
        <v>16007.964469907411</v>
      </c>
      <c r="H6" s="117">
        <v>11388.40327014741</v>
      </c>
      <c r="I6" s="19">
        <f>G6+H6</f>
        <v>27396.367740054819</v>
      </c>
      <c r="J6" s="119">
        <v>22686</v>
      </c>
      <c r="K6" s="117">
        <v>19250.059625000002</v>
      </c>
      <c r="L6" s="117">
        <v>15168.816783300001</v>
      </c>
      <c r="M6" s="19">
        <f>K6+L6</f>
        <v>34418.876408299999</v>
      </c>
      <c r="N6" s="85">
        <v>59</v>
      </c>
      <c r="O6" s="85">
        <v>51</v>
      </c>
      <c r="P6" s="92"/>
      <c r="Q6" s="20">
        <f>J6-P6</f>
        <v>22686</v>
      </c>
      <c r="R6" s="21">
        <v>1376</v>
      </c>
      <c r="S6" s="20">
        <f>IF(R6&gt;0,(R6-R7-$Q6),"")</f>
        <v>-21311</v>
      </c>
      <c r="T6" s="21">
        <v>3182</v>
      </c>
      <c r="U6" s="20">
        <f>IF(T6&gt;0,(T6-T7-$Q6),"")</f>
        <v>-19505</v>
      </c>
      <c r="V6" s="21">
        <v>7582</v>
      </c>
      <c r="W6" s="20">
        <f>IF(V6&gt;0,(V6-V7-$Q6),"")</f>
        <v>-15111</v>
      </c>
      <c r="X6" s="21">
        <v>11799</v>
      </c>
      <c r="Y6" s="20">
        <f>IF(X6&gt;0,(X6-X7-$Q6),"")</f>
        <v>-11493</v>
      </c>
      <c r="Z6" s="21">
        <v>15693</v>
      </c>
      <c r="AA6" s="20">
        <f>IF(Z6&gt;0,(Z6-Z7-$Q6),"")</f>
        <v>-7615</v>
      </c>
      <c r="AB6" s="21">
        <v>15693</v>
      </c>
      <c r="AC6" s="22">
        <f>IF(AB6&gt;0,(AB6-AB7-$Q6),"")</f>
        <v>-7615</v>
      </c>
      <c r="AD6" s="21">
        <v>15693</v>
      </c>
      <c r="AE6" s="22">
        <f>IF(AD6&gt;0,(AD6-AD7-$Q6),"")</f>
        <v>-7615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1</v>
      </c>
      <c r="S7" s="24"/>
      <c r="T7" s="25">
        <v>1</v>
      </c>
      <c r="U7" s="24"/>
      <c r="V7" s="25">
        <v>7</v>
      </c>
      <c r="W7" s="24"/>
      <c r="X7" s="25">
        <v>606</v>
      </c>
      <c r="Y7" s="24"/>
      <c r="Z7" s="25">
        <v>622</v>
      </c>
      <c r="AA7" s="24"/>
      <c r="AB7" s="25">
        <v>622</v>
      </c>
      <c r="AC7" s="26"/>
      <c r="AD7" s="25">
        <v>622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2657</v>
      </c>
      <c r="E8" s="29" t="s">
        <v>27</v>
      </c>
      <c r="F8" s="119">
        <v>16975</v>
      </c>
      <c r="G8" s="117">
        <v>7255.1374999999998</v>
      </c>
      <c r="H8" s="117">
        <v>1600.7319766000001</v>
      </c>
      <c r="I8" s="19">
        <f>G8+H8</f>
        <v>8855.8694766000008</v>
      </c>
      <c r="J8" s="119">
        <v>16148</v>
      </c>
      <c r="K8" s="117">
        <v>6877.2640000000001</v>
      </c>
      <c r="L8" s="117">
        <v>1599.0182385400001</v>
      </c>
      <c r="M8" s="19">
        <f>K8+L8</f>
        <v>8476.2822385399995</v>
      </c>
      <c r="N8" s="87">
        <v>23</v>
      </c>
      <c r="O8" s="87">
        <v>22</v>
      </c>
      <c r="P8" s="92"/>
      <c r="Q8" s="20">
        <f>J8-P8</f>
        <v>16148</v>
      </c>
      <c r="R8" s="21">
        <v>1000</v>
      </c>
      <c r="S8" s="20">
        <f>IF(R8&gt;0,(R8-R9-$Q8),"")</f>
        <v>-15148</v>
      </c>
      <c r="T8" s="21">
        <v>3002</v>
      </c>
      <c r="U8" s="20">
        <f>IF(T8&gt;0,(T8-T9-$Q8),"")</f>
        <v>-13146</v>
      </c>
      <c r="V8" s="21">
        <v>14693</v>
      </c>
      <c r="W8" s="20">
        <f>IF(V8&gt;0,(V8-V9-$Q8),"")</f>
        <v>-1455</v>
      </c>
      <c r="X8" s="21">
        <v>14693</v>
      </c>
      <c r="Y8" s="20">
        <f>IF(X8&gt;0,(X8-X9-$Q8),"")</f>
        <v>-1455</v>
      </c>
      <c r="Z8" s="21">
        <v>15594</v>
      </c>
      <c r="AA8" s="20">
        <f>IF(Z8&gt;0,(Z8-Z9-$Q8),"")</f>
        <v>-554</v>
      </c>
      <c r="AB8" s="21">
        <v>15594</v>
      </c>
      <c r="AC8" s="22">
        <f>IF(AB8&gt;0,(AB8-AB9-$Q8),"")</f>
        <v>-554</v>
      </c>
      <c r="AD8" s="21">
        <v>15594</v>
      </c>
      <c r="AE8" s="22">
        <f>IF(AD8&gt;0,(AD8-AD9-$Q8),"")</f>
        <v>-554</v>
      </c>
    </row>
    <row r="9" spans="2:42" x14ac:dyDescent="0.3">
      <c r="B9" s="28" t="s">
        <v>28</v>
      </c>
      <c r="C9" s="17">
        <v>1814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5759</v>
      </c>
      <c r="E10" s="18" t="s">
        <v>31</v>
      </c>
      <c r="F10" s="119">
        <v>9407.4937654845144</v>
      </c>
      <c r="G10" s="117">
        <v>7411.5681959862013</v>
      </c>
      <c r="H10" s="117">
        <v>2199.0808324999998</v>
      </c>
      <c r="I10" s="19">
        <f>G10+H10</f>
        <v>9610.6490284862011</v>
      </c>
      <c r="J10" s="119">
        <v>10257.248231132069</v>
      </c>
      <c r="K10" s="117">
        <v>8206.4373944575473</v>
      </c>
      <c r="L10" s="117">
        <v>2106.334065</v>
      </c>
      <c r="M10" s="19">
        <f>K10+L10</f>
        <v>10312.771459457548</v>
      </c>
      <c r="N10" s="88">
        <v>43</v>
      </c>
      <c r="O10" s="88">
        <v>34</v>
      </c>
      <c r="P10" s="92"/>
      <c r="Q10" s="20">
        <f>J10-P10</f>
        <v>10257.248231132069</v>
      </c>
      <c r="R10" s="21">
        <v>132</v>
      </c>
      <c r="S10" s="20">
        <f>IF(R10&gt;0,(R10-R11-$Q10),"")</f>
        <v>-10208.248231132069</v>
      </c>
      <c r="T10" s="21">
        <v>378</v>
      </c>
      <c r="U10" s="20">
        <f>IF(T10&gt;0,(T10-T11-$Q10),"")</f>
        <v>-10185.248231132069</v>
      </c>
      <c r="V10" s="21">
        <v>1494</v>
      </c>
      <c r="W10" s="20">
        <f>IF(V10&gt;0,(V10-V11-$Q10),"")</f>
        <v>-9518.2482311320691</v>
      </c>
      <c r="X10" s="21">
        <v>4320</v>
      </c>
      <c r="Y10" s="20">
        <f>IF(X10&gt;0,(X10-X11-$Q10),"")</f>
        <v>-6941.2482311320691</v>
      </c>
      <c r="Z10" s="21">
        <v>5566</v>
      </c>
      <c r="AA10" s="20">
        <f>IF(Z10&gt;0,(Z10-Z11-$Q10),"")</f>
        <v>-6227.2482311320691</v>
      </c>
      <c r="AB10" s="21">
        <v>5566</v>
      </c>
      <c r="AC10" s="22">
        <f>IF(AB10&gt;0,(AB10-AB11-$Q10),"")</f>
        <v>-6227.2482311320691</v>
      </c>
      <c r="AD10" s="21">
        <v>5566</v>
      </c>
      <c r="AE10" s="22">
        <f>IF(AD10&gt;0,(AD10-AD11-$Q10),"")</f>
        <v>-6227.2482311320691</v>
      </c>
    </row>
    <row r="11" spans="2:42" x14ac:dyDescent="0.3">
      <c r="B11" s="16" t="s">
        <v>32</v>
      </c>
      <c r="C11" s="17">
        <v>2090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83</v>
      </c>
      <c r="S11" s="24"/>
      <c r="T11" s="30">
        <v>306</v>
      </c>
      <c r="U11" s="24"/>
      <c r="V11" s="30">
        <v>755</v>
      </c>
      <c r="W11" s="24"/>
      <c r="X11" s="30">
        <v>1004</v>
      </c>
      <c r="Y11" s="24"/>
      <c r="Z11" s="30">
        <v>1536</v>
      </c>
      <c r="AA11" s="24"/>
      <c r="AB11" s="30">
        <v>1536</v>
      </c>
      <c r="AC11" s="26"/>
      <c r="AD11" s="30">
        <v>1536</v>
      </c>
      <c r="AE11" s="26"/>
    </row>
    <row r="12" spans="2:42" x14ac:dyDescent="0.3">
      <c r="B12" s="16" t="s">
        <v>34</v>
      </c>
      <c r="C12" s="17">
        <v>1775</v>
      </c>
      <c r="E12" s="29" t="s">
        <v>35</v>
      </c>
      <c r="F12" s="119">
        <v>14893.86641678313</v>
      </c>
      <c r="G12" s="117">
        <v>13076.508023988279</v>
      </c>
      <c r="H12" s="117">
        <v>16433.775411558549</v>
      </c>
      <c r="I12" s="19">
        <f>G12+H12</f>
        <v>29510.283435546829</v>
      </c>
      <c r="J12" s="119">
        <v>16957.634146341461</v>
      </c>
      <c r="K12" s="117">
        <v>15932.58759146342</v>
      </c>
      <c r="L12" s="117">
        <v>19368.194388353761</v>
      </c>
      <c r="M12" s="19">
        <f>K12+L12</f>
        <v>35300.781979817184</v>
      </c>
      <c r="N12" s="88">
        <v>46</v>
      </c>
      <c r="O12" s="88">
        <v>36</v>
      </c>
      <c r="P12" s="92"/>
      <c r="Q12" s="20">
        <f>J12-P12</f>
        <v>16957.634146341461</v>
      </c>
      <c r="R12" s="21">
        <v>1912</v>
      </c>
      <c r="S12" s="20">
        <f>IF(R12&gt;0,(R12-R13-$Q12),"")</f>
        <v>-15966.634146341461</v>
      </c>
      <c r="T12" s="21">
        <v>3182</v>
      </c>
      <c r="U12" s="20">
        <f>IF(T12&gt;0,(T12-T13-$Q12),"")</f>
        <v>-14788.634146341461</v>
      </c>
      <c r="V12" s="21">
        <v>4615</v>
      </c>
      <c r="W12" s="20">
        <f>IF(V12&gt;0,(V12-V13-$Q12),"")</f>
        <v>-13355.634146341461</v>
      </c>
      <c r="X12" s="21">
        <v>9078</v>
      </c>
      <c r="Y12" s="20">
        <f>IF(X12&gt;0,(X12-X13-$Q12),"")</f>
        <v>-8980.634146341461</v>
      </c>
      <c r="Z12" s="21">
        <v>13032</v>
      </c>
      <c r="AA12" s="20">
        <f>IF(Z12&gt;0,(Z12-Z13-$Q12),"")</f>
        <v>-5028.634146341461</v>
      </c>
      <c r="AB12" s="21">
        <v>13032</v>
      </c>
      <c r="AC12" s="22">
        <f>IF(AB12&gt;0,(AB12-AB13-$Q12),"")</f>
        <v>-5028.634146341461</v>
      </c>
      <c r="AD12" s="21">
        <v>13032</v>
      </c>
      <c r="AE12" s="22">
        <f>IF(AD12&gt;0,(AD12-AD13-$Q12),"")</f>
        <v>-5028.634146341461</v>
      </c>
    </row>
    <row r="13" spans="2:42" x14ac:dyDescent="0.3">
      <c r="B13" s="16" t="s">
        <v>36</v>
      </c>
      <c r="C13" s="17">
        <v>5266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921</v>
      </c>
      <c r="S13" s="24"/>
      <c r="T13" s="30">
        <v>1013</v>
      </c>
      <c r="U13" s="24"/>
      <c r="V13" s="30">
        <v>1013</v>
      </c>
      <c r="W13" s="24"/>
      <c r="X13" s="30">
        <v>1101</v>
      </c>
      <c r="Y13" s="24"/>
      <c r="Z13" s="30">
        <v>1103</v>
      </c>
      <c r="AA13" s="24"/>
      <c r="AB13" s="30">
        <v>1103</v>
      </c>
      <c r="AC13" s="26"/>
      <c r="AD13" s="30">
        <v>1103</v>
      </c>
      <c r="AE13" s="26"/>
    </row>
    <row r="14" spans="2:42" x14ac:dyDescent="0.3">
      <c r="B14" s="16" t="s">
        <v>38</v>
      </c>
      <c r="C14" s="17">
        <v>10138</v>
      </c>
      <c r="E14" s="18" t="s">
        <v>39</v>
      </c>
      <c r="F14" s="119">
        <v>23363.29787408045</v>
      </c>
      <c r="G14" s="117">
        <v>19635.429630913921</v>
      </c>
      <c r="H14" s="117">
        <v>21939.86266477438</v>
      </c>
      <c r="I14" s="19">
        <f>G14+H14</f>
        <v>41575.292295688298</v>
      </c>
      <c r="J14" s="119">
        <v>23363.29787408045</v>
      </c>
      <c r="K14" s="117">
        <v>19635.429630913921</v>
      </c>
      <c r="L14" s="117">
        <v>21920.862664774391</v>
      </c>
      <c r="M14" s="19">
        <f>K14+L14</f>
        <v>41556.292295688312</v>
      </c>
      <c r="N14" s="88">
        <v>61</v>
      </c>
      <c r="O14" s="88">
        <v>45</v>
      </c>
      <c r="P14" s="92"/>
      <c r="Q14" s="20">
        <f>J14-P14</f>
        <v>23363.29787408045</v>
      </c>
      <c r="R14" s="21">
        <v>4729</v>
      </c>
      <c r="S14" s="20">
        <f>IF(R14&gt;0,(R14-R15-$Q14),"")</f>
        <v>-22865.29787408045</v>
      </c>
      <c r="T14" s="21">
        <v>7864</v>
      </c>
      <c r="U14" s="20">
        <f>IF(T14&gt;0,(T14-T15-$Q14),"")</f>
        <v>-22300.29787408045</v>
      </c>
      <c r="V14" s="21">
        <v>9943</v>
      </c>
      <c r="W14" s="20">
        <f>IF(V14&gt;0,(V14-V15-$Q14),"")</f>
        <v>-22062.29787408045</v>
      </c>
      <c r="X14" s="21">
        <v>12856</v>
      </c>
      <c r="Y14" s="20">
        <f>IF(X14&gt;0,(X14-X15-$Q14),"")</f>
        <v>-21445.29787408045</v>
      </c>
      <c r="Z14" s="21">
        <v>14737</v>
      </c>
      <c r="AA14" s="20">
        <f>IF(Z14&gt;0,(Z14-Z15-$Q14),"")</f>
        <v>-20708.29787408045</v>
      </c>
      <c r="AB14" s="21">
        <v>16418</v>
      </c>
      <c r="AC14" s="22">
        <f>IF(AB14&gt;0,(AB14-AB15-$Q14),"")</f>
        <v>-19168.29787408045</v>
      </c>
      <c r="AD14" s="21">
        <v>16668</v>
      </c>
      <c r="AE14" s="22">
        <f>IF(AD14&gt;0,(AD14-AD15-$Q14),"")</f>
        <v>-18883.29787408045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4231</v>
      </c>
      <c r="S15" s="24"/>
      <c r="T15" s="25">
        <v>6801</v>
      </c>
      <c r="U15" s="24"/>
      <c r="V15" s="25">
        <v>8642</v>
      </c>
      <c r="W15" s="24"/>
      <c r="X15" s="25">
        <v>10938</v>
      </c>
      <c r="Y15" s="24"/>
      <c r="Z15" s="25">
        <v>12082</v>
      </c>
      <c r="AA15" s="24"/>
      <c r="AB15" s="25">
        <v>12223</v>
      </c>
      <c r="AC15" s="26"/>
      <c r="AD15" s="25">
        <v>12188</v>
      </c>
      <c r="AE15" s="26"/>
    </row>
    <row r="16" spans="2:42" ht="15" customHeight="1" thickBot="1" x14ac:dyDescent="0.35">
      <c r="B16" s="28" t="s">
        <v>42</v>
      </c>
      <c r="C16" s="17">
        <v>15768</v>
      </c>
      <c r="E16" s="84"/>
      <c r="F16" s="31">
        <f t="shared" ref="F16:M16" si="0">SUM(F6:F15)</f>
        <v>83621.071636595007</v>
      </c>
      <c r="G16" s="31">
        <f t="shared" si="0"/>
        <v>63386.607820795805</v>
      </c>
      <c r="H16" s="31">
        <f t="shared" si="0"/>
        <v>53561.854155580339</v>
      </c>
      <c r="I16" s="32">
        <f t="shared" si="0"/>
        <v>116948.46197637614</v>
      </c>
      <c r="J16" s="33">
        <f t="shared" si="0"/>
        <v>89412.180251553989</v>
      </c>
      <c r="K16" s="33">
        <f t="shared" si="0"/>
        <v>69901.77824183488</v>
      </c>
      <c r="L16" s="33">
        <f t="shared" si="0"/>
        <v>60163.226139968159</v>
      </c>
      <c r="M16" s="33">
        <f t="shared" si="0"/>
        <v>130065.00438180304</v>
      </c>
      <c r="N16" s="31">
        <f>SUM(N14,N12,N10,N8,N6)</f>
        <v>232</v>
      </c>
      <c r="O16" s="31">
        <f>SUM(O14,O12,O10,O8,O6)</f>
        <v>188</v>
      </c>
      <c r="P16" s="34">
        <f>SUM(P6:P15)</f>
        <v>0</v>
      </c>
      <c r="Q16" s="34">
        <f>SUM(Q6:Q15)</f>
        <v>89412.180251553989</v>
      </c>
      <c r="R16" s="35">
        <f>R6+R8+R10+R12+R14-R7-R9-R11-R13-R15</f>
        <v>3913</v>
      </c>
      <c r="S16" s="36">
        <f>IF(R16&gt;1,(R16-$Q16),"")</f>
        <v>-85499.180251553989</v>
      </c>
      <c r="T16" s="35">
        <f>T6+T8+T10+T12+T14-T7-T9-T11-T13-T15</f>
        <v>9487</v>
      </c>
      <c r="U16" s="36">
        <f>IF(T16&gt;1,(T16-$Q16),"")</f>
        <v>-79925.180251553989</v>
      </c>
      <c r="V16" s="35">
        <f>V6+V8+V10+V12+V14-V7-V9-V11-V13-V15</f>
        <v>27910</v>
      </c>
      <c r="W16" s="36">
        <f>IF(V16&gt;1,(V16-$Q16),"")</f>
        <v>-61502.180251553989</v>
      </c>
      <c r="X16" s="35">
        <f>X6+X8+X10+X12+X14-X7-X9-X11-X13-X15</f>
        <v>39097</v>
      </c>
      <c r="Y16" s="36">
        <f>IF(X16&gt;1,(X16-$Q16),"")</f>
        <v>-50315.180251553989</v>
      </c>
      <c r="Z16" s="35">
        <f>Z6+Z8+Z10+Z12+Z14-Z7-Z9-Z11-Z13-Z15</f>
        <v>49279</v>
      </c>
      <c r="AA16" s="36">
        <f>IF(Z16&gt;1,(Z16-$Q16),"")</f>
        <v>-40133.180251553989</v>
      </c>
      <c r="AB16" s="35">
        <f>AB6+AB8+AB10+AB12+AB14-AB7-AB9-AB11-AB13-AB15</f>
        <v>50819</v>
      </c>
      <c r="AC16" s="37">
        <f>IF(AB16&gt;1,(AB16-$Q16),"")</f>
        <v>-38593.180251553989</v>
      </c>
      <c r="AD16" s="35">
        <f>AD6+AD8+AD10+AD12+AD14-AD7-AD9-AD11-AD13-AD15</f>
        <v>51104</v>
      </c>
      <c r="AE16" s="37">
        <f>IF(AD16&gt;1,(AD16-$Q16),"")</f>
        <v>-38308.180251553989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5236</v>
      </c>
      <c r="S17" s="41"/>
      <c r="T17" s="40">
        <f>T15+T13+T11+T9+T7</f>
        <v>8121</v>
      </c>
      <c r="U17" s="41"/>
      <c r="V17" s="40">
        <f>V15+V13+V11+V9+V7</f>
        <v>10417</v>
      </c>
      <c r="W17" s="41"/>
      <c r="X17" s="40">
        <f>X15+X13+X11+X9+X7</f>
        <v>13649</v>
      </c>
      <c r="Y17" s="41"/>
      <c r="Z17" s="40">
        <f>Z15+Z13+Z11+Z9+Z7</f>
        <v>15343</v>
      </c>
      <c r="AA17" s="41"/>
      <c r="AB17" s="40">
        <f>AB15+AB13+AB11+AB9+AB7</f>
        <v>15484</v>
      </c>
      <c r="AC17" s="42"/>
      <c r="AD17" s="40">
        <f>AD15+AD13+AD11+AD9+AD7</f>
        <v>15449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1956.5</v>
      </c>
      <c r="S18" s="46"/>
      <c r="T18" s="47">
        <f>IF(T16&gt;0,(T16-R16)/2,"")</f>
        <v>2787</v>
      </c>
      <c r="U18" s="46"/>
      <c r="V18" s="47">
        <f>IF(V16&gt;0,(V16-T16)/2,"")</f>
        <v>9211.5</v>
      </c>
      <c r="W18" s="46"/>
      <c r="X18" s="47">
        <f>IF(X16&gt;0,(X16-V16)/2,"")</f>
        <v>5593.5</v>
      </c>
      <c r="Y18" s="46"/>
      <c r="Z18" s="47">
        <f>IF(Z16&gt;0,(Z16-X16)/2,"")</f>
        <v>5091</v>
      </c>
      <c r="AA18" s="46"/>
      <c r="AB18" s="47">
        <f>IF(AB16&gt;0,(AB16-Z16)/2,"")</f>
        <v>770</v>
      </c>
      <c r="AC18" s="48"/>
      <c r="AD18" s="47">
        <f>IF(AD16&gt;0,(AD16-AB16)/2,"")</f>
        <v>142.5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7873</v>
      </c>
      <c r="S20" s="36"/>
      <c r="T20" s="35">
        <v>26246</v>
      </c>
      <c r="U20" s="36"/>
      <c r="V20" s="35">
        <v>33451</v>
      </c>
      <c r="W20" s="36"/>
      <c r="X20" s="35">
        <v>41974</v>
      </c>
      <c r="Y20" s="36"/>
      <c r="Z20" s="35">
        <v>50043</v>
      </c>
      <c r="AA20" s="36"/>
      <c r="AB20" s="35">
        <v>52986</v>
      </c>
      <c r="AC20" s="37"/>
      <c r="AD20" s="35">
        <v>52875</v>
      </c>
      <c r="AE20" s="37">
        <v>-44846.281653852027</v>
      </c>
    </row>
    <row r="21" spans="2:43" ht="15" customHeight="1" thickBot="1" x14ac:dyDescent="0.35">
      <c r="B21" s="16" t="s">
        <v>50</v>
      </c>
      <c r="C21" s="17">
        <v>8276</v>
      </c>
      <c r="L21" s="4"/>
      <c r="M21" s="4"/>
      <c r="Q21" s="52"/>
      <c r="R21" s="40">
        <v>3718</v>
      </c>
      <c r="S21" s="41"/>
      <c r="T21" s="40">
        <v>6227</v>
      </c>
      <c r="U21" s="41"/>
      <c r="V21" s="40">
        <v>8186</v>
      </c>
      <c r="W21" s="41"/>
      <c r="X21" s="40">
        <v>9742.25</v>
      </c>
      <c r="Y21" s="41"/>
      <c r="Z21" s="40">
        <v>9750.25</v>
      </c>
      <c r="AA21" s="41"/>
      <c r="AB21" s="40">
        <v>10035.25</v>
      </c>
      <c r="AC21" s="42"/>
      <c r="AD21" s="40">
        <v>9983.25</v>
      </c>
      <c r="AE21" s="42"/>
    </row>
    <row r="22" spans="2:43" ht="15" customHeight="1" thickBot="1" x14ac:dyDescent="0.35">
      <c r="B22" s="16" t="s">
        <v>51</v>
      </c>
      <c r="C22" s="17">
        <v>2415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35">
      <c r="B23" s="57" t="s">
        <v>52</v>
      </c>
      <c r="C23" s="58">
        <v>4903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-3960</v>
      </c>
      <c r="S24" s="60"/>
      <c r="T24" s="60">
        <f>IF(T16&gt;0,T16-T20,"")</f>
        <v>-16759</v>
      </c>
      <c r="U24" s="60"/>
      <c r="V24" s="60">
        <f>IF(V16&gt;0,V16-V20,"")</f>
        <v>-5541</v>
      </c>
      <c r="W24" s="60"/>
      <c r="X24" s="60">
        <f>IF(X16&gt;0,X16-X20,"")</f>
        <v>-2877</v>
      </c>
      <c r="Y24" s="60"/>
      <c r="Z24" s="60">
        <f>IF(Z16&gt;0,Z16-Z20,"")</f>
        <v>-764</v>
      </c>
      <c r="AA24" s="60"/>
      <c r="AB24" s="60">
        <f>IF(AB16&gt;0,AB16-AB20,"")</f>
        <v>-2167</v>
      </c>
      <c r="AC24" s="61"/>
      <c r="AD24" s="60">
        <f>IF(AD16&gt;0,AD16-AD20,"")</f>
        <v>-1771</v>
      </c>
      <c r="AE24" s="61"/>
    </row>
    <row r="25" spans="2:43" x14ac:dyDescent="0.3">
      <c r="L25" s="4"/>
      <c r="M25" s="4"/>
      <c r="Q25" s="62"/>
      <c r="R25" s="63">
        <f>IF(R17&gt;=0,R17-R21,"")</f>
        <v>1518</v>
      </c>
      <c r="S25" s="64"/>
      <c r="T25" s="63">
        <f>IF(T17&gt;=0,T17-T21,"")</f>
        <v>1894</v>
      </c>
      <c r="U25" s="64"/>
      <c r="V25" s="63">
        <f>IF(V17&gt;=0,V17-V21,"")</f>
        <v>2231</v>
      </c>
      <c r="W25" s="64"/>
      <c r="X25" s="63">
        <f>IF(X17&gt;=0,X17-X21,"")</f>
        <v>3906.75</v>
      </c>
      <c r="Y25" s="64"/>
      <c r="Z25" s="63">
        <f>IF(Z17&gt;=0,Z17-Z21,"")</f>
        <v>5592.75</v>
      </c>
      <c r="AA25" s="64"/>
      <c r="AB25" s="63">
        <f>IF(AB17&gt;=0,AB17-AB21,"")</f>
        <v>5448.75</v>
      </c>
      <c r="AC25" s="65"/>
      <c r="AD25" s="63">
        <f>IF(AD17&gt;=0,AD17-AD21,"")</f>
        <v>5465.75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1956.5</v>
      </c>
      <c r="S26" s="55"/>
      <c r="T26" s="67">
        <f>IFERROR(IF(T18&gt;0,T18-T22,""),"")</f>
        <v>2787</v>
      </c>
      <c r="U26" s="55"/>
      <c r="V26" s="67">
        <f>IFERROR(IF(V18&gt;0,V18-V22,""),"")</f>
        <v>9211.5</v>
      </c>
      <c r="W26" s="55"/>
      <c r="X26" s="67">
        <f>IFERROR(IF(X18&gt;0,X18-X22,""),"")</f>
        <v>5593.5</v>
      </c>
      <c r="Y26" s="55"/>
      <c r="Z26" s="67">
        <f>IFERROR(IF(Z18&gt;0,Z18-Z22,""),"")</f>
        <v>5091</v>
      </c>
      <c r="AA26" s="55"/>
      <c r="AB26" s="67">
        <f>IFERROR(IF(AB18&gt;0,AB18-AB22,""),"")</f>
        <v>770</v>
      </c>
      <c r="AC26" s="56"/>
      <c r="AD26" s="67">
        <f>IFERROR(IF(AD18&gt;0,AD18-AD22,""),"")</f>
        <v>142.5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9280.1808389322523</v>
      </c>
      <c r="D29" s="76">
        <f>C14</f>
        <v>10138</v>
      </c>
      <c r="E29" s="77">
        <f t="shared" ref="E29:E34" si="1">D29-C29</f>
        <v>857.8191610677477</v>
      </c>
      <c r="M29" s="4"/>
      <c r="O29" s="4"/>
    </row>
    <row r="30" spans="2:43" x14ac:dyDescent="0.3">
      <c r="B30" s="74" t="s">
        <v>56</v>
      </c>
      <c r="C30" s="75">
        <v>28255.890797662749</v>
      </c>
      <c r="D30" s="76">
        <f>C7+C15+C16+C19+C20</f>
        <v>15768</v>
      </c>
      <c r="E30" s="77">
        <f t="shared" si="1"/>
        <v>-12487.890797662749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14890</v>
      </c>
      <c r="D32" s="76">
        <f>C10+C11+C12+C13</f>
        <v>14890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16420</v>
      </c>
      <c r="D34" s="76">
        <f>C21+C22+C23</f>
        <v>15594</v>
      </c>
      <c r="E34" s="77">
        <f t="shared" si="1"/>
        <v>-826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4471</v>
      </c>
      <c r="D35" s="80">
        <f>SUM(C8+C9)</f>
        <v>4471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2375</v>
      </c>
      <c r="R36" s="104">
        <v>100</v>
      </c>
      <c r="S36" s="104">
        <f t="shared" ref="S36:S65" si="2">IF(T36&gt;0,(T36-R36)/2,"")</f>
        <v>0</v>
      </c>
      <c r="T36" s="104">
        <v>100</v>
      </c>
      <c r="U36" s="104">
        <f t="shared" ref="U36:U65" si="3">IF(V36&gt;0,(V36-T36)/2,"")</f>
        <v>349.5</v>
      </c>
      <c r="V36" s="104">
        <v>799</v>
      </c>
      <c r="W36" s="104">
        <f t="shared" ref="W36:W65" si="4">IF(X36&gt;0,(X36-V36)/2,"")</f>
        <v>52.5</v>
      </c>
      <c r="X36" s="104">
        <v>904</v>
      </c>
      <c r="Y36" s="104">
        <f t="shared" ref="Y36:Y65" si="5">IF(Z36&gt;0,(Z36-X36)/2,"")</f>
        <v>21.5</v>
      </c>
      <c r="Z36" s="104">
        <v>947</v>
      </c>
      <c r="AA36" s="104">
        <f t="shared" ref="AA36:AA65" si="6">IF(AB36&gt;0,(AB36-Z36)/2,"")</f>
        <v>0</v>
      </c>
      <c r="AB36" s="104">
        <v>947</v>
      </c>
      <c r="AC36" s="104">
        <f t="shared" ref="AC36:AC65" si="7">IF(AD36&gt;0,(AD36-AB36)/2,"")</f>
        <v>0</v>
      </c>
      <c r="AD36" s="104">
        <v>947</v>
      </c>
      <c r="AE36" s="105">
        <f t="shared" ref="AE36:AE65" si="8">AD36-Q36</f>
        <v>-1428</v>
      </c>
    </row>
    <row r="37" spans="2:31" ht="15.6" customHeight="1" x14ac:dyDescent="0.3">
      <c r="N37" s="212"/>
      <c r="O37" s="95" t="s">
        <v>66</v>
      </c>
      <c r="P37" s="106"/>
      <c r="Q37" s="106">
        <v>1651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333</v>
      </c>
      <c r="V37" s="106">
        <v>666</v>
      </c>
      <c r="W37" s="106">
        <f t="shared" si="4"/>
        <v>702.5</v>
      </c>
      <c r="X37" s="106">
        <v>2071</v>
      </c>
      <c r="Y37" s="106">
        <f t="shared" si="5"/>
        <v>81.5</v>
      </c>
      <c r="Z37" s="106">
        <v>2234</v>
      </c>
      <c r="AA37" s="106">
        <f t="shared" si="6"/>
        <v>0</v>
      </c>
      <c r="AB37" s="106">
        <v>2234</v>
      </c>
      <c r="AC37" s="106">
        <f t="shared" si="7"/>
        <v>0</v>
      </c>
      <c r="AD37" s="106">
        <v>2234</v>
      </c>
      <c r="AE37" s="107">
        <f t="shared" si="8"/>
        <v>583</v>
      </c>
    </row>
    <row r="38" spans="2:31" ht="15.6" customHeight="1" x14ac:dyDescent="0.3">
      <c r="N38" s="212"/>
      <c r="O38" s="94" t="s">
        <v>67</v>
      </c>
      <c r="P38" s="108"/>
      <c r="Q38" s="108">
        <v>2636</v>
      </c>
      <c r="R38" s="108">
        <v>0</v>
      </c>
      <c r="S38" s="108" t="str">
        <f t="shared" si="2"/>
        <v/>
      </c>
      <c r="T38" s="108">
        <v>0</v>
      </c>
      <c r="U38" s="108" t="str">
        <f t="shared" si="3"/>
        <v/>
      </c>
      <c r="V38" s="108">
        <v>0</v>
      </c>
      <c r="W38" s="108" t="str">
        <f t="shared" si="4"/>
        <v/>
      </c>
      <c r="X38" s="108">
        <v>0</v>
      </c>
      <c r="Y38" s="108">
        <f t="shared" si="5"/>
        <v>430.5</v>
      </c>
      <c r="Z38" s="108">
        <v>861</v>
      </c>
      <c r="AA38" s="108">
        <f t="shared" si="6"/>
        <v>0</v>
      </c>
      <c r="AB38" s="108">
        <v>861</v>
      </c>
      <c r="AC38" s="108">
        <f t="shared" si="7"/>
        <v>0</v>
      </c>
      <c r="AD38" s="108">
        <v>861</v>
      </c>
      <c r="AE38" s="109">
        <f t="shared" si="8"/>
        <v>-1775</v>
      </c>
    </row>
    <row r="39" spans="2:31" ht="15.6" customHeight="1" x14ac:dyDescent="0.3">
      <c r="N39" s="212"/>
      <c r="O39" s="95" t="s">
        <v>68</v>
      </c>
      <c r="P39" s="106"/>
      <c r="Q39" s="106">
        <v>3898</v>
      </c>
      <c r="R39" s="106">
        <v>751</v>
      </c>
      <c r="S39" s="106">
        <f t="shared" si="2"/>
        <v>275.5</v>
      </c>
      <c r="T39" s="106">
        <v>1302</v>
      </c>
      <c r="U39" s="106">
        <f t="shared" si="3"/>
        <v>404</v>
      </c>
      <c r="V39" s="106">
        <v>2110</v>
      </c>
      <c r="W39" s="106">
        <f t="shared" si="4"/>
        <v>309</v>
      </c>
      <c r="X39" s="106">
        <v>2728</v>
      </c>
      <c r="Y39" s="106">
        <f t="shared" si="5"/>
        <v>281.5</v>
      </c>
      <c r="Z39" s="106">
        <v>3291</v>
      </c>
      <c r="AA39" s="106">
        <f t="shared" si="6"/>
        <v>0</v>
      </c>
      <c r="AB39" s="106">
        <v>3291</v>
      </c>
      <c r="AC39" s="106">
        <f t="shared" si="7"/>
        <v>0</v>
      </c>
      <c r="AD39" s="106">
        <v>3291</v>
      </c>
      <c r="AE39" s="107">
        <f t="shared" si="8"/>
        <v>-607</v>
      </c>
    </row>
    <row r="40" spans="2:31" ht="15.6" customHeight="1" x14ac:dyDescent="0.3">
      <c r="N40" s="212"/>
      <c r="O40" s="94" t="s">
        <v>69</v>
      </c>
      <c r="P40" s="108"/>
      <c r="Q40" s="108">
        <v>2944</v>
      </c>
      <c r="R40" s="108">
        <v>4</v>
      </c>
      <c r="S40" s="108">
        <f t="shared" si="2"/>
        <v>348.5</v>
      </c>
      <c r="T40" s="108">
        <v>701</v>
      </c>
      <c r="U40" s="108">
        <f t="shared" si="3"/>
        <v>452</v>
      </c>
      <c r="V40" s="108">
        <v>1605</v>
      </c>
      <c r="W40" s="108">
        <f t="shared" si="4"/>
        <v>444.5</v>
      </c>
      <c r="X40" s="108">
        <v>2494</v>
      </c>
      <c r="Y40" s="108">
        <f t="shared" si="5"/>
        <v>208.5</v>
      </c>
      <c r="Z40" s="108">
        <v>2911</v>
      </c>
      <c r="AA40" s="108">
        <f t="shared" si="6"/>
        <v>0</v>
      </c>
      <c r="AB40" s="108">
        <v>2911</v>
      </c>
      <c r="AC40" s="108">
        <f t="shared" si="7"/>
        <v>0</v>
      </c>
      <c r="AD40" s="108">
        <v>2911</v>
      </c>
      <c r="AE40" s="109">
        <f t="shared" si="8"/>
        <v>-33</v>
      </c>
    </row>
    <row r="41" spans="2:31" ht="15.6" customHeight="1" x14ac:dyDescent="0.3">
      <c r="N41" s="212"/>
      <c r="O41" s="95" t="s">
        <v>70</v>
      </c>
      <c r="P41" s="106"/>
      <c r="Q41" s="106">
        <v>4288</v>
      </c>
      <c r="R41" s="106">
        <v>0</v>
      </c>
      <c r="S41" s="106" t="str">
        <f t="shared" si="2"/>
        <v/>
      </c>
      <c r="T41" s="106">
        <v>0</v>
      </c>
      <c r="U41" s="106">
        <f t="shared" si="3"/>
        <v>425</v>
      </c>
      <c r="V41" s="106">
        <v>850</v>
      </c>
      <c r="W41" s="106">
        <f t="shared" si="4"/>
        <v>248.5</v>
      </c>
      <c r="X41" s="106">
        <v>1347</v>
      </c>
      <c r="Y41" s="106">
        <f t="shared" si="5"/>
        <v>481.5</v>
      </c>
      <c r="Z41" s="106">
        <v>2310</v>
      </c>
      <c r="AA41" s="106">
        <f t="shared" si="6"/>
        <v>0</v>
      </c>
      <c r="AB41" s="106">
        <v>2310</v>
      </c>
      <c r="AC41" s="106">
        <f t="shared" si="7"/>
        <v>0</v>
      </c>
      <c r="AD41" s="106">
        <v>2310</v>
      </c>
      <c r="AE41" s="107">
        <f t="shared" si="8"/>
        <v>-1978</v>
      </c>
    </row>
    <row r="42" spans="2:31" ht="15.6" customHeight="1" x14ac:dyDescent="0.3">
      <c r="N42" s="212"/>
      <c r="O42" s="94" t="s">
        <v>71</v>
      </c>
      <c r="P42" s="108"/>
      <c r="Q42" s="108">
        <v>1258</v>
      </c>
      <c r="R42" s="108">
        <v>0</v>
      </c>
      <c r="S42" s="108" t="str">
        <f t="shared" si="2"/>
        <v/>
      </c>
      <c r="T42" s="108">
        <v>0</v>
      </c>
      <c r="U42" s="108" t="str">
        <f t="shared" si="3"/>
        <v/>
      </c>
      <c r="V42" s="108">
        <v>0</v>
      </c>
      <c r="W42" s="108" t="str">
        <f t="shared" si="4"/>
        <v/>
      </c>
      <c r="X42" s="108">
        <v>0</v>
      </c>
      <c r="Y42" s="108">
        <f t="shared" si="5"/>
        <v>177.5</v>
      </c>
      <c r="Z42" s="108">
        <v>355</v>
      </c>
      <c r="AA42" s="108">
        <f t="shared" si="6"/>
        <v>0</v>
      </c>
      <c r="AB42" s="108">
        <v>355</v>
      </c>
      <c r="AC42" s="108">
        <f t="shared" si="7"/>
        <v>0</v>
      </c>
      <c r="AD42" s="108">
        <v>355</v>
      </c>
      <c r="AE42" s="109">
        <f t="shared" si="8"/>
        <v>-903</v>
      </c>
    </row>
    <row r="43" spans="2:31" ht="15.6" customHeight="1" x14ac:dyDescent="0.3">
      <c r="N43" s="212"/>
      <c r="O43" s="95" t="s">
        <v>72</v>
      </c>
      <c r="P43" s="106"/>
      <c r="Q43" s="106">
        <v>1792</v>
      </c>
      <c r="R43" s="106">
        <v>0</v>
      </c>
      <c r="S43" s="106">
        <f t="shared" si="2"/>
        <v>279</v>
      </c>
      <c r="T43" s="106">
        <v>558</v>
      </c>
      <c r="U43" s="106">
        <f t="shared" si="3"/>
        <v>0</v>
      </c>
      <c r="V43" s="106">
        <v>558</v>
      </c>
      <c r="W43" s="106">
        <f t="shared" si="4"/>
        <v>0</v>
      </c>
      <c r="X43" s="106">
        <v>558</v>
      </c>
      <c r="Y43" s="106">
        <f t="shared" si="5"/>
        <v>190</v>
      </c>
      <c r="Z43" s="106">
        <v>938</v>
      </c>
      <c r="AA43" s="106">
        <f t="shared" si="6"/>
        <v>0</v>
      </c>
      <c r="AB43" s="106">
        <v>938</v>
      </c>
      <c r="AC43" s="106">
        <f t="shared" si="7"/>
        <v>0</v>
      </c>
      <c r="AD43" s="106">
        <v>938</v>
      </c>
      <c r="AE43" s="107">
        <f t="shared" si="8"/>
        <v>-854</v>
      </c>
    </row>
    <row r="44" spans="2:31" ht="15.6" customHeight="1" thickBot="1" x14ac:dyDescent="0.35">
      <c r="N44" s="213"/>
      <c r="O44" s="97" t="s">
        <v>73</v>
      </c>
      <c r="P44" s="110"/>
      <c r="Q44" s="110">
        <v>1844</v>
      </c>
      <c r="R44" s="110">
        <v>521</v>
      </c>
      <c r="S44" s="110">
        <f t="shared" si="2"/>
        <v>0</v>
      </c>
      <c r="T44" s="110">
        <v>521</v>
      </c>
      <c r="U44" s="110">
        <f t="shared" si="3"/>
        <v>236.5</v>
      </c>
      <c r="V44" s="110">
        <v>994</v>
      </c>
      <c r="W44" s="110">
        <f t="shared" si="4"/>
        <v>351.5</v>
      </c>
      <c r="X44" s="110">
        <v>1697</v>
      </c>
      <c r="Y44" s="110">
        <f t="shared" si="5"/>
        <v>74.5</v>
      </c>
      <c r="Z44" s="110">
        <v>1846</v>
      </c>
      <c r="AA44" s="110">
        <f t="shared" si="6"/>
        <v>0</v>
      </c>
      <c r="AB44" s="110">
        <v>1846</v>
      </c>
      <c r="AC44" s="110">
        <f t="shared" si="7"/>
        <v>0</v>
      </c>
      <c r="AD44" s="110">
        <v>1846</v>
      </c>
      <c r="AE44" s="111">
        <f t="shared" si="8"/>
        <v>2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5023</v>
      </c>
      <c r="R45" s="112">
        <v>1000</v>
      </c>
      <c r="S45" s="112">
        <f t="shared" si="2"/>
        <v>492</v>
      </c>
      <c r="T45" s="112">
        <v>1984</v>
      </c>
      <c r="U45" s="112">
        <f t="shared" si="3"/>
        <v>1519.5</v>
      </c>
      <c r="V45" s="112">
        <v>5023</v>
      </c>
      <c r="W45" s="112">
        <f t="shared" si="4"/>
        <v>0</v>
      </c>
      <c r="X45" s="112">
        <v>5023</v>
      </c>
      <c r="Y45" s="112">
        <f t="shared" si="5"/>
        <v>0</v>
      </c>
      <c r="Z45" s="112">
        <v>5023</v>
      </c>
      <c r="AA45" s="112">
        <f t="shared" si="6"/>
        <v>0</v>
      </c>
      <c r="AB45" s="112">
        <v>5023</v>
      </c>
      <c r="AC45" s="112">
        <f t="shared" si="7"/>
        <v>0</v>
      </c>
      <c r="AD45" s="112">
        <v>5023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3960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1980</v>
      </c>
      <c r="V46" s="108">
        <v>3960</v>
      </c>
      <c r="W46" s="108">
        <f t="shared" si="4"/>
        <v>0</v>
      </c>
      <c r="X46" s="108">
        <v>3960</v>
      </c>
      <c r="Y46" s="108">
        <f t="shared" si="5"/>
        <v>0</v>
      </c>
      <c r="Z46" s="108">
        <v>3960</v>
      </c>
      <c r="AA46" s="108">
        <f t="shared" si="6"/>
        <v>0</v>
      </c>
      <c r="AB46" s="108">
        <v>3960</v>
      </c>
      <c r="AC46" s="108">
        <f t="shared" si="7"/>
        <v>0</v>
      </c>
      <c r="AD46" s="108">
        <v>3960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2721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633</v>
      </c>
      <c r="V47" s="106">
        <v>1266</v>
      </c>
      <c r="W47" s="106">
        <f t="shared" si="4"/>
        <v>0</v>
      </c>
      <c r="X47" s="106">
        <v>1266</v>
      </c>
      <c r="Y47" s="106">
        <f t="shared" si="5"/>
        <v>450.5</v>
      </c>
      <c r="Z47" s="106">
        <v>2167</v>
      </c>
      <c r="AA47" s="106">
        <f t="shared" si="6"/>
        <v>0</v>
      </c>
      <c r="AB47" s="106">
        <v>2167</v>
      </c>
      <c r="AC47" s="106">
        <f t="shared" si="7"/>
        <v>0</v>
      </c>
      <c r="AD47" s="106">
        <v>2167</v>
      </c>
      <c r="AE47" s="107">
        <f t="shared" si="8"/>
        <v>-554</v>
      </c>
    </row>
    <row r="48" spans="2:31" ht="15.6" customHeight="1" thickBot="1" x14ac:dyDescent="0.35">
      <c r="N48" s="213"/>
      <c r="O48" s="97" t="s">
        <v>68</v>
      </c>
      <c r="P48" s="110"/>
      <c r="Q48" s="110">
        <v>4444</v>
      </c>
      <c r="R48" s="110">
        <v>0</v>
      </c>
      <c r="S48" s="110">
        <f t="shared" si="2"/>
        <v>509</v>
      </c>
      <c r="T48" s="110">
        <v>1018</v>
      </c>
      <c r="U48" s="110">
        <f t="shared" si="3"/>
        <v>1713</v>
      </c>
      <c r="V48" s="110">
        <v>4444</v>
      </c>
      <c r="W48" s="110">
        <f t="shared" si="4"/>
        <v>0</v>
      </c>
      <c r="X48" s="110">
        <v>4444</v>
      </c>
      <c r="Y48" s="110">
        <f t="shared" si="5"/>
        <v>0</v>
      </c>
      <c r="Z48" s="110">
        <v>4444</v>
      </c>
      <c r="AA48" s="110">
        <f t="shared" si="6"/>
        <v>0</v>
      </c>
      <c r="AB48" s="110">
        <v>4444</v>
      </c>
      <c r="AC48" s="110">
        <f t="shared" si="7"/>
        <v>0</v>
      </c>
      <c r="AD48" s="110">
        <v>4444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327</v>
      </c>
      <c r="R49" s="112">
        <v>2</v>
      </c>
      <c r="S49" s="112">
        <f t="shared" si="2"/>
        <v>0</v>
      </c>
      <c r="T49" s="112">
        <v>2</v>
      </c>
      <c r="U49" s="112">
        <f t="shared" si="3"/>
        <v>0</v>
      </c>
      <c r="V49" s="112">
        <v>2</v>
      </c>
      <c r="W49" s="112">
        <f t="shared" si="4"/>
        <v>0</v>
      </c>
      <c r="X49" s="112">
        <v>2</v>
      </c>
      <c r="Y49" s="112">
        <f t="shared" si="5"/>
        <v>67.5</v>
      </c>
      <c r="Z49" s="112">
        <v>137</v>
      </c>
      <c r="AA49" s="112">
        <f t="shared" si="6"/>
        <v>0</v>
      </c>
      <c r="AB49" s="112">
        <v>137</v>
      </c>
      <c r="AC49" s="112">
        <f t="shared" si="7"/>
        <v>0</v>
      </c>
      <c r="AD49" s="112">
        <v>137</v>
      </c>
      <c r="AE49" s="113">
        <f t="shared" si="8"/>
        <v>-190</v>
      </c>
    </row>
    <row r="50" spans="14:31" ht="15.6" customHeight="1" x14ac:dyDescent="0.3">
      <c r="N50" s="212"/>
      <c r="O50" s="94" t="s">
        <v>66</v>
      </c>
      <c r="P50" s="108"/>
      <c r="Q50" s="108">
        <v>353</v>
      </c>
      <c r="R50" s="108">
        <v>34</v>
      </c>
      <c r="S50" s="108">
        <f t="shared" si="2"/>
        <v>0</v>
      </c>
      <c r="T50" s="108">
        <v>34</v>
      </c>
      <c r="U50" s="108">
        <f t="shared" si="3"/>
        <v>0</v>
      </c>
      <c r="V50" s="108">
        <v>34</v>
      </c>
      <c r="W50" s="108">
        <f t="shared" si="4"/>
        <v>0</v>
      </c>
      <c r="X50" s="108">
        <v>34</v>
      </c>
      <c r="Y50" s="108">
        <f t="shared" si="5"/>
        <v>0</v>
      </c>
      <c r="Z50" s="108">
        <v>34</v>
      </c>
      <c r="AA50" s="108">
        <f t="shared" si="6"/>
        <v>0</v>
      </c>
      <c r="AB50" s="108">
        <v>34</v>
      </c>
      <c r="AC50" s="108">
        <f t="shared" si="7"/>
        <v>0</v>
      </c>
      <c r="AD50" s="108">
        <v>34</v>
      </c>
      <c r="AE50" s="109">
        <f t="shared" si="8"/>
        <v>-319</v>
      </c>
    </row>
    <row r="51" spans="14:31" ht="15.6" customHeight="1" x14ac:dyDescent="0.3">
      <c r="N51" s="212"/>
      <c r="O51" s="95" t="s">
        <v>67</v>
      </c>
      <c r="P51" s="106"/>
      <c r="Q51" s="106">
        <v>1996</v>
      </c>
      <c r="R51" s="106">
        <v>83</v>
      </c>
      <c r="S51" s="106">
        <f t="shared" si="2"/>
        <v>91.5</v>
      </c>
      <c r="T51" s="106">
        <v>266</v>
      </c>
      <c r="U51" s="106">
        <f t="shared" si="3"/>
        <v>157</v>
      </c>
      <c r="V51" s="106">
        <v>580</v>
      </c>
      <c r="W51" s="106">
        <f t="shared" si="4"/>
        <v>131</v>
      </c>
      <c r="X51" s="106">
        <v>842</v>
      </c>
      <c r="Y51" s="106">
        <f t="shared" si="5"/>
        <v>70</v>
      </c>
      <c r="Z51" s="106">
        <v>982</v>
      </c>
      <c r="AA51" s="106">
        <f t="shared" si="6"/>
        <v>0</v>
      </c>
      <c r="AB51" s="106">
        <v>982</v>
      </c>
      <c r="AC51" s="106">
        <f t="shared" si="7"/>
        <v>0</v>
      </c>
      <c r="AD51" s="106">
        <v>982</v>
      </c>
      <c r="AE51" s="107">
        <f t="shared" si="8"/>
        <v>-1014</v>
      </c>
    </row>
    <row r="52" spans="14:31" ht="15.6" customHeight="1" x14ac:dyDescent="0.3">
      <c r="N52" s="212"/>
      <c r="O52" s="94" t="s">
        <v>68</v>
      </c>
      <c r="P52" s="108"/>
      <c r="Q52" s="108">
        <v>1177</v>
      </c>
      <c r="R52" s="108">
        <v>4</v>
      </c>
      <c r="S52" s="108">
        <f t="shared" si="2"/>
        <v>0</v>
      </c>
      <c r="T52" s="108">
        <v>4</v>
      </c>
      <c r="U52" s="108">
        <f t="shared" si="3"/>
        <v>3</v>
      </c>
      <c r="V52" s="108">
        <v>10</v>
      </c>
      <c r="W52" s="108">
        <f t="shared" si="4"/>
        <v>277</v>
      </c>
      <c r="X52" s="108">
        <v>564</v>
      </c>
      <c r="Y52" s="108">
        <f t="shared" si="5"/>
        <v>36</v>
      </c>
      <c r="Z52" s="108">
        <v>636</v>
      </c>
      <c r="AA52" s="108">
        <f t="shared" si="6"/>
        <v>0</v>
      </c>
      <c r="AB52" s="108">
        <v>636</v>
      </c>
      <c r="AC52" s="108">
        <f t="shared" si="7"/>
        <v>0</v>
      </c>
      <c r="AD52" s="108">
        <v>636</v>
      </c>
      <c r="AE52" s="109">
        <f t="shared" si="8"/>
        <v>-541</v>
      </c>
    </row>
    <row r="53" spans="14:31" ht="15.6" customHeight="1" x14ac:dyDescent="0.3">
      <c r="N53" s="212"/>
      <c r="O53" s="95" t="s">
        <v>69</v>
      </c>
      <c r="P53" s="106"/>
      <c r="Q53" s="106">
        <v>2838.248231132075</v>
      </c>
      <c r="R53" s="106">
        <v>0</v>
      </c>
      <c r="S53" s="106">
        <f t="shared" si="2"/>
        <v>20.5</v>
      </c>
      <c r="T53" s="106">
        <v>41</v>
      </c>
      <c r="U53" s="106">
        <f t="shared" si="3"/>
        <v>67.5</v>
      </c>
      <c r="V53" s="106">
        <v>176</v>
      </c>
      <c r="W53" s="106">
        <f t="shared" si="4"/>
        <v>223.5</v>
      </c>
      <c r="X53" s="106">
        <v>623</v>
      </c>
      <c r="Y53" s="106">
        <f t="shared" si="5"/>
        <v>347</v>
      </c>
      <c r="Z53" s="106">
        <v>1317</v>
      </c>
      <c r="AA53" s="106">
        <f t="shared" si="6"/>
        <v>0</v>
      </c>
      <c r="AB53" s="106">
        <v>1317</v>
      </c>
      <c r="AC53" s="106">
        <f t="shared" si="7"/>
        <v>0</v>
      </c>
      <c r="AD53" s="106">
        <v>1317</v>
      </c>
      <c r="AE53" s="107">
        <f t="shared" si="8"/>
        <v>-1521.248231132075</v>
      </c>
    </row>
    <row r="54" spans="14:31" ht="15.6" customHeight="1" x14ac:dyDescent="0.3">
      <c r="N54" s="212"/>
      <c r="O54" s="94" t="s">
        <v>70</v>
      </c>
      <c r="P54" s="108"/>
      <c r="Q54" s="108">
        <v>1913</v>
      </c>
      <c r="R54" s="108">
        <v>7</v>
      </c>
      <c r="S54" s="108">
        <f t="shared" si="2"/>
        <v>0</v>
      </c>
      <c r="T54" s="108">
        <v>7</v>
      </c>
      <c r="U54" s="108">
        <f t="shared" si="3"/>
        <v>265</v>
      </c>
      <c r="V54" s="108">
        <v>537</v>
      </c>
      <c r="W54" s="108">
        <f t="shared" si="4"/>
        <v>334.5</v>
      </c>
      <c r="X54" s="108">
        <v>1206</v>
      </c>
      <c r="Y54" s="108">
        <f t="shared" si="5"/>
        <v>0</v>
      </c>
      <c r="Z54" s="108">
        <v>1206</v>
      </c>
      <c r="AA54" s="108">
        <f t="shared" si="6"/>
        <v>0</v>
      </c>
      <c r="AB54" s="108">
        <v>1206</v>
      </c>
      <c r="AC54" s="108">
        <f t="shared" si="7"/>
        <v>0</v>
      </c>
      <c r="AD54" s="108">
        <v>1206</v>
      </c>
      <c r="AE54" s="109">
        <f t="shared" si="8"/>
        <v>-707</v>
      </c>
    </row>
    <row r="55" spans="14:31" ht="15.6" customHeight="1" x14ac:dyDescent="0.3">
      <c r="N55" s="212"/>
      <c r="O55" s="95" t="s">
        <v>71</v>
      </c>
      <c r="P55" s="106"/>
      <c r="Q55" s="106">
        <v>1015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65.5</v>
      </c>
      <c r="V55" s="106">
        <v>131</v>
      </c>
      <c r="W55" s="106">
        <f t="shared" si="4"/>
        <v>336</v>
      </c>
      <c r="X55" s="106">
        <v>803</v>
      </c>
      <c r="Y55" s="106">
        <f t="shared" si="5"/>
        <v>0</v>
      </c>
      <c r="Z55" s="106">
        <v>803</v>
      </c>
      <c r="AA55" s="106">
        <f t="shared" si="6"/>
        <v>0</v>
      </c>
      <c r="AB55" s="106">
        <v>803</v>
      </c>
      <c r="AC55" s="106">
        <f t="shared" si="7"/>
        <v>0</v>
      </c>
      <c r="AD55" s="106">
        <v>803</v>
      </c>
      <c r="AE55" s="107">
        <f t="shared" si="8"/>
        <v>-212</v>
      </c>
    </row>
    <row r="56" spans="14:31" ht="15.6" customHeight="1" x14ac:dyDescent="0.3">
      <c r="N56" s="212"/>
      <c r="O56" s="94" t="s">
        <v>72</v>
      </c>
      <c r="P56" s="108"/>
      <c r="Q56" s="108">
        <v>426</v>
      </c>
      <c r="R56" s="108">
        <v>2</v>
      </c>
      <c r="S56" s="108">
        <f t="shared" si="2"/>
        <v>11</v>
      </c>
      <c r="T56" s="108">
        <v>24</v>
      </c>
      <c r="U56" s="108">
        <f t="shared" si="3"/>
        <v>0</v>
      </c>
      <c r="V56" s="108">
        <v>24</v>
      </c>
      <c r="W56" s="108">
        <f t="shared" si="4"/>
        <v>111</v>
      </c>
      <c r="X56" s="108">
        <v>246</v>
      </c>
      <c r="Y56" s="108">
        <f t="shared" si="5"/>
        <v>0</v>
      </c>
      <c r="Z56" s="108">
        <v>246</v>
      </c>
      <c r="AA56" s="108">
        <f t="shared" si="6"/>
        <v>0</v>
      </c>
      <c r="AB56" s="108">
        <v>246</v>
      </c>
      <c r="AC56" s="108">
        <f t="shared" si="7"/>
        <v>0</v>
      </c>
      <c r="AD56" s="108">
        <v>246</v>
      </c>
      <c r="AE56" s="109">
        <f t="shared" si="8"/>
        <v>-180</v>
      </c>
    </row>
    <row r="57" spans="14:31" ht="15.6" customHeight="1" thickBot="1" x14ac:dyDescent="0.35">
      <c r="N57" s="213"/>
      <c r="O57" s="99" t="s">
        <v>73</v>
      </c>
      <c r="P57" s="114"/>
      <c r="Q57" s="114">
        <v>212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102.5</v>
      </c>
      <c r="Z57" s="114">
        <v>205</v>
      </c>
      <c r="AA57" s="114">
        <f t="shared" si="6"/>
        <v>0</v>
      </c>
      <c r="AB57" s="114">
        <v>205</v>
      </c>
      <c r="AC57" s="114">
        <f t="shared" si="7"/>
        <v>0</v>
      </c>
      <c r="AD57" s="114">
        <v>205</v>
      </c>
      <c r="AE57" s="115">
        <f t="shared" si="8"/>
        <v>-7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6707</v>
      </c>
      <c r="R58" s="104">
        <v>628</v>
      </c>
      <c r="S58" s="104">
        <f t="shared" si="2"/>
        <v>192</v>
      </c>
      <c r="T58" s="104">
        <v>1012</v>
      </c>
      <c r="U58" s="104">
        <f t="shared" si="3"/>
        <v>0</v>
      </c>
      <c r="V58" s="104">
        <v>1012</v>
      </c>
      <c r="W58" s="104">
        <f t="shared" si="4"/>
        <v>770.5</v>
      </c>
      <c r="X58" s="104">
        <v>2553</v>
      </c>
      <c r="Y58" s="104">
        <f t="shared" si="5"/>
        <v>1192.5</v>
      </c>
      <c r="Z58" s="104">
        <v>4938</v>
      </c>
      <c r="AA58" s="104">
        <f t="shared" si="6"/>
        <v>0</v>
      </c>
      <c r="AB58" s="104">
        <v>4938</v>
      </c>
      <c r="AC58" s="104">
        <f t="shared" si="7"/>
        <v>0</v>
      </c>
      <c r="AD58" s="104">
        <v>4938</v>
      </c>
      <c r="AE58" s="105">
        <f t="shared" si="8"/>
        <v>-1769</v>
      </c>
    </row>
    <row r="59" spans="14:31" ht="15.6" customHeight="1" x14ac:dyDescent="0.3">
      <c r="N59" s="212"/>
      <c r="O59" s="95" t="s">
        <v>66</v>
      </c>
      <c r="P59" s="106"/>
      <c r="Q59" s="106">
        <v>5489.6341463414637</v>
      </c>
      <c r="R59" s="106">
        <v>561</v>
      </c>
      <c r="S59" s="106">
        <f t="shared" si="2"/>
        <v>273</v>
      </c>
      <c r="T59" s="106">
        <v>1107</v>
      </c>
      <c r="U59" s="106">
        <f t="shared" si="3"/>
        <v>600.5</v>
      </c>
      <c r="V59" s="106">
        <v>2308</v>
      </c>
      <c r="W59" s="106">
        <f t="shared" si="4"/>
        <v>922.5</v>
      </c>
      <c r="X59" s="106">
        <v>4153</v>
      </c>
      <c r="Y59" s="106">
        <f t="shared" si="5"/>
        <v>389</v>
      </c>
      <c r="Z59" s="106">
        <v>4931</v>
      </c>
      <c r="AA59" s="106">
        <f t="shared" si="6"/>
        <v>0</v>
      </c>
      <c r="AB59" s="106">
        <v>4931</v>
      </c>
      <c r="AC59" s="106">
        <f t="shared" si="7"/>
        <v>0</v>
      </c>
      <c r="AD59" s="106">
        <v>4931</v>
      </c>
      <c r="AE59" s="107">
        <f t="shared" si="8"/>
        <v>-558.63414634146375</v>
      </c>
    </row>
    <row r="60" spans="14:31" ht="15.6" customHeight="1" x14ac:dyDescent="0.3">
      <c r="N60" s="212"/>
      <c r="O60" s="94" t="s">
        <v>67</v>
      </c>
      <c r="P60" s="108"/>
      <c r="Q60" s="108">
        <v>4761</v>
      </c>
      <c r="R60" s="108">
        <v>723</v>
      </c>
      <c r="S60" s="108">
        <f t="shared" si="2"/>
        <v>170</v>
      </c>
      <c r="T60" s="108">
        <v>1063</v>
      </c>
      <c r="U60" s="108">
        <f t="shared" si="3"/>
        <v>116</v>
      </c>
      <c r="V60" s="108">
        <v>1295</v>
      </c>
      <c r="W60" s="108">
        <f t="shared" si="4"/>
        <v>538.5</v>
      </c>
      <c r="X60" s="108">
        <v>2372</v>
      </c>
      <c r="Y60" s="108">
        <f t="shared" si="5"/>
        <v>395.5</v>
      </c>
      <c r="Z60" s="108">
        <v>3163</v>
      </c>
      <c r="AA60" s="108">
        <f t="shared" si="6"/>
        <v>0</v>
      </c>
      <c r="AB60" s="108">
        <v>3163</v>
      </c>
      <c r="AC60" s="108">
        <f t="shared" si="7"/>
        <v>0</v>
      </c>
      <c r="AD60" s="108">
        <v>3163</v>
      </c>
      <c r="AE60" s="109">
        <f t="shared" si="8"/>
        <v>-1598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6249.7841793187581</v>
      </c>
      <c r="R62" s="104">
        <v>762</v>
      </c>
      <c r="S62" s="104">
        <f t="shared" si="2"/>
        <v>341.5</v>
      </c>
      <c r="T62" s="104">
        <v>1445</v>
      </c>
      <c r="U62" s="104">
        <f t="shared" si="3"/>
        <v>511</v>
      </c>
      <c r="V62" s="104">
        <v>2467</v>
      </c>
      <c r="W62" s="104">
        <f t="shared" si="4"/>
        <v>515.5</v>
      </c>
      <c r="X62" s="104">
        <v>3498</v>
      </c>
      <c r="Y62" s="104">
        <f t="shared" si="5"/>
        <v>265</v>
      </c>
      <c r="Z62" s="104">
        <v>4028</v>
      </c>
      <c r="AA62" s="104">
        <f t="shared" si="6"/>
        <v>230.5</v>
      </c>
      <c r="AB62" s="104">
        <v>4489</v>
      </c>
      <c r="AC62" s="104">
        <f t="shared" si="7"/>
        <v>142.5</v>
      </c>
      <c r="AD62" s="104">
        <v>4774</v>
      </c>
      <c r="AE62" s="105">
        <f t="shared" si="8"/>
        <v>-1475.7841793187581</v>
      </c>
    </row>
    <row r="63" spans="14:31" ht="15.6" customHeight="1" x14ac:dyDescent="0.3">
      <c r="N63" s="212"/>
      <c r="O63" s="95" t="s">
        <v>66</v>
      </c>
      <c r="P63" s="106"/>
      <c r="Q63" s="106">
        <v>7998.0769230769229</v>
      </c>
      <c r="R63" s="106">
        <v>2168</v>
      </c>
      <c r="S63" s="106">
        <f t="shared" si="2"/>
        <v>767</v>
      </c>
      <c r="T63" s="106">
        <v>3702</v>
      </c>
      <c r="U63" s="106">
        <f t="shared" si="3"/>
        <v>262.5</v>
      </c>
      <c r="V63" s="106">
        <v>4227</v>
      </c>
      <c r="W63" s="106">
        <f t="shared" si="4"/>
        <v>384</v>
      </c>
      <c r="X63" s="106">
        <v>4995</v>
      </c>
      <c r="Y63" s="106">
        <f t="shared" si="5"/>
        <v>203.5</v>
      </c>
      <c r="Z63" s="106">
        <v>5402</v>
      </c>
      <c r="AA63" s="106">
        <f t="shared" si="6"/>
        <v>249</v>
      </c>
      <c r="AB63" s="106">
        <v>5900</v>
      </c>
      <c r="AC63" s="106">
        <f t="shared" si="7"/>
        <v>0</v>
      </c>
      <c r="AD63" s="106">
        <v>5900</v>
      </c>
      <c r="AE63" s="107">
        <f t="shared" si="8"/>
        <v>-2098.0769230769229</v>
      </c>
    </row>
    <row r="64" spans="14:31" ht="15.6" customHeight="1" x14ac:dyDescent="0.3">
      <c r="N64" s="212"/>
      <c r="O64" s="94" t="s">
        <v>67</v>
      </c>
      <c r="P64" s="108"/>
      <c r="Q64" s="108">
        <v>5646.6844660194174</v>
      </c>
      <c r="R64" s="108">
        <v>1479</v>
      </c>
      <c r="S64" s="108">
        <f t="shared" si="2"/>
        <v>287.5</v>
      </c>
      <c r="T64" s="108">
        <v>2054</v>
      </c>
      <c r="U64" s="108">
        <f t="shared" si="3"/>
        <v>0</v>
      </c>
      <c r="V64" s="108">
        <v>2054</v>
      </c>
      <c r="W64" s="108">
        <f t="shared" si="4"/>
        <v>419.5</v>
      </c>
      <c r="X64" s="108">
        <v>2893</v>
      </c>
      <c r="Y64" s="108">
        <f t="shared" si="5"/>
        <v>358</v>
      </c>
      <c r="Z64" s="108">
        <v>3609</v>
      </c>
      <c r="AA64" s="108">
        <f t="shared" si="6"/>
        <v>262</v>
      </c>
      <c r="AB64" s="108">
        <v>4133</v>
      </c>
      <c r="AC64" s="108">
        <f t="shared" si="7"/>
        <v>-17.5</v>
      </c>
      <c r="AD64" s="108">
        <v>4098</v>
      </c>
      <c r="AE64" s="109">
        <f t="shared" si="8"/>
        <v>-1548.6844660194174</v>
      </c>
    </row>
    <row r="65" spans="14:31" ht="15.6" customHeight="1" thickBot="1" x14ac:dyDescent="0.35">
      <c r="N65" s="213"/>
      <c r="O65" s="99" t="s">
        <v>68</v>
      </c>
      <c r="P65" s="114"/>
      <c r="Q65" s="114">
        <v>2932.752305665349</v>
      </c>
      <c r="R65" s="114">
        <v>320</v>
      </c>
      <c r="S65" s="114">
        <f t="shared" si="2"/>
        <v>128</v>
      </c>
      <c r="T65" s="114">
        <v>576</v>
      </c>
      <c r="U65" s="114">
        <f t="shared" si="3"/>
        <v>120</v>
      </c>
      <c r="V65" s="114">
        <v>816</v>
      </c>
      <c r="W65" s="114">
        <f t="shared" si="4"/>
        <v>83.5</v>
      </c>
      <c r="X65" s="114">
        <v>983</v>
      </c>
      <c r="Y65" s="114">
        <f t="shared" si="5"/>
        <v>42.5</v>
      </c>
      <c r="Z65" s="114">
        <v>1068</v>
      </c>
      <c r="AA65" s="114">
        <f t="shared" si="6"/>
        <v>99</v>
      </c>
      <c r="AB65" s="114">
        <v>1266</v>
      </c>
      <c r="AC65" s="114">
        <f t="shared" si="7"/>
        <v>0</v>
      </c>
      <c r="AD65" s="114">
        <v>1266</v>
      </c>
      <c r="AE65" s="115">
        <f t="shared" si="8"/>
        <v>-1666.752305665349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91" priority="11" operator="lessThan">
      <formula>0</formula>
    </cfRule>
    <cfRule type="cellIs" dxfId="1690" priority="12" operator="greaterThan">
      <formula>0</formula>
    </cfRule>
  </conditionalFormatting>
  <conditionalFormatting sqref="R25:AC25">
    <cfRule type="cellIs" dxfId="1689" priority="9" operator="lessThan">
      <formula>0</formula>
    </cfRule>
    <cfRule type="cellIs" dxfId="1688" priority="10" operator="greaterThan">
      <formula>0</formula>
    </cfRule>
  </conditionalFormatting>
  <conditionalFormatting sqref="R26 T26 V26 X26 Z26 AB26">
    <cfRule type="cellIs" dxfId="1687" priority="7" operator="lessThan">
      <formula>0</formula>
    </cfRule>
    <cfRule type="cellIs" dxfId="1686" priority="8" operator="greaterThan">
      <formula>0</formula>
    </cfRule>
  </conditionalFormatting>
  <conditionalFormatting sqref="AD24:AE24">
    <cfRule type="cellIs" dxfId="1685" priority="5" operator="lessThan">
      <formula>0</formula>
    </cfRule>
    <cfRule type="cellIs" dxfId="1684" priority="6" operator="greaterThan">
      <formula>0</formula>
    </cfRule>
  </conditionalFormatting>
  <conditionalFormatting sqref="AD25:AE25">
    <cfRule type="cellIs" dxfId="1683" priority="3" operator="lessThan">
      <formula>0</formula>
    </cfRule>
    <cfRule type="cellIs" dxfId="1682" priority="4" operator="greaterThan">
      <formula>0</formula>
    </cfRule>
  </conditionalFormatting>
  <conditionalFormatting sqref="AD26">
    <cfRule type="cellIs" dxfId="1681" priority="1" operator="lessThan">
      <formula>0</formula>
    </cfRule>
    <cfRule type="cellIs" dxfId="16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44378</v>
      </c>
    </row>
    <row r="3" spans="2:42" ht="18.75" customHeight="1" thickBot="1" x14ac:dyDescent="0.35">
      <c r="B3" t="s">
        <v>1</v>
      </c>
      <c r="C3" s="3">
        <f>C2+1</f>
        <v>44379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6582</v>
      </c>
      <c r="E6" s="18" t="s">
        <v>22</v>
      </c>
      <c r="F6" s="119">
        <v>20264.89400921659</v>
      </c>
      <c r="G6" s="117">
        <v>16676.641625</v>
      </c>
      <c r="H6" s="117">
        <v>13196.417108522581</v>
      </c>
      <c r="I6" s="19">
        <f>G6+H6</f>
        <v>29873.058733522579</v>
      </c>
      <c r="J6" s="119">
        <v>21738</v>
      </c>
      <c r="K6" s="117">
        <v>18568.314375000002</v>
      </c>
      <c r="L6" s="117">
        <v>14841.0503469</v>
      </c>
      <c r="M6" s="19">
        <f>K6+L6</f>
        <v>33409.364721899998</v>
      </c>
      <c r="N6" s="85">
        <v>62</v>
      </c>
      <c r="O6" s="85">
        <v>57</v>
      </c>
      <c r="P6" s="92"/>
      <c r="Q6" s="20">
        <f>J6-P6</f>
        <v>21738</v>
      </c>
      <c r="R6" s="21">
        <v>0</v>
      </c>
      <c r="S6" s="20" t="str">
        <f>IF(R6&gt;0,(R6-R7-$Q6),"")</f>
        <v/>
      </c>
      <c r="T6" s="21">
        <v>1505</v>
      </c>
      <c r="U6" s="20">
        <f>IF(T6&gt;0,(T6-T7-$Q6),"")</f>
        <v>-20233</v>
      </c>
      <c r="V6" s="21">
        <v>7636</v>
      </c>
      <c r="W6" s="20">
        <f>IF(V6&gt;0,(V6-V7-$Q6),"")</f>
        <v>-14110</v>
      </c>
      <c r="X6" s="21">
        <v>12734</v>
      </c>
      <c r="Y6" s="20">
        <f>IF(X6&gt;0,(X6-X7-$Q6),"")</f>
        <v>-9016</v>
      </c>
      <c r="Z6" s="21">
        <v>16110</v>
      </c>
      <c r="AA6" s="20">
        <f>IF(Z6&gt;0,(Z6-Z7-$Q6),"")</f>
        <v>-5697</v>
      </c>
      <c r="AB6" s="21">
        <v>16110</v>
      </c>
      <c r="AC6" s="22">
        <f>IF(AB6&gt;0,(AB6-AB7-$Q6),"")</f>
        <v>-5697</v>
      </c>
      <c r="AD6" s="21">
        <v>16110</v>
      </c>
      <c r="AE6" s="22">
        <f>IF(AD6&gt;0,(AD6-AD7-$Q6),"")</f>
        <v>-5697</v>
      </c>
    </row>
    <row r="7" spans="2:42" x14ac:dyDescent="0.3">
      <c r="B7" s="16" t="s">
        <v>23</v>
      </c>
      <c r="C7" s="17">
        <v>2743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8</v>
      </c>
      <c r="W7" s="24"/>
      <c r="X7" s="25">
        <v>12</v>
      </c>
      <c r="Y7" s="24"/>
      <c r="Z7" s="25">
        <v>69</v>
      </c>
      <c r="AA7" s="24"/>
      <c r="AB7" s="25">
        <v>69</v>
      </c>
      <c r="AC7" s="26"/>
      <c r="AD7" s="25">
        <v>69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2788</v>
      </c>
      <c r="E8" s="29" t="s">
        <v>27</v>
      </c>
      <c r="F8" s="119">
        <v>15500</v>
      </c>
      <c r="G8" s="117">
        <v>6581.4149999999991</v>
      </c>
      <c r="H8" s="117">
        <v>1410.762939</v>
      </c>
      <c r="I8" s="19">
        <f>G8+H8</f>
        <v>7992.1779389999992</v>
      </c>
      <c r="J8" s="119">
        <v>16148</v>
      </c>
      <c r="K8" s="117">
        <v>6822.5290000000005</v>
      </c>
      <c r="L8" s="117">
        <v>1472.6273988</v>
      </c>
      <c r="M8" s="19">
        <f>K8+L8</f>
        <v>8295.1563987999998</v>
      </c>
      <c r="N8" s="87">
        <v>24</v>
      </c>
      <c r="O8" s="87">
        <v>20</v>
      </c>
      <c r="P8" s="92"/>
      <c r="Q8" s="20">
        <f>J8-P8</f>
        <v>16148</v>
      </c>
      <c r="R8" s="21">
        <v>1921</v>
      </c>
      <c r="S8" s="20">
        <f>IF(R8&gt;0,(R8-R9-$Q8),"")</f>
        <v>-14227</v>
      </c>
      <c r="T8" s="21">
        <v>2833</v>
      </c>
      <c r="U8" s="20">
        <f>IF(T8&gt;0,(T8-T9-$Q8),"")</f>
        <v>-13315</v>
      </c>
      <c r="V8" s="21">
        <v>2852</v>
      </c>
      <c r="W8" s="20">
        <f>IF(V8&gt;0,(V8-V9-$Q8),"")</f>
        <v>-13296</v>
      </c>
      <c r="X8" s="21">
        <v>14679</v>
      </c>
      <c r="Y8" s="20">
        <f>IF(X8&gt;0,(X8-X9-$Q8),"")</f>
        <v>-1469</v>
      </c>
      <c r="Z8" s="21">
        <v>14679</v>
      </c>
      <c r="AA8" s="20">
        <f>IF(Z8&gt;0,(Z8-Z9-$Q8),"")</f>
        <v>-1469</v>
      </c>
      <c r="AB8" s="21">
        <v>15041</v>
      </c>
      <c r="AC8" s="22">
        <f>IF(AB8&gt;0,(AB8-AB9-$Q8),"")</f>
        <v>-1107</v>
      </c>
      <c r="AD8" s="21">
        <v>15041</v>
      </c>
      <c r="AE8" s="22">
        <f>IF(AD8&gt;0,(AD8-AD9-$Q8),"")</f>
        <v>-1107</v>
      </c>
    </row>
    <row r="9" spans="2:42" x14ac:dyDescent="0.3">
      <c r="B9" s="28" t="s">
        <v>28</v>
      </c>
      <c r="C9" s="17">
        <v>1747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4707</v>
      </c>
      <c r="E10" s="18" t="s">
        <v>31</v>
      </c>
      <c r="F10" s="119">
        <v>20327.913698995439</v>
      </c>
      <c r="G10" s="117">
        <v>16094.35281865445</v>
      </c>
      <c r="H10" s="117">
        <v>2403.2065874999998</v>
      </c>
      <c r="I10" s="19">
        <f>G10+H10</f>
        <v>18497.559406154451</v>
      </c>
      <c r="J10" s="119">
        <v>26355.193548387098</v>
      </c>
      <c r="K10" s="117">
        <v>20012.74071774193</v>
      </c>
      <c r="L10" s="117">
        <v>2431.3904025000002</v>
      </c>
      <c r="M10" s="19">
        <f>K10+L10</f>
        <v>22444.131120241931</v>
      </c>
      <c r="N10" s="88">
        <v>43</v>
      </c>
      <c r="O10" s="88">
        <v>37</v>
      </c>
      <c r="P10" s="92"/>
      <c r="Q10" s="20">
        <f>J10-P10</f>
        <v>26355.193548387098</v>
      </c>
      <c r="R10" s="21">
        <v>4138</v>
      </c>
      <c r="S10" s="20">
        <f>IF(R10&gt;0,(R10-R11-$Q10),"")</f>
        <v>-22239.193548387098</v>
      </c>
      <c r="T10" s="21">
        <v>6154</v>
      </c>
      <c r="U10" s="20">
        <f>IF(T10&gt;0,(T10-T11-$Q10),"")</f>
        <v>-20223.193548387098</v>
      </c>
      <c r="V10" s="21">
        <v>8792</v>
      </c>
      <c r="W10" s="20">
        <f>IF(V10&gt;0,(V10-V11-$Q10),"")</f>
        <v>-17922.193548387098</v>
      </c>
      <c r="X10" s="21">
        <v>10305</v>
      </c>
      <c r="Y10" s="20">
        <f>IF(X10&gt;0,(X10-X11-$Q10),"")</f>
        <v>-16409.193548387098</v>
      </c>
      <c r="Z10" s="21">
        <v>13426</v>
      </c>
      <c r="AA10" s="20">
        <f>IF(Z10&gt;0,(Z10-Z11-$Q10),"")</f>
        <v>-13288.193548387098</v>
      </c>
      <c r="AB10" s="21">
        <v>14110</v>
      </c>
      <c r="AC10" s="22">
        <f>IF(AB10&gt;0,(AB10-AB11-$Q10),"")</f>
        <v>-12604.193548387098</v>
      </c>
      <c r="AD10" s="21">
        <v>14110</v>
      </c>
      <c r="AE10" s="22">
        <f>IF(AD10&gt;0,(AD10-AD11-$Q10),"")</f>
        <v>-12604.193548387098</v>
      </c>
    </row>
    <row r="11" spans="2:42" x14ac:dyDescent="0.3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22</v>
      </c>
      <c r="S11" s="24"/>
      <c r="T11" s="30">
        <v>22</v>
      </c>
      <c r="U11" s="24"/>
      <c r="V11" s="30">
        <v>359</v>
      </c>
      <c r="W11" s="24"/>
      <c r="X11" s="30">
        <v>359</v>
      </c>
      <c r="Y11" s="24"/>
      <c r="Z11" s="30">
        <v>359</v>
      </c>
      <c r="AA11" s="24"/>
      <c r="AB11" s="30">
        <v>359</v>
      </c>
      <c r="AC11" s="26"/>
      <c r="AD11" s="30">
        <v>359</v>
      </c>
      <c r="AE11" s="26"/>
    </row>
    <row r="12" spans="2:42" x14ac:dyDescent="0.3">
      <c r="B12" s="16" t="s">
        <v>34</v>
      </c>
      <c r="C12" s="17">
        <v>1776</v>
      </c>
      <c r="E12" s="29" t="s">
        <v>35</v>
      </c>
      <c r="F12" s="119">
        <v>17014.568720290019</v>
      </c>
      <c r="G12" s="117">
        <v>14116.46791731847</v>
      </c>
      <c r="H12" s="117">
        <v>18434.843584306738</v>
      </c>
      <c r="I12" s="19">
        <f>G12+H12</f>
        <v>32551.311501625209</v>
      </c>
      <c r="J12" s="119">
        <v>19537.912209647831</v>
      </c>
      <c r="K12" s="117">
        <v>17580.827022782469</v>
      </c>
      <c r="L12" s="117">
        <v>24104.64761481353</v>
      </c>
      <c r="M12" s="19">
        <f>K12+L12</f>
        <v>41685.474637595995</v>
      </c>
      <c r="N12" s="88">
        <v>47</v>
      </c>
      <c r="O12" s="88">
        <v>37</v>
      </c>
      <c r="P12" s="92"/>
      <c r="Q12" s="20">
        <f>J12-P12</f>
        <v>19537.912209647831</v>
      </c>
      <c r="R12" s="21">
        <v>1312</v>
      </c>
      <c r="S12" s="20">
        <f>IF(R12&gt;0,(R12-R13-$Q12),"")</f>
        <v>-18225.912209647831</v>
      </c>
      <c r="T12" s="21">
        <v>2909</v>
      </c>
      <c r="U12" s="20">
        <f>IF(T12&gt;0,(T12-T13-$Q12),"")</f>
        <v>-16736.912209647831</v>
      </c>
      <c r="V12" s="21">
        <v>6443</v>
      </c>
      <c r="W12" s="20">
        <f>IF(V12&gt;0,(V12-V13-$Q12),"")</f>
        <v>-13622.912209647831</v>
      </c>
      <c r="X12" s="21">
        <v>8573</v>
      </c>
      <c r="Y12" s="20">
        <f>IF(X12&gt;0,(X12-X13-$Q12),"")</f>
        <v>-11492.912209647831</v>
      </c>
      <c r="Z12" s="21">
        <v>10289</v>
      </c>
      <c r="AA12" s="20">
        <f>IF(Z12&gt;0,(Z12-Z13-$Q12),"")</f>
        <v>-9776.9122096478313</v>
      </c>
      <c r="AB12" s="21">
        <v>11207</v>
      </c>
      <c r="AC12" s="22">
        <f>IF(AB12&gt;0,(AB12-AB13-$Q12),"")</f>
        <v>-8858.9122096478313</v>
      </c>
      <c r="AD12" s="21">
        <v>11207</v>
      </c>
      <c r="AE12" s="22">
        <f>IF(AD12&gt;0,(AD12-AD13-$Q12),"")</f>
        <v>-8858.9122096478313</v>
      </c>
    </row>
    <row r="13" spans="2:42" x14ac:dyDescent="0.3">
      <c r="B13" s="16" t="s">
        <v>36</v>
      </c>
      <c r="C13" s="17">
        <v>5218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0</v>
      </c>
      <c r="S13" s="24"/>
      <c r="T13" s="30">
        <v>108</v>
      </c>
      <c r="U13" s="24"/>
      <c r="V13" s="30">
        <v>528</v>
      </c>
      <c r="W13" s="24"/>
      <c r="X13" s="30">
        <v>528</v>
      </c>
      <c r="Y13" s="24"/>
      <c r="Z13" s="30">
        <v>528</v>
      </c>
      <c r="AA13" s="24"/>
      <c r="AB13" s="30">
        <v>528</v>
      </c>
      <c r="AC13" s="26"/>
      <c r="AD13" s="30">
        <v>528</v>
      </c>
      <c r="AE13" s="26"/>
    </row>
    <row r="14" spans="2:42" x14ac:dyDescent="0.3">
      <c r="B14" s="16" t="s">
        <v>38</v>
      </c>
      <c r="C14" s="17">
        <v>11572</v>
      </c>
      <c r="E14" s="18" t="s">
        <v>39</v>
      </c>
      <c r="F14" s="119">
        <v>23125.140978635631</v>
      </c>
      <c r="G14" s="117">
        <v>21691.18888864047</v>
      </c>
      <c r="H14" s="117">
        <v>23803.877767223639</v>
      </c>
      <c r="I14" s="19">
        <f>G14+H14</f>
        <v>45495.06665586411</v>
      </c>
      <c r="J14" s="119">
        <v>38680.140978635623</v>
      </c>
      <c r="K14" s="117">
        <v>44916.688888640478</v>
      </c>
      <c r="L14" s="117">
        <v>47214.276422563627</v>
      </c>
      <c r="M14" s="19">
        <f>K14+L14</f>
        <v>92130.965311204112</v>
      </c>
      <c r="N14" s="88">
        <v>57</v>
      </c>
      <c r="O14" s="88">
        <v>45</v>
      </c>
      <c r="P14" s="92"/>
      <c r="Q14" s="20">
        <f>J14-P14</f>
        <v>38680.140978635623</v>
      </c>
      <c r="R14" s="21">
        <v>5104</v>
      </c>
      <c r="S14" s="20">
        <f>IF(R14&gt;0,(R14-R15-$Q14),"")</f>
        <v>-33576.140978635623</v>
      </c>
      <c r="T14" s="21">
        <v>7813</v>
      </c>
      <c r="U14" s="20">
        <f>IF(T14&gt;0,(T14-T15-$Q14),"")</f>
        <v>-30867.140978635623</v>
      </c>
      <c r="V14" s="21">
        <v>10111</v>
      </c>
      <c r="W14" s="20">
        <f>IF(V14&gt;0,(V14-V15-$Q14),"")</f>
        <v>-28588.140978635623</v>
      </c>
      <c r="X14" s="21">
        <v>12774</v>
      </c>
      <c r="Y14" s="20">
        <f>IF(X14&gt;0,(X14-X15-$Q14),"")</f>
        <v>-25933.140978635623</v>
      </c>
      <c r="Z14" s="21">
        <v>14385</v>
      </c>
      <c r="AA14" s="20">
        <f>IF(Z14&gt;0,(Z14-Z15-$Q14),"")</f>
        <v>-24322.140978635623</v>
      </c>
      <c r="AB14" s="21">
        <v>14707</v>
      </c>
      <c r="AC14" s="22">
        <f>IF(AB14&gt;0,(AB14-AB15-$Q14),"")</f>
        <v>-24000.140978635623</v>
      </c>
      <c r="AD14" s="21">
        <v>14707</v>
      </c>
      <c r="AE14" s="22">
        <f>IF(AD14&gt;0,(AD14-AD15-$Q14),"")</f>
        <v>-24000.140978635623</v>
      </c>
    </row>
    <row r="15" spans="2:42" ht="15" customHeight="1" thickBot="1" x14ac:dyDescent="0.3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19</v>
      </c>
      <c r="W15" s="24"/>
      <c r="X15" s="25">
        <v>27</v>
      </c>
      <c r="Y15" s="24"/>
      <c r="Z15" s="25">
        <v>27</v>
      </c>
      <c r="AA15" s="24"/>
      <c r="AB15" s="25">
        <v>27</v>
      </c>
      <c r="AC15" s="26"/>
      <c r="AD15" s="25">
        <v>27</v>
      </c>
      <c r="AE15" s="26"/>
    </row>
    <row r="16" spans="2:42" ht="15" customHeight="1" thickBot="1" x14ac:dyDescent="0.35">
      <c r="B16" s="28" t="s">
        <v>42</v>
      </c>
      <c r="C16" s="17">
        <v>37279</v>
      </c>
      <c r="E16" s="84"/>
      <c r="F16" s="31">
        <f t="shared" ref="F16:M16" si="0">SUM(F6:F15)</f>
        <v>96232.517407137668</v>
      </c>
      <c r="G16" s="31">
        <f t="shared" si="0"/>
        <v>75160.066249613388</v>
      </c>
      <c r="H16" s="31">
        <f t="shared" si="0"/>
        <v>59249.107986552954</v>
      </c>
      <c r="I16" s="32">
        <f t="shared" si="0"/>
        <v>134409.17423616635</v>
      </c>
      <c r="J16" s="33">
        <f t="shared" si="0"/>
        <v>122459.24673667055</v>
      </c>
      <c r="K16" s="33">
        <f t="shared" si="0"/>
        <v>107901.10000416488</v>
      </c>
      <c r="L16" s="33">
        <f t="shared" si="0"/>
        <v>90063.992185577168</v>
      </c>
      <c r="M16" s="33">
        <f t="shared" si="0"/>
        <v>197965.09218974202</v>
      </c>
      <c r="N16" s="31">
        <f>SUM(N14,N12,N10,N8,N6)</f>
        <v>233</v>
      </c>
      <c r="O16" s="31">
        <f>SUM(O14,O12,O10,O8,O6)</f>
        <v>196</v>
      </c>
      <c r="P16" s="34">
        <f>SUM(P6:P15)</f>
        <v>0</v>
      </c>
      <c r="Q16" s="34">
        <f>SUM(Q6:Q15)</f>
        <v>122459.24673667055</v>
      </c>
      <c r="R16" s="35">
        <f>R6+R8+R10+R12+R14-R7-R9-R11-R13-R15</f>
        <v>12453</v>
      </c>
      <c r="S16" s="36">
        <f>IF(R16&gt;1,(R16-$Q16),"")</f>
        <v>-110006.24673667055</v>
      </c>
      <c r="T16" s="35">
        <f>T6+T8+T10+T12+T14-T7-T9-T11-T13-T15</f>
        <v>21084</v>
      </c>
      <c r="U16" s="36">
        <f>IF(T16&gt;1,(T16-$Q16),"")</f>
        <v>-101375.24673667055</v>
      </c>
      <c r="V16" s="35">
        <f>V6+V8+V10+V12+V14-V7-V9-V11-V13-V15</f>
        <v>34920</v>
      </c>
      <c r="W16" s="36">
        <f>IF(V16&gt;1,(V16-$Q16),"")</f>
        <v>-87539.246736670553</v>
      </c>
      <c r="X16" s="35">
        <f>X6+X8+X10+X12+X14-X7-X9-X11-X13-X15</f>
        <v>58139</v>
      </c>
      <c r="Y16" s="36">
        <f>IF(X16&gt;1,(X16-$Q16),"")</f>
        <v>-64320.246736670553</v>
      </c>
      <c r="Z16" s="35">
        <f>Z6+Z8+Z10+Z12+Z14-Z7-Z9-Z11-Z13-Z15</f>
        <v>67906</v>
      </c>
      <c r="AA16" s="36">
        <f>IF(Z16&gt;1,(Z16-$Q16),"")</f>
        <v>-54553.246736670553</v>
      </c>
      <c r="AB16" s="35">
        <f>AB6+AB8+AB10+AB12+AB14-AB7-AB9-AB11-AB13-AB15</f>
        <v>70192</v>
      </c>
      <c r="AC16" s="37">
        <f>IF(AB16&gt;1,(AB16-$Q16),"")</f>
        <v>-52267.246736670553</v>
      </c>
      <c r="AD16" s="35">
        <f>AD6+AD8+AD10+AD12+AD14-AD7-AD9-AD11-AD13-AD15</f>
        <v>70192</v>
      </c>
      <c r="AE16" s="37">
        <f>IF(AD16&gt;1,(AD16-$Q16),"")</f>
        <v>-52267.246736670553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37</v>
      </c>
      <c r="P17" s="38" t="s">
        <v>44</v>
      </c>
      <c r="Q17" s="39"/>
      <c r="R17" s="40">
        <f>R15+R13+R11+R9+R7</f>
        <v>22</v>
      </c>
      <c r="S17" s="41"/>
      <c r="T17" s="40">
        <f>T15+T13+T11+T9+T7</f>
        <v>130</v>
      </c>
      <c r="U17" s="41"/>
      <c r="V17" s="40">
        <f>V15+V13+V11+V9+V7</f>
        <v>914</v>
      </c>
      <c r="W17" s="41"/>
      <c r="X17" s="40">
        <f>X15+X13+X11+X9+X7</f>
        <v>926</v>
      </c>
      <c r="Y17" s="41"/>
      <c r="Z17" s="40">
        <f>Z15+Z13+Z11+Z9+Z7</f>
        <v>983</v>
      </c>
      <c r="AA17" s="41"/>
      <c r="AB17" s="40">
        <f>AB15+AB13+AB11+AB9+AB7</f>
        <v>983</v>
      </c>
      <c r="AC17" s="42"/>
      <c r="AD17" s="40">
        <f>AD15+AD13+AD11+AD9+AD7</f>
        <v>983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6226.5</v>
      </c>
      <c r="S18" s="46"/>
      <c r="T18" s="47">
        <f>IF(T16&gt;0,(T16-R16)/2,"")</f>
        <v>4315.5</v>
      </c>
      <c r="U18" s="46"/>
      <c r="V18" s="47">
        <f>IF(V16&gt;0,(V16-T16)/2,"")</f>
        <v>6918</v>
      </c>
      <c r="W18" s="46"/>
      <c r="X18" s="47">
        <f>IF(X16&gt;0,(X16-V16)/2,"")</f>
        <v>11609.5</v>
      </c>
      <c r="Y18" s="46"/>
      <c r="Z18" s="47">
        <f>IF(Z16&gt;0,(Z16-X16)/2,"")</f>
        <v>4883.5</v>
      </c>
      <c r="AA18" s="46"/>
      <c r="AB18" s="47">
        <f>IF(AB16&gt;0,(AB16-Z16)/2,"")</f>
        <v>1143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1180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578</v>
      </c>
      <c r="L20" s="4"/>
      <c r="M20" s="4"/>
      <c r="Q20" s="51" t="s">
        <v>49</v>
      </c>
      <c r="R20" s="35">
        <v>3913</v>
      </c>
      <c r="S20" s="36"/>
      <c r="T20" s="35">
        <v>9487</v>
      </c>
      <c r="U20" s="36"/>
      <c r="V20" s="35">
        <v>27910</v>
      </c>
      <c r="W20" s="36"/>
      <c r="X20" s="35">
        <v>39097</v>
      </c>
      <c r="Y20" s="36"/>
      <c r="Z20" s="35">
        <v>49279</v>
      </c>
      <c r="AA20" s="36"/>
      <c r="AB20" s="35">
        <v>50819</v>
      </c>
      <c r="AC20" s="37"/>
      <c r="AD20" s="35">
        <v>51104</v>
      </c>
      <c r="AE20" s="37">
        <v>-38308.180251553997</v>
      </c>
    </row>
    <row r="21" spans="2:43" ht="15" customHeight="1" thickBot="1" x14ac:dyDescent="0.35">
      <c r="B21" s="16" t="s">
        <v>50</v>
      </c>
      <c r="C21" s="17">
        <v>8185</v>
      </c>
      <c r="L21" s="4"/>
      <c r="M21" s="4"/>
      <c r="Q21" s="52"/>
      <c r="R21" s="40">
        <v>5236</v>
      </c>
      <c r="S21" s="41"/>
      <c r="T21" s="40">
        <v>8121</v>
      </c>
      <c r="U21" s="41"/>
      <c r="V21" s="40">
        <v>10417</v>
      </c>
      <c r="W21" s="41"/>
      <c r="X21" s="40">
        <v>13649</v>
      </c>
      <c r="Y21" s="41"/>
      <c r="Z21" s="40">
        <v>15343</v>
      </c>
      <c r="AA21" s="41"/>
      <c r="AB21" s="40">
        <v>15484</v>
      </c>
      <c r="AC21" s="42"/>
      <c r="AD21" s="40">
        <v>15449</v>
      </c>
      <c r="AE21" s="42"/>
    </row>
    <row r="22" spans="2:43" ht="15" customHeight="1" thickBot="1" x14ac:dyDescent="0.35">
      <c r="B22" s="16" t="s">
        <v>51</v>
      </c>
      <c r="C22" s="17">
        <v>2910</v>
      </c>
      <c r="L22" s="4"/>
      <c r="M22" s="4"/>
      <c r="Q22" s="54"/>
      <c r="R22" s="55">
        <v>1956.5</v>
      </c>
      <c r="S22" s="55"/>
      <c r="T22" s="55">
        <v>2787</v>
      </c>
      <c r="U22" s="55"/>
      <c r="V22" s="55">
        <v>9211.5</v>
      </c>
      <c r="W22" s="55"/>
      <c r="X22" s="55">
        <v>5593.5</v>
      </c>
      <c r="Y22" s="55"/>
      <c r="Z22" s="55">
        <v>5091</v>
      </c>
      <c r="AA22" s="55"/>
      <c r="AB22" s="55">
        <v>770</v>
      </c>
      <c r="AC22" s="56"/>
      <c r="AD22" s="55">
        <v>142.5</v>
      </c>
      <c r="AE22" s="56"/>
    </row>
    <row r="23" spans="2:43" ht="15" customHeight="1" thickBot="1" x14ac:dyDescent="0.35">
      <c r="B23" s="57" t="s">
        <v>52</v>
      </c>
      <c r="C23" s="58">
        <v>4499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8540</v>
      </c>
      <c r="S24" s="60"/>
      <c r="T24" s="60">
        <f>IF(T16&gt;0,T16-T20,"")</f>
        <v>11597</v>
      </c>
      <c r="U24" s="60"/>
      <c r="V24" s="60">
        <f>IF(V16&gt;0,V16-V20,"")</f>
        <v>7010</v>
      </c>
      <c r="W24" s="60"/>
      <c r="X24" s="60">
        <f>IF(X16&gt;0,X16-X20,"")</f>
        <v>19042</v>
      </c>
      <c r="Y24" s="60"/>
      <c r="Z24" s="60">
        <f>IF(Z16&gt;0,Z16-Z20,"")</f>
        <v>18627</v>
      </c>
      <c r="AA24" s="60"/>
      <c r="AB24" s="60">
        <f>IF(AB16&gt;0,AB16-AB20,"")</f>
        <v>19373</v>
      </c>
      <c r="AC24" s="61"/>
      <c r="AD24" s="60">
        <f>IF(AD16&gt;0,AD16-AD20,"")</f>
        <v>19088</v>
      </c>
      <c r="AE24" s="61"/>
    </row>
    <row r="25" spans="2:43" x14ac:dyDescent="0.3">
      <c r="L25" s="4"/>
      <c r="M25" s="4"/>
      <c r="Q25" s="62"/>
      <c r="R25" s="63">
        <f>IF(R17&gt;=0,R17-R21,"")</f>
        <v>-5214</v>
      </c>
      <c r="S25" s="64"/>
      <c r="T25" s="63">
        <f>IF(T17&gt;=0,T17-T21,"")</f>
        <v>-7991</v>
      </c>
      <c r="U25" s="64"/>
      <c r="V25" s="63">
        <f>IF(V17&gt;=0,V17-V21,"")</f>
        <v>-9503</v>
      </c>
      <c r="W25" s="64"/>
      <c r="X25" s="63">
        <f>IF(X17&gt;=0,X17-X21,"")</f>
        <v>-12723</v>
      </c>
      <c r="Y25" s="64"/>
      <c r="Z25" s="63">
        <f>IF(Z17&gt;=0,Z17-Z21,"")</f>
        <v>-14360</v>
      </c>
      <c r="AA25" s="64"/>
      <c r="AB25" s="63">
        <f>IF(AB17&gt;=0,AB17-AB21,"")</f>
        <v>-14501</v>
      </c>
      <c r="AC25" s="65"/>
      <c r="AD25" s="63">
        <f>IF(AD17&gt;=0,AD17-AD21,"")</f>
        <v>-14466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4270</v>
      </c>
      <c r="S26" s="55"/>
      <c r="T26" s="67">
        <f>IFERROR(IF(T18&gt;0,T18-T22,""),"")</f>
        <v>1528.5</v>
      </c>
      <c r="U26" s="55"/>
      <c r="V26" s="67">
        <f>IFERROR(IF(V18&gt;0,V18-V22,""),"")</f>
        <v>-2293.5</v>
      </c>
      <c r="W26" s="55"/>
      <c r="X26" s="67">
        <f>IFERROR(IF(X18&gt;0,X18-X22,""),"")</f>
        <v>6016</v>
      </c>
      <c r="Y26" s="55"/>
      <c r="Z26" s="67">
        <f>IFERROR(IF(Z18&gt;0,Z18-Z22,""),"")</f>
        <v>-207.5</v>
      </c>
      <c r="AA26" s="55"/>
      <c r="AB26" s="67">
        <f>IFERROR(IF(AB18&gt;0,AB18-AB22,""),"")</f>
        <v>373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10397.65837454657</v>
      </c>
      <c r="D29" s="76">
        <f>C14</f>
        <v>11572</v>
      </c>
      <c r="E29" s="77">
        <f t="shared" ref="E29:E34" si="1">D29-C29</f>
        <v>1174.3416254534295</v>
      </c>
      <c r="M29" s="4"/>
      <c r="O29" s="4"/>
    </row>
    <row r="30" spans="2:43" x14ac:dyDescent="0.3">
      <c r="B30" s="74" t="s">
        <v>56</v>
      </c>
      <c r="C30" s="75">
        <v>37884.859032591106</v>
      </c>
      <c r="D30" s="76">
        <f>C7+C15+C16+C19+C20</f>
        <v>44574</v>
      </c>
      <c r="E30" s="77">
        <f t="shared" si="1"/>
        <v>6689.1409674088936</v>
      </c>
      <c r="J30" s="53"/>
      <c r="L30" s="53"/>
      <c r="M30" s="4"/>
      <c r="O30" s="4"/>
    </row>
    <row r="31" spans="2:43" x14ac:dyDescent="0.3">
      <c r="B31" s="74" t="s">
        <v>21</v>
      </c>
      <c r="C31" s="75">
        <v>6582</v>
      </c>
      <c r="D31" s="76">
        <f>C6</f>
        <v>6582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13792</v>
      </c>
      <c r="D32" s="76">
        <f>C10+C11+C12+C13</f>
        <v>13792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14980</v>
      </c>
      <c r="D34" s="76">
        <f>C21+C22+C23</f>
        <v>15594</v>
      </c>
      <c r="E34" s="77">
        <f t="shared" si="1"/>
        <v>614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4535</v>
      </c>
      <c r="D35" s="80">
        <f>SUM(C8+C9)</f>
        <v>4535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3332</v>
      </c>
      <c r="R36" s="104">
        <v>0</v>
      </c>
      <c r="S36" s="104">
        <f t="shared" ref="S36:S65" si="2">IF(T36&gt;0,(T36-R36)/2,"")</f>
        <v>21</v>
      </c>
      <c r="T36" s="104">
        <v>42</v>
      </c>
      <c r="U36" s="104">
        <f t="shared" ref="U36:U65" si="3">IF(V36&gt;0,(V36-T36)/2,"")</f>
        <v>716.5</v>
      </c>
      <c r="V36" s="104">
        <v>1475</v>
      </c>
      <c r="W36" s="104">
        <f t="shared" ref="W36:W65" si="4">IF(X36&gt;0,(X36-V36)/2,"")</f>
        <v>50</v>
      </c>
      <c r="X36" s="104">
        <v>1575</v>
      </c>
      <c r="Y36" s="104">
        <f t="shared" ref="Y36:Y65" si="5">IF(Z36&gt;0,(Z36-X36)/2,"")</f>
        <v>115</v>
      </c>
      <c r="Z36" s="104">
        <v>1805</v>
      </c>
      <c r="AA36" s="104">
        <f t="shared" ref="AA36:AA65" si="6">IF(AB36&gt;0,(AB36-Z36)/2,"")</f>
        <v>0</v>
      </c>
      <c r="AB36" s="104">
        <v>1805</v>
      </c>
      <c r="AC36" s="104">
        <f t="shared" ref="AC36:AC65" si="7">IF(AD36&gt;0,(AD36-AB36)/2,"")</f>
        <v>0</v>
      </c>
      <c r="AD36" s="104">
        <v>1805</v>
      </c>
      <c r="AE36" s="105">
        <f t="shared" ref="AE36:AE65" si="8">AD36-Q36</f>
        <v>-1527</v>
      </c>
    </row>
    <row r="37" spans="2:31" ht="15.6" customHeight="1" x14ac:dyDescent="0.3">
      <c r="N37" s="212"/>
      <c r="O37" s="95" t="s">
        <v>66</v>
      </c>
      <c r="P37" s="106"/>
      <c r="Q37" s="106">
        <v>1565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260</v>
      </c>
      <c r="V37" s="106">
        <v>520</v>
      </c>
      <c r="W37" s="106">
        <f t="shared" si="4"/>
        <v>259.5</v>
      </c>
      <c r="X37" s="106">
        <v>1039</v>
      </c>
      <c r="Y37" s="106">
        <f t="shared" si="5"/>
        <v>187.5</v>
      </c>
      <c r="Z37" s="106">
        <v>1414</v>
      </c>
      <c r="AA37" s="106">
        <f t="shared" si="6"/>
        <v>0</v>
      </c>
      <c r="AB37" s="106">
        <v>1414</v>
      </c>
      <c r="AC37" s="106">
        <f t="shared" si="7"/>
        <v>0</v>
      </c>
      <c r="AD37" s="106">
        <v>1414</v>
      </c>
      <c r="AE37" s="107">
        <f t="shared" si="8"/>
        <v>-151</v>
      </c>
    </row>
    <row r="38" spans="2:31" ht="15.6" customHeight="1" x14ac:dyDescent="0.3">
      <c r="N38" s="212"/>
      <c r="O38" s="94" t="s">
        <v>67</v>
      </c>
      <c r="P38" s="108"/>
      <c r="Q38" s="108">
        <v>2547</v>
      </c>
      <c r="R38" s="108">
        <v>0</v>
      </c>
      <c r="S38" s="108">
        <f t="shared" si="2"/>
        <v>210</v>
      </c>
      <c r="T38" s="108">
        <v>420</v>
      </c>
      <c r="U38" s="108">
        <f t="shared" si="3"/>
        <v>0</v>
      </c>
      <c r="V38" s="108">
        <v>420</v>
      </c>
      <c r="W38" s="108">
        <f t="shared" si="4"/>
        <v>210</v>
      </c>
      <c r="X38" s="108">
        <v>840</v>
      </c>
      <c r="Y38" s="108">
        <f t="shared" si="5"/>
        <v>859.5</v>
      </c>
      <c r="Z38" s="108">
        <v>2559</v>
      </c>
      <c r="AA38" s="108">
        <f t="shared" si="6"/>
        <v>0</v>
      </c>
      <c r="AB38" s="108">
        <v>2559</v>
      </c>
      <c r="AC38" s="108">
        <f t="shared" si="7"/>
        <v>0</v>
      </c>
      <c r="AD38" s="108">
        <v>2559</v>
      </c>
      <c r="AE38" s="109">
        <f t="shared" si="8"/>
        <v>12</v>
      </c>
    </row>
    <row r="39" spans="2:31" ht="15.6" customHeight="1" x14ac:dyDescent="0.3">
      <c r="N39" s="212"/>
      <c r="O39" s="95" t="s">
        <v>68</v>
      </c>
      <c r="P39" s="106"/>
      <c r="Q39" s="106">
        <v>3268</v>
      </c>
      <c r="R39" s="106">
        <v>0</v>
      </c>
      <c r="S39" s="106">
        <f t="shared" si="2"/>
        <v>371.5</v>
      </c>
      <c r="T39" s="106">
        <v>743</v>
      </c>
      <c r="U39" s="106">
        <f t="shared" si="3"/>
        <v>670</v>
      </c>
      <c r="V39" s="106">
        <v>2083</v>
      </c>
      <c r="W39" s="106">
        <f t="shared" si="4"/>
        <v>575</v>
      </c>
      <c r="X39" s="106">
        <v>3233</v>
      </c>
      <c r="Y39" s="106">
        <f t="shared" si="5"/>
        <v>-1</v>
      </c>
      <c r="Z39" s="106">
        <v>3231</v>
      </c>
      <c r="AA39" s="106">
        <f t="shared" si="6"/>
        <v>0</v>
      </c>
      <c r="AB39" s="106">
        <v>3231</v>
      </c>
      <c r="AC39" s="106">
        <f t="shared" si="7"/>
        <v>0</v>
      </c>
      <c r="AD39" s="106">
        <v>3231</v>
      </c>
      <c r="AE39" s="107">
        <f t="shared" si="8"/>
        <v>-37</v>
      </c>
    </row>
    <row r="40" spans="2:31" ht="15.6" customHeight="1" x14ac:dyDescent="0.3">
      <c r="N40" s="212"/>
      <c r="O40" s="94" t="s">
        <v>69</v>
      </c>
      <c r="P40" s="108"/>
      <c r="Q40" s="108">
        <v>3228</v>
      </c>
      <c r="R40" s="108">
        <v>0</v>
      </c>
      <c r="S40" s="108" t="str">
        <f t="shared" si="2"/>
        <v/>
      </c>
      <c r="T40" s="108">
        <v>0</v>
      </c>
      <c r="U40" s="108" t="str">
        <f t="shared" si="3"/>
        <v/>
      </c>
      <c r="V40" s="108">
        <v>0</v>
      </c>
      <c r="W40" s="108">
        <f t="shared" si="4"/>
        <v>1167</v>
      </c>
      <c r="X40" s="108">
        <v>2334</v>
      </c>
      <c r="Y40" s="108">
        <f t="shared" si="5"/>
        <v>246</v>
      </c>
      <c r="Z40" s="108">
        <v>2826</v>
      </c>
      <c r="AA40" s="108">
        <f t="shared" si="6"/>
        <v>0</v>
      </c>
      <c r="AB40" s="108">
        <v>2826</v>
      </c>
      <c r="AC40" s="108">
        <f t="shared" si="7"/>
        <v>0</v>
      </c>
      <c r="AD40" s="108">
        <v>2826</v>
      </c>
      <c r="AE40" s="109">
        <f t="shared" si="8"/>
        <v>-402</v>
      </c>
    </row>
    <row r="41" spans="2:31" ht="15.6" customHeight="1" x14ac:dyDescent="0.3">
      <c r="N41" s="212"/>
      <c r="O41" s="95" t="s">
        <v>70</v>
      </c>
      <c r="P41" s="106"/>
      <c r="Q41" s="106">
        <v>2714</v>
      </c>
      <c r="R41" s="106">
        <v>0</v>
      </c>
      <c r="S41" s="106" t="str">
        <f t="shared" si="2"/>
        <v/>
      </c>
      <c r="T41" s="106">
        <v>0</v>
      </c>
      <c r="U41" s="106">
        <f t="shared" si="3"/>
        <v>486.5</v>
      </c>
      <c r="V41" s="106">
        <v>973</v>
      </c>
      <c r="W41" s="106">
        <f t="shared" si="4"/>
        <v>282</v>
      </c>
      <c r="X41" s="106">
        <v>1537</v>
      </c>
      <c r="Y41" s="106">
        <f t="shared" si="5"/>
        <v>156</v>
      </c>
      <c r="Z41" s="106">
        <v>1849</v>
      </c>
      <c r="AA41" s="106">
        <f t="shared" si="6"/>
        <v>0</v>
      </c>
      <c r="AB41" s="106">
        <v>1849</v>
      </c>
      <c r="AC41" s="106">
        <f t="shared" si="7"/>
        <v>0</v>
      </c>
      <c r="AD41" s="106">
        <v>1849</v>
      </c>
      <c r="AE41" s="107">
        <f t="shared" si="8"/>
        <v>-865</v>
      </c>
    </row>
    <row r="42" spans="2:31" ht="15.6" customHeight="1" x14ac:dyDescent="0.3">
      <c r="N42" s="212"/>
      <c r="O42" s="94" t="s">
        <v>71</v>
      </c>
      <c r="P42" s="108"/>
      <c r="Q42" s="108">
        <v>1233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365.5</v>
      </c>
      <c r="V42" s="108">
        <v>731</v>
      </c>
      <c r="W42" s="108">
        <f t="shared" si="4"/>
        <v>0</v>
      </c>
      <c r="X42" s="108">
        <v>731</v>
      </c>
      <c r="Y42" s="108">
        <f t="shared" si="5"/>
        <v>0</v>
      </c>
      <c r="Z42" s="108">
        <v>731</v>
      </c>
      <c r="AA42" s="108">
        <f t="shared" si="6"/>
        <v>0</v>
      </c>
      <c r="AB42" s="108">
        <v>731</v>
      </c>
      <c r="AC42" s="108">
        <f t="shared" si="7"/>
        <v>0</v>
      </c>
      <c r="AD42" s="108">
        <v>731</v>
      </c>
      <c r="AE42" s="109">
        <f t="shared" si="8"/>
        <v>-502</v>
      </c>
    </row>
    <row r="43" spans="2:31" ht="15.6" customHeight="1" x14ac:dyDescent="0.3">
      <c r="N43" s="212"/>
      <c r="O43" s="95" t="s">
        <v>72</v>
      </c>
      <c r="P43" s="106"/>
      <c r="Q43" s="106">
        <v>1764</v>
      </c>
      <c r="R43" s="106">
        <v>0</v>
      </c>
      <c r="S43" s="106">
        <f t="shared" si="2"/>
        <v>150</v>
      </c>
      <c r="T43" s="106">
        <v>300</v>
      </c>
      <c r="U43" s="106">
        <f t="shared" si="3"/>
        <v>0</v>
      </c>
      <c r="V43" s="106">
        <v>300</v>
      </c>
      <c r="W43" s="106">
        <f t="shared" si="4"/>
        <v>0</v>
      </c>
      <c r="X43" s="106">
        <v>300</v>
      </c>
      <c r="Y43" s="106">
        <f t="shared" si="5"/>
        <v>0</v>
      </c>
      <c r="Z43" s="106">
        <v>300</v>
      </c>
      <c r="AA43" s="106">
        <f t="shared" si="6"/>
        <v>0</v>
      </c>
      <c r="AB43" s="106">
        <v>300</v>
      </c>
      <c r="AC43" s="106">
        <f t="shared" si="7"/>
        <v>0</v>
      </c>
      <c r="AD43" s="106">
        <v>300</v>
      </c>
      <c r="AE43" s="107">
        <f t="shared" si="8"/>
        <v>-1464</v>
      </c>
    </row>
    <row r="44" spans="2:31" ht="15.6" customHeight="1" thickBot="1" x14ac:dyDescent="0.35">
      <c r="N44" s="213"/>
      <c r="O44" s="97" t="s">
        <v>73</v>
      </c>
      <c r="P44" s="110"/>
      <c r="Q44" s="110">
        <v>2087</v>
      </c>
      <c r="R44" s="110">
        <v>0</v>
      </c>
      <c r="S44" s="110" t="str">
        <f t="shared" si="2"/>
        <v/>
      </c>
      <c r="T44" s="110">
        <v>0</v>
      </c>
      <c r="U44" s="110">
        <f t="shared" si="3"/>
        <v>567</v>
      </c>
      <c r="V44" s="110">
        <v>1134</v>
      </c>
      <c r="W44" s="110">
        <f t="shared" si="4"/>
        <v>5.5</v>
      </c>
      <c r="X44" s="110">
        <v>1145</v>
      </c>
      <c r="Y44" s="110">
        <f t="shared" si="5"/>
        <v>125</v>
      </c>
      <c r="Z44" s="110">
        <v>1395</v>
      </c>
      <c r="AA44" s="110">
        <f t="shared" si="6"/>
        <v>0</v>
      </c>
      <c r="AB44" s="110">
        <v>1395</v>
      </c>
      <c r="AC44" s="110">
        <f t="shared" si="7"/>
        <v>0</v>
      </c>
      <c r="AD44" s="110">
        <v>1395</v>
      </c>
      <c r="AE44" s="111">
        <f t="shared" si="8"/>
        <v>-692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5030</v>
      </c>
      <c r="R45" s="112">
        <v>1000</v>
      </c>
      <c r="S45" s="112">
        <f t="shared" si="2"/>
        <v>456</v>
      </c>
      <c r="T45" s="112">
        <v>1912</v>
      </c>
      <c r="U45" s="112">
        <f t="shared" si="3"/>
        <v>0</v>
      </c>
      <c r="V45" s="112">
        <v>1912</v>
      </c>
      <c r="W45" s="112">
        <f t="shared" si="4"/>
        <v>1559</v>
      </c>
      <c r="X45" s="112">
        <v>5030</v>
      </c>
      <c r="Y45" s="112">
        <f t="shared" si="5"/>
        <v>0</v>
      </c>
      <c r="Z45" s="112">
        <v>5030</v>
      </c>
      <c r="AA45" s="112">
        <f t="shared" si="6"/>
        <v>0</v>
      </c>
      <c r="AB45" s="112">
        <v>5030</v>
      </c>
      <c r="AC45" s="112">
        <f t="shared" si="7"/>
        <v>0</v>
      </c>
      <c r="AD45" s="112">
        <v>5030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4125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2062.5</v>
      </c>
      <c r="X46" s="108">
        <v>4125</v>
      </c>
      <c r="Y46" s="108">
        <f t="shared" si="5"/>
        <v>0</v>
      </c>
      <c r="Z46" s="108">
        <v>4125</v>
      </c>
      <c r="AA46" s="108">
        <f t="shared" si="6"/>
        <v>0</v>
      </c>
      <c r="AB46" s="108">
        <v>4125</v>
      </c>
      <c r="AC46" s="108">
        <f t="shared" si="7"/>
        <v>0</v>
      </c>
      <c r="AD46" s="108">
        <v>4125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2824</v>
      </c>
      <c r="R47" s="106">
        <v>1</v>
      </c>
      <c r="S47" s="106">
        <f t="shared" si="2"/>
        <v>0</v>
      </c>
      <c r="T47" s="106">
        <v>1</v>
      </c>
      <c r="U47" s="106">
        <f t="shared" si="3"/>
        <v>0</v>
      </c>
      <c r="V47" s="106">
        <v>1</v>
      </c>
      <c r="W47" s="106">
        <f t="shared" si="4"/>
        <v>677</v>
      </c>
      <c r="X47" s="106">
        <v>1355</v>
      </c>
      <c r="Y47" s="106">
        <f t="shared" si="5"/>
        <v>0</v>
      </c>
      <c r="Z47" s="106">
        <v>1355</v>
      </c>
      <c r="AA47" s="106">
        <f t="shared" si="6"/>
        <v>181</v>
      </c>
      <c r="AB47" s="106">
        <v>1717</v>
      </c>
      <c r="AC47" s="106">
        <f t="shared" si="7"/>
        <v>0</v>
      </c>
      <c r="AD47" s="106">
        <v>1717</v>
      </c>
      <c r="AE47" s="107">
        <f t="shared" si="8"/>
        <v>-1107</v>
      </c>
    </row>
    <row r="48" spans="2:31" ht="15.6" customHeight="1" thickBot="1" x14ac:dyDescent="0.35">
      <c r="N48" s="213"/>
      <c r="O48" s="97" t="s">
        <v>68</v>
      </c>
      <c r="P48" s="110"/>
      <c r="Q48" s="110">
        <v>4169</v>
      </c>
      <c r="R48" s="110">
        <v>920</v>
      </c>
      <c r="S48" s="110">
        <f t="shared" si="2"/>
        <v>0</v>
      </c>
      <c r="T48" s="110">
        <v>920</v>
      </c>
      <c r="U48" s="110">
        <f t="shared" si="3"/>
        <v>9.5</v>
      </c>
      <c r="V48" s="110">
        <v>939</v>
      </c>
      <c r="W48" s="110">
        <f t="shared" si="4"/>
        <v>1615</v>
      </c>
      <c r="X48" s="110">
        <v>4169</v>
      </c>
      <c r="Y48" s="110">
        <f t="shared" si="5"/>
        <v>0</v>
      </c>
      <c r="Z48" s="110">
        <v>4169</v>
      </c>
      <c r="AA48" s="110">
        <f t="shared" si="6"/>
        <v>0</v>
      </c>
      <c r="AB48" s="110">
        <v>4169</v>
      </c>
      <c r="AC48" s="110">
        <f t="shared" si="7"/>
        <v>0</v>
      </c>
      <c r="AD48" s="110">
        <v>4169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2513</v>
      </c>
      <c r="R49" s="112">
        <v>960</v>
      </c>
      <c r="S49" s="112">
        <f t="shared" si="2"/>
        <v>447.5</v>
      </c>
      <c r="T49" s="112">
        <v>1855</v>
      </c>
      <c r="U49" s="112">
        <f t="shared" si="3"/>
        <v>0</v>
      </c>
      <c r="V49" s="112">
        <v>1855</v>
      </c>
      <c r="W49" s="112">
        <f t="shared" si="4"/>
        <v>24</v>
      </c>
      <c r="X49" s="112">
        <v>1903</v>
      </c>
      <c r="Y49" s="112">
        <f t="shared" si="5"/>
        <v>0</v>
      </c>
      <c r="Z49" s="112">
        <v>1903</v>
      </c>
      <c r="AA49" s="112">
        <f t="shared" si="6"/>
        <v>94.5</v>
      </c>
      <c r="AB49" s="112">
        <v>2092</v>
      </c>
      <c r="AC49" s="112">
        <f t="shared" si="7"/>
        <v>0</v>
      </c>
      <c r="AD49" s="112">
        <v>2092</v>
      </c>
      <c r="AE49" s="113">
        <f t="shared" si="8"/>
        <v>-421</v>
      </c>
    </row>
    <row r="50" spans="14:31" ht="15.6" customHeight="1" x14ac:dyDescent="0.3">
      <c r="N50" s="212"/>
      <c r="O50" s="94" t="s">
        <v>66</v>
      </c>
      <c r="P50" s="108"/>
      <c r="Q50" s="108">
        <v>3760</v>
      </c>
      <c r="R50" s="108">
        <v>900</v>
      </c>
      <c r="S50" s="108">
        <f t="shared" si="2"/>
        <v>234.5</v>
      </c>
      <c r="T50" s="108">
        <v>1369</v>
      </c>
      <c r="U50" s="108">
        <f t="shared" si="3"/>
        <v>0</v>
      </c>
      <c r="V50" s="108">
        <v>1369</v>
      </c>
      <c r="W50" s="108">
        <f t="shared" si="4"/>
        <v>507</v>
      </c>
      <c r="X50" s="108">
        <v>2383</v>
      </c>
      <c r="Y50" s="108">
        <f t="shared" si="5"/>
        <v>608.5</v>
      </c>
      <c r="Z50" s="108">
        <v>3600</v>
      </c>
      <c r="AA50" s="108">
        <f t="shared" si="6"/>
        <v>72.5</v>
      </c>
      <c r="AB50" s="108">
        <v>3745</v>
      </c>
      <c r="AC50" s="108">
        <f t="shared" si="7"/>
        <v>0</v>
      </c>
      <c r="AD50" s="108">
        <v>3745</v>
      </c>
      <c r="AE50" s="109">
        <f t="shared" si="8"/>
        <v>-15</v>
      </c>
    </row>
    <row r="51" spans="14:31" ht="15.6" customHeight="1" x14ac:dyDescent="0.3">
      <c r="N51" s="212"/>
      <c r="O51" s="95" t="s">
        <v>67</v>
      </c>
      <c r="P51" s="106"/>
      <c r="Q51" s="106">
        <v>4283</v>
      </c>
      <c r="R51" s="106">
        <v>83</v>
      </c>
      <c r="S51" s="106">
        <f t="shared" si="2"/>
        <v>3.5</v>
      </c>
      <c r="T51" s="106">
        <v>90</v>
      </c>
      <c r="U51" s="106">
        <f t="shared" si="3"/>
        <v>209.5</v>
      </c>
      <c r="V51" s="106">
        <v>509</v>
      </c>
      <c r="W51" s="106">
        <f t="shared" si="4"/>
        <v>69.5</v>
      </c>
      <c r="X51" s="106">
        <v>648</v>
      </c>
      <c r="Y51" s="106">
        <f t="shared" si="5"/>
        <v>29</v>
      </c>
      <c r="Z51" s="106">
        <v>706</v>
      </c>
      <c r="AA51" s="106">
        <f t="shared" si="6"/>
        <v>10</v>
      </c>
      <c r="AB51" s="106">
        <v>726</v>
      </c>
      <c r="AC51" s="106">
        <f t="shared" si="7"/>
        <v>0</v>
      </c>
      <c r="AD51" s="106">
        <v>726</v>
      </c>
      <c r="AE51" s="107">
        <f t="shared" si="8"/>
        <v>-3557</v>
      </c>
    </row>
    <row r="52" spans="14:31" ht="15.6" customHeight="1" x14ac:dyDescent="0.3">
      <c r="N52" s="212"/>
      <c r="O52" s="94" t="s">
        <v>68</v>
      </c>
      <c r="P52" s="108"/>
      <c r="Q52" s="108">
        <v>2821</v>
      </c>
      <c r="R52" s="108">
        <v>6</v>
      </c>
      <c r="S52" s="108">
        <f t="shared" si="2"/>
        <v>0</v>
      </c>
      <c r="T52" s="108">
        <v>6</v>
      </c>
      <c r="U52" s="108">
        <f t="shared" si="3"/>
        <v>71.5</v>
      </c>
      <c r="V52" s="108">
        <v>149</v>
      </c>
      <c r="W52" s="108">
        <f t="shared" si="4"/>
        <v>85</v>
      </c>
      <c r="X52" s="108">
        <v>319</v>
      </c>
      <c r="Y52" s="108">
        <f t="shared" si="5"/>
        <v>119.5</v>
      </c>
      <c r="Z52" s="108">
        <v>558</v>
      </c>
      <c r="AA52" s="108">
        <f t="shared" si="6"/>
        <v>14</v>
      </c>
      <c r="AB52" s="108">
        <v>586</v>
      </c>
      <c r="AC52" s="108">
        <f t="shared" si="7"/>
        <v>0</v>
      </c>
      <c r="AD52" s="108">
        <v>586</v>
      </c>
      <c r="AE52" s="109">
        <f t="shared" si="8"/>
        <v>-2235</v>
      </c>
    </row>
    <row r="53" spans="14:31" ht="15.6" customHeight="1" x14ac:dyDescent="0.3">
      <c r="N53" s="212"/>
      <c r="O53" s="95" t="s">
        <v>69</v>
      </c>
      <c r="P53" s="106"/>
      <c r="Q53" s="106">
        <v>5805.1935483870966</v>
      </c>
      <c r="R53" s="106">
        <v>46</v>
      </c>
      <c r="S53" s="106">
        <f t="shared" si="2"/>
        <v>322.5</v>
      </c>
      <c r="T53" s="106">
        <v>691</v>
      </c>
      <c r="U53" s="106">
        <f t="shared" si="3"/>
        <v>197</v>
      </c>
      <c r="V53" s="106">
        <v>1085</v>
      </c>
      <c r="W53" s="106">
        <f t="shared" si="4"/>
        <v>158</v>
      </c>
      <c r="X53" s="106">
        <v>1401</v>
      </c>
      <c r="Y53" s="106">
        <f t="shared" si="5"/>
        <v>83</v>
      </c>
      <c r="Z53" s="106">
        <v>1567</v>
      </c>
      <c r="AA53" s="106">
        <f t="shared" si="6"/>
        <v>55</v>
      </c>
      <c r="AB53" s="106">
        <v>1677</v>
      </c>
      <c r="AC53" s="106">
        <f t="shared" si="7"/>
        <v>0</v>
      </c>
      <c r="AD53" s="106">
        <v>1677</v>
      </c>
      <c r="AE53" s="107">
        <f t="shared" si="8"/>
        <v>-4128.1935483870966</v>
      </c>
    </row>
    <row r="54" spans="14:31" ht="15.6" customHeight="1" x14ac:dyDescent="0.3">
      <c r="N54" s="212"/>
      <c r="O54" s="94" t="s">
        <v>70</v>
      </c>
      <c r="P54" s="108"/>
      <c r="Q54" s="108">
        <v>2054</v>
      </c>
      <c r="R54" s="108">
        <v>4</v>
      </c>
      <c r="S54" s="108">
        <f t="shared" si="2"/>
        <v>0</v>
      </c>
      <c r="T54" s="108">
        <v>4</v>
      </c>
      <c r="U54" s="108">
        <f t="shared" si="3"/>
        <v>0</v>
      </c>
      <c r="V54" s="108">
        <v>4</v>
      </c>
      <c r="W54" s="108">
        <f t="shared" si="4"/>
        <v>0.5</v>
      </c>
      <c r="X54" s="108">
        <v>5</v>
      </c>
      <c r="Y54" s="108">
        <f t="shared" si="5"/>
        <v>136</v>
      </c>
      <c r="Z54" s="108">
        <v>277</v>
      </c>
      <c r="AA54" s="108">
        <f t="shared" si="6"/>
        <v>0</v>
      </c>
      <c r="AB54" s="108">
        <v>277</v>
      </c>
      <c r="AC54" s="108">
        <f t="shared" si="7"/>
        <v>0</v>
      </c>
      <c r="AD54" s="108">
        <v>277</v>
      </c>
      <c r="AE54" s="109">
        <f t="shared" si="8"/>
        <v>-1777</v>
      </c>
    </row>
    <row r="55" spans="14:31" ht="15.6" customHeight="1" x14ac:dyDescent="0.3">
      <c r="N55" s="212"/>
      <c r="O55" s="95" t="s">
        <v>71</v>
      </c>
      <c r="P55" s="106"/>
      <c r="Q55" s="106">
        <v>1936</v>
      </c>
      <c r="R55" s="106">
        <v>939</v>
      </c>
      <c r="S55" s="106">
        <f t="shared" si="2"/>
        <v>0</v>
      </c>
      <c r="T55" s="106">
        <v>939</v>
      </c>
      <c r="U55" s="106">
        <f t="shared" si="3"/>
        <v>150</v>
      </c>
      <c r="V55" s="106">
        <v>1239</v>
      </c>
      <c r="W55" s="106">
        <f t="shared" si="4"/>
        <v>0</v>
      </c>
      <c r="X55" s="106">
        <v>1239</v>
      </c>
      <c r="Y55" s="106">
        <f t="shared" si="5"/>
        <v>393.5</v>
      </c>
      <c r="Z55" s="106">
        <v>2026</v>
      </c>
      <c r="AA55" s="106">
        <f t="shared" si="6"/>
        <v>0</v>
      </c>
      <c r="AB55" s="106">
        <v>2026</v>
      </c>
      <c r="AC55" s="106">
        <f t="shared" si="7"/>
        <v>0</v>
      </c>
      <c r="AD55" s="106">
        <v>2026</v>
      </c>
      <c r="AE55" s="107">
        <f t="shared" si="8"/>
        <v>90</v>
      </c>
    </row>
    <row r="56" spans="14:31" ht="15.6" customHeight="1" x14ac:dyDescent="0.3">
      <c r="N56" s="212"/>
      <c r="O56" s="94" t="s">
        <v>72</v>
      </c>
      <c r="P56" s="108"/>
      <c r="Q56" s="108">
        <v>2925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600</v>
      </c>
      <c r="V56" s="108">
        <v>2400</v>
      </c>
      <c r="W56" s="108">
        <f t="shared" si="4"/>
        <v>0</v>
      </c>
      <c r="X56" s="108">
        <v>2400</v>
      </c>
      <c r="Y56" s="108">
        <f t="shared" si="5"/>
        <v>153</v>
      </c>
      <c r="Z56" s="108">
        <v>2706</v>
      </c>
      <c r="AA56" s="108">
        <f t="shared" si="6"/>
        <v>96</v>
      </c>
      <c r="AB56" s="108">
        <v>2898</v>
      </c>
      <c r="AC56" s="108">
        <f t="shared" si="7"/>
        <v>0</v>
      </c>
      <c r="AD56" s="108">
        <v>2898</v>
      </c>
      <c r="AE56" s="109">
        <f t="shared" si="8"/>
        <v>-27</v>
      </c>
    </row>
    <row r="57" spans="14:31" ht="15.6" customHeight="1" thickBot="1" x14ac:dyDescent="0.35">
      <c r="N57" s="213"/>
      <c r="O57" s="99" t="s">
        <v>73</v>
      </c>
      <c r="P57" s="114"/>
      <c r="Q57" s="114">
        <v>258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91</v>
      </c>
      <c r="V57" s="114">
        <v>182</v>
      </c>
      <c r="W57" s="114">
        <f t="shared" si="4"/>
        <v>-87.5</v>
      </c>
      <c r="X57" s="114">
        <v>7</v>
      </c>
      <c r="Y57" s="114">
        <f t="shared" si="5"/>
        <v>38</v>
      </c>
      <c r="Z57" s="114">
        <v>83</v>
      </c>
      <c r="AA57" s="114">
        <f t="shared" si="6"/>
        <v>0</v>
      </c>
      <c r="AB57" s="114">
        <v>83</v>
      </c>
      <c r="AC57" s="114">
        <f t="shared" si="7"/>
        <v>0</v>
      </c>
      <c r="AD57" s="114">
        <v>83</v>
      </c>
      <c r="AE57" s="115">
        <f t="shared" si="8"/>
        <v>-175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7212</v>
      </c>
      <c r="R58" s="104">
        <v>519</v>
      </c>
      <c r="S58" s="104">
        <f t="shared" si="2"/>
        <v>475.5</v>
      </c>
      <c r="T58" s="104">
        <v>1470</v>
      </c>
      <c r="U58" s="104">
        <f t="shared" si="3"/>
        <v>983.5</v>
      </c>
      <c r="V58" s="104">
        <v>3437</v>
      </c>
      <c r="W58" s="104">
        <f t="shared" si="4"/>
        <v>522</v>
      </c>
      <c r="X58" s="104">
        <v>4481</v>
      </c>
      <c r="Y58" s="104">
        <f t="shared" si="5"/>
        <v>51.5</v>
      </c>
      <c r="Z58" s="104">
        <v>4584</v>
      </c>
      <c r="AA58" s="104">
        <f t="shared" si="6"/>
        <v>0</v>
      </c>
      <c r="AB58" s="104">
        <v>4584</v>
      </c>
      <c r="AC58" s="104">
        <f t="shared" si="7"/>
        <v>0</v>
      </c>
      <c r="AD58" s="104">
        <v>4584</v>
      </c>
      <c r="AE58" s="105">
        <f t="shared" si="8"/>
        <v>-2628</v>
      </c>
    </row>
    <row r="59" spans="14:31" ht="15.6" customHeight="1" x14ac:dyDescent="0.3">
      <c r="N59" s="212"/>
      <c r="O59" s="95" t="s">
        <v>66</v>
      </c>
      <c r="P59" s="106"/>
      <c r="Q59" s="106">
        <v>5785.2481203007519</v>
      </c>
      <c r="R59" s="106">
        <v>501</v>
      </c>
      <c r="S59" s="106">
        <f t="shared" si="2"/>
        <v>0</v>
      </c>
      <c r="T59" s="106">
        <v>501</v>
      </c>
      <c r="U59" s="106">
        <f t="shared" si="3"/>
        <v>362.5</v>
      </c>
      <c r="V59" s="106">
        <v>1226</v>
      </c>
      <c r="W59" s="106">
        <f t="shared" si="4"/>
        <v>523.5</v>
      </c>
      <c r="X59" s="106">
        <v>2273</v>
      </c>
      <c r="Y59" s="106">
        <f t="shared" si="5"/>
        <v>366.5</v>
      </c>
      <c r="Z59" s="106">
        <v>3006</v>
      </c>
      <c r="AA59" s="106">
        <f t="shared" si="6"/>
        <v>0</v>
      </c>
      <c r="AB59" s="106">
        <v>3006</v>
      </c>
      <c r="AC59" s="106">
        <f t="shared" si="7"/>
        <v>0</v>
      </c>
      <c r="AD59" s="106">
        <v>3006</v>
      </c>
      <c r="AE59" s="107">
        <f t="shared" si="8"/>
        <v>-2779.2481203007519</v>
      </c>
    </row>
    <row r="60" spans="14:31" ht="15.6" customHeight="1" x14ac:dyDescent="0.3">
      <c r="N60" s="212"/>
      <c r="O60" s="94" t="s">
        <v>67</v>
      </c>
      <c r="P60" s="108"/>
      <c r="Q60" s="108">
        <v>6540.6640893470794</v>
      </c>
      <c r="R60" s="108">
        <v>292</v>
      </c>
      <c r="S60" s="108">
        <f t="shared" si="2"/>
        <v>323</v>
      </c>
      <c r="T60" s="108">
        <v>938</v>
      </c>
      <c r="U60" s="108">
        <f t="shared" si="3"/>
        <v>421</v>
      </c>
      <c r="V60" s="108">
        <v>1780</v>
      </c>
      <c r="W60" s="108">
        <f t="shared" si="4"/>
        <v>19.5</v>
      </c>
      <c r="X60" s="108">
        <v>1819</v>
      </c>
      <c r="Y60" s="108">
        <f t="shared" si="5"/>
        <v>440</v>
      </c>
      <c r="Z60" s="108">
        <v>2699</v>
      </c>
      <c r="AA60" s="108">
        <f t="shared" si="6"/>
        <v>459</v>
      </c>
      <c r="AB60" s="108">
        <v>3617</v>
      </c>
      <c r="AC60" s="108">
        <f t="shared" si="7"/>
        <v>0</v>
      </c>
      <c r="AD60" s="108">
        <v>3617</v>
      </c>
      <c r="AE60" s="109">
        <f t="shared" si="8"/>
        <v>-2923.6640893470794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10316.26150851437</v>
      </c>
      <c r="R62" s="104">
        <v>1597</v>
      </c>
      <c r="S62" s="104">
        <f t="shared" si="2"/>
        <v>52</v>
      </c>
      <c r="T62" s="104">
        <v>1701</v>
      </c>
      <c r="U62" s="104">
        <f t="shared" si="3"/>
        <v>270</v>
      </c>
      <c r="V62" s="104">
        <v>2241</v>
      </c>
      <c r="W62" s="104">
        <f t="shared" si="4"/>
        <v>515.5</v>
      </c>
      <c r="X62" s="104">
        <v>3272</v>
      </c>
      <c r="Y62" s="104">
        <f t="shared" si="5"/>
        <v>0</v>
      </c>
      <c r="Z62" s="104">
        <v>3272</v>
      </c>
      <c r="AA62" s="104">
        <f t="shared" si="6"/>
        <v>86</v>
      </c>
      <c r="AB62" s="104">
        <v>3444</v>
      </c>
      <c r="AC62" s="104">
        <f t="shared" si="7"/>
        <v>0</v>
      </c>
      <c r="AD62" s="104">
        <v>3444</v>
      </c>
      <c r="AE62" s="105">
        <f t="shared" si="8"/>
        <v>-6872.2615085143698</v>
      </c>
    </row>
    <row r="63" spans="14:31" ht="15.6" customHeight="1" x14ac:dyDescent="0.3">
      <c r="N63" s="212"/>
      <c r="O63" s="95" t="s">
        <v>66</v>
      </c>
      <c r="P63" s="106"/>
      <c r="Q63" s="106">
        <v>13127</v>
      </c>
      <c r="R63" s="106">
        <v>2245</v>
      </c>
      <c r="S63" s="106">
        <f t="shared" si="2"/>
        <v>771.5</v>
      </c>
      <c r="T63" s="106">
        <v>3788</v>
      </c>
      <c r="U63" s="106">
        <f t="shared" si="3"/>
        <v>534.5</v>
      </c>
      <c r="V63" s="106">
        <v>4857</v>
      </c>
      <c r="W63" s="106">
        <f t="shared" si="4"/>
        <v>105</v>
      </c>
      <c r="X63" s="106">
        <v>5067</v>
      </c>
      <c r="Y63" s="106">
        <f t="shared" si="5"/>
        <v>89</v>
      </c>
      <c r="Z63" s="106">
        <v>5245</v>
      </c>
      <c r="AA63" s="106">
        <f t="shared" si="6"/>
        <v>60</v>
      </c>
      <c r="AB63" s="106">
        <v>5365</v>
      </c>
      <c r="AC63" s="106">
        <f t="shared" si="7"/>
        <v>0</v>
      </c>
      <c r="AD63" s="106">
        <v>5365</v>
      </c>
      <c r="AE63" s="107">
        <f t="shared" si="8"/>
        <v>-7762</v>
      </c>
    </row>
    <row r="64" spans="14:31" ht="15.6" customHeight="1" x14ac:dyDescent="0.3">
      <c r="N64" s="212"/>
      <c r="O64" s="94" t="s">
        <v>67</v>
      </c>
      <c r="P64" s="108"/>
      <c r="Q64" s="108">
        <v>11363.06382978723</v>
      </c>
      <c r="R64" s="108">
        <v>377</v>
      </c>
      <c r="S64" s="108">
        <f t="shared" si="2"/>
        <v>420.5</v>
      </c>
      <c r="T64" s="108">
        <v>1218</v>
      </c>
      <c r="U64" s="108">
        <f t="shared" si="3"/>
        <v>314.5</v>
      </c>
      <c r="V64" s="108">
        <v>1847</v>
      </c>
      <c r="W64" s="108">
        <f t="shared" si="4"/>
        <v>546.5</v>
      </c>
      <c r="X64" s="108">
        <v>2940</v>
      </c>
      <c r="Y64" s="108">
        <f t="shared" si="5"/>
        <v>695</v>
      </c>
      <c r="Z64" s="108">
        <v>4330</v>
      </c>
      <c r="AA64" s="108">
        <f t="shared" si="6"/>
        <v>15</v>
      </c>
      <c r="AB64" s="108">
        <v>4360</v>
      </c>
      <c r="AC64" s="108">
        <f t="shared" si="7"/>
        <v>0</v>
      </c>
      <c r="AD64" s="108">
        <v>4360</v>
      </c>
      <c r="AE64" s="109">
        <f t="shared" si="8"/>
        <v>-7003.0638297872301</v>
      </c>
    </row>
    <row r="65" spans="14:31" ht="15.6" customHeight="1" thickBot="1" x14ac:dyDescent="0.35">
      <c r="N65" s="213"/>
      <c r="O65" s="99" t="s">
        <v>68</v>
      </c>
      <c r="P65" s="114"/>
      <c r="Q65" s="114">
        <v>3100.8484272192709</v>
      </c>
      <c r="R65" s="114">
        <v>720</v>
      </c>
      <c r="S65" s="114">
        <f t="shared" si="2"/>
        <v>36.5</v>
      </c>
      <c r="T65" s="114">
        <v>793</v>
      </c>
      <c r="U65" s="114">
        <f t="shared" si="3"/>
        <v>0</v>
      </c>
      <c r="V65" s="114">
        <v>793</v>
      </c>
      <c r="W65" s="114">
        <f t="shared" si="4"/>
        <v>82.5</v>
      </c>
      <c r="X65" s="114">
        <v>958</v>
      </c>
      <c r="Y65" s="114">
        <f t="shared" si="5"/>
        <v>21.5</v>
      </c>
      <c r="Z65" s="114">
        <v>1001</v>
      </c>
      <c r="AA65" s="114">
        <f t="shared" si="6"/>
        <v>0</v>
      </c>
      <c r="AB65" s="114">
        <v>1001</v>
      </c>
      <c r="AC65" s="114">
        <f t="shared" si="7"/>
        <v>0</v>
      </c>
      <c r="AD65" s="114">
        <v>1001</v>
      </c>
      <c r="AE65" s="115">
        <f t="shared" si="8"/>
        <v>-2099.8484272192709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79" priority="11" operator="lessThan">
      <formula>0</formula>
    </cfRule>
    <cfRule type="cellIs" dxfId="1678" priority="12" operator="greaterThan">
      <formula>0</formula>
    </cfRule>
  </conditionalFormatting>
  <conditionalFormatting sqref="R25:AC25">
    <cfRule type="cellIs" dxfId="1677" priority="9" operator="lessThan">
      <formula>0</formula>
    </cfRule>
    <cfRule type="cellIs" dxfId="1676" priority="10" operator="greaterThan">
      <formula>0</formula>
    </cfRule>
  </conditionalFormatting>
  <conditionalFormatting sqref="R26 T26 V26 X26 Z26 AB26">
    <cfRule type="cellIs" dxfId="1675" priority="7" operator="lessThan">
      <formula>0</formula>
    </cfRule>
    <cfRule type="cellIs" dxfId="1674" priority="8" operator="greaterThan">
      <formula>0</formula>
    </cfRule>
  </conditionalFormatting>
  <conditionalFormatting sqref="AD24:AE24">
    <cfRule type="cellIs" dxfId="1673" priority="5" operator="lessThan">
      <formula>0</formula>
    </cfRule>
    <cfRule type="cellIs" dxfId="1672" priority="6" operator="greaterThan">
      <formula>0</formula>
    </cfRule>
  </conditionalFormatting>
  <conditionalFormatting sqref="AD25:AE25">
    <cfRule type="cellIs" dxfId="1671" priority="3" operator="lessThan">
      <formula>0</formula>
    </cfRule>
    <cfRule type="cellIs" dxfId="1670" priority="4" operator="greaterThan">
      <formula>0</formula>
    </cfRule>
  </conditionalFormatting>
  <conditionalFormatting sqref="AD26">
    <cfRule type="cellIs" dxfId="1669" priority="1" operator="lessThan">
      <formula>0</formula>
    </cfRule>
    <cfRule type="cellIs" dxfId="16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theme="1"/>
    <pageSetUpPr fitToPage="1"/>
  </sheetPr>
  <dimension ref="B1:AQ65"/>
  <sheetViews>
    <sheetView topLeftCell="G1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44379</v>
      </c>
    </row>
    <row r="3" spans="2:42" ht="18.75" customHeight="1" thickBot="1" x14ac:dyDescent="0.35">
      <c r="B3" t="s">
        <v>1</v>
      </c>
      <c r="C3" s="3">
        <f>C2+1</f>
        <v>44380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6582</v>
      </c>
      <c r="E6" s="18" t="s">
        <v>22</v>
      </c>
      <c r="F6" s="119">
        <v>20071</v>
      </c>
      <c r="G6" s="117">
        <v>16265.044749999999</v>
      </c>
      <c r="H6" s="117">
        <v>12604.3410723</v>
      </c>
      <c r="I6" s="19">
        <f>G6+H6</f>
        <v>28869.385822299999</v>
      </c>
      <c r="J6" s="119">
        <v>24324</v>
      </c>
      <c r="K6" s="117">
        <v>20173.364750000001</v>
      </c>
      <c r="L6" s="117">
        <v>17724.05896636</v>
      </c>
      <c r="M6" s="19">
        <f>K6+L6</f>
        <v>37897.423716360005</v>
      </c>
      <c r="N6" s="85">
        <v>60</v>
      </c>
      <c r="O6" s="85">
        <v>52</v>
      </c>
      <c r="P6" s="92"/>
      <c r="Q6" s="20">
        <f>J6-P6</f>
        <v>24324</v>
      </c>
      <c r="R6" s="21">
        <v>2689</v>
      </c>
      <c r="S6" s="20">
        <f>IF(R6&gt;0,(R6-R7-$Q6),"")</f>
        <v>-21638</v>
      </c>
      <c r="T6" s="21">
        <v>6868</v>
      </c>
      <c r="U6" s="20">
        <f>IF(T6&gt;0,(T6-T7-$Q6),"")</f>
        <v>-17574</v>
      </c>
      <c r="V6" s="21">
        <v>10108</v>
      </c>
      <c r="W6" s="20">
        <f>IF(V6&gt;0,(V6-V7-$Q6),"")</f>
        <v>-14341</v>
      </c>
      <c r="X6" s="21">
        <v>13602</v>
      </c>
      <c r="Y6" s="20">
        <f>IF(X6&gt;0,(X6-X7-$Q6),"")</f>
        <v>-10915</v>
      </c>
      <c r="Z6" s="21">
        <v>16664</v>
      </c>
      <c r="AA6" s="20">
        <f>IF(Z6&gt;0,(Z6-Z7-$Q6),"")</f>
        <v>-7859</v>
      </c>
      <c r="AB6" s="21">
        <v>16664</v>
      </c>
      <c r="AC6" s="22">
        <f>IF(AB6&gt;0,(AB6-AB7-$Q6),"")</f>
        <v>-7859</v>
      </c>
      <c r="AD6" s="21">
        <v>16664</v>
      </c>
      <c r="AE6" s="22">
        <f>IF(AD6&gt;0,(AD6-AD7-$Q6),"")</f>
        <v>-7859</v>
      </c>
    </row>
    <row r="7" spans="2:42" x14ac:dyDescent="0.3">
      <c r="B7" s="16" t="s">
        <v>23</v>
      </c>
      <c r="C7" s="17">
        <v>2743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3</v>
      </c>
      <c r="S7" s="24"/>
      <c r="T7" s="25">
        <v>118</v>
      </c>
      <c r="U7" s="24"/>
      <c r="V7" s="25">
        <v>125</v>
      </c>
      <c r="W7" s="24"/>
      <c r="X7" s="25">
        <v>193</v>
      </c>
      <c r="Y7" s="24"/>
      <c r="Z7" s="25">
        <v>199</v>
      </c>
      <c r="AA7" s="24"/>
      <c r="AB7" s="25">
        <v>199</v>
      </c>
      <c r="AC7" s="26"/>
      <c r="AD7" s="25">
        <v>199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2788</v>
      </c>
      <c r="E8" s="29" t="s">
        <v>27</v>
      </c>
      <c r="F8" s="119">
        <v>15500</v>
      </c>
      <c r="G8" s="117">
        <v>6581.4149999999991</v>
      </c>
      <c r="H8" s="117">
        <v>1471.8626849</v>
      </c>
      <c r="I8" s="19">
        <f>G8+H8</f>
        <v>8053.2776848999993</v>
      </c>
      <c r="J8" s="119">
        <v>16148</v>
      </c>
      <c r="K8" s="117">
        <v>6822.5290000000005</v>
      </c>
      <c r="L8" s="117">
        <v>1548.1860793400001</v>
      </c>
      <c r="M8" s="19">
        <f>K8+L8</f>
        <v>8370.7150793399996</v>
      </c>
      <c r="N8" s="87">
        <v>22</v>
      </c>
      <c r="O8" s="87">
        <v>15</v>
      </c>
      <c r="P8" s="92"/>
      <c r="Q8" s="20">
        <f>J8-P8</f>
        <v>16148</v>
      </c>
      <c r="R8" s="21">
        <v>1778</v>
      </c>
      <c r="S8" s="20">
        <f>IF(R8&gt;0,(R8-R9-$Q8),"")</f>
        <v>-16148</v>
      </c>
      <c r="T8" s="21">
        <v>2266</v>
      </c>
      <c r="U8" s="20">
        <f>IF(T8&gt;0,(T8-T9-$Q8),"")</f>
        <v>-13899</v>
      </c>
      <c r="V8" s="21">
        <v>2266</v>
      </c>
      <c r="W8" s="20">
        <f>IF(V8&gt;0,(V8-V9-$Q8),"")</f>
        <v>-13899</v>
      </c>
      <c r="X8" s="21">
        <v>11462</v>
      </c>
      <c r="Y8" s="20">
        <f>IF(X8&gt;0,(X8-X9-$Q8),"")</f>
        <v>-4703</v>
      </c>
      <c r="Z8" s="21">
        <v>11710</v>
      </c>
      <c r="AA8" s="20">
        <f>IF(Z8&gt;0,(Z8-Z9-$Q8),"")</f>
        <v>-4455</v>
      </c>
      <c r="AB8" s="21">
        <v>11710</v>
      </c>
      <c r="AC8" s="22">
        <f>IF(AB8&gt;0,(AB8-AB9-$Q8),"")</f>
        <v>-4455</v>
      </c>
      <c r="AD8" s="21">
        <v>11710</v>
      </c>
      <c r="AE8" s="22">
        <f>IF(AD8&gt;0,(AD8-AD9-$Q8),"")</f>
        <v>-4455</v>
      </c>
    </row>
    <row r="9" spans="2:42" x14ac:dyDescent="0.3">
      <c r="B9" s="28" t="s">
        <v>28</v>
      </c>
      <c r="C9" s="17">
        <v>1747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1778</v>
      </c>
      <c r="S9" s="24"/>
      <c r="T9" s="30">
        <v>17</v>
      </c>
      <c r="U9" s="24"/>
      <c r="V9" s="30">
        <v>17</v>
      </c>
      <c r="W9" s="24"/>
      <c r="X9" s="30">
        <v>17</v>
      </c>
      <c r="Y9" s="24"/>
      <c r="Z9" s="30">
        <v>17</v>
      </c>
      <c r="AA9" s="24"/>
      <c r="AB9" s="30">
        <v>17</v>
      </c>
      <c r="AC9" s="26"/>
      <c r="AD9" s="30">
        <v>17</v>
      </c>
      <c r="AE9" s="26"/>
    </row>
    <row r="10" spans="2:42" x14ac:dyDescent="0.3">
      <c r="B10" s="16" t="s">
        <v>30</v>
      </c>
      <c r="C10" s="17">
        <v>4707</v>
      </c>
      <c r="E10" s="18" t="s">
        <v>31</v>
      </c>
      <c r="F10" s="119">
        <v>19899</v>
      </c>
      <c r="G10" s="117">
        <v>15473.206625000001</v>
      </c>
      <c r="H10" s="117">
        <v>2097.9525874999999</v>
      </c>
      <c r="I10" s="19">
        <f>G10+H10</f>
        <v>17571.159212500002</v>
      </c>
      <c r="J10" s="119">
        <v>20941.193548387098</v>
      </c>
      <c r="K10" s="117">
        <v>16447.703592741931</v>
      </c>
      <c r="L10" s="117">
        <v>2431.3904025000002</v>
      </c>
      <c r="M10" s="19">
        <f>K10+L10</f>
        <v>18879.093995241932</v>
      </c>
      <c r="N10" s="88">
        <v>41</v>
      </c>
      <c r="O10" s="88">
        <v>35</v>
      </c>
      <c r="P10" s="92"/>
      <c r="Q10" s="20">
        <f>J10-P10</f>
        <v>20941.193548387098</v>
      </c>
      <c r="R10" s="21">
        <v>1287</v>
      </c>
      <c r="S10" s="20">
        <f>IF(R10&gt;0,(R10-R11-$Q10),"")</f>
        <v>-20248.193548387098</v>
      </c>
      <c r="T10" s="21">
        <v>1902</v>
      </c>
      <c r="U10" s="20">
        <f>IF(T10&gt;0,(T10-T11-$Q10),"")</f>
        <v>-19555.193548387098</v>
      </c>
      <c r="V10" s="21">
        <v>4590</v>
      </c>
      <c r="W10" s="20">
        <f>IF(V10&gt;0,(V10-V11-$Q10),"")</f>
        <v>-17695.193548387098</v>
      </c>
      <c r="X10" s="21">
        <v>6758</v>
      </c>
      <c r="Y10" s="20">
        <f>IF(X10&gt;0,(X10-X11-$Q10),"")</f>
        <v>-15888.193548387098</v>
      </c>
      <c r="Z10" s="21">
        <v>7120</v>
      </c>
      <c r="AA10" s="20">
        <f>IF(Z10&gt;0,(Z10-Z11-$Q10),"")</f>
        <v>-15600.193548387098</v>
      </c>
      <c r="AB10" s="21">
        <v>7120</v>
      </c>
      <c r="AC10" s="22">
        <f>IF(AB10&gt;0,(AB10-AB11-$Q10),"")</f>
        <v>-15600.193548387098</v>
      </c>
      <c r="AD10" s="21">
        <v>7120</v>
      </c>
      <c r="AE10" s="22">
        <f>IF(AD10&gt;0,(AD10-AD11-$Q10),"")</f>
        <v>-15600.193548387098</v>
      </c>
    </row>
    <row r="11" spans="2:42" x14ac:dyDescent="0.3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594</v>
      </c>
      <c r="S11" s="24"/>
      <c r="T11" s="30">
        <v>516</v>
      </c>
      <c r="U11" s="24"/>
      <c r="V11" s="30">
        <v>1344</v>
      </c>
      <c r="W11" s="24"/>
      <c r="X11" s="30">
        <v>1705</v>
      </c>
      <c r="Y11" s="24"/>
      <c r="Z11" s="30">
        <v>1779</v>
      </c>
      <c r="AA11" s="24"/>
      <c r="AB11" s="30">
        <v>1779</v>
      </c>
      <c r="AC11" s="26"/>
      <c r="AD11" s="30">
        <v>1779</v>
      </c>
      <c r="AE11" s="26"/>
    </row>
    <row r="12" spans="2:42" x14ac:dyDescent="0.3">
      <c r="B12" s="16" t="s">
        <v>34</v>
      </c>
      <c r="C12" s="17">
        <v>1776</v>
      </c>
      <c r="E12" s="29" t="s">
        <v>35</v>
      </c>
      <c r="F12" s="119">
        <v>15879</v>
      </c>
      <c r="G12" s="117">
        <v>12807.01425</v>
      </c>
      <c r="H12" s="117">
        <v>16978.053455320001</v>
      </c>
      <c r="I12" s="19">
        <f>G12+H12</f>
        <v>29785.067705320002</v>
      </c>
      <c r="J12" s="119">
        <v>18276.912209647831</v>
      </c>
      <c r="K12" s="117">
        <v>16694.211022782471</v>
      </c>
      <c r="L12" s="117">
        <v>21335.59469295352</v>
      </c>
      <c r="M12" s="19">
        <f>K12+L12</f>
        <v>38029.805715735987</v>
      </c>
      <c r="N12" s="88">
        <v>50</v>
      </c>
      <c r="O12" s="88">
        <v>40</v>
      </c>
      <c r="P12" s="92"/>
      <c r="Q12" s="20">
        <f>J12-P12</f>
        <v>18276.912209647831</v>
      </c>
      <c r="R12" s="21">
        <v>1944</v>
      </c>
      <c r="S12" s="20">
        <f>IF(R12&gt;0,(R12-R13-$Q12),"")</f>
        <v>-16856.912209647831</v>
      </c>
      <c r="T12" s="21">
        <v>4589</v>
      </c>
      <c r="U12" s="20">
        <f>IF(T12&gt;0,(T12-T13-$Q12),"")</f>
        <v>-14945.912209647831</v>
      </c>
      <c r="V12" s="21">
        <v>7163</v>
      </c>
      <c r="W12" s="20">
        <f>IF(V12&gt;0,(V12-V13-$Q12),"")</f>
        <v>-12371.912209647831</v>
      </c>
      <c r="X12" s="21">
        <v>10516</v>
      </c>
      <c r="Y12" s="20">
        <f>IF(X12&gt;0,(X12-X13-$Q12),"")</f>
        <v>-9048.9122096478313</v>
      </c>
      <c r="Z12" s="21">
        <v>13495</v>
      </c>
      <c r="AA12" s="20">
        <f>IF(Z12&gt;0,(Z12-Z13-$Q12),"")</f>
        <v>-6114.9122096478313</v>
      </c>
      <c r="AB12" s="21">
        <v>13495</v>
      </c>
      <c r="AC12" s="22">
        <f>IF(AB12&gt;0,(AB12-AB13-$Q12),"")</f>
        <v>-6114.9122096478313</v>
      </c>
      <c r="AD12" s="21">
        <v>13495</v>
      </c>
      <c r="AE12" s="22">
        <f>IF(AD12&gt;0,(AD12-AD13-$Q12),"")</f>
        <v>-6114.9122096478313</v>
      </c>
    </row>
    <row r="13" spans="2:42" x14ac:dyDescent="0.3">
      <c r="B13" s="16" t="s">
        <v>36</v>
      </c>
      <c r="C13" s="17">
        <v>5218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524</v>
      </c>
      <c r="S13" s="24"/>
      <c r="T13" s="30">
        <v>1258</v>
      </c>
      <c r="U13" s="24"/>
      <c r="V13" s="30">
        <v>1258</v>
      </c>
      <c r="W13" s="24"/>
      <c r="X13" s="30">
        <v>1288</v>
      </c>
      <c r="Y13" s="24"/>
      <c r="Z13" s="30">
        <v>1333</v>
      </c>
      <c r="AA13" s="24"/>
      <c r="AB13" s="30">
        <v>1333</v>
      </c>
      <c r="AC13" s="26"/>
      <c r="AD13" s="30">
        <v>1333</v>
      </c>
      <c r="AE13" s="26"/>
    </row>
    <row r="14" spans="2:42" x14ac:dyDescent="0.3">
      <c r="B14" s="16" t="s">
        <v>38</v>
      </c>
      <c r="C14" s="17">
        <v>9918</v>
      </c>
      <c r="E14" s="18" t="s">
        <v>39</v>
      </c>
      <c r="F14" s="119">
        <v>21762</v>
      </c>
      <c r="G14" s="117">
        <v>19860.59375</v>
      </c>
      <c r="H14" s="117">
        <v>21896.47977519999</v>
      </c>
      <c r="I14" s="19">
        <f>G14+H14</f>
        <v>41757.073525199987</v>
      </c>
      <c r="J14" s="119">
        <v>23435.140978635631</v>
      </c>
      <c r="K14" s="117">
        <v>22142.126388640481</v>
      </c>
      <c r="L14" s="117">
        <v>24225.658975423641</v>
      </c>
      <c r="M14" s="19">
        <f>K14+L14</f>
        <v>46367.785364064126</v>
      </c>
      <c r="N14" s="88">
        <v>59</v>
      </c>
      <c r="O14" s="88">
        <v>47</v>
      </c>
      <c r="P14" s="92"/>
      <c r="Q14" s="20">
        <f>J14-P14</f>
        <v>23435.140978635631</v>
      </c>
      <c r="R14" s="21">
        <v>4970</v>
      </c>
      <c r="S14" s="20">
        <f>IF(R14&gt;0,(R14-R15-$Q14),"")</f>
        <v>-22998.140978635631</v>
      </c>
      <c r="T14" s="21">
        <v>7999</v>
      </c>
      <c r="U14" s="20">
        <f>IF(T14&gt;0,(T14-T15-$Q14),"")</f>
        <v>-22667.140978635631</v>
      </c>
      <c r="V14" s="21">
        <v>10958</v>
      </c>
      <c r="W14" s="20">
        <f>IF(V14&gt;0,(V14-V15-$Q14),"")</f>
        <v>-22524.140978635631</v>
      </c>
      <c r="X14" s="21">
        <v>13233</v>
      </c>
      <c r="Y14" s="20">
        <f>IF(X14&gt;0,(X14-X15-$Q14),"")</f>
        <v>-22488.140978635631</v>
      </c>
      <c r="Z14" s="21">
        <v>15954</v>
      </c>
      <c r="AA14" s="20">
        <f>IF(Z14&gt;0,(Z14-Z15-$Q14),"")</f>
        <v>-22225.140978635631</v>
      </c>
      <c r="AB14" s="21">
        <v>16911</v>
      </c>
      <c r="AC14" s="22">
        <f>IF(AB14&gt;0,(AB14-AB15-$Q14),"")</f>
        <v>-21421.140978635631</v>
      </c>
      <c r="AD14" s="21">
        <v>17209</v>
      </c>
      <c r="AE14" s="22">
        <f>IF(AD14&gt;0,(AD14-AD15-$Q14),"")</f>
        <v>-21123.140978635631</v>
      </c>
    </row>
    <row r="15" spans="2:42" ht="15" customHeight="1" thickBot="1" x14ac:dyDescent="0.3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4533</v>
      </c>
      <c r="S15" s="24"/>
      <c r="T15" s="25">
        <v>7231</v>
      </c>
      <c r="U15" s="24"/>
      <c r="V15" s="25">
        <v>10047</v>
      </c>
      <c r="W15" s="24"/>
      <c r="X15" s="25">
        <v>12286</v>
      </c>
      <c r="Y15" s="24"/>
      <c r="Z15" s="25">
        <v>14744</v>
      </c>
      <c r="AA15" s="24"/>
      <c r="AB15" s="25">
        <v>14897</v>
      </c>
      <c r="AC15" s="26"/>
      <c r="AD15" s="25">
        <v>14897</v>
      </c>
      <c r="AE15" s="26"/>
    </row>
    <row r="16" spans="2:42" ht="15" customHeight="1" thickBot="1" x14ac:dyDescent="0.35">
      <c r="B16" s="28" t="s">
        <v>42</v>
      </c>
      <c r="C16" s="17">
        <v>23251</v>
      </c>
      <c r="E16" s="84"/>
      <c r="F16" s="31">
        <f t="shared" ref="F16:M16" si="0">SUM(F6:F15)</f>
        <v>93111</v>
      </c>
      <c r="G16" s="31">
        <f t="shared" si="0"/>
        <v>70987.274375000008</v>
      </c>
      <c r="H16" s="31">
        <f t="shared" si="0"/>
        <v>55048.689575219993</v>
      </c>
      <c r="I16" s="32">
        <f t="shared" si="0"/>
        <v>126035.96395021999</v>
      </c>
      <c r="J16" s="33">
        <f t="shared" si="0"/>
        <v>103125.24673667055</v>
      </c>
      <c r="K16" s="33">
        <f t="shared" si="0"/>
        <v>82279.934754164889</v>
      </c>
      <c r="L16" s="33">
        <f t="shared" si="0"/>
        <v>67264.889116577164</v>
      </c>
      <c r="M16" s="33">
        <f t="shared" si="0"/>
        <v>149544.82387074205</v>
      </c>
      <c r="N16" s="31">
        <f>SUM(N14,N12,N10,N8,N6)</f>
        <v>232</v>
      </c>
      <c r="O16" s="31">
        <f>SUM(O14,O12,O10,O8,O6)</f>
        <v>189</v>
      </c>
      <c r="P16" s="34">
        <f>SUM(P6:P15)</f>
        <v>0</v>
      </c>
      <c r="Q16" s="34">
        <f>SUM(Q6:Q15)</f>
        <v>103125.24673667055</v>
      </c>
      <c r="R16" s="35">
        <f>R6+R8+R10+R12+R14-R7-R9-R11-R13-R15</f>
        <v>5236</v>
      </c>
      <c r="S16" s="36">
        <f>IF(R16&gt;1,(R16-$Q16),"")</f>
        <v>-97889.246736670553</v>
      </c>
      <c r="T16" s="35">
        <f>T6+T8+T10+T12+T14-T7-T9-T11-T13-T15</f>
        <v>14484</v>
      </c>
      <c r="U16" s="36">
        <f>IF(T16&gt;1,(T16-$Q16),"")</f>
        <v>-88641.246736670553</v>
      </c>
      <c r="V16" s="35">
        <f>V6+V8+V10+V12+V14-V7-V9-V11-V13-V15</f>
        <v>22294</v>
      </c>
      <c r="W16" s="36">
        <f>IF(V16&gt;1,(V16-$Q16),"")</f>
        <v>-80831.246736670553</v>
      </c>
      <c r="X16" s="35">
        <f>X6+X8+X10+X12+X14-X7-X9-X11-X13-X15</f>
        <v>40082</v>
      </c>
      <c r="Y16" s="36">
        <f>IF(X16&gt;1,(X16-$Q16),"")</f>
        <v>-63043.246736670553</v>
      </c>
      <c r="Z16" s="35">
        <f>Z6+Z8+Z10+Z12+Z14-Z7-Z9-Z11-Z13-Z15</f>
        <v>46871</v>
      </c>
      <c r="AA16" s="36">
        <f>IF(Z16&gt;1,(Z16-$Q16),"")</f>
        <v>-56254.246736670553</v>
      </c>
      <c r="AB16" s="35">
        <f>AB6+AB8+AB10+AB12+AB14-AB7-AB9-AB11-AB13-AB15</f>
        <v>47675</v>
      </c>
      <c r="AC16" s="37">
        <f>IF(AB16&gt;1,(AB16-$Q16),"")</f>
        <v>-55450.246736670553</v>
      </c>
      <c r="AD16" s="35">
        <f>AD6+AD8+AD10+AD12+AD14-AD7-AD9-AD11-AD13-AD15</f>
        <v>47973</v>
      </c>
      <c r="AE16" s="37">
        <f>IF(AD16&gt;1,(AD16-$Q16),"")</f>
        <v>-55152.246736670553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7432</v>
      </c>
      <c r="S17" s="41"/>
      <c r="T17" s="40">
        <f>T15+T13+T11+T9+T7</f>
        <v>9140</v>
      </c>
      <c r="U17" s="41"/>
      <c r="V17" s="40">
        <f>V15+V13+V11+V9+V7</f>
        <v>12791</v>
      </c>
      <c r="W17" s="41"/>
      <c r="X17" s="40">
        <f>X15+X13+X11+X9+X7</f>
        <v>15489</v>
      </c>
      <c r="Y17" s="41"/>
      <c r="Z17" s="40">
        <f>Z15+Z13+Z11+Z9+Z7</f>
        <v>18072</v>
      </c>
      <c r="AA17" s="41"/>
      <c r="AB17" s="40">
        <f>AB15+AB13+AB11+AB9+AB7</f>
        <v>18225</v>
      </c>
      <c r="AC17" s="42"/>
      <c r="AD17" s="40">
        <f>AD15+AD13+AD11+AD9+AD7</f>
        <v>18225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2618</v>
      </c>
      <c r="S18" s="46"/>
      <c r="T18" s="47">
        <f>IF(T16&gt;0,(T16-R16)/2,"")</f>
        <v>4624</v>
      </c>
      <c r="U18" s="46"/>
      <c r="V18" s="47">
        <f>IF(V16&gt;0,(V16-T16)/2,"")</f>
        <v>3905</v>
      </c>
      <c r="W18" s="46"/>
      <c r="X18" s="47">
        <f>IF(X16&gt;0,(X16-V16)/2,"")</f>
        <v>8894</v>
      </c>
      <c r="Y18" s="46"/>
      <c r="Z18" s="47">
        <f>IF(Z16&gt;0,(Z16-X16)/2,"")</f>
        <v>3394.5</v>
      </c>
      <c r="AA18" s="46"/>
      <c r="AB18" s="47">
        <f>IF(AB16&gt;0,(AB16-Z16)/2,"")</f>
        <v>402</v>
      </c>
      <c r="AC18" s="48"/>
      <c r="AD18" s="47">
        <f>IF(AD16&gt;0,(AD16-AB16)/2,"")</f>
        <v>149</v>
      </c>
      <c r="AE18" s="48"/>
    </row>
    <row r="19" spans="2:43" ht="15" customHeight="1" thickBot="1" x14ac:dyDescent="0.35">
      <c r="B19" s="43" t="s">
        <v>47</v>
      </c>
      <c r="C19" s="17">
        <v>1180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578</v>
      </c>
      <c r="L20" s="4"/>
      <c r="M20" s="4"/>
      <c r="Q20" s="51" t="s">
        <v>49</v>
      </c>
      <c r="R20" s="35">
        <v>12453</v>
      </c>
      <c r="S20" s="36"/>
      <c r="T20" s="35">
        <v>21084</v>
      </c>
      <c r="U20" s="36"/>
      <c r="V20" s="35">
        <v>34920</v>
      </c>
      <c r="W20" s="36"/>
      <c r="X20" s="35">
        <v>58139</v>
      </c>
      <c r="Y20" s="36"/>
      <c r="Z20" s="35">
        <v>67906</v>
      </c>
      <c r="AA20" s="36"/>
      <c r="AB20" s="35">
        <v>70192</v>
      </c>
      <c r="AC20" s="37"/>
      <c r="AD20" s="35">
        <v>70192</v>
      </c>
      <c r="AE20" s="37">
        <v>-52267.246736670553</v>
      </c>
    </row>
    <row r="21" spans="2:43" ht="15" customHeight="1" thickBot="1" x14ac:dyDescent="0.35">
      <c r="B21" s="16" t="s">
        <v>50</v>
      </c>
      <c r="C21" s="17">
        <v>8185</v>
      </c>
      <c r="L21" s="4"/>
      <c r="M21" s="4"/>
      <c r="Q21" s="52"/>
      <c r="R21" s="40">
        <v>22</v>
      </c>
      <c r="S21" s="41"/>
      <c r="T21" s="40">
        <v>130</v>
      </c>
      <c r="U21" s="41"/>
      <c r="V21" s="40">
        <v>914</v>
      </c>
      <c r="W21" s="41"/>
      <c r="X21" s="40">
        <v>926</v>
      </c>
      <c r="Y21" s="41"/>
      <c r="Z21" s="40">
        <v>983</v>
      </c>
      <c r="AA21" s="41"/>
      <c r="AB21" s="40">
        <v>983</v>
      </c>
      <c r="AC21" s="42"/>
      <c r="AD21" s="40">
        <v>983</v>
      </c>
      <c r="AE21" s="42"/>
    </row>
    <row r="22" spans="2:43" ht="15" customHeight="1" thickBot="1" x14ac:dyDescent="0.35">
      <c r="B22" s="16" t="s">
        <v>51</v>
      </c>
      <c r="C22" s="17">
        <v>2910</v>
      </c>
      <c r="L22" s="4"/>
      <c r="M22" s="4"/>
      <c r="Q22" s="54"/>
      <c r="R22" s="55">
        <v>6226.5</v>
      </c>
      <c r="S22" s="55"/>
      <c r="T22" s="55">
        <v>4315.5</v>
      </c>
      <c r="U22" s="55"/>
      <c r="V22" s="55">
        <v>6918</v>
      </c>
      <c r="W22" s="55"/>
      <c r="X22" s="55">
        <v>11609.5</v>
      </c>
      <c r="Y22" s="55"/>
      <c r="Z22" s="55">
        <v>4883.5</v>
      </c>
      <c r="AA22" s="55"/>
      <c r="AB22" s="55">
        <v>1143</v>
      </c>
      <c r="AC22" s="56"/>
      <c r="AD22" s="55">
        <v>0</v>
      </c>
      <c r="AE22" s="56"/>
    </row>
    <row r="23" spans="2:43" ht="15" customHeight="1" thickBot="1" x14ac:dyDescent="0.35">
      <c r="B23" s="57" t="s">
        <v>52</v>
      </c>
      <c r="C23" s="58">
        <v>4499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-7217</v>
      </c>
      <c r="S24" s="60"/>
      <c r="T24" s="60">
        <f>IF(T16&gt;0,T16-T20,"")</f>
        <v>-6600</v>
      </c>
      <c r="U24" s="60"/>
      <c r="V24" s="60">
        <f>IF(V16&gt;0,V16-V20,"")</f>
        <v>-12626</v>
      </c>
      <c r="W24" s="60"/>
      <c r="X24" s="60">
        <f>IF(X16&gt;0,X16-X20,"")</f>
        <v>-18057</v>
      </c>
      <c r="Y24" s="60"/>
      <c r="Z24" s="60">
        <f>IF(Z16&gt;0,Z16-Z20,"")</f>
        <v>-21035</v>
      </c>
      <c r="AA24" s="60"/>
      <c r="AB24" s="60">
        <f>IF(AB16&gt;0,AB16-AB20,"")</f>
        <v>-22517</v>
      </c>
      <c r="AC24" s="61"/>
      <c r="AD24" s="60">
        <f>IF(AD16&gt;0,AD16-AD20,"")</f>
        <v>-22219</v>
      </c>
      <c r="AE24" s="61"/>
    </row>
    <row r="25" spans="2:43" x14ac:dyDescent="0.3">
      <c r="L25" s="4"/>
      <c r="M25" s="4"/>
      <c r="Q25" s="62"/>
      <c r="R25" s="63">
        <f>IF(R17&gt;=0,R17-R21,"")</f>
        <v>7410</v>
      </c>
      <c r="S25" s="64"/>
      <c r="T25" s="63">
        <f>IF(T17&gt;=0,T17-T21,"")</f>
        <v>9010</v>
      </c>
      <c r="U25" s="64"/>
      <c r="V25" s="63">
        <f>IF(V17&gt;=0,V17-V21,"")</f>
        <v>11877</v>
      </c>
      <c r="W25" s="64"/>
      <c r="X25" s="63">
        <f>IF(X17&gt;=0,X17-X21,"")</f>
        <v>14563</v>
      </c>
      <c r="Y25" s="64"/>
      <c r="Z25" s="63">
        <f>IF(Z17&gt;=0,Z17-Z21,"")</f>
        <v>17089</v>
      </c>
      <c r="AA25" s="64"/>
      <c r="AB25" s="63">
        <f>IF(AB17&gt;=0,AB17-AB21,"")</f>
        <v>17242</v>
      </c>
      <c r="AC25" s="65"/>
      <c r="AD25" s="63">
        <f>IF(AD17&gt;=0,AD17-AD21,"")</f>
        <v>17242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-3608.5</v>
      </c>
      <c r="S26" s="55"/>
      <c r="T26" s="67">
        <f>IFERROR(IF(T18&gt;0,T18-T22,""),"")</f>
        <v>308.5</v>
      </c>
      <c r="U26" s="55"/>
      <c r="V26" s="67">
        <f>IFERROR(IF(V18&gt;0,V18-V22,""),"")</f>
        <v>-3013</v>
      </c>
      <c r="W26" s="55"/>
      <c r="X26" s="67">
        <f>IFERROR(IF(X18&gt;0,X18-X22,""),"")</f>
        <v>-2715.5</v>
      </c>
      <c r="Y26" s="55"/>
      <c r="Z26" s="67">
        <f>IFERROR(IF(Z18&gt;0,Z18-Z22,""),"")</f>
        <v>-1489</v>
      </c>
      <c r="AA26" s="55"/>
      <c r="AB26" s="67">
        <f>IFERROR(IF(AB18&gt;0,AB18-AB22,""),"")</f>
        <v>-741</v>
      </c>
      <c r="AC26" s="56"/>
      <c r="AD26" s="67">
        <f>IFERROR(IF(AD18&gt;0,AD18-AD22,""),"")</f>
        <v>149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9737</v>
      </c>
      <c r="D29" s="76">
        <f>C14</f>
        <v>9918</v>
      </c>
      <c r="E29" s="77">
        <f t="shared" ref="E29:E34" si="1">D29-C29</f>
        <v>181</v>
      </c>
      <c r="M29" s="4"/>
      <c r="O29" s="4"/>
    </row>
    <row r="30" spans="2:43" x14ac:dyDescent="0.3">
      <c r="B30" s="74" t="s">
        <v>56</v>
      </c>
      <c r="C30" s="75">
        <v>35424</v>
      </c>
      <c r="D30" s="76">
        <f>C7+C15+C16+C19+C20</f>
        <v>30546</v>
      </c>
      <c r="E30" s="77">
        <f t="shared" si="1"/>
        <v>-4878</v>
      </c>
      <c r="J30" s="53"/>
      <c r="L30" s="53"/>
      <c r="M30" s="4"/>
      <c r="O30" s="4"/>
    </row>
    <row r="31" spans="2:43" x14ac:dyDescent="0.3">
      <c r="B31" s="74" t="s">
        <v>21</v>
      </c>
      <c r="C31" s="75">
        <v>6582</v>
      </c>
      <c r="D31" s="76">
        <f>C6</f>
        <v>6582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13792</v>
      </c>
      <c r="D32" s="76">
        <f>C10+C11+C12+C13</f>
        <v>13792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14980</v>
      </c>
      <c r="D34" s="76">
        <f>C21+C22+C23</f>
        <v>15594</v>
      </c>
      <c r="E34" s="77">
        <f t="shared" si="1"/>
        <v>614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4535</v>
      </c>
      <c r="D35" s="80">
        <f>SUM(C8+C9)</f>
        <v>4535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2369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100</v>
      </c>
      <c r="V36" s="104">
        <v>200</v>
      </c>
      <c r="W36" s="104">
        <f t="shared" ref="W36:W65" si="4">IF(X36&gt;0,(X36-V36)/2,"")</f>
        <v>344.5</v>
      </c>
      <c r="X36" s="104">
        <v>889</v>
      </c>
      <c r="Y36" s="104">
        <f t="shared" ref="Y36:Y65" si="5">IF(Z36&gt;0,(Z36-X36)/2,"")</f>
        <v>324</v>
      </c>
      <c r="Z36" s="104">
        <v>1537</v>
      </c>
      <c r="AA36" s="104">
        <f t="shared" ref="AA36:AA65" si="6">IF(AB36&gt;0,(AB36-Z36)/2,"")</f>
        <v>0</v>
      </c>
      <c r="AB36" s="104">
        <v>1537</v>
      </c>
      <c r="AC36" s="104">
        <f t="shared" ref="AC36:AC65" si="7">IF(AD36&gt;0,(AD36-AB36)/2,"")</f>
        <v>0</v>
      </c>
      <c r="AD36" s="104">
        <v>1537</v>
      </c>
      <c r="AE36" s="105">
        <f t="shared" ref="AE36:AE65" si="8">AD36-Q36</f>
        <v>-832</v>
      </c>
    </row>
    <row r="37" spans="2:31" ht="15.6" customHeight="1" x14ac:dyDescent="0.3">
      <c r="N37" s="212"/>
      <c r="O37" s="95" t="s">
        <v>66</v>
      </c>
      <c r="P37" s="106"/>
      <c r="Q37" s="106">
        <v>1554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403</v>
      </c>
      <c r="X37" s="106">
        <v>806</v>
      </c>
      <c r="Y37" s="106">
        <f t="shared" si="5"/>
        <v>373.5</v>
      </c>
      <c r="Z37" s="106">
        <v>1553</v>
      </c>
      <c r="AA37" s="106">
        <f t="shared" si="6"/>
        <v>0</v>
      </c>
      <c r="AB37" s="106">
        <v>1553</v>
      </c>
      <c r="AC37" s="106">
        <f t="shared" si="7"/>
        <v>0</v>
      </c>
      <c r="AD37" s="106">
        <v>1553</v>
      </c>
      <c r="AE37" s="107">
        <f t="shared" si="8"/>
        <v>-1</v>
      </c>
    </row>
    <row r="38" spans="2:31" ht="15.6" customHeight="1" x14ac:dyDescent="0.3">
      <c r="N38" s="212"/>
      <c r="O38" s="94" t="s">
        <v>67</v>
      </c>
      <c r="P38" s="108"/>
      <c r="Q38" s="108">
        <v>2720</v>
      </c>
      <c r="R38" s="108">
        <v>261</v>
      </c>
      <c r="S38" s="108">
        <f t="shared" si="2"/>
        <v>0</v>
      </c>
      <c r="T38" s="108">
        <v>261</v>
      </c>
      <c r="U38" s="108">
        <f t="shared" si="3"/>
        <v>187</v>
      </c>
      <c r="V38" s="108">
        <v>635</v>
      </c>
      <c r="W38" s="108">
        <f t="shared" si="4"/>
        <v>165.5</v>
      </c>
      <c r="X38" s="108">
        <v>966</v>
      </c>
      <c r="Y38" s="108">
        <f t="shared" si="5"/>
        <v>0</v>
      </c>
      <c r="Z38" s="108">
        <v>966</v>
      </c>
      <c r="AA38" s="108">
        <f t="shared" si="6"/>
        <v>0</v>
      </c>
      <c r="AB38" s="108">
        <v>966</v>
      </c>
      <c r="AC38" s="108">
        <f t="shared" si="7"/>
        <v>0</v>
      </c>
      <c r="AD38" s="108">
        <v>966</v>
      </c>
      <c r="AE38" s="109">
        <f t="shared" si="8"/>
        <v>-1754</v>
      </c>
    </row>
    <row r="39" spans="2:31" ht="15.6" customHeight="1" x14ac:dyDescent="0.3">
      <c r="N39" s="212"/>
      <c r="O39" s="95" t="s">
        <v>68</v>
      </c>
      <c r="P39" s="106"/>
      <c r="Q39" s="106">
        <v>3376</v>
      </c>
      <c r="R39" s="106">
        <v>650</v>
      </c>
      <c r="S39" s="106">
        <f t="shared" si="2"/>
        <v>549</v>
      </c>
      <c r="T39" s="106">
        <v>1748</v>
      </c>
      <c r="U39" s="106">
        <f t="shared" si="3"/>
        <v>127.5</v>
      </c>
      <c r="V39" s="106">
        <v>2003</v>
      </c>
      <c r="W39" s="106">
        <f t="shared" si="4"/>
        <v>439</v>
      </c>
      <c r="X39" s="106">
        <v>2881</v>
      </c>
      <c r="Y39" s="106">
        <f t="shared" si="5"/>
        <v>273</v>
      </c>
      <c r="Z39" s="106">
        <v>3427</v>
      </c>
      <c r="AA39" s="106">
        <f t="shared" si="6"/>
        <v>0</v>
      </c>
      <c r="AB39" s="106">
        <v>3427</v>
      </c>
      <c r="AC39" s="106">
        <f t="shared" si="7"/>
        <v>0</v>
      </c>
      <c r="AD39" s="106">
        <v>3427</v>
      </c>
      <c r="AE39" s="107">
        <f t="shared" si="8"/>
        <v>51</v>
      </c>
    </row>
    <row r="40" spans="2:31" ht="15.6" customHeight="1" x14ac:dyDescent="0.3">
      <c r="N40" s="212"/>
      <c r="O40" s="94" t="s">
        <v>69</v>
      </c>
      <c r="P40" s="108"/>
      <c r="Q40" s="108">
        <v>3161</v>
      </c>
      <c r="R40" s="108">
        <v>368</v>
      </c>
      <c r="S40" s="108">
        <f t="shared" si="2"/>
        <v>945</v>
      </c>
      <c r="T40" s="108">
        <v>2258</v>
      </c>
      <c r="U40" s="108">
        <f t="shared" si="3"/>
        <v>269</v>
      </c>
      <c r="V40" s="108">
        <v>2796</v>
      </c>
      <c r="W40" s="108">
        <f t="shared" si="4"/>
        <v>72</v>
      </c>
      <c r="X40" s="108">
        <v>2940</v>
      </c>
      <c r="Y40" s="108">
        <f t="shared" si="5"/>
        <v>165.5</v>
      </c>
      <c r="Z40" s="108">
        <v>3271</v>
      </c>
      <c r="AA40" s="108">
        <f t="shared" si="6"/>
        <v>0</v>
      </c>
      <c r="AB40" s="108">
        <v>3271</v>
      </c>
      <c r="AC40" s="108">
        <f t="shared" si="7"/>
        <v>0</v>
      </c>
      <c r="AD40" s="108">
        <v>3271</v>
      </c>
      <c r="AE40" s="109">
        <f t="shared" si="8"/>
        <v>110</v>
      </c>
    </row>
    <row r="41" spans="2:31" ht="15.6" customHeight="1" x14ac:dyDescent="0.3">
      <c r="N41" s="212"/>
      <c r="O41" s="95" t="s">
        <v>70</v>
      </c>
      <c r="P41" s="106"/>
      <c r="Q41" s="106">
        <v>2145</v>
      </c>
      <c r="R41" s="106">
        <v>283</v>
      </c>
      <c r="S41" s="106">
        <f t="shared" si="2"/>
        <v>135</v>
      </c>
      <c r="T41" s="106">
        <v>553</v>
      </c>
      <c r="U41" s="106">
        <f t="shared" si="3"/>
        <v>295.5</v>
      </c>
      <c r="V41" s="106">
        <v>1144</v>
      </c>
      <c r="W41" s="106">
        <f t="shared" si="4"/>
        <v>180</v>
      </c>
      <c r="X41" s="106">
        <v>1504</v>
      </c>
      <c r="Y41" s="106">
        <f t="shared" si="5"/>
        <v>323.5</v>
      </c>
      <c r="Z41" s="106">
        <v>2151</v>
      </c>
      <c r="AA41" s="106">
        <f t="shared" si="6"/>
        <v>0</v>
      </c>
      <c r="AB41" s="106">
        <v>2151</v>
      </c>
      <c r="AC41" s="106">
        <f t="shared" si="7"/>
        <v>0</v>
      </c>
      <c r="AD41" s="106">
        <v>2151</v>
      </c>
      <c r="AE41" s="107">
        <f t="shared" si="8"/>
        <v>6</v>
      </c>
    </row>
    <row r="42" spans="2:31" ht="15.6" customHeight="1" x14ac:dyDescent="0.3">
      <c r="N42" s="212"/>
      <c r="O42" s="94" t="s">
        <v>71</v>
      </c>
      <c r="P42" s="108"/>
      <c r="Q42" s="108">
        <v>1241</v>
      </c>
      <c r="R42" s="108">
        <v>290</v>
      </c>
      <c r="S42" s="108">
        <f t="shared" si="2"/>
        <v>206.5</v>
      </c>
      <c r="T42" s="108">
        <v>703</v>
      </c>
      <c r="U42" s="108">
        <f t="shared" si="3"/>
        <v>21.5</v>
      </c>
      <c r="V42" s="108">
        <v>746</v>
      </c>
      <c r="W42" s="108">
        <f t="shared" si="4"/>
        <v>0</v>
      </c>
      <c r="X42" s="108">
        <v>746</v>
      </c>
      <c r="Y42" s="108">
        <f t="shared" si="5"/>
        <v>0</v>
      </c>
      <c r="Z42" s="108">
        <v>746</v>
      </c>
      <c r="AA42" s="108">
        <f t="shared" si="6"/>
        <v>0</v>
      </c>
      <c r="AB42" s="108">
        <v>746</v>
      </c>
      <c r="AC42" s="108">
        <f t="shared" si="7"/>
        <v>0</v>
      </c>
      <c r="AD42" s="108">
        <v>746</v>
      </c>
      <c r="AE42" s="109">
        <f t="shared" si="8"/>
        <v>-495</v>
      </c>
    </row>
    <row r="43" spans="2:31" ht="15.6" customHeight="1" x14ac:dyDescent="0.3">
      <c r="N43" s="212"/>
      <c r="O43" s="95" t="s">
        <v>72</v>
      </c>
      <c r="P43" s="106"/>
      <c r="Q43" s="106">
        <v>1743</v>
      </c>
      <c r="R43" s="106">
        <v>386</v>
      </c>
      <c r="S43" s="106">
        <f t="shared" si="2"/>
        <v>0</v>
      </c>
      <c r="T43" s="106">
        <v>386</v>
      </c>
      <c r="U43" s="106">
        <f t="shared" si="3"/>
        <v>277</v>
      </c>
      <c r="V43" s="106">
        <v>940</v>
      </c>
      <c r="W43" s="106">
        <f t="shared" si="4"/>
        <v>0</v>
      </c>
      <c r="X43" s="106">
        <v>940</v>
      </c>
      <c r="Y43" s="106">
        <f t="shared" si="5"/>
        <v>0</v>
      </c>
      <c r="Z43" s="106">
        <v>940</v>
      </c>
      <c r="AA43" s="106">
        <f t="shared" si="6"/>
        <v>0</v>
      </c>
      <c r="AB43" s="106">
        <v>940</v>
      </c>
      <c r="AC43" s="106">
        <f t="shared" si="7"/>
        <v>0</v>
      </c>
      <c r="AD43" s="106">
        <v>940</v>
      </c>
      <c r="AE43" s="107">
        <f t="shared" si="8"/>
        <v>-803</v>
      </c>
    </row>
    <row r="44" spans="2:31" ht="15.6" customHeight="1" thickBot="1" x14ac:dyDescent="0.35">
      <c r="N44" s="213"/>
      <c r="O44" s="97" t="s">
        <v>73</v>
      </c>
      <c r="P44" s="110"/>
      <c r="Q44" s="110">
        <v>2070</v>
      </c>
      <c r="R44" s="110">
        <v>451</v>
      </c>
      <c r="S44" s="110">
        <f t="shared" si="2"/>
        <v>254</v>
      </c>
      <c r="T44" s="110">
        <v>959</v>
      </c>
      <c r="U44" s="110">
        <f t="shared" si="3"/>
        <v>342.5</v>
      </c>
      <c r="V44" s="110">
        <v>1644</v>
      </c>
      <c r="W44" s="110">
        <f t="shared" si="4"/>
        <v>143</v>
      </c>
      <c r="X44" s="110">
        <v>1930</v>
      </c>
      <c r="Y44" s="110">
        <f t="shared" si="5"/>
        <v>71.5</v>
      </c>
      <c r="Z44" s="110">
        <v>2073</v>
      </c>
      <c r="AA44" s="110">
        <f t="shared" si="6"/>
        <v>0</v>
      </c>
      <c r="AB44" s="110">
        <v>2073</v>
      </c>
      <c r="AC44" s="110">
        <f t="shared" si="7"/>
        <v>0</v>
      </c>
      <c r="AD44" s="110">
        <v>2073</v>
      </c>
      <c r="AE44" s="111">
        <f t="shared" si="8"/>
        <v>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244</v>
      </c>
      <c r="T45" s="112">
        <v>1488</v>
      </c>
      <c r="U45" s="112">
        <f t="shared" si="3"/>
        <v>0</v>
      </c>
      <c r="V45" s="112">
        <v>1488</v>
      </c>
      <c r="W45" s="112">
        <f t="shared" si="4"/>
        <v>1164</v>
      </c>
      <c r="X45" s="112">
        <v>3816</v>
      </c>
      <c r="Y45" s="112">
        <f t="shared" si="5"/>
        <v>0</v>
      </c>
      <c r="Z45" s="112">
        <v>3816</v>
      </c>
      <c r="AA45" s="112">
        <f t="shared" si="6"/>
        <v>0</v>
      </c>
      <c r="AB45" s="112">
        <v>3816</v>
      </c>
      <c r="AC45" s="112">
        <f t="shared" si="7"/>
        <v>0</v>
      </c>
      <c r="AD45" s="112">
        <v>3816</v>
      </c>
      <c r="AE45" s="113">
        <f t="shared" si="8"/>
        <v>3816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1518</v>
      </c>
      <c r="X46" s="108">
        <v>3036</v>
      </c>
      <c r="Y46" s="108">
        <f t="shared" si="5"/>
        <v>0</v>
      </c>
      <c r="Z46" s="108">
        <v>3036</v>
      </c>
      <c r="AA46" s="108">
        <f t="shared" si="6"/>
        <v>0</v>
      </c>
      <c r="AB46" s="108">
        <v>3036</v>
      </c>
      <c r="AC46" s="108">
        <f t="shared" si="7"/>
        <v>0</v>
      </c>
      <c r="AD46" s="108">
        <v>3036</v>
      </c>
      <c r="AE46" s="109">
        <f t="shared" si="8"/>
        <v>3036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668.5</v>
      </c>
      <c r="X47" s="106">
        <v>1337</v>
      </c>
      <c r="Y47" s="106">
        <f t="shared" si="5"/>
        <v>124</v>
      </c>
      <c r="Z47" s="106">
        <v>1585</v>
      </c>
      <c r="AA47" s="106">
        <f t="shared" si="6"/>
        <v>0</v>
      </c>
      <c r="AB47" s="106">
        <v>1585</v>
      </c>
      <c r="AC47" s="106">
        <f t="shared" si="7"/>
        <v>0</v>
      </c>
      <c r="AD47" s="106">
        <v>1585</v>
      </c>
      <c r="AE47" s="107">
        <f t="shared" si="8"/>
        <v>1585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778</v>
      </c>
      <c r="S48" s="110">
        <f t="shared" si="2"/>
        <v>0</v>
      </c>
      <c r="T48" s="110">
        <v>778</v>
      </c>
      <c r="U48" s="110">
        <f t="shared" si="3"/>
        <v>0</v>
      </c>
      <c r="V48" s="110">
        <v>778</v>
      </c>
      <c r="W48" s="110">
        <f t="shared" si="4"/>
        <v>1247.5</v>
      </c>
      <c r="X48" s="110">
        <v>3273</v>
      </c>
      <c r="Y48" s="110">
        <f t="shared" si="5"/>
        <v>0</v>
      </c>
      <c r="Z48" s="110">
        <v>3273</v>
      </c>
      <c r="AA48" s="110">
        <f t="shared" si="6"/>
        <v>0</v>
      </c>
      <c r="AB48" s="110">
        <v>3273</v>
      </c>
      <c r="AC48" s="110">
        <f t="shared" si="7"/>
        <v>0</v>
      </c>
      <c r="AD48" s="110">
        <v>3273</v>
      </c>
      <c r="AE48" s="111">
        <f t="shared" si="8"/>
        <v>3273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407.5</v>
      </c>
      <c r="R49" s="112">
        <v>60</v>
      </c>
      <c r="S49" s="112">
        <f t="shared" si="2"/>
        <v>0</v>
      </c>
      <c r="T49" s="112">
        <v>60</v>
      </c>
      <c r="U49" s="112">
        <f t="shared" si="3"/>
        <v>86</v>
      </c>
      <c r="V49" s="112">
        <v>232</v>
      </c>
      <c r="W49" s="112">
        <f t="shared" si="4"/>
        <v>0</v>
      </c>
      <c r="X49" s="112">
        <v>232</v>
      </c>
      <c r="Y49" s="112">
        <f t="shared" si="5"/>
        <v>0</v>
      </c>
      <c r="Z49" s="112">
        <v>232</v>
      </c>
      <c r="AA49" s="112">
        <f t="shared" si="6"/>
        <v>0</v>
      </c>
      <c r="AB49" s="112">
        <v>232</v>
      </c>
      <c r="AC49" s="112">
        <f t="shared" si="7"/>
        <v>0</v>
      </c>
      <c r="AD49" s="112">
        <v>232</v>
      </c>
      <c r="AE49" s="113">
        <f t="shared" si="8"/>
        <v>-175.5</v>
      </c>
    </row>
    <row r="50" spans="14:31" ht="15.6" customHeight="1" x14ac:dyDescent="0.3">
      <c r="N50" s="212"/>
      <c r="O50" s="94" t="s">
        <v>66</v>
      </c>
      <c r="P50" s="108"/>
      <c r="Q50" s="108">
        <v>278</v>
      </c>
      <c r="R50" s="108">
        <v>0</v>
      </c>
      <c r="S50" s="108">
        <f t="shared" si="2"/>
        <v>135.5</v>
      </c>
      <c r="T50" s="108">
        <v>271</v>
      </c>
      <c r="U50" s="108">
        <f t="shared" si="3"/>
        <v>5.5</v>
      </c>
      <c r="V50" s="108">
        <v>282</v>
      </c>
      <c r="W50" s="108">
        <f t="shared" si="4"/>
        <v>0</v>
      </c>
      <c r="X50" s="108">
        <v>282</v>
      </c>
      <c r="Y50" s="108">
        <f t="shared" si="5"/>
        <v>0</v>
      </c>
      <c r="Z50" s="108">
        <v>282</v>
      </c>
      <c r="AA50" s="108">
        <f t="shared" si="6"/>
        <v>0</v>
      </c>
      <c r="AB50" s="108">
        <v>282</v>
      </c>
      <c r="AC50" s="108">
        <f t="shared" si="7"/>
        <v>0</v>
      </c>
      <c r="AD50" s="108">
        <v>282</v>
      </c>
      <c r="AE50" s="109">
        <f t="shared" si="8"/>
        <v>4</v>
      </c>
    </row>
    <row r="51" spans="14:31" ht="15.6" customHeight="1" x14ac:dyDescent="0.3">
      <c r="N51" s="212"/>
      <c r="O51" s="95" t="s">
        <v>67</v>
      </c>
      <c r="P51" s="106"/>
      <c r="Q51" s="106">
        <v>1919</v>
      </c>
      <c r="R51" s="106">
        <v>514</v>
      </c>
      <c r="S51" s="106">
        <f t="shared" si="2"/>
        <v>-112</v>
      </c>
      <c r="T51" s="106">
        <v>290</v>
      </c>
      <c r="U51" s="106">
        <f t="shared" si="3"/>
        <v>203.5</v>
      </c>
      <c r="V51" s="106">
        <v>697</v>
      </c>
      <c r="W51" s="106">
        <f t="shared" si="4"/>
        <v>71.5</v>
      </c>
      <c r="X51" s="106">
        <v>840</v>
      </c>
      <c r="Y51" s="106">
        <f t="shared" si="5"/>
        <v>101.5</v>
      </c>
      <c r="Z51" s="106">
        <v>1043</v>
      </c>
      <c r="AA51" s="106">
        <f t="shared" si="6"/>
        <v>0</v>
      </c>
      <c r="AB51" s="106">
        <v>1043</v>
      </c>
      <c r="AC51" s="106">
        <f t="shared" si="7"/>
        <v>0</v>
      </c>
      <c r="AD51" s="106">
        <v>1043</v>
      </c>
      <c r="AE51" s="107">
        <f t="shared" si="8"/>
        <v>-876</v>
      </c>
    </row>
    <row r="52" spans="14:31" ht="15.6" customHeight="1" x14ac:dyDescent="0.3">
      <c r="N52" s="212"/>
      <c r="O52" s="94" t="s">
        <v>68</v>
      </c>
      <c r="P52" s="108"/>
      <c r="Q52" s="108">
        <v>1020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326</v>
      </c>
      <c r="V52" s="108">
        <v>652</v>
      </c>
      <c r="W52" s="108">
        <f t="shared" si="4"/>
        <v>-8.5</v>
      </c>
      <c r="X52" s="108">
        <v>635</v>
      </c>
      <c r="Y52" s="108">
        <f t="shared" si="5"/>
        <v>0</v>
      </c>
      <c r="Z52" s="108">
        <v>635</v>
      </c>
      <c r="AA52" s="108">
        <f t="shared" si="6"/>
        <v>0</v>
      </c>
      <c r="AB52" s="108">
        <v>635</v>
      </c>
      <c r="AC52" s="108">
        <f t="shared" si="7"/>
        <v>0</v>
      </c>
      <c r="AD52" s="108">
        <v>635</v>
      </c>
      <c r="AE52" s="109">
        <f t="shared" si="8"/>
        <v>-385</v>
      </c>
    </row>
    <row r="53" spans="14:31" ht="15.6" customHeight="1" x14ac:dyDescent="0.3">
      <c r="N53" s="212"/>
      <c r="O53" s="95" t="s">
        <v>69</v>
      </c>
      <c r="P53" s="106"/>
      <c r="Q53" s="106">
        <v>3019.0246913580249</v>
      </c>
      <c r="R53" s="106">
        <v>70</v>
      </c>
      <c r="S53" s="106">
        <f t="shared" si="2"/>
        <v>86.5</v>
      </c>
      <c r="T53" s="106">
        <v>243</v>
      </c>
      <c r="U53" s="106">
        <f t="shared" si="3"/>
        <v>447</v>
      </c>
      <c r="V53" s="106">
        <v>1137</v>
      </c>
      <c r="W53" s="106">
        <f t="shared" si="4"/>
        <v>227.5</v>
      </c>
      <c r="X53" s="106">
        <v>1592</v>
      </c>
      <c r="Y53" s="106">
        <f t="shared" si="5"/>
        <v>79.5</v>
      </c>
      <c r="Z53" s="106">
        <v>1751</v>
      </c>
      <c r="AA53" s="106">
        <f t="shared" si="6"/>
        <v>0</v>
      </c>
      <c r="AB53" s="106">
        <v>1751</v>
      </c>
      <c r="AC53" s="106">
        <f t="shared" si="7"/>
        <v>0</v>
      </c>
      <c r="AD53" s="106">
        <v>1751</v>
      </c>
      <c r="AE53" s="107">
        <f t="shared" si="8"/>
        <v>-1268.0246913580249</v>
      </c>
    </row>
    <row r="54" spans="14:31" ht="15.6" customHeight="1" x14ac:dyDescent="0.3">
      <c r="N54" s="212"/>
      <c r="O54" s="94" t="s">
        <v>70</v>
      </c>
      <c r="P54" s="108"/>
      <c r="Q54" s="108">
        <v>1942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789</v>
      </c>
      <c r="X54" s="108">
        <v>1578</v>
      </c>
      <c r="Y54" s="108">
        <f t="shared" si="5"/>
        <v>0</v>
      </c>
      <c r="Z54" s="108">
        <v>1578</v>
      </c>
      <c r="AA54" s="108">
        <f t="shared" si="6"/>
        <v>0</v>
      </c>
      <c r="AB54" s="108">
        <v>1578</v>
      </c>
      <c r="AC54" s="108">
        <f t="shared" si="7"/>
        <v>0</v>
      </c>
      <c r="AD54" s="108">
        <v>1578</v>
      </c>
      <c r="AE54" s="109">
        <f t="shared" si="8"/>
        <v>-364</v>
      </c>
    </row>
    <row r="55" spans="14:31" ht="15.6" customHeight="1" x14ac:dyDescent="0.3">
      <c r="N55" s="212"/>
      <c r="O55" s="95" t="s">
        <v>71</v>
      </c>
      <c r="P55" s="106"/>
      <c r="Q55" s="106">
        <v>1062</v>
      </c>
      <c r="R55" s="106">
        <v>643</v>
      </c>
      <c r="S55" s="106">
        <f t="shared" si="2"/>
        <v>197.5</v>
      </c>
      <c r="T55" s="106">
        <v>1038</v>
      </c>
      <c r="U55" s="106">
        <f t="shared" si="3"/>
        <v>11</v>
      </c>
      <c r="V55" s="106">
        <v>1060</v>
      </c>
      <c r="W55" s="106">
        <f t="shared" si="4"/>
        <v>4.5</v>
      </c>
      <c r="X55" s="106">
        <v>1069</v>
      </c>
      <c r="Y55" s="106">
        <f t="shared" si="5"/>
        <v>0</v>
      </c>
      <c r="Z55" s="106">
        <v>1069</v>
      </c>
      <c r="AA55" s="106">
        <f t="shared" si="6"/>
        <v>0</v>
      </c>
      <c r="AB55" s="106">
        <v>1069</v>
      </c>
      <c r="AC55" s="106">
        <f t="shared" si="7"/>
        <v>0</v>
      </c>
      <c r="AD55" s="106">
        <v>1069</v>
      </c>
      <c r="AE55" s="107">
        <f t="shared" si="8"/>
        <v>7</v>
      </c>
    </row>
    <row r="56" spans="14:31" ht="15.6" customHeight="1" x14ac:dyDescent="0.3">
      <c r="N56" s="212"/>
      <c r="O56" s="94" t="s">
        <v>72</v>
      </c>
      <c r="P56" s="108"/>
      <c r="Q56" s="108">
        <v>351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175.5</v>
      </c>
      <c r="V56" s="108">
        <v>351</v>
      </c>
      <c r="W56" s="108">
        <f t="shared" si="4"/>
        <v>0</v>
      </c>
      <c r="X56" s="108">
        <v>351</v>
      </c>
      <c r="Y56" s="108">
        <f t="shared" si="5"/>
        <v>0</v>
      </c>
      <c r="Z56" s="108">
        <v>351</v>
      </c>
      <c r="AA56" s="108">
        <f t="shared" si="6"/>
        <v>0</v>
      </c>
      <c r="AB56" s="108">
        <v>351</v>
      </c>
      <c r="AC56" s="108">
        <f t="shared" si="7"/>
        <v>0</v>
      </c>
      <c r="AD56" s="108">
        <v>351</v>
      </c>
      <c r="AE56" s="109">
        <f t="shared" si="8"/>
        <v>0</v>
      </c>
    </row>
    <row r="57" spans="14:31" ht="15.6" customHeight="1" thickBot="1" x14ac:dyDescent="0.35">
      <c r="N57" s="213"/>
      <c r="O57" s="99" t="s">
        <v>73</v>
      </c>
      <c r="P57" s="114"/>
      <c r="Q57" s="114">
        <v>255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89.5</v>
      </c>
      <c r="V57" s="114">
        <v>179</v>
      </c>
      <c r="W57" s="114">
        <f t="shared" si="4"/>
        <v>0</v>
      </c>
      <c r="X57" s="114">
        <v>179</v>
      </c>
      <c r="Y57" s="114">
        <f t="shared" si="5"/>
        <v>0</v>
      </c>
      <c r="Z57" s="114">
        <v>179</v>
      </c>
      <c r="AA57" s="114">
        <f t="shared" si="6"/>
        <v>0</v>
      </c>
      <c r="AB57" s="114">
        <v>179</v>
      </c>
      <c r="AC57" s="114">
        <f t="shared" si="7"/>
        <v>0</v>
      </c>
      <c r="AD57" s="114">
        <v>179</v>
      </c>
      <c r="AE57" s="115">
        <f t="shared" si="8"/>
        <v>-76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7462</v>
      </c>
      <c r="R58" s="104">
        <v>584</v>
      </c>
      <c r="S58" s="104">
        <f t="shared" si="2"/>
        <v>282</v>
      </c>
      <c r="T58" s="104">
        <v>1148</v>
      </c>
      <c r="U58" s="104">
        <f t="shared" si="3"/>
        <v>853.5</v>
      </c>
      <c r="V58" s="104">
        <v>2855</v>
      </c>
      <c r="W58" s="104">
        <f t="shared" si="4"/>
        <v>815</v>
      </c>
      <c r="X58" s="104">
        <v>4485</v>
      </c>
      <c r="Y58" s="104">
        <f t="shared" si="5"/>
        <v>201.5</v>
      </c>
      <c r="Z58" s="104">
        <v>4888</v>
      </c>
      <c r="AA58" s="104">
        <f t="shared" si="6"/>
        <v>0</v>
      </c>
      <c r="AB58" s="104">
        <v>4888</v>
      </c>
      <c r="AC58" s="104">
        <f t="shared" si="7"/>
        <v>0</v>
      </c>
      <c r="AD58" s="104">
        <v>4888</v>
      </c>
      <c r="AE58" s="105">
        <f t="shared" si="8"/>
        <v>-2574</v>
      </c>
    </row>
    <row r="59" spans="14:31" ht="15.6" customHeight="1" x14ac:dyDescent="0.3">
      <c r="N59" s="212"/>
      <c r="O59" s="95" t="s">
        <v>66</v>
      </c>
      <c r="P59" s="106"/>
      <c r="Q59" s="106">
        <v>6321.5820895522384</v>
      </c>
      <c r="R59" s="106">
        <v>1277</v>
      </c>
      <c r="S59" s="106">
        <f t="shared" si="2"/>
        <v>578</v>
      </c>
      <c r="T59" s="106">
        <v>2433</v>
      </c>
      <c r="U59" s="106">
        <f t="shared" si="3"/>
        <v>283.5</v>
      </c>
      <c r="V59" s="106">
        <v>3000</v>
      </c>
      <c r="W59" s="106">
        <f t="shared" si="4"/>
        <v>705</v>
      </c>
      <c r="X59" s="106">
        <v>4410</v>
      </c>
      <c r="Y59" s="106">
        <f t="shared" si="5"/>
        <v>455</v>
      </c>
      <c r="Z59" s="106">
        <v>5320</v>
      </c>
      <c r="AA59" s="106">
        <f t="shared" si="6"/>
        <v>0</v>
      </c>
      <c r="AB59" s="106">
        <v>5320</v>
      </c>
      <c r="AC59" s="106">
        <f t="shared" si="7"/>
        <v>0</v>
      </c>
      <c r="AD59" s="106">
        <v>5320</v>
      </c>
      <c r="AE59" s="107">
        <f t="shared" si="8"/>
        <v>-1001.5820895522384</v>
      </c>
    </row>
    <row r="60" spans="14:31" ht="15.6" customHeight="1" x14ac:dyDescent="0.3">
      <c r="N60" s="212"/>
      <c r="O60" s="94" t="s">
        <v>67</v>
      </c>
      <c r="P60" s="108"/>
      <c r="Q60" s="108">
        <v>4617.651515151515</v>
      </c>
      <c r="R60" s="108">
        <v>83</v>
      </c>
      <c r="S60" s="108">
        <f t="shared" si="2"/>
        <v>462.5</v>
      </c>
      <c r="T60" s="108">
        <v>1008</v>
      </c>
      <c r="U60" s="108">
        <f t="shared" si="3"/>
        <v>150</v>
      </c>
      <c r="V60" s="108">
        <v>1308</v>
      </c>
      <c r="W60" s="108">
        <f t="shared" si="4"/>
        <v>156.5</v>
      </c>
      <c r="X60" s="108">
        <v>1621</v>
      </c>
      <c r="Y60" s="108">
        <f t="shared" si="5"/>
        <v>833</v>
      </c>
      <c r="Z60" s="108">
        <v>3287</v>
      </c>
      <c r="AA60" s="108">
        <f t="shared" si="6"/>
        <v>0</v>
      </c>
      <c r="AB60" s="108">
        <v>3287</v>
      </c>
      <c r="AC60" s="108">
        <f t="shared" si="7"/>
        <v>0</v>
      </c>
      <c r="AD60" s="108">
        <v>3287</v>
      </c>
      <c r="AE60" s="109">
        <f t="shared" si="8"/>
        <v>-1330.651515151515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5919.5767575925647</v>
      </c>
      <c r="R62" s="104">
        <v>2047</v>
      </c>
      <c r="S62" s="104">
        <f t="shared" si="2"/>
        <v>377.5</v>
      </c>
      <c r="T62" s="104">
        <v>2802</v>
      </c>
      <c r="U62" s="104">
        <f t="shared" si="3"/>
        <v>461</v>
      </c>
      <c r="V62" s="104">
        <v>3724</v>
      </c>
      <c r="W62" s="104">
        <f t="shared" si="4"/>
        <v>0</v>
      </c>
      <c r="X62" s="104">
        <v>3724</v>
      </c>
      <c r="Y62" s="104">
        <f t="shared" si="5"/>
        <v>145</v>
      </c>
      <c r="Z62" s="104">
        <v>4014</v>
      </c>
      <c r="AA62" s="104">
        <f t="shared" si="6"/>
        <v>0</v>
      </c>
      <c r="AB62" s="104">
        <v>4014</v>
      </c>
      <c r="AC62" s="104">
        <f t="shared" si="7"/>
        <v>115.5</v>
      </c>
      <c r="AD62" s="104">
        <v>4245</v>
      </c>
      <c r="AE62" s="105">
        <f t="shared" si="8"/>
        <v>-1674.5767575925647</v>
      </c>
    </row>
    <row r="63" spans="14:31" ht="15.6" customHeight="1" x14ac:dyDescent="0.3">
      <c r="N63" s="212"/>
      <c r="O63" s="95" t="s">
        <v>66</v>
      </c>
      <c r="P63" s="106"/>
      <c r="Q63" s="106">
        <v>8678</v>
      </c>
      <c r="R63" s="106">
        <v>2269</v>
      </c>
      <c r="S63" s="106">
        <f t="shared" si="2"/>
        <v>576</v>
      </c>
      <c r="T63" s="106">
        <v>3421</v>
      </c>
      <c r="U63" s="106">
        <f t="shared" si="3"/>
        <v>505.5</v>
      </c>
      <c r="V63" s="106">
        <v>4432</v>
      </c>
      <c r="W63" s="106">
        <f t="shared" si="4"/>
        <v>318</v>
      </c>
      <c r="X63" s="106">
        <v>5068</v>
      </c>
      <c r="Y63" s="106">
        <f t="shared" si="5"/>
        <v>331.5</v>
      </c>
      <c r="Z63" s="106">
        <v>5731</v>
      </c>
      <c r="AA63" s="106">
        <f t="shared" si="6"/>
        <v>139</v>
      </c>
      <c r="AB63" s="106">
        <v>6009</v>
      </c>
      <c r="AC63" s="106">
        <f t="shared" si="7"/>
        <v>18.5</v>
      </c>
      <c r="AD63" s="106">
        <v>6046</v>
      </c>
      <c r="AE63" s="107">
        <f t="shared" si="8"/>
        <v>-2632</v>
      </c>
    </row>
    <row r="64" spans="14:31" ht="15.6" customHeight="1" x14ac:dyDescent="0.3">
      <c r="N64" s="212"/>
      <c r="O64" s="94" t="s">
        <v>67</v>
      </c>
      <c r="P64" s="108"/>
      <c r="Q64" s="108">
        <v>5541.1645311761922</v>
      </c>
      <c r="R64" s="108">
        <v>120</v>
      </c>
      <c r="S64" s="108">
        <f t="shared" si="2"/>
        <v>480</v>
      </c>
      <c r="T64" s="108">
        <v>1080</v>
      </c>
      <c r="U64" s="108">
        <f t="shared" si="3"/>
        <v>327</v>
      </c>
      <c r="V64" s="108">
        <v>1734</v>
      </c>
      <c r="W64" s="108">
        <f t="shared" si="4"/>
        <v>707</v>
      </c>
      <c r="X64" s="108">
        <v>3148</v>
      </c>
      <c r="Y64" s="108">
        <f t="shared" si="5"/>
        <v>812</v>
      </c>
      <c r="Z64" s="108">
        <v>4772</v>
      </c>
      <c r="AA64" s="108">
        <f t="shared" si="6"/>
        <v>272.5</v>
      </c>
      <c r="AB64" s="108">
        <v>5317</v>
      </c>
      <c r="AC64" s="108">
        <f t="shared" si="7"/>
        <v>15</v>
      </c>
      <c r="AD64" s="108">
        <v>5347</v>
      </c>
      <c r="AE64" s="109">
        <f t="shared" si="8"/>
        <v>-194.16453117619221</v>
      </c>
    </row>
    <row r="65" spans="14:31" ht="15.6" customHeight="1" thickBot="1" x14ac:dyDescent="0.35">
      <c r="N65" s="213"/>
      <c r="O65" s="99" t="s">
        <v>68</v>
      </c>
      <c r="P65" s="114"/>
      <c r="Q65" s="114">
        <v>1788.230962020436</v>
      </c>
      <c r="R65" s="114">
        <v>534</v>
      </c>
      <c r="S65" s="114">
        <f t="shared" si="2"/>
        <v>4.5</v>
      </c>
      <c r="T65" s="114">
        <v>543</v>
      </c>
      <c r="U65" s="114">
        <f t="shared" si="3"/>
        <v>186</v>
      </c>
      <c r="V65" s="114">
        <v>915</v>
      </c>
      <c r="W65" s="114">
        <f t="shared" si="4"/>
        <v>0</v>
      </c>
      <c r="X65" s="114">
        <v>915</v>
      </c>
      <c r="Y65" s="114">
        <f t="shared" si="5"/>
        <v>72</v>
      </c>
      <c r="Z65" s="114">
        <v>1059</v>
      </c>
      <c r="AA65" s="114">
        <f t="shared" si="6"/>
        <v>0</v>
      </c>
      <c r="AB65" s="114">
        <v>1059</v>
      </c>
      <c r="AC65" s="114">
        <f t="shared" si="7"/>
        <v>0</v>
      </c>
      <c r="AD65" s="114">
        <v>1059</v>
      </c>
      <c r="AE65" s="115">
        <f t="shared" si="8"/>
        <v>-729.23096202043598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67" priority="11" operator="lessThan">
      <formula>0</formula>
    </cfRule>
    <cfRule type="cellIs" dxfId="1666" priority="12" operator="greaterThan">
      <formula>0</formula>
    </cfRule>
  </conditionalFormatting>
  <conditionalFormatting sqref="R25:AC25">
    <cfRule type="cellIs" dxfId="1665" priority="9" operator="lessThan">
      <formula>0</formula>
    </cfRule>
    <cfRule type="cellIs" dxfId="1664" priority="10" operator="greaterThan">
      <formula>0</formula>
    </cfRule>
  </conditionalFormatting>
  <conditionalFormatting sqref="R26 T26 V26 X26 Z26 AB26">
    <cfRule type="cellIs" dxfId="1663" priority="7" operator="lessThan">
      <formula>0</formula>
    </cfRule>
    <cfRule type="cellIs" dxfId="1662" priority="8" operator="greaterThan">
      <formula>0</formula>
    </cfRule>
  </conditionalFormatting>
  <conditionalFormatting sqref="AD24:AE24">
    <cfRule type="cellIs" dxfId="1661" priority="5" operator="lessThan">
      <formula>0</formula>
    </cfRule>
    <cfRule type="cellIs" dxfId="1660" priority="6" operator="greaterThan">
      <formula>0</formula>
    </cfRule>
  </conditionalFormatting>
  <conditionalFormatting sqref="AD25:AE25">
    <cfRule type="cellIs" dxfId="1659" priority="3" operator="lessThan">
      <formula>0</formula>
    </cfRule>
    <cfRule type="cellIs" dxfId="1658" priority="4" operator="greaterThan">
      <formula>0</formula>
    </cfRule>
  </conditionalFormatting>
  <conditionalFormatting sqref="AD26">
    <cfRule type="cellIs" dxfId="1657" priority="1" operator="lessThan">
      <formula>0</formula>
    </cfRule>
    <cfRule type="cellIs" dxfId="16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44380</v>
      </c>
    </row>
    <row r="3" spans="2:42" ht="18.75" customHeight="1" thickBot="1" x14ac:dyDescent="0.35">
      <c r="B3" t="s">
        <v>1</v>
      </c>
      <c r="C3" s="3">
        <f>C2+1</f>
        <v>44381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13546</v>
      </c>
      <c r="G6" s="117">
        <v>9980.9176250000019</v>
      </c>
      <c r="H6" s="117">
        <v>6111.0391240999998</v>
      </c>
      <c r="I6" s="19">
        <f>G6+H6</f>
        <v>16091.956749100002</v>
      </c>
      <c r="J6" s="119">
        <v>16335</v>
      </c>
      <c r="K6" s="117">
        <v>11714.677750000001</v>
      </c>
      <c r="L6" s="117">
        <v>9687.5277946599963</v>
      </c>
      <c r="M6" s="19">
        <f>K6+L6</f>
        <v>21402.205544659999</v>
      </c>
      <c r="N6" s="85">
        <v>74</v>
      </c>
      <c r="O6" s="85">
        <v>60</v>
      </c>
      <c r="P6" s="92"/>
      <c r="Q6" s="20">
        <f>J6-P6</f>
        <v>16335</v>
      </c>
      <c r="R6" s="21">
        <v>2271</v>
      </c>
      <c r="S6" s="20">
        <f>IF(R6&gt;0,(R6-R7-$Q6),"")</f>
        <v>-14102</v>
      </c>
      <c r="T6" s="21">
        <v>5972</v>
      </c>
      <c r="U6" s="20">
        <f>IF(T6&gt;0,(T6-T7-$Q6),"")</f>
        <v>-10419</v>
      </c>
      <c r="V6" s="21">
        <v>10695</v>
      </c>
      <c r="W6" s="20">
        <f>IF(V6&gt;0,(V6-V7-$Q6),"")</f>
        <v>-5792</v>
      </c>
      <c r="X6" s="21">
        <v>13057</v>
      </c>
      <c r="Y6" s="20">
        <f>IF(X6&gt;0,(X6-X7-$Q6),"")</f>
        <v>-3444</v>
      </c>
      <c r="Z6" s="21">
        <v>13057</v>
      </c>
      <c r="AA6" s="20">
        <f>IF(Z6&gt;0,(Z6-Z7-$Q6),"")</f>
        <v>-3444</v>
      </c>
      <c r="AB6" s="21">
        <v>13057</v>
      </c>
      <c r="AC6" s="22">
        <f>IF(AB6&gt;0,(AB6-AB7-$Q6),"")</f>
        <v>-3444</v>
      </c>
      <c r="AD6" s="21">
        <v>13057</v>
      </c>
      <c r="AE6" s="22">
        <f>IF(AD6&gt;0,(AD6-AD7-$Q6),"")</f>
        <v>-3444</v>
      </c>
    </row>
    <row r="7" spans="2:42" x14ac:dyDescent="0.3">
      <c r="B7" s="16" t="s">
        <v>23</v>
      </c>
      <c r="C7" s="17">
        <v>2254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38</v>
      </c>
      <c r="S7" s="24"/>
      <c r="T7" s="25">
        <v>56</v>
      </c>
      <c r="U7" s="24"/>
      <c r="V7" s="25">
        <v>152</v>
      </c>
      <c r="W7" s="24"/>
      <c r="X7" s="25">
        <v>166</v>
      </c>
      <c r="Y7" s="24"/>
      <c r="Z7" s="25">
        <v>166</v>
      </c>
      <c r="AA7" s="24"/>
      <c r="AB7" s="25">
        <v>166</v>
      </c>
      <c r="AC7" s="26"/>
      <c r="AD7" s="25">
        <v>166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3608</v>
      </c>
      <c r="E8" s="29" t="s">
        <v>27</v>
      </c>
      <c r="F8" s="119">
        <v>15918</v>
      </c>
      <c r="G8" s="117">
        <v>6831.48</v>
      </c>
      <c r="H8" s="117">
        <v>1495.1293553</v>
      </c>
      <c r="I8" s="19">
        <f>G8+H8</f>
        <v>8326.6093552999992</v>
      </c>
      <c r="J8" s="119">
        <v>14984</v>
      </c>
      <c r="K8" s="117">
        <v>6390.1049999999987</v>
      </c>
      <c r="L8" s="117">
        <v>1413.6744306000001</v>
      </c>
      <c r="M8" s="19">
        <f>K8+L8</f>
        <v>7803.7794305999987</v>
      </c>
      <c r="N8" s="87">
        <v>29</v>
      </c>
      <c r="O8" s="87">
        <v>24</v>
      </c>
      <c r="P8" s="92"/>
      <c r="Q8" s="20">
        <f>J8-P8</f>
        <v>14984</v>
      </c>
      <c r="R8" s="21">
        <v>2000</v>
      </c>
      <c r="S8" s="20">
        <f>IF(R8&gt;0,(R8-R9-$Q8),"")</f>
        <v>-13079</v>
      </c>
      <c r="T8" s="21">
        <v>2834</v>
      </c>
      <c r="U8" s="20">
        <f>IF(T8&gt;0,(T8-T9-$Q8),"")</f>
        <v>-12245</v>
      </c>
      <c r="V8" s="21">
        <v>2834</v>
      </c>
      <c r="W8" s="20">
        <f>IF(V8&gt;0,(V8-V9-$Q8),"")</f>
        <v>-12245</v>
      </c>
      <c r="X8" s="21">
        <v>14607</v>
      </c>
      <c r="Y8" s="20">
        <f>IF(X8&gt;0,(X8-X9-$Q8),"")</f>
        <v>-472</v>
      </c>
      <c r="Z8" s="21">
        <v>14607</v>
      </c>
      <c r="AA8" s="20">
        <f>IF(Z8&gt;0,(Z8-Z9-$Q8),"")</f>
        <v>-472</v>
      </c>
      <c r="AB8" s="21">
        <v>14607</v>
      </c>
      <c r="AC8" s="22">
        <f>IF(AB8&gt;0,(AB8-AB9-$Q8),"")</f>
        <v>-472</v>
      </c>
      <c r="AD8" s="21">
        <v>14607</v>
      </c>
      <c r="AE8" s="22">
        <f>IF(AD8&gt;0,(AD8-AD9-$Q8),"")</f>
        <v>-472</v>
      </c>
    </row>
    <row r="9" spans="2:42" x14ac:dyDescent="0.3">
      <c r="B9" s="28" t="s">
        <v>28</v>
      </c>
      <c r="C9" s="17">
        <v>1766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95</v>
      </c>
      <c r="S9" s="24"/>
      <c r="T9" s="30">
        <v>95</v>
      </c>
      <c r="U9" s="24"/>
      <c r="V9" s="30">
        <v>95</v>
      </c>
      <c r="W9" s="24"/>
      <c r="X9" s="30">
        <v>95</v>
      </c>
      <c r="Y9" s="24"/>
      <c r="Z9" s="30">
        <v>95</v>
      </c>
      <c r="AA9" s="24"/>
      <c r="AB9" s="30">
        <v>95</v>
      </c>
      <c r="AC9" s="26"/>
      <c r="AD9" s="30">
        <v>95</v>
      </c>
      <c r="AE9" s="26"/>
    </row>
    <row r="10" spans="2:42" x14ac:dyDescent="0.3">
      <c r="B10" s="16" t="s">
        <v>30</v>
      </c>
      <c r="C10" s="17">
        <v>6742</v>
      </c>
      <c r="E10" s="18" t="s">
        <v>31</v>
      </c>
      <c r="F10" s="119">
        <v>13216.92561983471</v>
      </c>
      <c r="G10" s="117">
        <v>11158.271429752071</v>
      </c>
      <c r="H10" s="117">
        <v>1593.5052450000001</v>
      </c>
      <c r="I10" s="19">
        <f>G10+H10</f>
        <v>12751.776674752071</v>
      </c>
      <c r="J10" s="119">
        <v>13290</v>
      </c>
      <c r="K10" s="117">
        <v>11119.02925</v>
      </c>
      <c r="L10" s="117">
        <v>1675.9107575</v>
      </c>
      <c r="M10" s="19">
        <f>K10+L10</f>
        <v>12794.940007499999</v>
      </c>
      <c r="N10" s="88">
        <v>54</v>
      </c>
      <c r="O10" s="88">
        <v>40</v>
      </c>
      <c r="P10" s="92"/>
      <c r="Q10" s="20">
        <f>J10-P10</f>
        <v>13290</v>
      </c>
      <c r="R10" s="21">
        <v>4363</v>
      </c>
      <c r="S10" s="20">
        <f>IF(R10&gt;0,(R10-R11-$Q10),"")</f>
        <v>-8958</v>
      </c>
      <c r="T10" s="21">
        <v>6302</v>
      </c>
      <c r="U10" s="20">
        <f>IF(T10&gt;0,(T10-T11-$Q10),"")</f>
        <v>-7439</v>
      </c>
      <c r="V10" s="21">
        <v>10138</v>
      </c>
      <c r="W10" s="20">
        <f>IF(V10&gt;0,(V10-V11-$Q10),"")</f>
        <v>-4821</v>
      </c>
      <c r="X10" s="21">
        <v>13630</v>
      </c>
      <c r="Y10" s="20">
        <f>IF(X10&gt;0,(X10-X11-$Q10),"")</f>
        <v>-1818</v>
      </c>
      <c r="Z10" s="21">
        <v>15906</v>
      </c>
      <c r="AA10" s="20">
        <f>IF(Z10&gt;0,(Z10-Z11-$Q10),"")</f>
        <v>-252</v>
      </c>
      <c r="AB10" s="21">
        <v>15906</v>
      </c>
      <c r="AC10" s="22">
        <f>IF(AB10&gt;0,(AB10-AB11-$Q10),"")</f>
        <v>-252</v>
      </c>
      <c r="AD10" s="21">
        <v>15906</v>
      </c>
      <c r="AE10" s="22">
        <f>IF(AD10&gt;0,(AD10-AD11-$Q10),"")</f>
        <v>-252</v>
      </c>
    </row>
    <row r="11" spans="2:42" x14ac:dyDescent="0.3">
      <c r="B11" s="16" t="s">
        <v>32</v>
      </c>
      <c r="C11" s="17">
        <v>2143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>
        <v>31</v>
      </c>
      <c r="S11" s="24"/>
      <c r="T11" s="30">
        <v>451</v>
      </c>
      <c r="U11" s="24"/>
      <c r="V11" s="30">
        <v>1669</v>
      </c>
      <c r="W11" s="24"/>
      <c r="X11" s="30">
        <v>2158</v>
      </c>
      <c r="Y11" s="24"/>
      <c r="Z11" s="30">
        <v>2868</v>
      </c>
      <c r="AA11" s="24"/>
      <c r="AB11" s="30">
        <v>2868</v>
      </c>
      <c r="AC11" s="26"/>
      <c r="AD11" s="30">
        <v>2868</v>
      </c>
      <c r="AE11" s="26"/>
    </row>
    <row r="12" spans="2:42" x14ac:dyDescent="0.3">
      <c r="B12" s="16" t="s">
        <v>34</v>
      </c>
      <c r="C12" s="17">
        <v>1736</v>
      </c>
      <c r="E12" s="29" t="s">
        <v>35</v>
      </c>
      <c r="F12" s="119">
        <v>5019.1518560179966</v>
      </c>
      <c r="G12" s="117">
        <v>1682.1481915073109</v>
      </c>
      <c r="H12" s="117">
        <v>5006.2253374433521</v>
      </c>
      <c r="I12" s="19">
        <f>G12+H12</f>
        <v>6688.3735289506631</v>
      </c>
      <c r="J12" s="119">
        <v>4927</v>
      </c>
      <c r="K12" s="117">
        <v>1596.53675</v>
      </c>
      <c r="L12" s="117">
        <v>5177.4584229399998</v>
      </c>
      <c r="M12" s="19">
        <f>K12+L12</f>
        <v>6773.99517294</v>
      </c>
      <c r="N12" s="88">
        <v>60</v>
      </c>
      <c r="O12" s="88">
        <v>41</v>
      </c>
      <c r="P12" s="92"/>
      <c r="Q12" s="20">
        <f>J12-P12</f>
        <v>4927</v>
      </c>
      <c r="R12" s="21">
        <v>329</v>
      </c>
      <c r="S12" s="20">
        <f>IF(R12&gt;0,(R12-R13-$Q12),"")</f>
        <v>-4599</v>
      </c>
      <c r="T12" s="21">
        <v>2171</v>
      </c>
      <c r="U12" s="20">
        <f>IF(T12&gt;0,(T12-T13-$Q12),"")</f>
        <v>-3853</v>
      </c>
      <c r="V12" s="21">
        <v>4348</v>
      </c>
      <c r="W12" s="20">
        <f>IF(V12&gt;0,(V12-V13-$Q12),"")</f>
        <v>-2542</v>
      </c>
      <c r="X12" s="21">
        <v>4406</v>
      </c>
      <c r="Y12" s="20">
        <f>IF(X12&gt;0,(X12-X13-$Q12),"")</f>
        <v>-2484</v>
      </c>
      <c r="Z12" s="21">
        <v>4406</v>
      </c>
      <c r="AA12" s="20">
        <f>IF(Z12&gt;0,(Z12-Z13-$Q12),"")</f>
        <v>-2484</v>
      </c>
      <c r="AB12" s="21">
        <v>4406</v>
      </c>
      <c r="AC12" s="22">
        <f>IF(AB12&gt;0,(AB12-AB13-$Q12),"")</f>
        <v>-2484</v>
      </c>
      <c r="AD12" s="21">
        <v>4406</v>
      </c>
      <c r="AE12" s="22">
        <f>IF(AD12&gt;0,(AD12-AD13-$Q12),"")</f>
        <v>-2484</v>
      </c>
    </row>
    <row r="13" spans="2:42" x14ac:dyDescent="0.3">
      <c r="B13" s="16" t="s">
        <v>36</v>
      </c>
      <c r="C13" s="17">
        <v>5251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19</v>
      </c>
      <c r="P13" s="93" t="s">
        <v>37</v>
      </c>
      <c r="Q13" s="24"/>
      <c r="R13" s="30">
        <v>1</v>
      </c>
      <c r="S13" s="24"/>
      <c r="T13" s="30">
        <v>1097</v>
      </c>
      <c r="U13" s="24"/>
      <c r="V13" s="30">
        <v>1963</v>
      </c>
      <c r="W13" s="24"/>
      <c r="X13" s="30">
        <v>1963</v>
      </c>
      <c r="Y13" s="24"/>
      <c r="Z13" s="30">
        <v>1963</v>
      </c>
      <c r="AA13" s="24"/>
      <c r="AB13" s="30">
        <v>1963</v>
      </c>
      <c r="AC13" s="26"/>
      <c r="AD13" s="30">
        <v>1963</v>
      </c>
      <c r="AE13" s="26"/>
    </row>
    <row r="14" spans="2:42" x14ac:dyDescent="0.3">
      <c r="B14" s="16" t="s">
        <v>38</v>
      </c>
      <c r="C14" s="17">
        <v>9586</v>
      </c>
      <c r="E14" s="18" t="s">
        <v>39</v>
      </c>
      <c r="F14" s="119">
        <v>17352</v>
      </c>
      <c r="G14" s="117">
        <v>5490.875</v>
      </c>
      <c r="H14" s="117">
        <v>9638.6462529900018</v>
      </c>
      <c r="I14" s="19">
        <f>G14+H14</f>
        <v>15129.521252990002</v>
      </c>
      <c r="J14" s="119">
        <v>17267</v>
      </c>
      <c r="K14" s="117">
        <v>5445</v>
      </c>
      <c r="L14" s="117">
        <v>9612.8235540099977</v>
      </c>
      <c r="M14" s="19">
        <f>K14+L14</f>
        <v>15057.823554009998</v>
      </c>
      <c r="N14" s="88">
        <v>75</v>
      </c>
      <c r="O14" s="88">
        <v>49</v>
      </c>
      <c r="P14" s="92"/>
      <c r="Q14" s="20">
        <f>J14-P14</f>
        <v>17267</v>
      </c>
      <c r="R14" s="21">
        <v>5232</v>
      </c>
      <c r="S14" s="20">
        <f>IF(R14&gt;0,(R14-R15-$Q14),"")</f>
        <v>-16670</v>
      </c>
      <c r="T14" s="21">
        <v>7058</v>
      </c>
      <c r="U14" s="20">
        <f>IF(T14&gt;0,(T14-T15-$Q14),"")</f>
        <v>-16042</v>
      </c>
      <c r="V14" s="21">
        <v>9951</v>
      </c>
      <c r="W14" s="20">
        <f>IF(V14&gt;0,(V14-V15-$Q14),"")</f>
        <v>-15412</v>
      </c>
      <c r="X14" s="21">
        <v>13759</v>
      </c>
      <c r="Y14" s="20">
        <f>IF(X14&gt;0,(X14-X15-$Q14),"")</f>
        <v>-15262</v>
      </c>
      <c r="Z14" s="21">
        <v>16933</v>
      </c>
      <c r="AA14" s="20">
        <f>IF(Z14&gt;0,(Z14-Z15-$Q14),"")</f>
        <v>-14882</v>
      </c>
      <c r="AB14" s="21">
        <v>17372</v>
      </c>
      <c r="AC14" s="22">
        <f>IF(AB14&gt;0,(AB14-AB15-$Q14),"")</f>
        <v>-14697</v>
      </c>
      <c r="AD14" s="21">
        <v>17503</v>
      </c>
      <c r="AE14" s="22">
        <f>IF(AD14&gt;0,(AD14-AD15-$Q14),"")</f>
        <v>-14566</v>
      </c>
    </row>
    <row r="15" spans="2:42" ht="15" customHeight="1" thickBot="1" x14ac:dyDescent="0.3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26</v>
      </c>
      <c r="P15" s="93" t="s">
        <v>41</v>
      </c>
      <c r="Q15" s="24"/>
      <c r="R15" s="25">
        <v>4635</v>
      </c>
      <c r="S15" s="24"/>
      <c r="T15" s="25">
        <v>5833</v>
      </c>
      <c r="U15" s="24"/>
      <c r="V15" s="25">
        <v>8096</v>
      </c>
      <c r="W15" s="24"/>
      <c r="X15" s="25">
        <v>11754</v>
      </c>
      <c r="Y15" s="24"/>
      <c r="Z15" s="25">
        <v>14548</v>
      </c>
      <c r="AA15" s="24"/>
      <c r="AB15" s="25">
        <v>14802</v>
      </c>
      <c r="AC15" s="26"/>
      <c r="AD15" s="25">
        <v>14802</v>
      </c>
      <c r="AE15" s="26"/>
    </row>
    <row r="16" spans="2:42" ht="15" customHeight="1" thickBot="1" x14ac:dyDescent="0.35">
      <c r="B16" s="28" t="s">
        <v>42</v>
      </c>
      <c r="C16" s="17"/>
      <c r="E16" s="84"/>
      <c r="F16" s="31">
        <f t="shared" ref="F16:M16" si="0">SUM(F6:F15)</f>
        <v>65052.077475852711</v>
      </c>
      <c r="G16" s="31">
        <f t="shared" si="0"/>
        <v>35143.692246259379</v>
      </c>
      <c r="H16" s="31">
        <f t="shared" si="0"/>
        <v>23844.545314833354</v>
      </c>
      <c r="I16" s="32">
        <f t="shared" si="0"/>
        <v>58988.237561092741</v>
      </c>
      <c r="J16" s="33">
        <f t="shared" si="0"/>
        <v>66803</v>
      </c>
      <c r="K16" s="33">
        <f t="shared" si="0"/>
        <v>36265.348749999997</v>
      </c>
      <c r="L16" s="33">
        <f t="shared" si="0"/>
        <v>27567.394959709993</v>
      </c>
      <c r="M16" s="33">
        <f t="shared" si="0"/>
        <v>63832.743709709997</v>
      </c>
      <c r="N16" s="31">
        <f>SUM(N14,N12,N10,N8,N6)</f>
        <v>292</v>
      </c>
      <c r="O16" s="31">
        <f>SUM(O14,O12,O10,O8,O6)</f>
        <v>214</v>
      </c>
      <c r="P16" s="34">
        <f>SUM(P6:P15)</f>
        <v>0</v>
      </c>
      <c r="Q16" s="34">
        <f>SUM(Q6:Q15)</f>
        <v>66803</v>
      </c>
      <c r="R16" s="35">
        <f>R6+R8+R10+R12+R14-R7-R9-R11-R13-R15</f>
        <v>9395</v>
      </c>
      <c r="S16" s="36">
        <f>IF(R16&gt;1,(R16-$Q16),"")</f>
        <v>-57408</v>
      </c>
      <c r="T16" s="35">
        <f>T6+T8+T10+T12+T14-T7-T9-T11-T13-T15</f>
        <v>16805</v>
      </c>
      <c r="U16" s="36">
        <f>IF(T16&gt;1,(T16-$Q16),"")</f>
        <v>-49998</v>
      </c>
      <c r="V16" s="35">
        <f>V6+V8+V10+V12+V14-V7-V9-V11-V13-V15</f>
        <v>25991</v>
      </c>
      <c r="W16" s="36">
        <f>IF(V16&gt;1,(V16-$Q16),"")</f>
        <v>-40812</v>
      </c>
      <c r="X16" s="35">
        <f>X6+X8+X10+X12+X14-X7-X9-X11-X13-X15</f>
        <v>43323</v>
      </c>
      <c r="Y16" s="36">
        <f>IF(X16&gt;1,(X16-$Q16),"")</f>
        <v>-23480</v>
      </c>
      <c r="Z16" s="35">
        <f>Z6+Z8+Z10+Z12+Z14-Z7-Z9-Z11-Z13-Z15</f>
        <v>45269</v>
      </c>
      <c r="AA16" s="36">
        <f>IF(Z16&gt;1,(Z16-$Q16),"")</f>
        <v>-21534</v>
      </c>
      <c r="AB16" s="35">
        <f>AB6+AB8+AB10+AB12+AB14-AB7-AB9-AB11-AB13-AB15</f>
        <v>45454</v>
      </c>
      <c r="AC16" s="37">
        <f>IF(AB16&gt;1,(AB16-$Q16),"")</f>
        <v>-21349</v>
      </c>
      <c r="AD16" s="35">
        <f>AD6+AD8+AD10+AD12+AD14-AD7-AD9-AD11-AD13-AD15</f>
        <v>45585</v>
      </c>
      <c r="AE16" s="37">
        <f>IF(AD16&gt;1,(AD16-$Q16),"")</f>
        <v>-21218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4800</v>
      </c>
      <c r="S17" s="41"/>
      <c r="T17" s="40">
        <f>T15+T13+T11+T9+T7</f>
        <v>7532</v>
      </c>
      <c r="U17" s="41"/>
      <c r="V17" s="40">
        <f>V15+V13+V11+V9+V7</f>
        <v>11975</v>
      </c>
      <c r="W17" s="41"/>
      <c r="X17" s="40">
        <f>X15+X13+X11+X9+X7</f>
        <v>16136</v>
      </c>
      <c r="Y17" s="41"/>
      <c r="Z17" s="40">
        <f>Z15+Z13+Z11+Z9+Z7</f>
        <v>19640</v>
      </c>
      <c r="AA17" s="41"/>
      <c r="AB17" s="40">
        <f>AB15+AB13+AB11+AB9+AB7</f>
        <v>19894</v>
      </c>
      <c r="AC17" s="42"/>
      <c r="AD17" s="40">
        <f>AD15+AD13+AD11+AD9+AD7</f>
        <v>19894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4697.5</v>
      </c>
      <c r="S18" s="46"/>
      <c r="T18" s="47">
        <f>IF(T16&gt;0,(T16-R16)/2,"")</f>
        <v>3705</v>
      </c>
      <c r="U18" s="46"/>
      <c r="V18" s="47">
        <f>IF(V16&gt;0,(V16-T16)/2,"")</f>
        <v>4593</v>
      </c>
      <c r="W18" s="46"/>
      <c r="X18" s="47">
        <f>IF(X16&gt;0,(X16-V16)/2,"")</f>
        <v>8666</v>
      </c>
      <c r="Y18" s="46"/>
      <c r="Z18" s="47">
        <f>IF(Z16&gt;0,(Z16-X16)/2,"")</f>
        <v>973</v>
      </c>
      <c r="AA18" s="46"/>
      <c r="AB18" s="47">
        <f>IF(AB16&gt;0,(AB16-Z16)/2,"")</f>
        <v>92.5</v>
      </c>
      <c r="AC18" s="48"/>
      <c r="AD18" s="47">
        <f>IF(AD16&gt;0,(AD16-AB16)/2,"")</f>
        <v>65.5</v>
      </c>
      <c r="AE18" s="48"/>
    </row>
    <row r="19" spans="2:43" ht="15" customHeight="1" thickBot="1" x14ac:dyDescent="0.35">
      <c r="B19" s="43" t="s">
        <v>47</v>
      </c>
      <c r="C19" s="17">
        <v>1687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578</v>
      </c>
      <c r="L20" s="4"/>
      <c r="M20" s="4"/>
      <c r="Q20" s="51" t="s">
        <v>49</v>
      </c>
      <c r="R20" s="35">
        <v>5236</v>
      </c>
      <c r="S20" s="36">
        <v>-97889.246736670553</v>
      </c>
      <c r="T20" s="35">
        <v>14484</v>
      </c>
      <c r="U20" s="36">
        <v>-88641.246736670553</v>
      </c>
      <c r="V20" s="35">
        <v>22294</v>
      </c>
      <c r="W20" s="36">
        <v>-80831.246736670553</v>
      </c>
      <c r="X20" s="35">
        <v>40082</v>
      </c>
      <c r="Y20" s="36">
        <v>-63043.246736670553</v>
      </c>
      <c r="Z20" s="35">
        <v>46871</v>
      </c>
      <c r="AA20" s="36">
        <v>-56254.246736670553</v>
      </c>
      <c r="AB20" s="35">
        <v>47675</v>
      </c>
      <c r="AC20" s="37">
        <v>-55450.246736670553</v>
      </c>
      <c r="AD20" s="35">
        <v>47973</v>
      </c>
      <c r="AE20" s="37">
        <v>-55152.246736670553</v>
      </c>
    </row>
    <row r="21" spans="2:43" ht="15" customHeight="1" thickBot="1" x14ac:dyDescent="0.35">
      <c r="B21" s="16" t="s">
        <v>50</v>
      </c>
      <c r="C21" s="17">
        <v>4300</v>
      </c>
      <c r="L21" s="4"/>
      <c r="M21" s="4"/>
      <c r="Q21" s="52"/>
      <c r="R21" s="40">
        <v>7432</v>
      </c>
      <c r="S21" s="41"/>
      <c r="T21" s="40">
        <v>9140</v>
      </c>
      <c r="U21" s="41"/>
      <c r="V21" s="40">
        <v>12791</v>
      </c>
      <c r="W21" s="41"/>
      <c r="X21" s="40">
        <v>15489</v>
      </c>
      <c r="Y21" s="41"/>
      <c r="Z21" s="40">
        <v>18072</v>
      </c>
      <c r="AA21" s="41"/>
      <c r="AB21" s="40">
        <v>18225</v>
      </c>
      <c r="AC21" s="42"/>
      <c r="AD21" s="40">
        <v>18225</v>
      </c>
      <c r="AE21" s="42"/>
    </row>
    <row r="22" spans="2:43" ht="15" customHeight="1" thickBot="1" x14ac:dyDescent="0.35">
      <c r="B22" s="16" t="s">
        <v>51</v>
      </c>
      <c r="C22" s="17">
        <v>1797</v>
      </c>
      <c r="L22" s="4"/>
      <c r="M22" s="4"/>
      <c r="Q22" s="54"/>
      <c r="R22" s="55">
        <v>2618</v>
      </c>
      <c r="S22" s="55"/>
      <c r="T22" s="55">
        <v>4624</v>
      </c>
      <c r="U22" s="55"/>
      <c r="V22" s="55">
        <v>3905</v>
      </c>
      <c r="W22" s="55"/>
      <c r="X22" s="55">
        <v>8894</v>
      </c>
      <c r="Y22" s="55"/>
      <c r="Z22" s="55">
        <v>3394.5</v>
      </c>
      <c r="AA22" s="55"/>
      <c r="AB22" s="55">
        <v>402</v>
      </c>
      <c r="AC22" s="56"/>
      <c r="AD22" s="55">
        <v>149</v>
      </c>
      <c r="AE22" s="56"/>
    </row>
    <row r="23" spans="2:43" ht="15" customHeight="1" thickBot="1" x14ac:dyDescent="0.35">
      <c r="B23" s="57" t="s">
        <v>52</v>
      </c>
      <c r="C23" s="58">
        <v>8415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4159</v>
      </c>
      <c r="S24" s="60"/>
      <c r="T24" s="60">
        <f>IF(T16&gt;0,T16-T20,"")</f>
        <v>2321</v>
      </c>
      <c r="U24" s="60"/>
      <c r="V24" s="60">
        <f>IF(V16&gt;0,V16-V20,"")</f>
        <v>3697</v>
      </c>
      <c r="W24" s="60"/>
      <c r="X24" s="60">
        <f>IF(X16&gt;0,X16-X20,"")</f>
        <v>3241</v>
      </c>
      <c r="Y24" s="60"/>
      <c r="Z24" s="60">
        <f>IF(Z16&gt;0,Z16-Z20,"")</f>
        <v>-1602</v>
      </c>
      <c r="AA24" s="60"/>
      <c r="AB24" s="60">
        <f>IF(AB16&gt;0,AB16-AB20,"")</f>
        <v>-2221</v>
      </c>
      <c r="AC24" s="61"/>
      <c r="AD24" s="60">
        <f>IF(AD16&gt;0,AD16-AD20,"")</f>
        <v>-2388</v>
      </c>
      <c r="AE24" s="61"/>
    </row>
    <row r="25" spans="2:43" x14ac:dyDescent="0.3">
      <c r="L25" s="4"/>
      <c r="M25" s="4"/>
      <c r="Q25" s="62"/>
      <c r="R25" s="63">
        <f>IF(R17&gt;=0,R17-R21,"")</f>
        <v>-2632</v>
      </c>
      <c r="S25" s="64"/>
      <c r="T25" s="63">
        <f>IF(T17&gt;=0,T17-T21,"")</f>
        <v>-1608</v>
      </c>
      <c r="U25" s="64"/>
      <c r="V25" s="63">
        <f>IF(V17&gt;=0,V17-V21,"")</f>
        <v>-816</v>
      </c>
      <c r="W25" s="64"/>
      <c r="X25" s="63">
        <f>IF(X17&gt;=0,X17-X21,"")</f>
        <v>647</v>
      </c>
      <c r="Y25" s="64"/>
      <c r="Z25" s="63">
        <f>IF(Z17&gt;=0,Z17-Z21,"")</f>
        <v>1568</v>
      </c>
      <c r="AA25" s="64"/>
      <c r="AB25" s="63">
        <f>IF(AB17&gt;=0,AB17-AB21,"")</f>
        <v>1669</v>
      </c>
      <c r="AC25" s="65"/>
      <c r="AD25" s="63">
        <f>IF(AD17&gt;=0,AD17-AD21,"")</f>
        <v>1669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2079.5</v>
      </c>
      <c r="S26" s="55"/>
      <c r="T26" s="67">
        <f>IFERROR(IF(T18&gt;0,T18-T22,""),"")</f>
        <v>-919</v>
      </c>
      <c r="U26" s="55"/>
      <c r="V26" s="67">
        <f>IFERROR(IF(V18&gt;0,V18-V22,""),"")</f>
        <v>688</v>
      </c>
      <c r="W26" s="55"/>
      <c r="X26" s="67">
        <f>IFERROR(IF(X18&gt;0,X18-X22,""),"")</f>
        <v>-228</v>
      </c>
      <c r="Y26" s="55"/>
      <c r="Z26" s="67">
        <f>IFERROR(IF(Z18&gt;0,Z18-Z22,""),"")</f>
        <v>-2421.5</v>
      </c>
      <c r="AA26" s="55"/>
      <c r="AB26" s="67">
        <f>IFERROR(IF(AB18&gt;0,AB18-AB22,""),"")</f>
        <v>-309.5</v>
      </c>
      <c r="AC26" s="56"/>
      <c r="AD26" s="67">
        <f>IFERROR(IF(AD18&gt;0,AD18-AD22,""),"")</f>
        <v>-83.5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6568.0774758527086</v>
      </c>
      <c r="D29" s="76">
        <f>C14</f>
        <v>9586</v>
      </c>
      <c r="E29" s="77">
        <f t="shared" ref="E29:E34" si="1">D29-C29</f>
        <v>3017.9225241472914</v>
      </c>
      <c r="M29" s="4"/>
      <c r="O29" s="4"/>
    </row>
    <row r="30" spans="2:43" x14ac:dyDescent="0.3">
      <c r="B30" s="74" t="s">
        <v>56</v>
      </c>
      <c r="C30" s="75">
        <v>9236</v>
      </c>
      <c r="D30" s="76">
        <f>C7+C15+C16+C19+C20</f>
        <v>7313</v>
      </c>
      <c r="E30" s="77">
        <f t="shared" si="1"/>
        <v>-1923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16066</v>
      </c>
      <c r="D32" s="76">
        <f>C10+C11+C12+C13</f>
        <v>15872</v>
      </c>
      <c r="E32" s="77">
        <f t="shared" si="1"/>
        <v>-194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15418</v>
      </c>
      <c r="D34" s="76">
        <f>C21+C22+C23</f>
        <v>14512</v>
      </c>
      <c r="E34" s="77">
        <f t="shared" si="1"/>
        <v>-906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5513</v>
      </c>
      <c r="D35" s="80">
        <f>SUM(C8+C9)</f>
        <v>5374</v>
      </c>
      <c r="E35" s="81">
        <f>C35-D35</f>
        <v>139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2002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1003.5</v>
      </c>
      <c r="V36" s="104">
        <v>2007</v>
      </c>
      <c r="W36" s="104">
        <f t="shared" ref="W36:W65" si="4">IF(X36&gt;0,(X36-V36)/2,"")</f>
        <v>5.5</v>
      </c>
      <c r="X36" s="104">
        <v>2018</v>
      </c>
      <c r="Y36" s="104">
        <f t="shared" ref="Y36:Y65" si="5">IF(Z36&gt;0,(Z36-X36)/2,"")</f>
        <v>0</v>
      </c>
      <c r="Z36" s="104">
        <v>2018</v>
      </c>
      <c r="AA36" s="104">
        <f t="shared" ref="AA36:AA65" si="6">IF(AB36&gt;0,(AB36-Z36)/2,"")</f>
        <v>0</v>
      </c>
      <c r="AB36" s="104">
        <v>2018</v>
      </c>
      <c r="AC36" s="104">
        <f t="shared" ref="AC36:AC65" si="7">IF(AD36&gt;0,(AD36-AB36)/2,"")</f>
        <v>0</v>
      </c>
      <c r="AD36" s="104">
        <v>2018</v>
      </c>
      <c r="AE36" s="105">
        <f t="shared" ref="AE36:AE65" si="8">AD36-Q36</f>
        <v>16</v>
      </c>
    </row>
    <row r="37" spans="2:31" ht="15.6" customHeight="1" x14ac:dyDescent="0.3">
      <c r="N37" s="212"/>
      <c r="O37" s="95" t="s">
        <v>66</v>
      </c>
      <c r="P37" s="106"/>
      <c r="Q37" s="106">
        <v>1077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277.5</v>
      </c>
      <c r="V37" s="106">
        <v>555</v>
      </c>
      <c r="W37" s="106">
        <f t="shared" si="4"/>
        <v>263</v>
      </c>
      <c r="X37" s="106">
        <v>1081</v>
      </c>
      <c r="Y37" s="106">
        <f t="shared" si="5"/>
        <v>0</v>
      </c>
      <c r="Z37" s="106">
        <v>1081</v>
      </c>
      <c r="AA37" s="106">
        <f t="shared" si="6"/>
        <v>0</v>
      </c>
      <c r="AB37" s="106">
        <v>1081</v>
      </c>
      <c r="AC37" s="106">
        <f t="shared" si="7"/>
        <v>0</v>
      </c>
      <c r="AD37" s="106">
        <v>1081</v>
      </c>
      <c r="AE37" s="107">
        <f t="shared" si="8"/>
        <v>4</v>
      </c>
    </row>
    <row r="38" spans="2:31" ht="15.6" customHeight="1" x14ac:dyDescent="0.3">
      <c r="N38" s="212"/>
      <c r="O38" s="94" t="s">
        <v>67</v>
      </c>
      <c r="P38" s="108"/>
      <c r="Q38" s="108">
        <v>1867</v>
      </c>
      <c r="R38" s="108">
        <v>420</v>
      </c>
      <c r="S38" s="108">
        <f t="shared" si="2"/>
        <v>166.5</v>
      </c>
      <c r="T38" s="108">
        <v>753</v>
      </c>
      <c r="U38" s="108">
        <f t="shared" si="3"/>
        <v>210</v>
      </c>
      <c r="V38" s="108">
        <v>1173</v>
      </c>
      <c r="W38" s="108">
        <f t="shared" si="4"/>
        <v>326</v>
      </c>
      <c r="X38" s="108">
        <v>1825</v>
      </c>
      <c r="Y38" s="108">
        <f t="shared" si="5"/>
        <v>0</v>
      </c>
      <c r="Z38" s="108">
        <v>1825</v>
      </c>
      <c r="AA38" s="108">
        <f t="shared" si="6"/>
        <v>0</v>
      </c>
      <c r="AB38" s="108">
        <v>1825</v>
      </c>
      <c r="AC38" s="108">
        <f t="shared" si="7"/>
        <v>0</v>
      </c>
      <c r="AD38" s="108">
        <v>1825</v>
      </c>
      <c r="AE38" s="109">
        <f t="shared" si="8"/>
        <v>-42</v>
      </c>
    </row>
    <row r="39" spans="2:31" ht="15.6" customHeight="1" x14ac:dyDescent="0.3">
      <c r="N39" s="212"/>
      <c r="O39" s="95" t="s">
        <v>68</v>
      </c>
      <c r="P39" s="106"/>
      <c r="Q39" s="106">
        <v>2662</v>
      </c>
      <c r="R39" s="106">
        <v>766</v>
      </c>
      <c r="S39" s="106">
        <f t="shared" si="2"/>
        <v>146.5</v>
      </c>
      <c r="T39" s="106">
        <v>1059</v>
      </c>
      <c r="U39" s="106">
        <f t="shared" si="3"/>
        <v>265.5</v>
      </c>
      <c r="V39" s="106">
        <v>1590</v>
      </c>
      <c r="W39" s="106">
        <f t="shared" si="4"/>
        <v>272</v>
      </c>
      <c r="X39" s="106">
        <v>2134</v>
      </c>
      <c r="Y39" s="106">
        <f t="shared" si="5"/>
        <v>0</v>
      </c>
      <c r="Z39" s="106">
        <v>2134</v>
      </c>
      <c r="AA39" s="106">
        <f t="shared" si="6"/>
        <v>0</v>
      </c>
      <c r="AB39" s="106">
        <v>2134</v>
      </c>
      <c r="AC39" s="106">
        <f t="shared" si="7"/>
        <v>0</v>
      </c>
      <c r="AD39" s="106">
        <v>2134</v>
      </c>
      <c r="AE39" s="107">
        <f t="shared" si="8"/>
        <v>-528</v>
      </c>
    </row>
    <row r="40" spans="2:31" ht="15.6" customHeight="1" x14ac:dyDescent="0.3">
      <c r="N40" s="212"/>
      <c r="O40" s="94" t="s">
        <v>69</v>
      </c>
      <c r="P40" s="108"/>
      <c r="Q40" s="108">
        <v>0</v>
      </c>
      <c r="R40" s="108">
        <v>38</v>
      </c>
      <c r="S40" s="108">
        <f t="shared" si="2"/>
        <v>752.5</v>
      </c>
      <c r="T40" s="108">
        <v>1543</v>
      </c>
      <c r="U40" s="108">
        <f t="shared" si="3"/>
        <v>0.5</v>
      </c>
      <c r="V40" s="108">
        <v>1544</v>
      </c>
      <c r="W40" s="108">
        <f t="shared" si="4"/>
        <v>0</v>
      </c>
      <c r="X40" s="108">
        <v>1544</v>
      </c>
      <c r="Y40" s="108">
        <f t="shared" si="5"/>
        <v>0</v>
      </c>
      <c r="Z40" s="108">
        <v>1544</v>
      </c>
      <c r="AA40" s="108">
        <f t="shared" si="6"/>
        <v>0</v>
      </c>
      <c r="AB40" s="108">
        <v>1544</v>
      </c>
      <c r="AC40" s="108">
        <f t="shared" si="7"/>
        <v>0</v>
      </c>
      <c r="AD40" s="108">
        <v>1544</v>
      </c>
      <c r="AE40" s="109">
        <f t="shared" si="8"/>
        <v>1544</v>
      </c>
    </row>
    <row r="41" spans="2:31" ht="15.6" customHeight="1" x14ac:dyDescent="0.3">
      <c r="N41" s="212"/>
      <c r="O41" s="95" t="s">
        <v>70</v>
      </c>
      <c r="P41" s="106"/>
      <c r="Q41" s="106">
        <v>1978</v>
      </c>
      <c r="R41" s="106">
        <v>9</v>
      </c>
      <c r="S41" s="106">
        <f t="shared" si="2"/>
        <v>342.5</v>
      </c>
      <c r="T41" s="106">
        <v>694</v>
      </c>
      <c r="U41" s="106">
        <f t="shared" si="3"/>
        <v>208.5</v>
      </c>
      <c r="V41" s="106">
        <v>1111</v>
      </c>
      <c r="W41" s="106">
        <f t="shared" si="4"/>
        <v>236.5</v>
      </c>
      <c r="X41" s="106">
        <v>1584</v>
      </c>
      <c r="Y41" s="106">
        <f t="shared" si="5"/>
        <v>0</v>
      </c>
      <c r="Z41" s="106">
        <v>1584</v>
      </c>
      <c r="AA41" s="106">
        <f t="shared" si="6"/>
        <v>0</v>
      </c>
      <c r="AB41" s="106">
        <v>1584</v>
      </c>
      <c r="AC41" s="106">
        <f t="shared" si="7"/>
        <v>0</v>
      </c>
      <c r="AD41" s="106">
        <v>1584</v>
      </c>
      <c r="AE41" s="107">
        <f t="shared" si="8"/>
        <v>-394</v>
      </c>
    </row>
    <row r="42" spans="2:31" ht="15.6" customHeight="1" x14ac:dyDescent="0.3">
      <c r="N42" s="212"/>
      <c r="O42" s="94" t="s">
        <v>71</v>
      </c>
      <c r="P42" s="108"/>
      <c r="Q42" s="108">
        <v>1228</v>
      </c>
      <c r="R42" s="108">
        <v>295</v>
      </c>
      <c r="S42" s="108">
        <f t="shared" si="2"/>
        <v>278</v>
      </c>
      <c r="T42" s="108">
        <v>851</v>
      </c>
      <c r="U42" s="108">
        <f t="shared" si="3"/>
        <v>115</v>
      </c>
      <c r="V42" s="108">
        <v>1081</v>
      </c>
      <c r="W42" s="108">
        <f t="shared" si="4"/>
        <v>78</v>
      </c>
      <c r="X42" s="108">
        <v>1237</v>
      </c>
      <c r="Y42" s="108">
        <f t="shared" si="5"/>
        <v>0</v>
      </c>
      <c r="Z42" s="108">
        <v>1237</v>
      </c>
      <c r="AA42" s="108">
        <f t="shared" si="6"/>
        <v>0</v>
      </c>
      <c r="AB42" s="108">
        <v>1237</v>
      </c>
      <c r="AC42" s="108">
        <f t="shared" si="7"/>
        <v>0</v>
      </c>
      <c r="AD42" s="108">
        <v>1237</v>
      </c>
      <c r="AE42" s="109">
        <f t="shared" si="8"/>
        <v>9</v>
      </c>
    </row>
    <row r="43" spans="2:31" ht="15.6" customHeight="1" x14ac:dyDescent="0.3">
      <c r="N43" s="212"/>
      <c r="O43" s="95" t="s">
        <v>72</v>
      </c>
      <c r="P43" s="106"/>
      <c r="Q43" s="106">
        <v>1747</v>
      </c>
      <c r="R43" s="106">
        <v>375</v>
      </c>
      <c r="S43" s="106">
        <f t="shared" si="2"/>
        <v>0</v>
      </c>
      <c r="T43" s="106">
        <v>375</v>
      </c>
      <c r="U43" s="106">
        <f t="shared" si="3"/>
        <v>278.5</v>
      </c>
      <c r="V43" s="106">
        <v>932</v>
      </c>
      <c r="W43" s="106">
        <f t="shared" si="4"/>
        <v>0</v>
      </c>
      <c r="X43" s="106">
        <v>932</v>
      </c>
      <c r="Y43" s="106">
        <f t="shared" si="5"/>
        <v>0</v>
      </c>
      <c r="Z43" s="106">
        <v>932</v>
      </c>
      <c r="AA43" s="106">
        <f t="shared" si="6"/>
        <v>0</v>
      </c>
      <c r="AB43" s="106">
        <v>932</v>
      </c>
      <c r="AC43" s="106">
        <f t="shared" si="7"/>
        <v>0</v>
      </c>
      <c r="AD43" s="106">
        <v>932</v>
      </c>
      <c r="AE43" s="107">
        <f t="shared" si="8"/>
        <v>-815</v>
      </c>
    </row>
    <row r="44" spans="2:31" ht="15.6" customHeight="1" thickBot="1" x14ac:dyDescent="0.35">
      <c r="N44" s="213"/>
      <c r="O44" s="97" t="s">
        <v>73</v>
      </c>
      <c r="P44" s="110"/>
      <c r="Q44" s="110">
        <v>0</v>
      </c>
      <c r="R44" s="110">
        <v>368</v>
      </c>
      <c r="S44" s="110">
        <f t="shared" si="2"/>
        <v>164.5</v>
      </c>
      <c r="T44" s="110">
        <v>697</v>
      </c>
      <c r="U44" s="110">
        <f t="shared" si="3"/>
        <v>2.5</v>
      </c>
      <c r="V44" s="110">
        <v>702</v>
      </c>
      <c r="W44" s="110">
        <f t="shared" si="4"/>
        <v>0</v>
      </c>
      <c r="X44" s="110">
        <v>702</v>
      </c>
      <c r="Y44" s="110">
        <f t="shared" si="5"/>
        <v>0</v>
      </c>
      <c r="Z44" s="110">
        <v>702</v>
      </c>
      <c r="AA44" s="110">
        <f t="shared" si="6"/>
        <v>0</v>
      </c>
      <c r="AB44" s="110">
        <v>702</v>
      </c>
      <c r="AC44" s="110">
        <f t="shared" si="7"/>
        <v>0</v>
      </c>
      <c r="AD44" s="110">
        <v>702</v>
      </c>
      <c r="AE44" s="111">
        <f t="shared" si="8"/>
        <v>702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417</v>
      </c>
      <c r="T45" s="112">
        <v>1834</v>
      </c>
      <c r="U45" s="112">
        <f t="shared" si="3"/>
        <v>0</v>
      </c>
      <c r="V45" s="112">
        <v>1834</v>
      </c>
      <c r="W45" s="112">
        <f t="shared" si="4"/>
        <v>1431</v>
      </c>
      <c r="X45" s="112">
        <v>4696</v>
      </c>
      <c r="Y45" s="112">
        <f t="shared" si="5"/>
        <v>0</v>
      </c>
      <c r="Z45" s="112">
        <v>4696</v>
      </c>
      <c r="AA45" s="112">
        <f t="shared" si="6"/>
        <v>0</v>
      </c>
      <c r="AB45" s="112">
        <v>4696</v>
      </c>
      <c r="AC45" s="112">
        <f t="shared" si="7"/>
        <v>0</v>
      </c>
      <c r="AD45" s="112">
        <v>4696</v>
      </c>
      <c r="AE45" s="113">
        <f t="shared" si="8"/>
        <v>4696</v>
      </c>
    </row>
    <row r="46" spans="2:31" ht="15.6" customHeight="1" x14ac:dyDescent="0.3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1868.5</v>
      </c>
      <c r="X46" s="108">
        <v>3737</v>
      </c>
      <c r="Y46" s="108">
        <f t="shared" si="5"/>
        <v>0</v>
      </c>
      <c r="Z46" s="108">
        <v>3737</v>
      </c>
      <c r="AA46" s="108">
        <f t="shared" si="6"/>
        <v>0</v>
      </c>
      <c r="AB46" s="108">
        <v>3737</v>
      </c>
      <c r="AC46" s="108">
        <f t="shared" si="7"/>
        <v>0</v>
      </c>
      <c r="AD46" s="108">
        <v>3737</v>
      </c>
      <c r="AE46" s="109">
        <f t="shared" si="8"/>
        <v>3737</v>
      </c>
    </row>
    <row r="47" spans="2:31" ht="15.6" customHeight="1" x14ac:dyDescent="0.3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995.5</v>
      </c>
      <c r="X47" s="106">
        <v>1991</v>
      </c>
      <c r="Y47" s="106">
        <f t="shared" si="5"/>
        <v>0</v>
      </c>
      <c r="Z47" s="106">
        <v>1991</v>
      </c>
      <c r="AA47" s="106">
        <f t="shared" si="6"/>
        <v>0</v>
      </c>
      <c r="AB47" s="106">
        <v>1991</v>
      </c>
      <c r="AC47" s="106">
        <f t="shared" si="7"/>
        <v>0</v>
      </c>
      <c r="AD47" s="106">
        <v>1991</v>
      </c>
      <c r="AE47" s="107">
        <f t="shared" si="8"/>
        <v>1991</v>
      </c>
    </row>
    <row r="48" spans="2:31" ht="15.6" customHeight="1" thickBot="1" x14ac:dyDescent="0.35">
      <c r="N48" s="213"/>
      <c r="O48" s="97" t="s">
        <v>68</v>
      </c>
      <c r="P48" s="110"/>
      <c r="Q48" s="110">
        <v>0</v>
      </c>
      <c r="R48" s="110">
        <v>1000</v>
      </c>
      <c r="S48" s="110">
        <f t="shared" si="2"/>
        <v>0</v>
      </c>
      <c r="T48" s="110">
        <v>1000</v>
      </c>
      <c r="U48" s="110">
        <f t="shared" si="3"/>
        <v>0</v>
      </c>
      <c r="V48" s="110">
        <v>1000</v>
      </c>
      <c r="W48" s="110">
        <f t="shared" si="4"/>
        <v>1591.5</v>
      </c>
      <c r="X48" s="110">
        <v>4183</v>
      </c>
      <c r="Y48" s="110">
        <f t="shared" si="5"/>
        <v>0</v>
      </c>
      <c r="Z48" s="110">
        <v>4183</v>
      </c>
      <c r="AA48" s="110">
        <f t="shared" si="6"/>
        <v>0</v>
      </c>
      <c r="AB48" s="110">
        <v>4183</v>
      </c>
      <c r="AC48" s="110">
        <f t="shared" si="7"/>
        <v>0</v>
      </c>
      <c r="AD48" s="110">
        <v>4183</v>
      </c>
      <c r="AE48" s="111">
        <f t="shared" si="8"/>
        <v>4183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1922</v>
      </c>
      <c r="R49" s="112">
        <v>967</v>
      </c>
      <c r="S49" s="112">
        <f t="shared" si="2"/>
        <v>478.5</v>
      </c>
      <c r="T49" s="112">
        <v>1924</v>
      </c>
      <c r="U49" s="112">
        <f t="shared" si="3"/>
        <v>0</v>
      </c>
      <c r="V49" s="112">
        <v>1924</v>
      </c>
      <c r="W49" s="112">
        <f t="shared" si="4"/>
        <v>54.5</v>
      </c>
      <c r="X49" s="112">
        <v>2033</v>
      </c>
      <c r="Y49" s="112">
        <f t="shared" si="5"/>
        <v>0</v>
      </c>
      <c r="Z49" s="112">
        <v>2033</v>
      </c>
      <c r="AA49" s="112">
        <f t="shared" si="6"/>
        <v>0</v>
      </c>
      <c r="AB49" s="112">
        <v>2033</v>
      </c>
      <c r="AC49" s="112">
        <f t="shared" si="7"/>
        <v>0</v>
      </c>
      <c r="AD49" s="112">
        <v>2033</v>
      </c>
      <c r="AE49" s="113">
        <f t="shared" si="8"/>
        <v>111</v>
      </c>
    </row>
    <row r="50" spans="14:31" ht="15.6" customHeight="1" x14ac:dyDescent="0.3">
      <c r="N50" s="212"/>
      <c r="O50" s="94" t="s">
        <v>66</v>
      </c>
      <c r="P50" s="108"/>
      <c r="Q50" s="108">
        <v>3640</v>
      </c>
      <c r="R50" s="108">
        <v>1002</v>
      </c>
      <c r="S50" s="108">
        <f t="shared" si="2"/>
        <v>283.5</v>
      </c>
      <c r="T50" s="108">
        <v>1569</v>
      </c>
      <c r="U50" s="108">
        <f t="shared" si="3"/>
        <v>450</v>
      </c>
      <c r="V50" s="108">
        <v>2469</v>
      </c>
      <c r="W50" s="108">
        <f t="shared" si="4"/>
        <v>636.5</v>
      </c>
      <c r="X50" s="108">
        <v>3742</v>
      </c>
      <c r="Y50" s="108">
        <f t="shared" si="5"/>
        <v>83.5</v>
      </c>
      <c r="Z50" s="108">
        <v>3909</v>
      </c>
      <c r="AA50" s="108">
        <f t="shared" si="6"/>
        <v>0</v>
      </c>
      <c r="AB50" s="108">
        <v>3909</v>
      </c>
      <c r="AC50" s="108">
        <f t="shared" si="7"/>
        <v>0</v>
      </c>
      <c r="AD50" s="108">
        <v>3909</v>
      </c>
      <c r="AE50" s="109">
        <f t="shared" si="8"/>
        <v>269</v>
      </c>
    </row>
    <row r="51" spans="14:31" ht="15.6" customHeight="1" x14ac:dyDescent="0.3">
      <c r="N51" s="212"/>
      <c r="O51" s="95" t="s">
        <v>67</v>
      </c>
      <c r="P51" s="106"/>
      <c r="Q51" s="106">
        <v>285</v>
      </c>
      <c r="R51" s="106">
        <v>0</v>
      </c>
      <c r="S51" s="106" t="str">
        <f t="shared" si="2"/>
        <v/>
      </c>
      <c r="T51" s="106">
        <v>0</v>
      </c>
      <c r="U51" s="106">
        <f t="shared" si="3"/>
        <v>493.5</v>
      </c>
      <c r="V51" s="106">
        <v>987</v>
      </c>
      <c r="W51" s="106">
        <f t="shared" si="4"/>
        <v>72.5</v>
      </c>
      <c r="X51" s="106">
        <v>1132</v>
      </c>
      <c r="Y51" s="106">
        <f t="shared" si="5"/>
        <v>150</v>
      </c>
      <c r="Z51" s="106">
        <v>1432</v>
      </c>
      <c r="AA51" s="106">
        <f t="shared" si="6"/>
        <v>0</v>
      </c>
      <c r="AB51" s="106">
        <v>1432</v>
      </c>
      <c r="AC51" s="106">
        <f t="shared" si="7"/>
        <v>0</v>
      </c>
      <c r="AD51" s="106">
        <v>1432</v>
      </c>
      <c r="AE51" s="107">
        <f t="shared" si="8"/>
        <v>1147</v>
      </c>
    </row>
    <row r="52" spans="14:31" ht="15.6" customHeight="1" x14ac:dyDescent="0.3">
      <c r="N52" s="212"/>
      <c r="O52" s="94" t="s">
        <v>68</v>
      </c>
      <c r="P52" s="108"/>
      <c r="Q52" s="108">
        <v>0</v>
      </c>
      <c r="R52" s="108">
        <v>1</v>
      </c>
      <c r="S52" s="108">
        <f t="shared" si="2"/>
        <v>0</v>
      </c>
      <c r="T52" s="108">
        <v>1</v>
      </c>
      <c r="U52" s="108">
        <f t="shared" si="3"/>
        <v>0</v>
      </c>
      <c r="V52" s="108">
        <v>1</v>
      </c>
      <c r="W52" s="108">
        <f t="shared" si="4"/>
        <v>187</v>
      </c>
      <c r="X52" s="108">
        <v>375</v>
      </c>
      <c r="Y52" s="108">
        <f t="shared" si="5"/>
        <v>0</v>
      </c>
      <c r="Z52" s="108">
        <v>375</v>
      </c>
      <c r="AA52" s="108">
        <f t="shared" si="6"/>
        <v>0</v>
      </c>
      <c r="AB52" s="108">
        <v>375</v>
      </c>
      <c r="AC52" s="108">
        <f t="shared" si="7"/>
        <v>0</v>
      </c>
      <c r="AD52" s="108">
        <v>375</v>
      </c>
      <c r="AE52" s="109">
        <f t="shared" si="8"/>
        <v>375</v>
      </c>
    </row>
    <row r="53" spans="14:31" ht="15.6" customHeight="1" x14ac:dyDescent="0.3">
      <c r="N53" s="212"/>
      <c r="O53" s="95" t="s">
        <v>69</v>
      </c>
      <c r="P53" s="106"/>
      <c r="Q53" s="106">
        <v>974</v>
      </c>
      <c r="R53" s="106">
        <v>465</v>
      </c>
      <c r="S53" s="106">
        <f t="shared" si="2"/>
        <v>225.5</v>
      </c>
      <c r="T53" s="106">
        <v>916</v>
      </c>
      <c r="U53" s="106">
        <f t="shared" si="3"/>
        <v>241.5</v>
      </c>
      <c r="V53" s="106">
        <v>1399</v>
      </c>
      <c r="W53" s="106">
        <f t="shared" si="4"/>
        <v>79.5</v>
      </c>
      <c r="X53" s="106">
        <v>1558</v>
      </c>
      <c r="Y53" s="106">
        <f t="shared" si="5"/>
        <v>441</v>
      </c>
      <c r="Z53" s="106">
        <v>2440</v>
      </c>
      <c r="AA53" s="106">
        <f t="shared" si="6"/>
        <v>0</v>
      </c>
      <c r="AB53" s="106">
        <v>2440</v>
      </c>
      <c r="AC53" s="106">
        <f t="shared" si="7"/>
        <v>0</v>
      </c>
      <c r="AD53" s="106">
        <v>2440</v>
      </c>
      <c r="AE53" s="107">
        <f t="shared" si="8"/>
        <v>1466</v>
      </c>
    </row>
    <row r="54" spans="14:31" ht="15.6" customHeight="1" x14ac:dyDescent="0.3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378</v>
      </c>
      <c r="X54" s="108">
        <v>756</v>
      </c>
      <c r="Y54" s="108">
        <f t="shared" si="5"/>
        <v>100</v>
      </c>
      <c r="Z54" s="108">
        <v>956</v>
      </c>
      <c r="AA54" s="108">
        <f t="shared" si="6"/>
        <v>0</v>
      </c>
      <c r="AB54" s="108">
        <v>956</v>
      </c>
      <c r="AC54" s="108">
        <f t="shared" si="7"/>
        <v>0</v>
      </c>
      <c r="AD54" s="108">
        <v>956</v>
      </c>
      <c r="AE54" s="109">
        <f t="shared" si="8"/>
        <v>956</v>
      </c>
    </row>
    <row r="55" spans="14:31" ht="15.6" customHeight="1" x14ac:dyDescent="0.3">
      <c r="N55" s="212"/>
      <c r="O55" s="95" t="s">
        <v>71</v>
      </c>
      <c r="P55" s="106"/>
      <c r="Q55" s="106">
        <v>1643</v>
      </c>
      <c r="R55" s="106">
        <v>666</v>
      </c>
      <c r="S55" s="106">
        <f t="shared" si="2"/>
        <v>-18</v>
      </c>
      <c r="T55" s="106">
        <v>630</v>
      </c>
      <c r="U55" s="106">
        <f t="shared" si="3"/>
        <v>0</v>
      </c>
      <c r="V55" s="106">
        <v>630</v>
      </c>
      <c r="W55" s="106">
        <f t="shared" si="4"/>
        <v>300</v>
      </c>
      <c r="X55" s="106">
        <v>1230</v>
      </c>
      <c r="Y55" s="106">
        <f t="shared" si="5"/>
        <v>219.5</v>
      </c>
      <c r="Z55" s="106">
        <v>1669</v>
      </c>
      <c r="AA55" s="106">
        <f t="shared" si="6"/>
        <v>0</v>
      </c>
      <c r="AB55" s="106">
        <v>1669</v>
      </c>
      <c r="AC55" s="106">
        <f t="shared" si="7"/>
        <v>0</v>
      </c>
      <c r="AD55" s="106">
        <v>1669</v>
      </c>
      <c r="AE55" s="107">
        <f t="shared" si="8"/>
        <v>26</v>
      </c>
    </row>
    <row r="56" spans="14:31" ht="15.6" customHeight="1" x14ac:dyDescent="0.3">
      <c r="N56" s="212"/>
      <c r="O56" s="94" t="s">
        <v>72</v>
      </c>
      <c r="P56" s="108"/>
      <c r="Q56" s="108">
        <v>2666</v>
      </c>
      <c r="R56" s="108">
        <v>1262</v>
      </c>
      <c r="S56" s="108">
        <f t="shared" si="2"/>
        <v>0</v>
      </c>
      <c r="T56" s="108">
        <v>1262</v>
      </c>
      <c r="U56" s="108">
        <f t="shared" si="3"/>
        <v>733</v>
      </c>
      <c r="V56" s="108">
        <v>2728</v>
      </c>
      <c r="W56" s="108">
        <f t="shared" si="4"/>
        <v>0</v>
      </c>
      <c r="X56" s="108">
        <v>2728</v>
      </c>
      <c r="Y56" s="108">
        <f t="shared" si="5"/>
        <v>144</v>
      </c>
      <c r="Z56" s="108">
        <v>3016</v>
      </c>
      <c r="AA56" s="108">
        <f t="shared" si="6"/>
        <v>0</v>
      </c>
      <c r="AB56" s="108">
        <v>3016</v>
      </c>
      <c r="AC56" s="108">
        <f t="shared" si="7"/>
        <v>0</v>
      </c>
      <c r="AD56" s="108">
        <v>3016</v>
      </c>
      <c r="AE56" s="109">
        <f t="shared" si="8"/>
        <v>350</v>
      </c>
    </row>
    <row r="57" spans="14:31" ht="15.6" customHeight="1" thickBot="1" x14ac:dyDescent="0.3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>
        <f t="shared" si="4"/>
        <v>38</v>
      </c>
      <c r="X57" s="114">
        <v>76</v>
      </c>
      <c r="Y57" s="114">
        <f t="shared" si="5"/>
        <v>0</v>
      </c>
      <c r="Z57" s="114">
        <v>76</v>
      </c>
      <c r="AA57" s="114">
        <f t="shared" si="6"/>
        <v>0</v>
      </c>
      <c r="AB57" s="114">
        <v>76</v>
      </c>
      <c r="AC57" s="114">
        <f t="shared" si="7"/>
        <v>0</v>
      </c>
      <c r="AD57" s="114">
        <v>76</v>
      </c>
      <c r="AE57" s="115">
        <f t="shared" si="8"/>
        <v>76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1602</v>
      </c>
      <c r="R58" s="104">
        <v>319</v>
      </c>
      <c r="S58" s="104">
        <f t="shared" si="2"/>
        <v>193.5</v>
      </c>
      <c r="T58" s="104">
        <v>706</v>
      </c>
      <c r="U58" s="104">
        <f t="shared" si="3"/>
        <v>0</v>
      </c>
      <c r="V58" s="104">
        <v>706</v>
      </c>
      <c r="W58" s="104">
        <f t="shared" si="4"/>
        <v>29</v>
      </c>
      <c r="X58" s="104">
        <v>764</v>
      </c>
      <c r="Y58" s="104">
        <f t="shared" si="5"/>
        <v>0</v>
      </c>
      <c r="Z58" s="104">
        <v>764</v>
      </c>
      <c r="AA58" s="104">
        <f t="shared" si="6"/>
        <v>0</v>
      </c>
      <c r="AB58" s="104">
        <v>764</v>
      </c>
      <c r="AC58" s="104">
        <f t="shared" si="7"/>
        <v>0</v>
      </c>
      <c r="AD58" s="104">
        <v>764</v>
      </c>
      <c r="AE58" s="105">
        <f t="shared" si="8"/>
        <v>-838</v>
      </c>
    </row>
    <row r="59" spans="14:31" ht="15.6" customHeight="1" x14ac:dyDescent="0.3">
      <c r="N59" s="212"/>
      <c r="O59" s="95" t="s">
        <v>66</v>
      </c>
      <c r="P59" s="106"/>
      <c r="Q59" s="106">
        <v>829</v>
      </c>
      <c r="R59" s="106">
        <v>10</v>
      </c>
      <c r="S59" s="106">
        <f t="shared" si="2"/>
        <v>525</v>
      </c>
      <c r="T59" s="106">
        <v>1060</v>
      </c>
      <c r="U59" s="106">
        <f t="shared" si="3"/>
        <v>390.5</v>
      </c>
      <c r="V59" s="106">
        <v>1841</v>
      </c>
      <c r="W59" s="106">
        <f t="shared" si="4"/>
        <v>0</v>
      </c>
      <c r="X59" s="106">
        <v>1841</v>
      </c>
      <c r="Y59" s="106">
        <f t="shared" si="5"/>
        <v>0</v>
      </c>
      <c r="Z59" s="106">
        <v>1841</v>
      </c>
      <c r="AA59" s="106">
        <f t="shared" si="6"/>
        <v>0</v>
      </c>
      <c r="AB59" s="106">
        <v>1841</v>
      </c>
      <c r="AC59" s="106">
        <f t="shared" si="7"/>
        <v>0</v>
      </c>
      <c r="AD59" s="106">
        <v>1841</v>
      </c>
      <c r="AE59" s="107">
        <f t="shared" si="8"/>
        <v>1012</v>
      </c>
    </row>
    <row r="60" spans="14:31" ht="15.6" customHeight="1" x14ac:dyDescent="0.3">
      <c r="N60" s="212"/>
      <c r="O60" s="94" t="s">
        <v>67</v>
      </c>
      <c r="P60" s="108"/>
      <c r="Q60" s="108">
        <v>1430</v>
      </c>
      <c r="R60" s="108">
        <v>0</v>
      </c>
      <c r="S60" s="108">
        <f t="shared" si="2"/>
        <v>202.5</v>
      </c>
      <c r="T60" s="108">
        <v>405</v>
      </c>
      <c r="U60" s="108">
        <f t="shared" si="3"/>
        <v>698</v>
      </c>
      <c r="V60" s="108">
        <v>1801</v>
      </c>
      <c r="W60" s="108">
        <f t="shared" si="4"/>
        <v>0</v>
      </c>
      <c r="X60" s="108">
        <v>1801</v>
      </c>
      <c r="Y60" s="108">
        <f t="shared" si="5"/>
        <v>0</v>
      </c>
      <c r="Z60" s="108">
        <v>1801</v>
      </c>
      <c r="AA60" s="108">
        <f t="shared" si="6"/>
        <v>0</v>
      </c>
      <c r="AB60" s="108">
        <v>1801</v>
      </c>
      <c r="AC60" s="108">
        <f t="shared" si="7"/>
        <v>0</v>
      </c>
      <c r="AD60" s="108">
        <v>1801</v>
      </c>
      <c r="AE60" s="109">
        <f t="shared" si="8"/>
        <v>371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5300</v>
      </c>
      <c r="R62" s="104">
        <v>1715</v>
      </c>
      <c r="S62" s="104">
        <f t="shared" si="2"/>
        <v>95</v>
      </c>
      <c r="T62" s="104">
        <v>1905</v>
      </c>
      <c r="U62" s="104">
        <f t="shared" si="3"/>
        <v>330</v>
      </c>
      <c r="V62" s="104">
        <v>2565</v>
      </c>
      <c r="W62" s="104">
        <f t="shared" si="4"/>
        <v>301</v>
      </c>
      <c r="X62" s="104">
        <v>3167</v>
      </c>
      <c r="Y62" s="104">
        <f t="shared" si="5"/>
        <v>912</v>
      </c>
      <c r="Z62" s="104">
        <v>4991</v>
      </c>
      <c r="AA62" s="104">
        <f t="shared" si="6"/>
        <v>92.5</v>
      </c>
      <c r="AB62" s="104">
        <v>5176</v>
      </c>
      <c r="AC62" s="104">
        <f t="shared" si="7"/>
        <v>0</v>
      </c>
      <c r="AD62" s="104">
        <v>5176</v>
      </c>
      <c r="AE62" s="105">
        <f t="shared" si="8"/>
        <v>-124</v>
      </c>
    </row>
    <row r="63" spans="14:31" ht="15.6" customHeight="1" x14ac:dyDescent="0.3">
      <c r="N63" s="212"/>
      <c r="O63" s="95" t="s">
        <v>66</v>
      </c>
      <c r="P63" s="106"/>
      <c r="Q63" s="106">
        <v>5767</v>
      </c>
      <c r="R63" s="106">
        <v>3162</v>
      </c>
      <c r="S63" s="106">
        <f t="shared" si="2"/>
        <v>540</v>
      </c>
      <c r="T63" s="106">
        <v>4242</v>
      </c>
      <c r="U63" s="106">
        <f t="shared" si="3"/>
        <v>270</v>
      </c>
      <c r="V63" s="106">
        <v>4782</v>
      </c>
      <c r="W63" s="106">
        <f t="shared" si="4"/>
        <v>788.5</v>
      </c>
      <c r="X63" s="106">
        <v>6359</v>
      </c>
      <c r="Y63" s="106">
        <f t="shared" si="5"/>
        <v>43.5</v>
      </c>
      <c r="Z63" s="106">
        <v>6446</v>
      </c>
      <c r="AA63" s="106">
        <f t="shared" si="6"/>
        <v>0</v>
      </c>
      <c r="AB63" s="106">
        <v>6446</v>
      </c>
      <c r="AC63" s="106">
        <f t="shared" si="7"/>
        <v>65.5</v>
      </c>
      <c r="AD63" s="106">
        <v>6577</v>
      </c>
      <c r="AE63" s="107">
        <f t="shared" si="8"/>
        <v>810</v>
      </c>
    </row>
    <row r="64" spans="14:31" ht="15.6" customHeight="1" x14ac:dyDescent="0.3">
      <c r="N64" s="212"/>
      <c r="O64" s="94" t="s">
        <v>67</v>
      </c>
      <c r="P64" s="108"/>
      <c r="Q64" s="108">
        <v>3831</v>
      </c>
      <c r="R64" s="108">
        <v>0</v>
      </c>
      <c r="S64" s="108">
        <f t="shared" si="2"/>
        <v>278</v>
      </c>
      <c r="T64" s="108">
        <v>556</v>
      </c>
      <c r="U64" s="108">
        <f t="shared" si="3"/>
        <v>692.5</v>
      </c>
      <c r="V64" s="108">
        <v>1941</v>
      </c>
      <c r="W64" s="108">
        <f t="shared" si="4"/>
        <v>662</v>
      </c>
      <c r="X64" s="108">
        <v>3265</v>
      </c>
      <c r="Y64" s="108">
        <f t="shared" si="5"/>
        <v>507.5</v>
      </c>
      <c r="Z64" s="108">
        <v>4280</v>
      </c>
      <c r="AA64" s="108">
        <f t="shared" si="6"/>
        <v>127</v>
      </c>
      <c r="AB64" s="108">
        <v>4534</v>
      </c>
      <c r="AC64" s="108">
        <f t="shared" si="7"/>
        <v>0</v>
      </c>
      <c r="AD64" s="108">
        <v>4534</v>
      </c>
      <c r="AE64" s="109">
        <f t="shared" si="8"/>
        <v>703</v>
      </c>
    </row>
    <row r="65" spans="14:31" ht="15.6" customHeight="1" thickBot="1" x14ac:dyDescent="0.35">
      <c r="N65" s="213"/>
      <c r="O65" s="99" t="s">
        <v>68</v>
      </c>
      <c r="P65" s="114"/>
      <c r="Q65" s="114">
        <v>2217</v>
      </c>
      <c r="R65" s="114">
        <v>355</v>
      </c>
      <c r="S65" s="114">
        <f t="shared" si="2"/>
        <v>0</v>
      </c>
      <c r="T65" s="114">
        <v>355</v>
      </c>
      <c r="U65" s="114">
        <f t="shared" si="3"/>
        <v>76</v>
      </c>
      <c r="V65" s="114">
        <v>507</v>
      </c>
      <c r="W65" s="114">
        <f t="shared" si="4"/>
        <v>152.5</v>
      </c>
      <c r="X65" s="114">
        <v>812</v>
      </c>
      <c r="Y65" s="114">
        <f t="shared" si="5"/>
        <v>99</v>
      </c>
      <c r="Z65" s="114">
        <v>1010</v>
      </c>
      <c r="AA65" s="114">
        <f t="shared" si="6"/>
        <v>0</v>
      </c>
      <c r="AB65" s="114">
        <v>1010</v>
      </c>
      <c r="AC65" s="114">
        <f t="shared" si="7"/>
        <v>0</v>
      </c>
      <c r="AD65" s="114">
        <v>1010</v>
      </c>
      <c r="AE65" s="115">
        <f t="shared" si="8"/>
        <v>-1207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55" priority="11" operator="lessThan">
      <formula>0</formula>
    </cfRule>
    <cfRule type="cellIs" dxfId="1654" priority="12" operator="greaterThan">
      <formula>0</formula>
    </cfRule>
  </conditionalFormatting>
  <conditionalFormatting sqref="R25:AC25">
    <cfRule type="cellIs" dxfId="1653" priority="9" operator="lessThan">
      <formula>0</formula>
    </cfRule>
    <cfRule type="cellIs" dxfId="1652" priority="10" operator="greaterThan">
      <formula>0</formula>
    </cfRule>
  </conditionalFormatting>
  <conditionalFormatting sqref="R26 T26 V26 X26 Z26 AB26">
    <cfRule type="cellIs" dxfId="1651" priority="7" operator="lessThan">
      <formula>0</formula>
    </cfRule>
    <cfRule type="cellIs" dxfId="1650" priority="8" operator="greaterThan">
      <formula>0</formula>
    </cfRule>
  </conditionalFormatting>
  <conditionalFormatting sqref="AD24:AE24">
    <cfRule type="cellIs" dxfId="1649" priority="5" operator="lessThan">
      <formula>0</formula>
    </cfRule>
    <cfRule type="cellIs" dxfId="1648" priority="6" operator="greaterThan">
      <formula>0</formula>
    </cfRule>
  </conditionalFormatting>
  <conditionalFormatting sqref="AD25:AE25">
    <cfRule type="cellIs" dxfId="1647" priority="3" operator="lessThan">
      <formula>0</formula>
    </cfRule>
    <cfRule type="cellIs" dxfId="1646" priority="4" operator="greaterThan">
      <formula>0</formula>
    </cfRule>
  </conditionalFormatting>
  <conditionalFormatting sqref="AD26">
    <cfRule type="cellIs" dxfId="1645" priority="1" operator="lessThan">
      <formula>0</formula>
    </cfRule>
    <cfRule type="cellIs" dxfId="16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44381</v>
      </c>
    </row>
    <row r="3" spans="2:42" ht="18.75" customHeight="1" thickBot="1" x14ac:dyDescent="0.35">
      <c r="B3" t="s">
        <v>1</v>
      </c>
      <c r="C3" s="3">
        <f>C2+1</f>
        <v>44382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3982</v>
      </c>
      <c r="E6" s="18" t="s">
        <v>22</v>
      </c>
      <c r="F6" s="119">
        <v>18637</v>
      </c>
      <c r="G6" s="117">
        <v>15190</v>
      </c>
      <c r="H6" s="117">
        <v>10830</v>
      </c>
      <c r="I6" s="19">
        <f>G6+H6</f>
        <v>26020</v>
      </c>
      <c r="J6" s="119">
        <v>18986</v>
      </c>
      <c r="K6" s="117">
        <v>15584</v>
      </c>
      <c r="L6" s="117">
        <v>11007</v>
      </c>
      <c r="M6" s="19">
        <f>K6+L6</f>
        <v>26591</v>
      </c>
      <c r="N6" s="85">
        <v>67</v>
      </c>
      <c r="O6" s="85">
        <v>51</v>
      </c>
      <c r="P6" s="92"/>
      <c r="Q6" s="20">
        <f>J6-P6</f>
        <v>18986</v>
      </c>
      <c r="R6" s="21">
        <v>2112</v>
      </c>
      <c r="S6" s="20">
        <f>IF(R6&gt;0,(R6-R7-$Q6),"")</f>
        <v>-16897</v>
      </c>
      <c r="T6" s="21">
        <v>4784</v>
      </c>
      <c r="U6" s="20">
        <f>IF(T6&gt;0,(T6-T7-$Q6),"")</f>
        <v>-14288</v>
      </c>
      <c r="V6" s="21">
        <v>8043</v>
      </c>
      <c r="W6" s="20">
        <f>IF(V6&gt;0,(V6-V7-$Q6),"")</f>
        <v>-11040</v>
      </c>
      <c r="X6" s="21">
        <v>10698</v>
      </c>
      <c r="Y6" s="20">
        <f>IF(X6&gt;0,(X6-X7-$Q6),"")</f>
        <v>-8391</v>
      </c>
      <c r="Z6" s="21">
        <v>16400</v>
      </c>
      <c r="AA6" s="20">
        <f>IF(Z6&gt;0,(Z6-Z7-$Q6),"")</f>
        <v>-2724</v>
      </c>
      <c r="AB6" s="21">
        <v>17347</v>
      </c>
      <c r="AC6" s="22">
        <f>IF(AB6&gt;0,(AB6-AB7-$Q6),"")</f>
        <v>-1780</v>
      </c>
      <c r="AD6" s="21">
        <v>17347</v>
      </c>
      <c r="AE6" s="22">
        <f>IF(AD6&gt;0,(AD6-AD7-$Q6),"")</f>
        <v>-1780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23</v>
      </c>
      <c r="S7" s="24"/>
      <c r="T7" s="25">
        <v>86</v>
      </c>
      <c r="U7" s="24"/>
      <c r="V7" s="25">
        <v>97</v>
      </c>
      <c r="W7" s="24"/>
      <c r="X7" s="25">
        <v>103</v>
      </c>
      <c r="Y7" s="24"/>
      <c r="Z7" s="25">
        <v>138</v>
      </c>
      <c r="AA7" s="24"/>
      <c r="AB7" s="25">
        <v>141</v>
      </c>
      <c r="AC7" s="26"/>
      <c r="AD7" s="25">
        <v>141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2056</v>
      </c>
      <c r="E8" s="29" t="s">
        <v>27</v>
      </c>
      <c r="F8" s="119">
        <v>14145</v>
      </c>
      <c r="G8" s="117">
        <v>6077</v>
      </c>
      <c r="H8" s="117">
        <v>1332</v>
      </c>
      <c r="I8" s="19">
        <f>G8+H8</f>
        <v>7409</v>
      </c>
      <c r="J8" s="119">
        <v>14071</v>
      </c>
      <c r="K8" s="117">
        <v>6006</v>
      </c>
      <c r="L8" s="117">
        <v>1330</v>
      </c>
      <c r="M8" s="19">
        <f>K8+L8</f>
        <v>7336</v>
      </c>
      <c r="N8" s="87">
        <v>24</v>
      </c>
      <c r="O8" s="87">
        <v>19</v>
      </c>
      <c r="P8" s="92"/>
      <c r="Q8" s="20">
        <f>J8-P8</f>
        <v>14071</v>
      </c>
      <c r="R8" s="21">
        <v>1000</v>
      </c>
      <c r="S8" s="20">
        <f>IF(R8&gt;0,(R8-R9-$Q8),"")</f>
        <v>-13071</v>
      </c>
      <c r="T8" s="21">
        <v>1000</v>
      </c>
      <c r="U8" s="20">
        <f>IF(T8&gt;0,(T8-T9-$Q8),"")</f>
        <v>-13071</v>
      </c>
      <c r="V8" s="21">
        <v>12958</v>
      </c>
      <c r="W8" s="20">
        <f>IF(V8&gt;0,(V8-V9-$Q8),"")</f>
        <v>-1113</v>
      </c>
      <c r="X8" s="21">
        <v>12958</v>
      </c>
      <c r="Y8" s="20">
        <f>IF(X8&gt;0,(X8-X9-$Q8),"")</f>
        <v>-1113</v>
      </c>
      <c r="Z8" s="21">
        <v>13654</v>
      </c>
      <c r="AA8" s="20">
        <f>IF(Z8&gt;0,(Z8-Z9-$Q8),"")</f>
        <v>-417</v>
      </c>
      <c r="AB8" s="21">
        <v>13654</v>
      </c>
      <c r="AC8" s="22">
        <f>IF(AB8&gt;0,(AB8-AB9-$Q8),"")</f>
        <v>-417</v>
      </c>
      <c r="AD8" s="21">
        <v>13654</v>
      </c>
      <c r="AE8" s="22">
        <f>IF(AD8&gt;0,(AD8-AD9-$Q8),"")</f>
        <v>-417</v>
      </c>
    </row>
    <row r="9" spans="2:42" x14ac:dyDescent="0.3">
      <c r="B9" s="28" t="s">
        <v>28</v>
      </c>
      <c r="C9" s="17">
        <v>1539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8481</v>
      </c>
      <c r="E10" s="18" t="s">
        <v>31</v>
      </c>
      <c r="F10" s="119">
        <v>11502</v>
      </c>
      <c r="G10" s="117">
        <v>8529</v>
      </c>
      <c r="H10" s="117">
        <v>1943</v>
      </c>
      <c r="I10" s="19">
        <f>G10+H10</f>
        <v>10472</v>
      </c>
      <c r="J10" s="119">
        <v>10885</v>
      </c>
      <c r="K10" s="117">
        <v>7633</v>
      </c>
      <c r="L10" s="117">
        <v>1964</v>
      </c>
      <c r="M10" s="19">
        <f>K10+L10</f>
        <v>9597</v>
      </c>
      <c r="N10" s="88">
        <v>39</v>
      </c>
      <c r="O10" s="88">
        <v>27</v>
      </c>
      <c r="P10" s="92"/>
      <c r="Q10" s="20">
        <f>J10-P10</f>
        <v>10885</v>
      </c>
      <c r="R10" s="21">
        <v>51</v>
      </c>
      <c r="S10" s="20">
        <f>IF(R10&gt;0,(R10-R11-$Q10),"")</f>
        <v>-10834</v>
      </c>
      <c r="T10" s="21">
        <v>1735</v>
      </c>
      <c r="U10" s="20">
        <f>IF(T10&gt;0,(T10-T11-$Q10),"")</f>
        <v>-10296</v>
      </c>
      <c r="V10" s="21">
        <v>3250</v>
      </c>
      <c r="W10" s="20">
        <f>IF(V10&gt;0,(V10-V11-$Q10),"")</f>
        <v>-9497</v>
      </c>
      <c r="X10" s="21">
        <v>5909</v>
      </c>
      <c r="Y10" s="20">
        <f>IF(X10&gt;0,(X10-X11-$Q10),"")</f>
        <v>-8218</v>
      </c>
      <c r="Z10" s="21">
        <v>7398</v>
      </c>
      <c r="AA10" s="20">
        <f>IF(Z10&gt;0,(Z10-Z11-$Q10),"")</f>
        <v>-7201</v>
      </c>
      <c r="AB10" s="21">
        <v>7398</v>
      </c>
      <c r="AC10" s="22">
        <f>IF(AB10&gt;0,(AB10-AB11-$Q10),"")</f>
        <v>-4260</v>
      </c>
      <c r="AD10" s="21">
        <v>7398</v>
      </c>
      <c r="AE10" s="22">
        <f>IF(AD10&gt;0,(AD10-AD11-$Q10),"")</f>
        <v>-4260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0</v>
      </c>
      <c r="S11" s="24"/>
      <c r="T11" s="30">
        <v>1146</v>
      </c>
      <c r="U11" s="24"/>
      <c r="V11" s="30">
        <v>1862</v>
      </c>
      <c r="W11" s="24"/>
      <c r="X11" s="30">
        <v>3242</v>
      </c>
      <c r="Y11" s="24"/>
      <c r="Z11" s="30">
        <v>3714</v>
      </c>
      <c r="AA11" s="24"/>
      <c r="AB11" s="30">
        <v>773</v>
      </c>
      <c r="AC11" s="26"/>
      <c r="AD11" s="30">
        <v>773</v>
      </c>
      <c r="AE11" s="26"/>
    </row>
    <row r="12" spans="2:42" x14ac:dyDescent="0.3">
      <c r="B12" s="16" t="s">
        <v>34</v>
      </c>
      <c r="C12" s="17">
        <v>1668</v>
      </c>
      <c r="E12" s="29" t="s">
        <v>35</v>
      </c>
      <c r="F12" s="119">
        <v>15315</v>
      </c>
      <c r="G12" s="117">
        <v>11730</v>
      </c>
      <c r="H12" s="117">
        <v>14777</v>
      </c>
      <c r="I12" s="19">
        <f>G12+H12</f>
        <v>26507</v>
      </c>
      <c r="J12" s="119">
        <v>16942</v>
      </c>
      <c r="K12" s="117">
        <v>14220</v>
      </c>
      <c r="L12" s="117">
        <v>16854</v>
      </c>
      <c r="M12" s="19">
        <f>K12+L12</f>
        <v>31074</v>
      </c>
      <c r="N12" s="88">
        <v>56</v>
      </c>
      <c r="O12" s="88">
        <v>36</v>
      </c>
      <c r="P12" s="92"/>
      <c r="Q12" s="20">
        <f>J12-P12</f>
        <v>16942</v>
      </c>
      <c r="R12" s="21">
        <v>3344</v>
      </c>
      <c r="S12" s="20">
        <f>IF(R12&gt;0,(R12-R13-$Q12),"")</f>
        <v>-13598</v>
      </c>
      <c r="T12" s="21">
        <v>3146</v>
      </c>
      <c r="U12" s="20">
        <f>IF(T12&gt;0,(T12-T13-$Q12),"")</f>
        <v>-13796</v>
      </c>
      <c r="V12" s="21">
        <v>5101</v>
      </c>
      <c r="W12" s="20">
        <f>IF(V12&gt;0,(V12-V13-$Q12),"")</f>
        <v>-11841</v>
      </c>
      <c r="X12" s="21">
        <v>8311</v>
      </c>
      <c r="Y12" s="20">
        <f>IF(X12&gt;0,(X12-X13-$Q12),"")</f>
        <v>-8636</v>
      </c>
      <c r="Z12" s="21">
        <v>10555</v>
      </c>
      <c r="AA12" s="20">
        <f>IF(Z12&gt;0,(Z12-Z13-$Q12),"")</f>
        <v>-6392</v>
      </c>
      <c r="AB12" s="21">
        <v>10555</v>
      </c>
      <c r="AC12" s="22">
        <f>IF(AB12&gt;0,(AB12-AB13-$Q12),"")</f>
        <v>-6392</v>
      </c>
      <c r="AD12" s="21">
        <v>10555</v>
      </c>
      <c r="AE12" s="22">
        <f>IF(AD12&gt;0,(AD12-AD13-$Q12),"")</f>
        <v>-6392</v>
      </c>
    </row>
    <row r="13" spans="2:42" x14ac:dyDescent="0.3">
      <c r="B13" s="16" t="s">
        <v>36</v>
      </c>
      <c r="C13" s="17">
        <v>5103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20</v>
      </c>
      <c r="P13" s="93" t="s">
        <v>37</v>
      </c>
      <c r="Q13" s="24"/>
      <c r="R13" s="30">
        <v>0</v>
      </c>
      <c r="S13" s="24"/>
      <c r="T13" s="30">
        <v>0</v>
      </c>
      <c r="U13" s="24"/>
      <c r="V13" s="30">
        <v>0</v>
      </c>
      <c r="W13" s="24"/>
      <c r="X13" s="30">
        <v>5</v>
      </c>
      <c r="Y13" s="24"/>
      <c r="Z13" s="30">
        <v>5</v>
      </c>
      <c r="AA13" s="24"/>
      <c r="AB13" s="30">
        <v>5</v>
      </c>
      <c r="AC13" s="26"/>
      <c r="AD13" s="30">
        <v>5</v>
      </c>
      <c r="AE13" s="26"/>
    </row>
    <row r="14" spans="2:42" x14ac:dyDescent="0.3">
      <c r="B14" s="16" t="s">
        <v>38</v>
      </c>
      <c r="C14" s="17">
        <v>8490</v>
      </c>
      <c r="E14" s="18" t="s">
        <v>39</v>
      </c>
      <c r="F14" s="119">
        <v>30782</v>
      </c>
      <c r="G14" s="117">
        <v>20037</v>
      </c>
      <c r="H14" s="117">
        <v>26033</v>
      </c>
      <c r="I14" s="19">
        <f>G14+H14</f>
        <v>46070</v>
      </c>
      <c r="J14" s="119">
        <v>30782</v>
      </c>
      <c r="K14" s="117">
        <v>20037</v>
      </c>
      <c r="L14" s="117">
        <v>26011</v>
      </c>
      <c r="M14" s="19">
        <f>K14+L14</f>
        <v>46048</v>
      </c>
      <c r="N14" s="88">
        <v>70</v>
      </c>
      <c r="O14" s="88">
        <v>40</v>
      </c>
      <c r="P14" s="92"/>
      <c r="Q14" s="20">
        <f>J14-P14</f>
        <v>30782</v>
      </c>
      <c r="R14" s="21">
        <v>1327</v>
      </c>
      <c r="S14" s="20">
        <f>IF(R14&gt;0,(R14-R15-$Q14),"")</f>
        <v>-29455</v>
      </c>
      <c r="T14" s="21">
        <v>2425</v>
      </c>
      <c r="U14" s="20">
        <f>IF(T14&gt;0,(T14-T15-$Q14),"")</f>
        <v>-28398</v>
      </c>
      <c r="V14" s="21">
        <v>3041</v>
      </c>
      <c r="W14" s="20">
        <f>IF(V14&gt;0,(V14-V15-$Q14),"")</f>
        <v>-27782</v>
      </c>
      <c r="X14" s="21">
        <v>4039</v>
      </c>
      <c r="Y14" s="20">
        <f>IF(X14&gt;0,(X14-X15-$Q14),"")</f>
        <v>-26784</v>
      </c>
      <c r="Z14" s="21">
        <v>5281</v>
      </c>
      <c r="AA14" s="20">
        <f>IF(Z14&gt;0,(Z14-Z15-$Q14),"")</f>
        <v>-25542</v>
      </c>
      <c r="AB14" s="21">
        <v>5439</v>
      </c>
      <c r="AC14" s="22">
        <f>IF(AB14&gt;0,(AB14-AB15-$Q14),"")</f>
        <v>-25388</v>
      </c>
      <c r="AD14" s="21">
        <v>5439</v>
      </c>
      <c r="AE14" s="22">
        <f>IF(AD14&gt;0,(AD14-AD15-$Q14),"")</f>
        <v>-25388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30</v>
      </c>
      <c r="P15" s="93" t="s">
        <v>41</v>
      </c>
      <c r="Q15" s="24"/>
      <c r="R15" s="25">
        <v>0</v>
      </c>
      <c r="S15" s="24"/>
      <c r="T15" s="25">
        <v>41</v>
      </c>
      <c r="U15" s="24"/>
      <c r="V15" s="25">
        <v>41</v>
      </c>
      <c r="W15" s="24"/>
      <c r="X15" s="25">
        <v>41</v>
      </c>
      <c r="Y15" s="24"/>
      <c r="Z15" s="25">
        <v>41</v>
      </c>
      <c r="AA15" s="24"/>
      <c r="AB15" s="25">
        <v>45</v>
      </c>
      <c r="AC15" s="26"/>
      <c r="AD15" s="25">
        <v>45</v>
      </c>
      <c r="AE15" s="26"/>
    </row>
    <row r="16" spans="2:42" ht="15" customHeight="1" thickBot="1" x14ac:dyDescent="0.35">
      <c r="B16" s="28" t="s">
        <v>42</v>
      </c>
      <c r="C16" s="17">
        <v>13699</v>
      </c>
      <c r="E16" s="84"/>
      <c r="F16" s="31">
        <f t="shared" ref="F16:M16" si="0">SUM(F6:F15)</f>
        <v>90381</v>
      </c>
      <c r="G16" s="31">
        <f t="shared" si="0"/>
        <v>61563</v>
      </c>
      <c r="H16" s="31">
        <f t="shared" si="0"/>
        <v>54915</v>
      </c>
      <c r="I16" s="32">
        <f t="shared" si="0"/>
        <v>116478</v>
      </c>
      <c r="J16" s="33">
        <f t="shared" si="0"/>
        <v>91666</v>
      </c>
      <c r="K16" s="33">
        <f t="shared" si="0"/>
        <v>63480</v>
      </c>
      <c r="L16" s="33">
        <f t="shared" si="0"/>
        <v>57166</v>
      </c>
      <c r="M16" s="33">
        <f t="shared" si="0"/>
        <v>120646</v>
      </c>
      <c r="N16" s="31">
        <f>SUM(N14,N12,N10,N8,N6)</f>
        <v>256</v>
      </c>
      <c r="O16" s="31">
        <f>SUM(O14,O12,O10,O8,O6)</f>
        <v>173</v>
      </c>
      <c r="P16" s="34">
        <f>SUM(P6:P15)</f>
        <v>0</v>
      </c>
      <c r="Q16" s="34">
        <f>SUM(Q6:Q15)</f>
        <v>91666</v>
      </c>
      <c r="R16" s="35">
        <f>R6+R8+R10+R12+R14-R7-R9-R11-R13-R15</f>
        <v>7811</v>
      </c>
      <c r="S16" s="36">
        <f>IF(R16&gt;1,(R16-$Q16),"")</f>
        <v>-83855</v>
      </c>
      <c r="T16" s="35">
        <f>T6+T8+T10+T12+T14-T7-T9-T11-T13-T15</f>
        <v>11817</v>
      </c>
      <c r="U16" s="36">
        <f>IF(T16&gt;1,(T16-$Q16),"")</f>
        <v>-79849</v>
      </c>
      <c r="V16" s="35">
        <f>V6+V8+V10+V12+V14-V7-V9-V11-V13-V15</f>
        <v>30393</v>
      </c>
      <c r="W16" s="36">
        <f>IF(V16&gt;1,(V16-$Q16),"")</f>
        <v>-61273</v>
      </c>
      <c r="X16" s="35">
        <f>X6+X8+X10+X12+X14-X7-X9-X11-X13-X15</f>
        <v>38524</v>
      </c>
      <c r="Y16" s="36">
        <f>IF(X16&gt;1,(X16-$Q16),"")</f>
        <v>-53142</v>
      </c>
      <c r="Z16" s="35">
        <f>Z6+Z8+Z10+Z12+Z14-Z7-Z9-Z11-Z13-Z15</f>
        <v>49390</v>
      </c>
      <c r="AA16" s="36">
        <f>IF(Z16&gt;1,(Z16-$Q16),"")</f>
        <v>-42276</v>
      </c>
      <c r="AB16" s="35">
        <f>AB6+AB8+AB10+AB12+AB14-AB7-AB9-AB11-AB13-AB15</f>
        <v>53429</v>
      </c>
      <c r="AC16" s="37">
        <f>IF(AB16&gt;1,(AB16-$Q16),"")</f>
        <v>-38237</v>
      </c>
      <c r="AD16" s="35">
        <f>AD6+AD8+AD10+AD12+AD14-AD7-AD9-AD11-AD13-AD15</f>
        <v>53429</v>
      </c>
      <c r="AE16" s="37">
        <f>IF(AD16&gt;1,(AD16-$Q16),"")</f>
        <v>-38237</v>
      </c>
    </row>
    <row r="17" spans="2:43" s="4" customFormat="1" ht="15" customHeight="1" thickBot="1" x14ac:dyDescent="0.3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83</v>
      </c>
      <c r="P17" s="38" t="s">
        <v>44</v>
      </c>
      <c r="Q17" s="39"/>
      <c r="R17" s="40">
        <f>R15+R13+R11+R9+R7</f>
        <v>23</v>
      </c>
      <c r="S17" s="41"/>
      <c r="T17" s="40">
        <f>T15+T13+T11+T9+T7</f>
        <v>1273</v>
      </c>
      <c r="U17" s="41"/>
      <c r="V17" s="40">
        <f>V15+V13+V11+V9+V7</f>
        <v>2000</v>
      </c>
      <c r="W17" s="41"/>
      <c r="X17" s="40">
        <f>X15+X13+X11+X9+X7</f>
        <v>3391</v>
      </c>
      <c r="Y17" s="41"/>
      <c r="Z17" s="40">
        <f>Z15+Z13+Z11+Z9+Z7</f>
        <v>3898</v>
      </c>
      <c r="AA17" s="41"/>
      <c r="AB17" s="40">
        <f>AB15+AB13+AB11+AB9+AB7</f>
        <v>964</v>
      </c>
      <c r="AC17" s="42"/>
      <c r="AD17" s="40">
        <f>AD15+AD13+AD11+AD9+AD7</f>
        <v>964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45</v>
      </c>
      <c r="C18" s="44">
        <v>0</v>
      </c>
      <c r="P18" s="45" t="s">
        <v>46</v>
      </c>
      <c r="Q18" s="46"/>
      <c r="R18" s="47">
        <f>IF(R16&gt;0,(R16)/2,"")</f>
        <v>3905.5</v>
      </c>
      <c r="S18" s="46"/>
      <c r="T18" s="47">
        <f>IF(T16&gt;0,(T16-R16)/2,"")</f>
        <v>2003</v>
      </c>
      <c r="U18" s="46"/>
      <c r="V18" s="47">
        <f>IF(V16&gt;0,(V16-T16)/2,"")</f>
        <v>9288</v>
      </c>
      <c r="W18" s="46"/>
      <c r="X18" s="47">
        <f>IF(X16&gt;0,(X16-V16)/2,"")</f>
        <v>4065.5</v>
      </c>
      <c r="Y18" s="46"/>
      <c r="Z18" s="47">
        <f>IF(Z16&gt;0,(Z16-X16)/2,"")</f>
        <v>5433</v>
      </c>
      <c r="AA18" s="46"/>
      <c r="AB18" s="47">
        <f>IF(AB16&gt;0,(AB16-Z16)/2,"")</f>
        <v>2019.5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43" t="s">
        <v>48</v>
      </c>
      <c r="C20" s="50">
        <v>0</v>
      </c>
      <c r="L20" s="4"/>
      <c r="M20" s="4"/>
      <c r="Q20" s="51" t="s">
        <v>49</v>
      </c>
      <c r="R20" s="35">
        <v>9395</v>
      </c>
      <c r="S20" s="36">
        <v>-57408</v>
      </c>
      <c r="T20" s="35">
        <v>16805</v>
      </c>
      <c r="U20" s="36">
        <v>-49998</v>
      </c>
      <c r="V20" s="35">
        <v>25991</v>
      </c>
      <c r="W20" s="36">
        <v>-40812</v>
      </c>
      <c r="X20" s="35">
        <v>43323</v>
      </c>
      <c r="Y20" s="36">
        <v>-23480</v>
      </c>
      <c r="Z20" s="35">
        <v>45269</v>
      </c>
      <c r="AA20" s="36">
        <v>-21534</v>
      </c>
      <c r="AB20" s="35">
        <v>45454</v>
      </c>
      <c r="AC20" s="37">
        <v>-21349</v>
      </c>
      <c r="AD20" s="35">
        <v>45585</v>
      </c>
      <c r="AE20" s="37">
        <v>-21218</v>
      </c>
    </row>
    <row r="21" spans="2:43" ht="15" customHeight="1" thickBot="1" x14ac:dyDescent="0.35">
      <c r="B21" s="16" t="s">
        <v>50</v>
      </c>
      <c r="C21" s="17">
        <v>7891</v>
      </c>
      <c r="L21" s="4"/>
      <c r="M21" s="4"/>
      <c r="Q21" s="52"/>
      <c r="R21" s="40">
        <v>4800</v>
      </c>
      <c r="S21" s="41"/>
      <c r="T21" s="40">
        <v>7532</v>
      </c>
      <c r="U21" s="41"/>
      <c r="V21" s="40">
        <v>11975</v>
      </c>
      <c r="W21" s="41"/>
      <c r="X21" s="40">
        <v>16136</v>
      </c>
      <c r="Y21" s="41"/>
      <c r="Z21" s="40">
        <v>19640</v>
      </c>
      <c r="AA21" s="41"/>
      <c r="AB21" s="40">
        <v>19894</v>
      </c>
      <c r="AC21" s="42"/>
      <c r="AD21" s="40">
        <v>19894</v>
      </c>
      <c r="AE21" s="42"/>
    </row>
    <row r="22" spans="2:43" ht="15" customHeight="1" thickBot="1" x14ac:dyDescent="0.35">
      <c r="B22" s="16" t="s">
        <v>51</v>
      </c>
      <c r="C22" s="17">
        <v>1259</v>
      </c>
      <c r="L22" s="4"/>
      <c r="M22" s="4"/>
      <c r="Q22" s="54"/>
      <c r="R22" s="55">
        <v>2618</v>
      </c>
      <c r="S22" s="55"/>
      <c r="T22" s="55">
        <v>4624</v>
      </c>
      <c r="U22" s="55"/>
      <c r="V22" s="55">
        <v>3905</v>
      </c>
      <c r="W22" s="55"/>
      <c r="X22" s="55">
        <v>8894</v>
      </c>
      <c r="Y22" s="55"/>
      <c r="Z22" s="55">
        <v>3394.5</v>
      </c>
      <c r="AA22" s="55"/>
      <c r="AB22" s="55">
        <v>402</v>
      </c>
      <c r="AC22" s="56"/>
      <c r="AD22" s="55">
        <v>149</v>
      </c>
      <c r="AE22" s="56"/>
    </row>
    <row r="23" spans="2:43" ht="15" customHeight="1" thickBot="1" x14ac:dyDescent="0.35">
      <c r="B23" s="57" t="s">
        <v>52</v>
      </c>
      <c r="C23" s="58">
        <v>4504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-1584</v>
      </c>
      <c r="S24" s="60"/>
      <c r="T24" s="60">
        <f>IF(T16&gt;0,T16-T20,"")</f>
        <v>-4988</v>
      </c>
      <c r="U24" s="60"/>
      <c r="V24" s="60">
        <f>IF(V16&gt;0,V16-V20,"")</f>
        <v>4402</v>
      </c>
      <c r="W24" s="60"/>
      <c r="X24" s="60">
        <f>IF(X16&gt;0,X16-X20,"")</f>
        <v>-4799</v>
      </c>
      <c r="Y24" s="60"/>
      <c r="Z24" s="60">
        <f>IF(Z16&gt;0,Z16-Z20,"")</f>
        <v>4121</v>
      </c>
      <c r="AA24" s="60"/>
      <c r="AB24" s="60">
        <f>IF(AB16&gt;0,AB16-AB20,"")</f>
        <v>7975</v>
      </c>
      <c r="AC24" s="61"/>
      <c r="AD24" s="60">
        <f>IF(AD16&gt;0,AD16-AD20,"")</f>
        <v>7844</v>
      </c>
      <c r="AE24" s="61"/>
    </row>
    <row r="25" spans="2:43" x14ac:dyDescent="0.3">
      <c r="L25" s="4"/>
      <c r="M25" s="4"/>
      <c r="Q25" s="62"/>
      <c r="R25" s="63">
        <f>IF(R17&gt;=0,R17-R21,"")</f>
        <v>-4777</v>
      </c>
      <c r="S25" s="64"/>
      <c r="T25" s="63">
        <f>IF(T17&gt;=0,T17-T21,"")</f>
        <v>-6259</v>
      </c>
      <c r="U25" s="64"/>
      <c r="V25" s="63">
        <f>IF(V17&gt;=0,V17-V21,"")</f>
        <v>-9975</v>
      </c>
      <c r="W25" s="64"/>
      <c r="X25" s="63">
        <f>IF(X17&gt;=0,X17-X21,"")</f>
        <v>-12745</v>
      </c>
      <c r="Y25" s="64"/>
      <c r="Z25" s="63">
        <f>IF(Z17&gt;=0,Z17-Z21,"")</f>
        <v>-15742</v>
      </c>
      <c r="AA25" s="64"/>
      <c r="AB25" s="63">
        <f>IF(AB17&gt;=0,AB17-AB21,"")</f>
        <v>-18930</v>
      </c>
      <c r="AC25" s="65"/>
      <c r="AD25" s="63">
        <f>IF(AD17&gt;=0,AD17-AD21,"")</f>
        <v>-18930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1287.5</v>
      </c>
      <c r="S26" s="55"/>
      <c r="T26" s="67">
        <f>IFERROR(IF(T18&gt;0,T18-T22,""),"")</f>
        <v>-2621</v>
      </c>
      <c r="U26" s="55"/>
      <c r="V26" s="67">
        <f>IFERROR(IF(V18&gt;0,V18-V22,""),"")</f>
        <v>5383</v>
      </c>
      <c r="W26" s="55"/>
      <c r="X26" s="67">
        <f>IFERROR(IF(X18&gt;0,X18-X22,""),"")</f>
        <v>-4828.5</v>
      </c>
      <c r="Y26" s="55"/>
      <c r="Z26" s="67">
        <f>IFERROR(IF(Z18&gt;0,Z18-Z22,""),"")</f>
        <v>2038.5</v>
      </c>
      <c r="AA26" s="55"/>
      <c r="AB26" s="67">
        <f>IFERROR(IF(AB18&gt;0,AB18-AB22,""),"")</f>
        <v>1617.5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10114</v>
      </c>
      <c r="D29" s="76">
        <f>C14</f>
        <v>8490</v>
      </c>
      <c r="E29" s="77">
        <f t="shared" ref="E29:E34" si="1">D29-C29</f>
        <v>-1624</v>
      </c>
      <c r="M29" s="4"/>
      <c r="O29" s="4"/>
    </row>
    <row r="30" spans="2:43" x14ac:dyDescent="0.3">
      <c r="B30" s="74" t="s">
        <v>56</v>
      </c>
      <c r="C30" s="75">
        <v>25384</v>
      </c>
      <c r="D30" s="76">
        <f>C7+C15+C16+C19+C20</f>
        <v>13699</v>
      </c>
      <c r="E30" s="77">
        <f t="shared" si="1"/>
        <v>-11685</v>
      </c>
      <c r="J30" s="53"/>
      <c r="L30" s="53"/>
      <c r="M30" s="4"/>
      <c r="O30" s="4"/>
    </row>
    <row r="31" spans="2:43" x14ac:dyDescent="0.3">
      <c r="B31" s="74" t="s">
        <v>21</v>
      </c>
      <c r="C31" s="75">
        <v>3982</v>
      </c>
      <c r="D31" s="76">
        <f>C6</f>
        <v>3982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17341</v>
      </c>
      <c r="D32" s="76">
        <f>C10+C11+C12+C13</f>
        <v>17341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3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35">
      <c r="B34" s="74" t="s">
        <v>59</v>
      </c>
      <c r="C34" s="75">
        <v>13745</v>
      </c>
      <c r="D34" s="76">
        <f>C21+C22+C23</f>
        <v>13654</v>
      </c>
      <c r="E34" s="77">
        <f t="shared" si="1"/>
        <v>-91</v>
      </c>
      <c r="K34" s="53"/>
      <c r="Q34" s="53"/>
      <c r="U34" s="53"/>
      <c r="V34" s="53"/>
    </row>
    <row r="35" spans="2:31" ht="18" customHeight="1" thickBot="1" x14ac:dyDescent="0.35">
      <c r="B35" s="78" t="s">
        <v>60</v>
      </c>
      <c r="C35" s="79">
        <v>3595</v>
      </c>
      <c r="D35" s="80">
        <f>SUM(C8+C9)</f>
        <v>3595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6" customHeight="1" x14ac:dyDescent="0.3">
      <c r="N36" s="211" t="s">
        <v>64</v>
      </c>
      <c r="O36" s="96" t="s">
        <v>65</v>
      </c>
      <c r="P36" s="104"/>
      <c r="Q36" s="104">
        <v>2570</v>
      </c>
      <c r="R36" s="104">
        <v>0</v>
      </c>
      <c r="S36" s="104">
        <f t="shared" ref="S36:S65" si="2">IF(T36&gt;0,(T36-R36)/2,"")</f>
        <v>298</v>
      </c>
      <c r="T36" s="104">
        <v>596</v>
      </c>
      <c r="U36" s="104">
        <f t="shared" ref="U36:U65" si="3">IF(V36&gt;0,(V36-T36)/2,"")</f>
        <v>429.5</v>
      </c>
      <c r="V36" s="104">
        <v>1455</v>
      </c>
      <c r="W36" s="104">
        <f t="shared" ref="W36:W65" si="4">IF(X36&gt;0,(X36-V36)/2,"")</f>
        <v>262.5</v>
      </c>
      <c r="X36" s="104">
        <v>1980</v>
      </c>
      <c r="Y36" s="104">
        <f t="shared" ref="Y36:Y65" si="5">IF(Z36&gt;0,(Z36-X36)/2,"")</f>
        <v>0</v>
      </c>
      <c r="Z36" s="104">
        <v>1980</v>
      </c>
      <c r="AA36" s="104">
        <f t="shared" ref="AA36:AA65" si="6">IF(AB36&gt;0,(AB36-Z36)/2,"")</f>
        <v>0</v>
      </c>
      <c r="AB36" s="104">
        <v>1980</v>
      </c>
      <c r="AC36" s="104">
        <f t="shared" ref="AC36:AC65" si="7">IF(AD36&gt;0,(AD36-AB36)/2,"")</f>
        <v>0</v>
      </c>
      <c r="AD36" s="104">
        <v>1980</v>
      </c>
      <c r="AE36" s="105">
        <f t="shared" ref="AE36:AE65" si="8">AD36-Q36</f>
        <v>-590</v>
      </c>
    </row>
    <row r="37" spans="2:31" ht="15.6" customHeight="1" x14ac:dyDescent="0.3">
      <c r="N37" s="212"/>
      <c r="O37" s="95" t="s">
        <v>66</v>
      </c>
      <c r="P37" s="106"/>
      <c r="Q37" s="106">
        <v>1343</v>
      </c>
      <c r="R37" s="106">
        <v>0</v>
      </c>
      <c r="S37" s="106">
        <f t="shared" si="2"/>
        <v>264</v>
      </c>
      <c r="T37" s="106">
        <v>528</v>
      </c>
      <c r="U37" s="106">
        <f t="shared" si="3"/>
        <v>0</v>
      </c>
      <c r="V37" s="106">
        <v>528</v>
      </c>
      <c r="W37" s="106">
        <f t="shared" si="4"/>
        <v>249</v>
      </c>
      <c r="X37" s="106">
        <v>1026</v>
      </c>
      <c r="Y37" s="106">
        <f t="shared" si="5"/>
        <v>0</v>
      </c>
      <c r="Z37" s="106">
        <v>1026</v>
      </c>
      <c r="AA37" s="106">
        <f t="shared" si="6"/>
        <v>0</v>
      </c>
      <c r="AB37" s="106">
        <v>1026</v>
      </c>
      <c r="AC37" s="106">
        <f t="shared" si="7"/>
        <v>0</v>
      </c>
      <c r="AD37" s="106">
        <v>1026</v>
      </c>
      <c r="AE37" s="107">
        <f t="shared" si="8"/>
        <v>-317</v>
      </c>
    </row>
    <row r="38" spans="2:31" ht="15.6" customHeight="1" x14ac:dyDescent="0.3">
      <c r="N38" s="212"/>
      <c r="O38" s="94" t="s">
        <v>67</v>
      </c>
      <c r="P38" s="108"/>
      <c r="Q38" s="108">
        <v>2553</v>
      </c>
      <c r="R38" s="108">
        <v>471</v>
      </c>
      <c r="S38" s="108">
        <f t="shared" si="2"/>
        <v>168</v>
      </c>
      <c r="T38" s="108">
        <v>807</v>
      </c>
      <c r="U38" s="108">
        <f t="shared" si="3"/>
        <v>0</v>
      </c>
      <c r="V38" s="108">
        <v>807</v>
      </c>
      <c r="W38" s="108">
        <f t="shared" si="4"/>
        <v>0</v>
      </c>
      <c r="X38" s="108">
        <v>807</v>
      </c>
      <c r="Y38" s="108">
        <f t="shared" si="5"/>
        <v>726.5</v>
      </c>
      <c r="Z38" s="108">
        <v>2260</v>
      </c>
      <c r="AA38" s="108">
        <f t="shared" si="6"/>
        <v>154.5</v>
      </c>
      <c r="AB38" s="108">
        <v>2569</v>
      </c>
      <c r="AC38" s="108">
        <f t="shared" si="7"/>
        <v>0</v>
      </c>
      <c r="AD38" s="108">
        <v>2569</v>
      </c>
      <c r="AE38" s="109">
        <f t="shared" si="8"/>
        <v>16</v>
      </c>
    </row>
    <row r="39" spans="2:31" ht="15.6" customHeight="1" x14ac:dyDescent="0.3">
      <c r="N39" s="212"/>
      <c r="O39" s="95" t="s">
        <v>68</v>
      </c>
      <c r="P39" s="106"/>
      <c r="Q39" s="106">
        <v>3164</v>
      </c>
      <c r="R39" s="106">
        <v>720</v>
      </c>
      <c r="S39" s="106">
        <f t="shared" si="2"/>
        <v>213</v>
      </c>
      <c r="T39" s="106">
        <v>1146</v>
      </c>
      <c r="U39" s="106">
        <f t="shared" si="3"/>
        <v>390</v>
      </c>
      <c r="V39" s="106">
        <v>1926</v>
      </c>
      <c r="W39" s="106">
        <f t="shared" si="4"/>
        <v>280.5</v>
      </c>
      <c r="X39" s="106">
        <v>2487</v>
      </c>
      <c r="Y39" s="106">
        <f t="shared" si="5"/>
        <v>353</v>
      </c>
      <c r="Z39" s="106">
        <v>3193</v>
      </c>
      <c r="AA39" s="106">
        <f t="shared" si="6"/>
        <v>1.5</v>
      </c>
      <c r="AB39" s="106">
        <v>3196</v>
      </c>
      <c r="AC39" s="106">
        <f t="shared" si="7"/>
        <v>0</v>
      </c>
      <c r="AD39" s="106">
        <v>3196</v>
      </c>
      <c r="AE39" s="107">
        <f t="shared" si="8"/>
        <v>32</v>
      </c>
    </row>
    <row r="40" spans="2:31" ht="15.6" customHeight="1" x14ac:dyDescent="0.3">
      <c r="N40" s="212"/>
      <c r="O40" s="94" t="s">
        <v>69</v>
      </c>
      <c r="P40" s="108"/>
      <c r="Q40" s="108">
        <v>2780</v>
      </c>
      <c r="R40" s="108">
        <v>900</v>
      </c>
      <c r="S40" s="108">
        <f t="shared" si="2"/>
        <v>234</v>
      </c>
      <c r="T40" s="108">
        <v>1368</v>
      </c>
      <c r="U40" s="108">
        <f t="shared" si="3"/>
        <v>259.5</v>
      </c>
      <c r="V40" s="108">
        <v>1887</v>
      </c>
      <c r="W40" s="108">
        <f t="shared" si="4"/>
        <v>224.5</v>
      </c>
      <c r="X40" s="108">
        <v>2336</v>
      </c>
      <c r="Y40" s="108">
        <f t="shared" si="5"/>
        <v>234</v>
      </c>
      <c r="Z40" s="108">
        <v>2804</v>
      </c>
      <c r="AA40" s="108">
        <f t="shared" si="6"/>
        <v>-7.5</v>
      </c>
      <c r="AB40" s="108">
        <v>2789</v>
      </c>
      <c r="AC40" s="108">
        <f t="shared" si="7"/>
        <v>0</v>
      </c>
      <c r="AD40" s="108">
        <v>2789</v>
      </c>
      <c r="AE40" s="109">
        <f t="shared" si="8"/>
        <v>9</v>
      </c>
    </row>
    <row r="41" spans="2:31" ht="15.6" customHeight="1" x14ac:dyDescent="0.3">
      <c r="N41" s="212"/>
      <c r="O41" s="95" t="s">
        <v>70</v>
      </c>
      <c r="P41" s="106"/>
      <c r="Q41" s="106">
        <v>1772</v>
      </c>
      <c r="R41" s="106">
        <v>17</v>
      </c>
      <c r="S41" s="106">
        <f t="shared" si="2"/>
        <v>159</v>
      </c>
      <c r="T41" s="106">
        <v>335</v>
      </c>
      <c r="U41" s="106">
        <f t="shared" si="3"/>
        <v>0</v>
      </c>
      <c r="V41" s="106">
        <v>335</v>
      </c>
      <c r="W41" s="106">
        <f t="shared" si="4"/>
        <v>0</v>
      </c>
      <c r="X41" s="106">
        <v>335</v>
      </c>
      <c r="Y41" s="106">
        <f t="shared" si="5"/>
        <v>611.5</v>
      </c>
      <c r="Z41" s="106">
        <v>1558</v>
      </c>
      <c r="AA41" s="106">
        <f t="shared" si="6"/>
        <v>115</v>
      </c>
      <c r="AB41" s="106">
        <v>1788</v>
      </c>
      <c r="AC41" s="106">
        <f t="shared" si="7"/>
        <v>0</v>
      </c>
      <c r="AD41" s="106">
        <v>1788</v>
      </c>
      <c r="AE41" s="107">
        <f t="shared" si="8"/>
        <v>16</v>
      </c>
    </row>
    <row r="42" spans="2:31" ht="15.6" customHeight="1" x14ac:dyDescent="0.3">
      <c r="N42" s="212"/>
      <c r="O42" s="94" t="s">
        <v>71</v>
      </c>
      <c r="P42" s="108"/>
      <c r="Q42" s="108">
        <v>1208</v>
      </c>
      <c r="R42" s="108">
        <v>0</v>
      </c>
      <c r="S42" s="108" t="str">
        <f t="shared" si="2"/>
        <v/>
      </c>
      <c r="T42" s="108">
        <v>0</v>
      </c>
      <c r="U42" s="108" t="str">
        <f t="shared" si="3"/>
        <v/>
      </c>
      <c r="V42" s="108">
        <v>0</v>
      </c>
      <c r="W42" s="108">
        <f t="shared" si="4"/>
        <v>72.5</v>
      </c>
      <c r="X42" s="108">
        <v>145</v>
      </c>
      <c r="Y42" s="108">
        <f t="shared" si="5"/>
        <v>521.5</v>
      </c>
      <c r="Z42" s="108">
        <v>1188</v>
      </c>
      <c r="AA42" s="108">
        <f t="shared" si="6"/>
        <v>0</v>
      </c>
      <c r="AB42" s="108">
        <v>1188</v>
      </c>
      <c r="AC42" s="108">
        <f t="shared" si="7"/>
        <v>0</v>
      </c>
      <c r="AD42" s="108">
        <v>1188</v>
      </c>
      <c r="AE42" s="109">
        <f t="shared" si="8"/>
        <v>-20</v>
      </c>
    </row>
    <row r="43" spans="2:31" ht="15.6" customHeight="1" x14ac:dyDescent="0.3">
      <c r="N43" s="212"/>
      <c r="O43" s="95" t="s">
        <v>72</v>
      </c>
      <c r="P43" s="106"/>
      <c r="Q43" s="106">
        <v>1695</v>
      </c>
      <c r="R43" s="106">
        <v>0</v>
      </c>
      <c r="S43" s="106" t="str">
        <f t="shared" si="2"/>
        <v/>
      </c>
      <c r="T43" s="106">
        <v>0</v>
      </c>
      <c r="U43" s="106">
        <f t="shared" si="3"/>
        <v>272</v>
      </c>
      <c r="V43" s="106">
        <v>544</v>
      </c>
      <c r="W43" s="106">
        <f t="shared" si="4"/>
        <v>0</v>
      </c>
      <c r="X43" s="106">
        <v>544</v>
      </c>
      <c r="Y43" s="106">
        <f t="shared" si="5"/>
        <v>181.5</v>
      </c>
      <c r="Z43" s="106">
        <v>907</v>
      </c>
      <c r="AA43" s="106">
        <f t="shared" si="6"/>
        <v>0</v>
      </c>
      <c r="AB43" s="106">
        <v>907</v>
      </c>
      <c r="AC43" s="106">
        <f t="shared" si="7"/>
        <v>0</v>
      </c>
      <c r="AD43" s="106">
        <v>907</v>
      </c>
      <c r="AE43" s="107">
        <f t="shared" si="8"/>
        <v>-788</v>
      </c>
    </row>
    <row r="44" spans="2:31" ht="15.6" customHeight="1" thickBot="1" x14ac:dyDescent="0.35">
      <c r="N44" s="213"/>
      <c r="O44" s="97" t="s">
        <v>73</v>
      </c>
      <c r="P44" s="110"/>
      <c r="Q44" s="110">
        <v>1901</v>
      </c>
      <c r="R44" s="110">
        <v>4</v>
      </c>
      <c r="S44" s="110">
        <f t="shared" si="2"/>
        <v>0</v>
      </c>
      <c r="T44" s="110">
        <v>4</v>
      </c>
      <c r="U44" s="110">
        <f t="shared" si="3"/>
        <v>278.5</v>
      </c>
      <c r="V44" s="110">
        <v>561</v>
      </c>
      <c r="W44" s="110">
        <f t="shared" si="4"/>
        <v>238.5</v>
      </c>
      <c r="X44" s="110">
        <v>1038</v>
      </c>
      <c r="Y44" s="110">
        <f t="shared" si="5"/>
        <v>223</v>
      </c>
      <c r="Z44" s="110">
        <v>1484</v>
      </c>
      <c r="AA44" s="110">
        <f t="shared" si="6"/>
        <v>210</v>
      </c>
      <c r="AB44" s="110">
        <v>1904</v>
      </c>
      <c r="AC44" s="110">
        <f t="shared" si="7"/>
        <v>0</v>
      </c>
      <c r="AD44" s="110">
        <v>1904</v>
      </c>
      <c r="AE44" s="111">
        <f t="shared" si="8"/>
        <v>3</v>
      </c>
    </row>
    <row r="45" spans="2:31" ht="15.6" customHeight="1" x14ac:dyDescent="0.3">
      <c r="N45" s="211" t="s">
        <v>27</v>
      </c>
      <c r="O45" s="98" t="s">
        <v>65</v>
      </c>
      <c r="P45" s="112"/>
      <c r="Q45" s="112">
        <v>4441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1720.5</v>
      </c>
      <c r="V45" s="112">
        <v>4441</v>
      </c>
      <c r="W45" s="112">
        <f t="shared" si="4"/>
        <v>0</v>
      </c>
      <c r="X45" s="112">
        <v>4441</v>
      </c>
      <c r="Y45" s="112">
        <f t="shared" si="5"/>
        <v>0</v>
      </c>
      <c r="Z45" s="112">
        <v>4441</v>
      </c>
      <c r="AA45" s="112">
        <f t="shared" si="6"/>
        <v>0</v>
      </c>
      <c r="AB45" s="112">
        <v>4441</v>
      </c>
      <c r="AC45" s="112">
        <f t="shared" si="7"/>
        <v>0</v>
      </c>
      <c r="AD45" s="112">
        <v>4441</v>
      </c>
      <c r="AE45" s="113">
        <f t="shared" si="8"/>
        <v>0</v>
      </c>
    </row>
    <row r="46" spans="2:31" ht="15.6" customHeight="1" x14ac:dyDescent="0.3">
      <c r="N46" s="212"/>
      <c r="O46" s="94" t="s">
        <v>66</v>
      </c>
      <c r="P46" s="108"/>
      <c r="Q46" s="108">
        <v>3524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1762</v>
      </c>
      <c r="V46" s="108">
        <v>3524</v>
      </c>
      <c r="W46" s="108">
        <f t="shared" si="4"/>
        <v>0</v>
      </c>
      <c r="X46" s="108">
        <v>3524</v>
      </c>
      <c r="Y46" s="108">
        <f t="shared" si="5"/>
        <v>0</v>
      </c>
      <c r="Z46" s="108">
        <v>3524</v>
      </c>
      <c r="AA46" s="108">
        <f t="shared" si="6"/>
        <v>0</v>
      </c>
      <c r="AB46" s="108">
        <v>3524</v>
      </c>
      <c r="AC46" s="108">
        <f t="shared" si="7"/>
        <v>0</v>
      </c>
      <c r="AD46" s="108">
        <v>3524</v>
      </c>
      <c r="AE46" s="109">
        <f t="shared" si="8"/>
        <v>0</v>
      </c>
    </row>
    <row r="47" spans="2:31" ht="15.6" customHeight="1" x14ac:dyDescent="0.3">
      <c r="N47" s="212"/>
      <c r="O47" s="95" t="s">
        <v>67</v>
      </c>
      <c r="P47" s="106"/>
      <c r="Q47" s="106">
        <v>2212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549.5</v>
      </c>
      <c r="V47" s="106">
        <v>1099</v>
      </c>
      <c r="W47" s="106">
        <f t="shared" si="4"/>
        <v>0</v>
      </c>
      <c r="X47" s="106">
        <v>1099</v>
      </c>
      <c r="Y47" s="106">
        <f t="shared" si="5"/>
        <v>348</v>
      </c>
      <c r="Z47" s="106">
        <v>1795</v>
      </c>
      <c r="AA47" s="106">
        <f t="shared" si="6"/>
        <v>0</v>
      </c>
      <c r="AB47" s="106">
        <v>1795</v>
      </c>
      <c r="AC47" s="106">
        <f t="shared" si="7"/>
        <v>0</v>
      </c>
      <c r="AD47" s="106">
        <v>1795</v>
      </c>
      <c r="AE47" s="107">
        <f t="shared" si="8"/>
        <v>-417</v>
      </c>
    </row>
    <row r="48" spans="2:31" ht="15.6" customHeight="1" thickBot="1" x14ac:dyDescent="0.35">
      <c r="N48" s="213"/>
      <c r="O48" s="97" t="s">
        <v>68</v>
      </c>
      <c r="P48" s="110"/>
      <c r="Q48" s="110">
        <v>3894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1947</v>
      </c>
      <c r="V48" s="110">
        <v>3894</v>
      </c>
      <c r="W48" s="110">
        <f t="shared" si="4"/>
        <v>0</v>
      </c>
      <c r="X48" s="110">
        <v>3894</v>
      </c>
      <c r="Y48" s="110">
        <f t="shared" si="5"/>
        <v>0</v>
      </c>
      <c r="Z48" s="110">
        <v>3894</v>
      </c>
      <c r="AA48" s="110">
        <f t="shared" si="6"/>
        <v>0</v>
      </c>
      <c r="AB48" s="110">
        <v>3894</v>
      </c>
      <c r="AC48" s="110">
        <f t="shared" si="7"/>
        <v>0</v>
      </c>
      <c r="AD48" s="110">
        <v>3894</v>
      </c>
      <c r="AE48" s="111">
        <f t="shared" si="8"/>
        <v>0</v>
      </c>
    </row>
    <row r="49" spans="14:31" ht="15.6" customHeight="1" x14ac:dyDescent="0.3">
      <c r="N49" s="211" t="s">
        <v>31</v>
      </c>
      <c r="O49" s="98" t="s">
        <v>65</v>
      </c>
      <c r="P49" s="112"/>
      <c r="Q49" s="112">
        <v>261</v>
      </c>
      <c r="R49" s="112">
        <v>3</v>
      </c>
      <c r="S49" s="112">
        <f t="shared" si="2"/>
        <v>0</v>
      </c>
      <c r="T49" s="112">
        <v>3</v>
      </c>
      <c r="U49" s="112">
        <f t="shared" si="3"/>
        <v>0</v>
      </c>
      <c r="V49" s="112">
        <v>3</v>
      </c>
      <c r="W49" s="112">
        <f t="shared" si="4"/>
        <v>0</v>
      </c>
      <c r="X49" s="112">
        <v>3</v>
      </c>
      <c r="Y49" s="112">
        <f t="shared" si="5"/>
        <v>0</v>
      </c>
      <c r="Z49" s="112">
        <v>3</v>
      </c>
      <c r="AA49" s="112">
        <f t="shared" si="6"/>
        <v>0</v>
      </c>
      <c r="AB49" s="112">
        <v>3</v>
      </c>
      <c r="AC49" s="112">
        <f t="shared" si="7"/>
        <v>0</v>
      </c>
      <c r="AD49" s="112">
        <v>3</v>
      </c>
      <c r="AE49" s="113">
        <f t="shared" si="8"/>
        <v>-258</v>
      </c>
    </row>
    <row r="50" spans="14:31" ht="15.6" customHeight="1" x14ac:dyDescent="0.3">
      <c r="N50" s="212"/>
      <c r="O50" s="94" t="s">
        <v>66</v>
      </c>
      <c r="P50" s="108"/>
      <c r="Q50" s="108">
        <v>308</v>
      </c>
      <c r="R50" s="108">
        <v>4</v>
      </c>
      <c r="S50" s="108">
        <f t="shared" si="2"/>
        <v>72.5</v>
      </c>
      <c r="T50" s="108">
        <v>149</v>
      </c>
      <c r="U50" s="108">
        <f t="shared" si="3"/>
        <v>0</v>
      </c>
      <c r="V50" s="108">
        <v>149</v>
      </c>
      <c r="W50" s="108">
        <f t="shared" si="4"/>
        <v>0</v>
      </c>
      <c r="X50" s="108">
        <v>149</v>
      </c>
      <c r="Y50" s="108">
        <f t="shared" si="5"/>
        <v>0</v>
      </c>
      <c r="Z50" s="108">
        <v>149</v>
      </c>
      <c r="AA50" s="108">
        <f t="shared" si="6"/>
        <v>0</v>
      </c>
      <c r="AB50" s="108">
        <v>149</v>
      </c>
      <c r="AC50" s="108">
        <f t="shared" si="7"/>
        <v>0</v>
      </c>
      <c r="AD50" s="108">
        <v>149</v>
      </c>
      <c r="AE50" s="109">
        <f t="shared" si="8"/>
        <v>-159</v>
      </c>
    </row>
    <row r="51" spans="14:31" ht="15.6" customHeight="1" x14ac:dyDescent="0.3">
      <c r="N51" s="212"/>
      <c r="O51" s="95" t="s">
        <v>67</v>
      </c>
      <c r="P51" s="106"/>
      <c r="Q51" s="106">
        <v>1652</v>
      </c>
      <c r="R51" s="106">
        <v>0</v>
      </c>
      <c r="S51" s="106">
        <f t="shared" si="2"/>
        <v>225</v>
      </c>
      <c r="T51" s="106">
        <v>450</v>
      </c>
      <c r="U51" s="106">
        <f t="shared" si="3"/>
        <v>358</v>
      </c>
      <c r="V51" s="106">
        <v>1166</v>
      </c>
      <c r="W51" s="106">
        <f t="shared" si="4"/>
        <v>246.5</v>
      </c>
      <c r="X51" s="106">
        <v>1659</v>
      </c>
      <c r="Y51" s="106">
        <f t="shared" si="5"/>
        <v>52.5</v>
      </c>
      <c r="Z51" s="106">
        <v>1764</v>
      </c>
      <c r="AA51" s="106">
        <f t="shared" si="6"/>
        <v>0</v>
      </c>
      <c r="AB51" s="106">
        <v>1764</v>
      </c>
      <c r="AC51" s="106">
        <f t="shared" si="7"/>
        <v>0</v>
      </c>
      <c r="AD51" s="106">
        <v>1764</v>
      </c>
      <c r="AE51" s="107">
        <f t="shared" si="8"/>
        <v>112</v>
      </c>
    </row>
    <row r="52" spans="14:31" ht="15.6" customHeight="1" x14ac:dyDescent="0.3">
      <c r="N52" s="212"/>
      <c r="O52" s="94" t="s">
        <v>68</v>
      </c>
      <c r="P52" s="108"/>
      <c r="Q52" s="108">
        <v>2807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293</v>
      </c>
      <c r="V52" s="108">
        <v>586</v>
      </c>
      <c r="W52" s="108">
        <f t="shared" si="4"/>
        <v>100</v>
      </c>
      <c r="X52" s="108">
        <v>786</v>
      </c>
      <c r="Y52" s="108">
        <f t="shared" si="5"/>
        <v>123</v>
      </c>
      <c r="Z52" s="108">
        <v>1032</v>
      </c>
      <c r="AA52" s="108">
        <f t="shared" si="6"/>
        <v>0</v>
      </c>
      <c r="AB52" s="108">
        <v>1032</v>
      </c>
      <c r="AC52" s="108">
        <f t="shared" si="7"/>
        <v>0</v>
      </c>
      <c r="AD52" s="108">
        <v>1032</v>
      </c>
      <c r="AE52" s="109">
        <f t="shared" si="8"/>
        <v>-1775</v>
      </c>
    </row>
    <row r="53" spans="14:31" ht="15.6" customHeight="1" x14ac:dyDescent="0.3">
      <c r="N53" s="212"/>
      <c r="O53" s="95" t="s">
        <v>69</v>
      </c>
      <c r="P53" s="106"/>
      <c r="Q53" s="106">
        <v>2499.0633802816901</v>
      </c>
      <c r="R53" s="106">
        <v>25</v>
      </c>
      <c r="S53" s="106">
        <f t="shared" si="2"/>
        <v>388.5</v>
      </c>
      <c r="T53" s="106">
        <v>802</v>
      </c>
      <c r="U53" s="106">
        <f t="shared" si="3"/>
        <v>0</v>
      </c>
      <c r="V53" s="106">
        <v>802</v>
      </c>
      <c r="W53" s="106">
        <f t="shared" si="4"/>
        <v>409</v>
      </c>
      <c r="X53" s="106">
        <v>1620</v>
      </c>
      <c r="Y53" s="106">
        <f t="shared" si="5"/>
        <v>224.5</v>
      </c>
      <c r="Z53" s="106">
        <v>2069</v>
      </c>
      <c r="AA53" s="106">
        <f t="shared" si="6"/>
        <v>0</v>
      </c>
      <c r="AB53" s="106">
        <v>2069</v>
      </c>
      <c r="AC53" s="106">
        <f t="shared" si="7"/>
        <v>0</v>
      </c>
      <c r="AD53" s="106">
        <v>2069</v>
      </c>
      <c r="AE53" s="107">
        <f t="shared" si="8"/>
        <v>-430.06338028169012</v>
      </c>
    </row>
    <row r="54" spans="14:31" ht="15.6" customHeight="1" x14ac:dyDescent="0.3">
      <c r="N54" s="212"/>
      <c r="O54" s="94" t="s">
        <v>70</v>
      </c>
      <c r="P54" s="108"/>
      <c r="Q54" s="108">
        <v>1782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574</v>
      </c>
      <c r="X54" s="108">
        <v>1148</v>
      </c>
      <c r="Y54" s="108">
        <f t="shared" si="5"/>
        <v>317</v>
      </c>
      <c r="Z54" s="108">
        <v>1782</v>
      </c>
      <c r="AA54" s="108">
        <f t="shared" si="6"/>
        <v>0</v>
      </c>
      <c r="AB54" s="108">
        <v>1782</v>
      </c>
      <c r="AC54" s="108">
        <f t="shared" si="7"/>
        <v>0</v>
      </c>
      <c r="AD54" s="108">
        <v>1782</v>
      </c>
      <c r="AE54" s="109">
        <f t="shared" si="8"/>
        <v>0</v>
      </c>
    </row>
    <row r="55" spans="14:31" ht="15.6" customHeight="1" x14ac:dyDescent="0.3">
      <c r="N55" s="212"/>
      <c r="O55" s="95" t="s">
        <v>71</v>
      </c>
      <c r="P55" s="106"/>
      <c r="Q55" s="106">
        <v>962</v>
      </c>
      <c r="R55" s="106">
        <v>10</v>
      </c>
      <c r="S55" s="106">
        <f t="shared" si="2"/>
        <v>156</v>
      </c>
      <c r="T55" s="106">
        <v>322</v>
      </c>
      <c r="U55" s="106">
        <f t="shared" si="3"/>
        <v>14.5</v>
      </c>
      <c r="V55" s="106">
        <v>351</v>
      </c>
      <c r="W55" s="106">
        <f t="shared" si="4"/>
        <v>0</v>
      </c>
      <c r="X55" s="106">
        <v>351</v>
      </c>
      <c r="Y55" s="106">
        <f t="shared" si="5"/>
        <v>0</v>
      </c>
      <c r="Z55" s="106">
        <v>351</v>
      </c>
      <c r="AA55" s="106">
        <f t="shared" si="6"/>
        <v>0</v>
      </c>
      <c r="AB55" s="106">
        <v>351</v>
      </c>
      <c r="AC55" s="106">
        <f t="shared" si="7"/>
        <v>0</v>
      </c>
      <c r="AD55" s="106">
        <v>351</v>
      </c>
      <c r="AE55" s="107">
        <f t="shared" si="8"/>
        <v>-611</v>
      </c>
    </row>
    <row r="56" spans="14:31" ht="15.6" customHeight="1" x14ac:dyDescent="0.3">
      <c r="N56" s="212"/>
      <c r="O56" s="94" t="s">
        <v>72</v>
      </c>
      <c r="P56" s="108"/>
      <c r="Q56" s="108">
        <v>375</v>
      </c>
      <c r="R56" s="108">
        <v>9</v>
      </c>
      <c r="S56" s="108">
        <f t="shared" si="2"/>
        <v>0</v>
      </c>
      <c r="T56" s="108">
        <v>9</v>
      </c>
      <c r="U56" s="108">
        <f t="shared" si="3"/>
        <v>0</v>
      </c>
      <c r="V56" s="108">
        <v>9</v>
      </c>
      <c r="W56" s="108">
        <f t="shared" si="4"/>
        <v>0</v>
      </c>
      <c r="X56" s="108">
        <v>9</v>
      </c>
      <c r="Y56" s="108">
        <f t="shared" si="5"/>
        <v>0</v>
      </c>
      <c r="Z56" s="108">
        <v>9</v>
      </c>
      <c r="AA56" s="108">
        <f t="shared" si="6"/>
        <v>0</v>
      </c>
      <c r="AB56" s="108">
        <v>9</v>
      </c>
      <c r="AC56" s="108">
        <f t="shared" si="7"/>
        <v>0</v>
      </c>
      <c r="AD56" s="108">
        <v>9</v>
      </c>
      <c r="AE56" s="109">
        <f t="shared" si="8"/>
        <v>-366</v>
      </c>
    </row>
    <row r="57" spans="14:31" ht="15.6" customHeight="1" thickBot="1" x14ac:dyDescent="0.35">
      <c r="N57" s="213"/>
      <c r="O57" s="99" t="s">
        <v>73</v>
      </c>
      <c r="P57" s="114"/>
      <c r="Q57" s="114">
        <v>239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92</v>
      </c>
      <c r="V57" s="114">
        <v>184</v>
      </c>
      <c r="W57" s="114">
        <f t="shared" si="4"/>
        <v>0</v>
      </c>
      <c r="X57" s="114">
        <v>184</v>
      </c>
      <c r="Y57" s="114">
        <f t="shared" si="5"/>
        <v>27.5</v>
      </c>
      <c r="Z57" s="114">
        <v>239</v>
      </c>
      <c r="AA57" s="114">
        <f t="shared" si="6"/>
        <v>0</v>
      </c>
      <c r="AB57" s="114">
        <v>239</v>
      </c>
      <c r="AC57" s="114">
        <f t="shared" si="7"/>
        <v>0</v>
      </c>
      <c r="AD57" s="114">
        <v>239</v>
      </c>
      <c r="AE57" s="115">
        <f t="shared" si="8"/>
        <v>0</v>
      </c>
    </row>
    <row r="58" spans="14:31" ht="15.6" customHeight="1" x14ac:dyDescent="0.3">
      <c r="N58" s="211" t="s">
        <v>35</v>
      </c>
      <c r="O58" s="96" t="s">
        <v>65</v>
      </c>
      <c r="P58" s="104"/>
      <c r="Q58" s="104">
        <v>6572</v>
      </c>
      <c r="R58" s="104">
        <v>1907</v>
      </c>
      <c r="S58" s="104">
        <f t="shared" si="2"/>
        <v>72</v>
      </c>
      <c r="T58" s="104">
        <v>2051</v>
      </c>
      <c r="U58" s="104">
        <f t="shared" si="3"/>
        <v>454</v>
      </c>
      <c r="V58" s="104">
        <v>2959</v>
      </c>
      <c r="W58" s="104">
        <f t="shared" si="4"/>
        <v>501.5</v>
      </c>
      <c r="X58" s="104">
        <v>3962</v>
      </c>
      <c r="Y58" s="104">
        <f t="shared" si="5"/>
        <v>190</v>
      </c>
      <c r="Z58" s="104">
        <v>4342</v>
      </c>
      <c r="AA58" s="104">
        <f t="shared" si="6"/>
        <v>0</v>
      </c>
      <c r="AB58" s="104">
        <v>4342</v>
      </c>
      <c r="AC58" s="104">
        <f t="shared" si="7"/>
        <v>0</v>
      </c>
      <c r="AD58" s="104">
        <v>4342</v>
      </c>
      <c r="AE58" s="105">
        <f t="shared" si="8"/>
        <v>-2230</v>
      </c>
    </row>
    <row r="59" spans="14:31" ht="15.6" customHeight="1" x14ac:dyDescent="0.3">
      <c r="N59" s="212"/>
      <c r="O59" s="95" t="s">
        <v>66</v>
      </c>
      <c r="P59" s="106"/>
      <c r="Q59" s="106">
        <v>4813</v>
      </c>
      <c r="R59" s="106">
        <v>1256</v>
      </c>
      <c r="S59" s="106">
        <f t="shared" si="2"/>
        <v>-171</v>
      </c>
      <c r="T59" s="106">
        <v>914</v>
      </c>
      <c r="U59" s="106">
        <f t="shared" si="3"/>
        <v>399.5</v>
      </c>
      <c r="V59" s="106">
        <v>1713</v>
      </c>
      <c r="W59" s="106">
        <f t="shared" si="4"/>
        <v>829.5</v>
      </c>
      <c r="X59" s="106">
        <v>3372</v>
      </c>
      <c r="Y59" s="106">
        <f t="shared" si="5"/>
        <v>205</v>
      </c>
      <c r="Z59" s="106">
        <v>3782</v>
      </c>
      <c r="AA59" s="106">
        <f t="shared" si="6"/>
        <v>0</v>
      </c>
      <c r="AB59" s="106">
        <v>3782</v>
      </c>
      <c r="AC59" s="106">
        <f t="shared" si="7"/>
        <v>0</v>
      </c>
      <c r="AD59" s="106">
        <v>3782</v>
      </c>
      <c r="AE59" s="107">
        <f t="shared" si="8"/>
        <v>-1031</v>
      </c>
    </row>
    <row r="60" spans="14:31" ht="15.6" customHeight="1" x14ac:dyDescent="0.3">
      <c r="N60" s="212"/>
      <c r="O60" s="94" t="s">
        <v>67</v>
      </c>
      <c r="P60" s="108"/>
      <c r="Q60" s="108">
        <v>5557</v>
      </c>
      <c r="R60" s="108">
        <v>181</v>
      </c>
      <c r="S60" s="108">
        <f t="shared" si="2"/>
        <v>0</v>
      </c>
      <c r="T60" s="108">
        <v>181</v>
      </c>
      <c r="U60" s="108">
        <f t="shared" si="3"/>
        <v>124</v>
      </c>
      <c r="V60" s="108">
        <v>429</v>
      </c>
      <c r="W60" s="108">
        <f t="shared" si="4"/>
        <v>274</v>
      </c>
      <c r="X60" s="108">
        <v>977</v>
      </c>
      <c r="Y60" s="108">
        <f t="shared" si="5"/>
        <v>727</v>
      </c>
      <c r="Z60" s="108">
        <v>2431</v>
      </c>
      <c r="AA60" s="108">
        <f t="shared" si="6"/>
        <v>0</v>
      </c>
      <c r="AB60" s="108">
        <v>2431</v>
      </c>
      <c r="AC60" s="108">
        <f t="shared" si="7"/>
        <v>0</v>
      </c>
      <c r="AD60" s="108">
        <v>2431</v>
      </c>
      <c r="AE60" s="109">
        <f t="shared" si="8"/>
        <v>-3126</v>
      </c>
    </row>
    <row r="61" spans="14:31" ht="15.6" customHeight="1" thickBot="1" x14ac:dyDescent="0.3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6" customHeight="1" x14ac:dyDescent="0.3">
      <c r="N62" s="211" t="s">
        <v>39</v>
      </c>
      <c r="O62" s="96" t="s">
        <v>65</v>
      </c>
      <c r="P62" s="104"/>
      <c r="Q62" s="104">
        <v>8527.8265195441709</v>
      </c>
      <c r="R62" s="104">
        <v>528</v>
      </c>
      <c r="S62" s="104">
        <f t="shared" si="2"/>
        <v>190.5</v>
      </c>
      <c r="T62" s="104">
        <v>909</v>
      </c>
      <c r="U62" s="104">
        <f t="shared" si="3"/>
        <v>0</v>
      </c>
      <c r="V62" s="104">
        <v>909</v>
      </c>
      <c r="W62" s="104">
        <f t="shared" si="4"/>
        <v>172.5</v>
      </c>
      <c r="X62" s="104">
        <v>1254</v>
      </c>
      <c r="Y62" s="104">
        <f t="shared" si="5"/>
        <v>0</v>
      </c>
      <c r="Z62" s="104">
        <v>1254</v>
      </c>
      <c r="AA62" s="104">
        <f t="shared" si="6"/>
        <v>51.5</v>
      </c>
      <c r="AB62" s="104">
        <v>1357</v>
      </c>
      <c r="AC62" s="104">
        <f t="shared" si="7"/>
        <v>0</v>
      </c>
      <c r="AD62" s="104">
        <v>1357</v>
      </c>
      <c r="AE62" s="105">
        <f t="shared" si="8"/>
        <v>-7170.8265195441709</v>
      </c>
    </row>
    <row r="63" spans="14:31" ht="15.6" customHeight="1" x14ac:dyDescent="0.3">
      <c r="N63" s="212"/>
      <c r="O63" s="95" t="s">
        <v>66</v>
      </c>
      <c r="P63" s="106"/>
      <c r="Q63" s="106">
        <v>11033</v>
      </c>
      <c r="R63" s="106">
        <v>560</v>
      </c>
      <c r="S63" s="106">
        <f t="shared" si="2"/>
        <v>214</v>
      </c>
      <c r="T63" s="106">
        <v>988</v>
      </c>
      <c r="U63" s="106">
        <f t="shared" si="3"/>
        <v>199.5</v>
      </c>
      <c r="V63" s="106">
        <v>1387</v>
      </c>
      <c r="W63" s="106">
        <f t="shared" si="4"/>
        <v>179</v>
      </c>
      <c r="X63" s="106">
        <v>1745</v>
      </c>
      <c r="Y63" s="106">
        <f t="shared" si="5"/>
        <v>295.5</v>
      </c>
      <c r="Z63" s="106">
        <v>2336</v>
      </c>
      <c r="AA63" s="106">
        <f t="shared" si="6"/>
        <v>0</v>
      </c>
      <c r="AB63" s="106">
        <v>2336</v>
      </c>
      <c r="AC63" s="106">
        <f t="shared" si="7"/>
        <v>0</v>
      </c>
      <c r="AD63" s="106">
        <v>2336</v>
      </c>
      <c r="AE63" s="107">
        <f t="shared" si="8"/>
        <v>-8697</v>
      </c>
    </row>
    <row r="64" spans="14:31" ht="15.6" customHeight="1" x14ac:dyDescent="0.3">
      <c r="N64" s="212"/>
      <c r="O64" s="94" t="s">
        <v>67</v>
      </c>
      <c r="P64" s="108"/>
      <c r="Q64" s="108">
        <v>7526</v>
      </c>
      <c r="R64" s="108">
        <v>0</v>
      </c>
      <c r="S64" s="108">
        <f t="shared" si="2"/>
        <v>54.5</v>
      </c>
      <c r="T64" s="108">
        <v>109</v>
      </c>
      <c r="U64" s="108">
        <f t="shared" si="3"/>
        <v>108</v>
      </c>
      <c r="V64" s="108">
        <v>325</v>
      </c>
      <c r="W64" s="108">
        <f t="shared" si="4"/>
        <v>91</v>
      </c>
      <c r="X64" s="108">
        <v>507</v>
      </c>
      <c r="Y64" s="108">
        <f t="shared" si="5"/>
        <v>325.5</v>
      </c>
      <c r="Z64" s="108">
        <v>1158</v>
      </c>
      <c r="AA64" s="108">
        <f t="shared" si="6"/>
        <v>27.5</v>
      </c>
      <c r="AB64" s="108">
        <v>1213</v>
      </c>
      <c r="AC64" s="108">
        <f t="shared" si="7"/>
        <v>0</v>
      </c>
      <c r="AD64" s="108">
        <v>1213</v>
      </c>
      <c r="AE64" s="109">
        <f t="shared" si="8"/>
        <v>-6313</v>
      </c>
    </row>
    <row r="65" spans="14:31" ht="15.6" customHeight="1" thickBot="1" x14ac:dyDescent="0.35">
      <c r="N65" s="213"/>
      <c r="O65" s="99" t="s">
        <v>68</v>
      </c>
      <c r="P65" s="114"/>
      <c r="Q65" s="114">
        <v>3297.225287356322</v>
      </c>
      <c r="R65" s="114">
        <v>239</v>
      </c>
      <c r="S65" s="114">
        <f t="shared" si="2"/>
        <v>90</v>
      </c>
      <c r="T65" s="114">
        <v>419</v>
      </c>
      <c r="U65" s="114">
        <f t="shared" si="3"/>
        <v>0.5</v>
      </c>
      <c r="V65" s="114">
        <v>420</v>
      </c>
      <c r="W65" s="114">
        <f t="shared" si="4"/>
        <v>0</v>
      </c>
      <c r="X65" s="114">
        <v>420</v>
      </c>
      <c r="Y65" s="114">
        <f t="shared" si="5"/>
        <v>0</v>
      </c>
      <c r="Z65" s="114">
        <v>420</v>
      </c>
      <c r="AA65" s="114">
        <f t="shared" si="6"/>
        <v>0</v>
      </c>
      <c r="AB65" s="114">
        <v>420</v>
      </c>
      <c r="AC65" s="114">
        <f t="shared" si="7"/>
        <v>0</v>
      </c>
      <c r="AD65" s="114">
        <v>420</v>
      </c>
      <c r="AE65" s="115">
        <f t="shared" si="8"/>
        <v>-2877.225287356322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43" priority="11" operator="lessThan">
      <formula>0</formula>
    </cfRule>
    <cfRule type="cellIs" dxfId="1642" priority="12" operator="greaterThan">
      <formula>0</formula>
    </cfRule>
  </conditionalFormatting>
  <conditionalFormatting sqref="R25:AC25">
    <cfRule type="cellIs" dxfId="1641" priority="9" operator="lessThan">
      <formula>0</formula>
    </cfRule>
    <cfRule type="cellIs" dxfId="1640" priority="10" operator="greaterThan">
      <formula>0</formula>
    </cfRule>
  </conditionalFormatting>
  <conditionalFormatting sqref="R26 T26 V26 X26 Z26 AB26">
    <cfRule type="cellIs" dxfId="1639" priority="7" operator="lessThan">
      <formula>0</formula>
    </cfRule>
    <cfRule type="cellIs" dxfId="1638" priority="8" operator="greaterThan">
      <formula>0</formula>
    </cfRule>
  </conditionalFormatting>
  <conditionalFormatting sqref="AD24:AE24">
    <cfRule type="cellIs" dxfId="1637" priority="5" operator="lessThan">
      <formula>0</formula>
    </cfRule>
    <cfRule type="cellIs" dxfId="1636" priority="6" operator="greaterThan">
      <formula>0</formula>
    </cfRule>
  </conditionalFormatting>
  <conditionalFormatting sqref="AD25:AE25">
    <cfRule type="cellIs" dxfId="1635" priority="3" operator="lessThan">
      <formula>0</formula>
    </cfRule>
    <cfRule type="cellIs" dxfId="1634" priority="4" operator="greaterThan">
      <formula>0</formula>
    </cfRule>
  </conditionalFormatting>
  <conditionalFormatting sqref="AD26">
    <cfRule type="cellIs" dxfId="1633" priority="1" operator="lessThan">
      <formula>0</formula>
    </cfRule>
    <cfRule type="cellIs" dxfId="163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theme="1"/>
    <pageSetUpPr fitToPage="1"/>
  </sheetPr>
  <dimension ref="B1:AQ64"/>
  <sheetViews>
    <sheetView topLeftCell="G4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44382</v>
      </c>
    </row>
    <row r="3" spans="2:42" ht="18.75" customHeight="1" thickBot="1" x14ac:dyDescent="0.35">
      <c r="B3" t="s">
        <v>1</v>
      </c>
      <c r="C3" s="3">
        <f>C2+1</f>
        <v>44383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2466</v>
      </c>
      <c r="E6" s="18" t="s">
        <v>22</v>
      </c>
      <c r="F6" s="119">
        <v>17443</v>
      </c>
      <c r="G6" s="117">
        <v>14576.486625</v>
      </c>
      <c r="H6" s="117">
        <v>10004.034811639989</v>
      </c>
      <c r="I6" s="19">
        <f>G6+H6</f>
        <v>24580.521436639989</v>
      </c>
      <c r="J6" s="119">
        <v>18296</v>
      </c>
      <c r="K6" s="117">
        <v>15470.762624999999</v>
      </c>
      <c r="L6" s="117">
        <v>9849.9698416000101</v>
      </c>
      <c r="M6" s="19">
        <f>K6+L6</f>
        <v>25320.73246660001</v>
      </c>
      <c r="N6" s="85">
        <v>60</v>
      </c>
      <c r="O6" s="85">
        <v>41</v>
      </c>
      <c r="P6" s="92"/>
      <c r="Q6" s="20">
        <f>J6-P6</f>
        <v>18296</v>
      </c>
      <c r="R6" s="21">
        <v>1868</v>
      </c>
      <c r="S6" s="20">
        <f>IF(R6&gt;0,(R6-R7-$Q6),"")</f>
        <v>-16437</v>
      </c>
      <c r="T6" s="21">
        <v>4400</v>
      </c>
      <c r="U6" s="20">
        <f>IF(T6&gt;0,(T6-T7-$Q6),"")</f>
        <v>-13938</v>
      </c>
      <c r="V6" s="21">
        <v>5675</v>
      </c>
      <c r="W6" s="20">
        <f>IF(V6&gt;0,(V6-V7-$Q6),"")</f>
        <v>-12657</v>
      </c>
      <c r="X6" s="21">
        <v>8323</v>
      </c>
      <c r="Y6" s="20">
        <f>IF(X6&gt;0,(X6-X7-$Q6),"")</f>
        <v>-10026</v>
      </c>
      <c r="Z6" s="21">
        <v>13858</v>
      </c>
      <c r="AA6" s="20">
        <f>IF(Z6&gt;0,(Z6-Z7-$Q6),"")</f>
        <v>-4645</v>
      </c>
      <c r="AB6" s="21">
        <v>13858</v>
      </c>
      <c r="AC6" s="22">
        <f>IF(AB6&gt;0,(AB6-AB7-$Q6),"")</f>
        <v>-4645</v>
      </c>
      <c r="AD6" s="21">
        <v>13858</v>
      </c>
      <c r="AE6" s="22">
        <f>IF(AD6&gt;0,(AD6-AD7-$Q6),"")</f>
        <v>-4645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9</v>
      </c>
      <c r="S7" s="24"/>
      <c r="T7" s="25">
        <v>42</v>
      </c>
      <c r="U7" s="24"/>
      <c r="V7" s="25">
        <v>36</v>
      </c>
      <c r="W7" s="24"/>
      <c r="X7" s="25">
        <v>53</v>
      </c>
      <c r="Y7" s="24"/>
      <c r="Z7" s="25">
        <v>207</v>
      </c>
      <c r="AA7" s="24"/>
      <c r="AB7" s="25">
        <v>207</v>
      </c>
      <c r="AC7" s="26"/>
      <c r="AD7" s="25">
        <v>207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2659</v>
      </c>
      <c r="E8" s="29" t="s">
        <v>27</v>
      </c>
      <c r="F8" s="119">
        <v>15205</v>
      </c>
      <c r="G8" s="117">
        <v>6493.5725000000002</v>
      </c>
      <c r="H8" s="117">
        <v>1423.230986</v>
      </c>
      <c r="I8" s="19">
        <f>G8+H8</f>
        <v>7916.8034860000007</v>
      </c>
      <c r="J8" s="119">
        <v>15294</v>
      </c>
      <c r="K8" s="117">
        <v>6520.4375000000009</v>
      </c>
      <c r="L8" s="117">
        <v>1446.1581928999999</v>
      </c>
      <c r="M8" s="19">
        <f>K8+L8</f>
        <v>7966.5956929000004</v>
      </c>
      <c r="N8" s="87">
        <v>20</v>
      </c>
      <c r="O8" s="87">
        <v>16</v>
      </c>
      <c r="P8" s="92"/>
      <c r="Q8" s="20">
        <f>J8-P8</f>
        <v>15294</v>
      </c>
      <c r="R8" s="21">
        <v>1035</v>
      </c>
      <c r="S8" s="20">
        <f>IF(R8&gt;0,(R8-R9-$Q8),"")</f>
        <v>-14259</v>
      </c>
      <c r="T8" s="21">
        <v>14089</v>
      </c>
      <c r="U8" s="20">
        <f>IF(T8&gt;0,(T8-T9-$Q8),"")</f>
        <v>-1240</v>
      </c>
      <c r="V8" s="21">
        <v>14089</v>
      </c>
      <c r="W8" s="20">
        <f>IF(V8&gt;0,(V8-V9-$Q8),"")</f>
        <v>-1240</v>
      </c>
      <c r="X8" s="21">
        <v>14870</v>
      </c>
      <c r="Y8" s="20">
        <f>IF(X8&gt;0,(X8-X9-$Q8),"")</f>
        <v>-459</v>
      </c>
      <c r="Z8" s="21">
        <v>14870</v>
      </c>
      <c r="AA8" s="20">
        <f>IF(Z8&gt;0,(Z8-Z9-$Q8),"")</f>
        <v>-459</v>
      </c>
      <c r="AB8" s="21">
        <v>14870</v>
      </c>
      <c r="AC8" s="22">
        <f>IF(AB8&gt;0,(AB8-AB9-$Q8),"")</f>
        <v>-459</v>
      </c>
      <c r="AD8" s="21">
        <v>14870</v>
      </c>
      <c r="AE8" s="22">
        <f>IF(AD8&gt;0,(AD8-AD9-$Q8),"")</f>
        <v>-459</v>
      </c>
    </row>
    <row r="9" spans="2:42" x14ac:dyDescent="0.3">
      <c r="B9" s="28" t="s">
        <v>28</v>
      </c>
      <c r="C9" s="17">
        <v>1772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35</v>
      </c>
      <c r="U9" s="24"/>
      <c r="V9" s="30">
        <v>35</v>
      </c>
      <c r="W9" s="24"/>
      <c r="X9" s="30">
        <v>35</v>
      </c>
      <c r="Y9" s="24"/>
      <c r="Z9" s="30">
        <v>35</v>
      </c>
      <c r="AA9" s="24"/>
      <c r="AB9" s="30">
        <v>35</v>
      </c>
      <c r="AC9" s="26"/>
      <c r="AD9" s="30">
        <v>35</v>
      </c>
      <c r="AE9" s="26"/>
    </row>
    <row r="10" spans="2:42" x14ac:dyDescent="0.3">
      <c r="B10" s="16" t="s">
        <v>30</v>
      </c>
      <c r="C10" s="17">
        <v>2119</v>
      </c>
      <c r="E10" s="18" t="s">
        <v>31</v>
      </c>
      <c r="F10" s="119">
        <v>9644</v>
      </c>
      <c r="G10" s="117">
        <v>7221.9455000000016</v>
      </c>
      <c r="H10" s="117">
        <v>1724.6476375</v>
      </c>
      <c r="I10" s="19">
        <f>G10+H10</f>
        <v>8946.5931375000018</v>
      </c>
      <c r="J10" s="119">
        <v>9522</v>
      </c>
      <c r="K10" s="117">
        <v>7058.0754999999999</v>
      </c>
      <c r="L10" s="117">
        <v>1326.22541</v>
      </c>
      <c r="M10" s="19">
        <f>K10+L10</f>
        <v>8384.3009099999999</v>
      </c>
      <c r="N10" s="88">
        <v>41</v>
      </c>
      <c r="O10" s="88">
        <v>29</v>
      </c>
      <c r="P10" s="92"/>
      <c r="Q10" s="20">
        <f>J10-P10</f>
        <v>9522</v>
      </c>
      <c r="R10" s="21">
        <v>536</v>
      </c>
      <c r="S10" s="20">
        <f>IF(R10&gt;0,(R10-R11-$Q10),"")</f>
        <v>-9424</v>
      </c>
      <c r="T10" s="21">
        <v>1389</v>
      </c>
      <c r="U10" s="20">
        <f>IF(T10&gt;0,(T10-T11-$Q10),"")</f>
        <v>-8823</v>
      </c>
      <c r="V10" s="21">
        <v>2780</v>
      </c>
      <c r="W10" s="20">
        <f>IF(V10&gt;0,(V10-V11-$Q10),"")</f>
        <v>-7873</v>
      </c>
      <c r="X10" s="21">
        <v>4309</v>
      </c>
      <c r="Y10" s="20">
        <f>IF(X10&gt;0,(X10-X11-$Q10),"")</f>
        <v>-6596</v>
      </c>
      <c r="Z10" s="21">
        <v>5567</v>
      </c>
      <c r="AA10" s="20">
        <f>IF(Z10&gt;0,(Z10-Z11-$Q10),"")</f>
        <v>-5338</v>
      </c>
      <c r="AB10" s="21">
        <v>5567</v>
      </c>
      <c r="AC10" s="22">
        <f>IF(AB10&gt;0,(AB10-AB11-$Q10),"")</f>
        <v>-5338</v>
      </c>
      <c r="AD10" s="21">
        <v>5567</v>
      </c>
      <c r="AE10" s="22">
        <f>IF(AD10&gt;0,(AD10-AD11-$Q10),"")</f>
        <v>-5338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438</v>
      </c>
      <c r="S11" s="24"/>
      <c r="T11" s="30">
        <v>690</v>
      </c>
      <c r="U11" s="24"/>
      <c r="V11" s="30">
        <v>1131</v>
      </c>
      <c r="W11" s="24"/>
      <c r="X11" s="30">
        <v>1383</v>
      </c>
      <c r="Y11" s="24"/>
      <c r="Z11" s="30">
        <v>1383</v>
      </c>
      <c r="AA11" s="24"/>
      <c r="AB11" s="30">
        <v>1383</v>
      </c>
      <c r="AC11" s="26"/>
      <c r="AD11" s="30">
        <v>1383</v>
      </c>
      <c r="AE11" s="26"/>
    </row>
    <row r="12" spans="2:42" x14ac:dyDescent="0.3">
      <c r="B12" s="16" t="s">
        <v>34</v>
      </c>
      <c r="C12" s="17">
        <v>1688</v>
      </c>
      <c r="E12" s="29" t="s">
        <v>35</v>
      </c>
      <c r="F12" s="119">
        <v>12390</v>
      </c>
      <c r="G12" s="117">
        <v>12621.944750000001</v>
      </c>
      <c r="H12" s="117">
        <v>15384.972362320001</v>
      </c>
      <c r="I12" s="19">
        <f>G12+H12</f>
        <v>28006.917112319999</v>
      </c>
      <c r="J12" s="119">
        <v>12975</v>
      </c>
      <c r="K12" s="117">
        <v>13573.29225</v>
      </c>
      <c r="L12" s="117">
        <v>16279.51286596</v>
      </c>
      <c r="M12" s="19">
        <f>K12+L12</f>
        <v>29852.80511596</v>
      </c>
      <c r="N12" s="88">
        <v>49</v>
      </c>
      <c r="O12" s="88">
        <v>40</v>
      </c>
      <c r="P12" s="92"/>
      <c r="Q12" s="20">
        <f>J12-P12</f>
        <v>12975</v>
      </c>
      <c r="R12" s="21">
        <v>1981</v>
      </c>
      <c r="S12" s="20">
        <f>IF(R12&gt;0,(R12-R13-$Q12),"")</f>
        <v>-11889</v>
      </c>
      <c r="T12" s="21">
        <v>4309</v>
      </c>
      <c r="U12" s="20">
        <f>IF(T12&gt;0,(T12-T13-$Q12),"")</f>
        <v>-9561</v>
      </c>
      <c r="V12" s="21">
        <v>6553</v>
      </c>
      <c r="W12" s="20">
        <f>IF(V12&gt;0,(V12-V13-$Q12),"")</f>
        <v>-7437</v>
      </c>
      <c r="X12" s="21">
        <v>7929</v>
      </c>
      <c r="Y12" s="20">
        <f>IF(X12&gt;0,(X12-X13-$Q12),"")</f>
        <v>-6061</v>
      </c>
      <c r="Z12" s="21">
        <v>7929</v>
      </c>
      <c r="AA12" s="20">
        <f>IF(Z12&gt;0,(Z12-Z13-$Q12),"")</f>
        <v>-6061</v>
      </c>
      <c r="AB12" s="21">
        <v>7929</v>
      </c>
      <c r="AC12" s="22">
        <f>IF(AB12&gt;0,(AB12-AB13-$Q12),"")</f>
        <v>-6061</v>
      </c>
      <c r="AD12" s="21">
        <v>7929</v>
      </c>
      <c r="AE12" s="22">
        <f>IF(AD12&gt;0,(AD12-AD13-$Q12),"")</f>
        <v>-6061</v>
      </c>
    </row>
    <row r="13" spans="2:42" x14ac:dyDescent="0.3">
      <c r="B13" s="16" t="s">
        <v>36</v>
      </c>
      <c r="C13" s="17">
        <v>5008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895</v>
      </c>
      <c r="S13" s="24"/>
      <c r="T13" s="30">
        <v>895</v>
      </c>
      <c r="U13" s="24"/>
      <c r="V13" s="30">
        <v>1015</v>
      </c>
      <c r="W13" s="24"/>
      <c r="X13" s="30">
        <v>1015</v>
      </c>
      <c r="Y13" s="24"/>
      <c r="Z13" s="30">
        <v>1015</v>
      </c>
      <c r="AA13" s="24"/>
      <c r="AB13" s="30">
        <v>1015</v>
      </c>
      <c r="AC13" s="26"/>
      <c r="AD13" s="30">
        <v>1015</v>
      </c>
      <c r="AE13" s="26"/>
    </row>
    <row r="14" spans="2:42" x14ac:dyDescent="0.3">
      <c r="B14" s="16" t="s">
        <v>38</v>
      </c>
      <c r="C14" s="17">
        <v>8177</v>
      </c>
      <c r="E14" s="18" t="s">
        <v>39</v>
      </c>
      <c r="F14" s="119">
        <v>13112</v>
      </c>
      <c r="G14" s="117">
        <v>17374.5</v>
      </c>
      <c r="H14" s="117">
        <v>18247.14688184001</v>
      </c>
      <c r="I14" s="19">
        <f>G14+H14</f>
        <v>35621.64688184001</v>
      </c>
      <c r="J14" s="119">
        <v>13112</v>
      </c>
      <c r="K14" s="117">
        <v>17374.5</v>
      </c>
      <c r="L14" s="117">
        <v>18232.14688184001</v>
      </c>
      <c r="M14" s="19">
        <f>K14+L14</f>
        <v>35606.64688184001</v>
      </c>
      <c r="N14" s="88">
        <v>63</v>
      </c>
      <c r="O14" s="88">
        <v>40</v>
      </c>
      <c r="P14" s="92"/>
      <c r="Q14" s="20">
        <f>J14-P14</f>
        <v>13112</v>
      </c>
      <c r="R14" s="21">
        <v>4114</v>
      </c>
      <c r="S14" s="20">
        <f>IF(R14&gt;0,(R14-R15-$Q14),"")</f>
        <v>-13109</v>
      </c>
      <c r="T14" s="21">
        <v>6715</v>
      </c>
      <c r="U14" s="20">
        <f>IF(T14&gt;0,(T14-T15-$Q14),"")</f>
        <v>-13052</v>
      </c>
      <c r="V14" s="21">
        <v>9437</v>
      </c>
      <c r="W14" s="20">
        <f>IF(V14&gt;0,(V14-V15-$Q14),"")</f>
        <v>-13052</v>
      </c>
      <c r="X14" s="21">
        <v>13238</v>
      </c>
      <c r="Y14" s="20">
        <f>IF(X14&gt;0,(X14-X15-$Q14),"")</f>
        <v>-12678</v>
      </c>
      <c r="Z14" s="21">
        <v>16111</v>
      </c>
      <c r="AA14" s="20">
        <f>IF(Z14&gt;0,(Z14-Z15-$Q14),"")</f>
        <v>-11280</v>
      </c>
      <c r="AB14" s="21">
        <v>16504</v>
      </c>
      <c r="AC14" s="22">
        <f>IF(AB14&gt;0,(AB14-AB15-$Q14),"")</f>
        <v>-10887</v>
      </c>
      <c r="AD14" s="21">
        <v>16504</v>
      </c>
      <c r="AE14" s="22">
        <f>IF(AD14&gt;0,(AD14-AD15-$Q14),"")</f>
        <v>-10887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>
        <v>4111</v>
      </c>
      <c r="S15" s="24"/>
      <c r="T15" s="25">
        <v>6655</v>
      </c>
      <c r="U15" s="24"/>
      <c r="V15" s="25">
        <v>9377</v>
      </c>
      <c r="W15" s="24"/>
      <c r="X15" s="25">
        <v>12804</v>
      </c>
      <c r="Y15" s="24"/>
      <c r="Z15" s="25">
        <v>14279</v>
      </c>
      <c r="AA15" s="24"/>
      <c r="AB15" s="25">
        <v>14279</v>
      </c>
      <c r="AC15" s="26"/>
      <c r="AD15" s="25">
        <v>14279</v>
      </c>
      <c r="AE15" s="26"/>
    </row>
    <row r="16" spans="2:42" ht="15" customHeight="1" thickBot="1" x14ac:dyDescent="0.35">
      <c r="B16" s="28" t="s">
        <v>42</v>
      </c>
      <c r="C16" s="17">
        <v>13052</v>
      </c>
      <c r="E16" s="84"/>
      <c r="F16" s="31">
        <f t="shared" ref="F16:M16" si="0">SUM(F6:F15)</f>
        <v>67794</v>
      </c>
      <c r="G16" s="31">
        <f t="shared" si="0"/>
        <v>58288.449375000004</v>
      </c>
      <c r="H16" s="31">
        <f t="shared" si="0"/>
        <v>46784.032679299999</v>
      </c>
      <c r="I16" s="32">
        <f t="shared" si="0"/>
        <v>105072.4820543</v>
      </c>
      <c r="J16" s="33">
        <f t="shared" si="0"/>
        <v>69199</v>
      </c>
      <c r="K16" s="33">
        <f t="shared" si="0"/>
        <v>59997.067875000001</v>
      </c>
      <c r="L16" s="33">
        <f t="shared" si="0"/>
        <v>47134.013192300023</v>
      </c>
      <c r="M16" s="33">
        <f t="shared" si="0"/>
        <v>107131.08106730002</v>
      </c>
      <c r="N16" s="31">
        <f>SUM(N14,N12,N10,N8,N6)</f>
        <v>233</v>
      </c>
      <c r="O16" s="31">
        <f>SUM(O14,O12,O10,O8,O6)</f>
        <v>166</v>
      </c>
      <c r="P16" s="34">
        <f>SUM(P6:P15)</f>
        <v>0</v>
      </c>
      <c r="Q16" s="34">
        <f>SUM(Q6:Q15)</f>
        <v>69199</v>
      </c>
      <c r="R16" s="35">
        <f>R6+R8+R10+R12+R14-R7-R9-R11-R13-R15</f>
        <v>4081</v>
      </c>
      <c r="S16" s="36">
        <f>IF(R16&gt;1,(R16-$Q16),"")</f>
        <v>-65118</v>
      </c>
      <c r="T16" s="35">
        <f>T6+T8+T10+T12+T14-T7-T9-T11-T13-T15</f>
        <v>22585</v>
      </c>
      <c r="U16" s="36">
        <f>IF(T16&gt;1,(T16-$Q16),"")</f>
        <v>-46614</v>
      </c>
      <c r="V16" s="35">
        <f>V6+V8+V10+V12+V14-V7-V9-V11-V13-V15</f>
        <v>26940</v>
      </c>
      <c r="W16" s="36">
        <f>IF(V16&gt;1,(V16-$Q16),"")</f>
        <v>-42259</v>
      </c>
      <c r="X16" s="35">
        <f>X6+X8+X10+X12+X14-X7-X9-X11-X13-X15</f>
        <v>33379</v>
      </c>
      <c r="Y16" s="36">
        <f>IF(X16&gt;1,(X16-$Q16),"")</f>
        <v>-35820</v>
      </c>
      <c r="Z16" s="35">
        <f>Z6+Z8+Z10+Z12+Z14-Z7-Z9-Z11-Z13-Z15</f>
        <v>41416</v>
      </c>
      <c r="AA16" s="36">
        <f>IF(Z16&gt;1,(Z16-$Q16),"")</f>
        <v>-27783</v>
      </c>
      <c r="AB16" s="35">
        <f>AB6+AB8+AB10+AB12+AB14-AB7-AB9-AB11-AB13-AB15</f>
        <v>41809</v>
      </c>
      <c r="AC16" s="37">
        <f>IF(AB16&gt;1,(AB16-$Q16),"")</f>
        <v>-27390</v>
      </c>
      <c r="AD16" s="35">
        <f>AD6+AD8+AD10+AD12+AD14-AD7-AD9-AD11-AD13-AD15</f>
        <v>41809</v>
      </c>
      <c r="AE16" s="37">
        <f>IF(AD16&gt;1,(AD16-$Q16),"")</f>
        <v>-27390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67</v>
      </c>
      <c r="P17" s="38" t="s">
        <v>44</v>
      </c>
      <c r="Q17" s="39"/>
      <c r="R17" s="40">
        <f>R15+R13+R11+R9+R7</f>
        <v>5453</v>
      </c>
      <c r="S17" s="41"/>
      <c r="T17" s="40">
        <f>T15+T13+T11+T9+T7</f>
        <v>8317</v>
      </c>
      <c r="U17" s="41"/>
      <c r="V17" s="40">
        <f>V15+V13+V11+V9+V7</f>
        <v>11594</v>
      </c>
      <c r="W17" s="41"/>
      <c r="X17" s="40">
        <f>X15+X13+X11+X9+X7</f>
        <v>15290</v>
      </c>
      <c r="Y17" s="41"/>
      <c r="Z17" s="40">
        <f>Z15+Z13+Z11+Z9+Z7</f>
        <v>16919</v>
      </c>
      <c r="AA17" s="41"/>
      <c r="AB17" s="40">
        <f>AB15+AB13+AB11+AB9+AB7</f>
        <v>16919</v>
      </c>
      <c r="AC17" s="42"/>
      <c r="AD17" s="40">
        <f>AD15+AD13+AD11+AD9+AD7</f>
        <v>16919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2040.5</v>
      </c>
      <c r="S18" s="46"/>
      <c r="T18" s="47">
        <f>IF(T16&gt;0,(T16-R16)/2,"")</f>
        <v>9252</v>
      </c>
      <c r="U18" s="46"/>
      <c r="V18" s="47">
        <f>IF(V16&gt;0,(V16-T16)/2,"")</f>
        <v>2177.5</v>
      </c>
      <c r="W18" s="46"/>
      <c r="X18" s="47">
        <f>IF(X16&gt;0,(X16-V16)/2,"")</f>
        <v>3219.5</v>
      </c>
      <c r="Y18" s="46"/>
      <c r="Z18" s="47">
        <f>IF(Z16&gt;0,(Z16-X16)/2,"")</f>
        <v>4018.5</v>
      </c>
      <c r="AA18" s="46"/>
      <c r="AB18" s="47">
        <f>IF(AB16&gt;0,(AB16-Z16)/2,"")</f>
        <v>196.5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8529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1843</v>
      </c>
      <c r="L20" s="4"/>
      <c r="M20" s="4"/>
      <c r="Q20" s="51" t="s">
        <v>49</v>
      </c>
      <c r="R20" s="35">
        <v>7811</v>
      </c>
      <c r="S20" s="36">
        <v>-83855</v>
      </c>
      <c r="T20" s="35">
        <v>11817</v>
      </c>
      <c r="U20" s="36">
        <v>-79849</v>
      </c>
      <c r="V20" s="35">
        <v>30393</v>
      </c>
      <c r="W20" s="36">
        <v>-61273</v>
      </c>
      <c r="X20" s="35">
        <v>38524</v>
      </c>
      <c r="Y20" s="36">
        <v>-53142</v>
      </c>
      <c r="Z20" s="35">
        <v>49390</v>
      </c>
      <c r="AA20" s="36">
        <v>-42276</v>
      </c>
      <c r="AB20" s="35">
        <v>53429</v>
      </c>
      <c r="AC20" s="37">
        <v>-38237</v>
      </c>
      <c r="AD20" s="35">
        <v>53429</v>
      </c>
      <c r="AE20" s="37">
        <v>-38237</v>
      </c>
    </row>
    <row r="21" spans="2:43" ht="15" customHeight="1" thickBot="1" x14ac:dyDescent="0.35">
      <c r="B21" s="57" t="s">
        <v>52</v>
      </c>
      <c r="C21" s="58">
        <v>4463</v>
      </c>
      <c r="L21" s="4"/>
      <c r="M21" s="4"/>
      <c r="Q21" s="52"/>
      <c r="R21" s="40">
        <v>23</v>
      </c>
      <c r="S21" s="41"/>
      <c r="T21" s="40">
        <v>1273</v>
      </c>
      <c r="U21" s="41"/>
      <c r="V21" s="40">
        <v>2000</v>
      </c>
      <c r="W21" s="41"/>
      <c r="X21" s="40">
        <v>3391</v>
      </c>
      <c r="Y21" s="41"/>
      <c r="Z21" s="40">
        <v>3898</v>
      </c>
      <c r="AA21" s="41"/>
      <c r="AB21" s="40">
        <v>964</v>
      </c>
      <c r="AC21" s="42"/>
      <c r="AD21" s="40">
        <v>964</v>
      </c>
      <c r="AE21" s="42"/>
    </row>
    <row r="22" spans="2:43" ht="15" customHeight="1" thickBot="1" x14ac:dyDescent="0.35">
      <c r="L22" s="4"/>
      <c r="M22" s="4"/>
      <c r="Q22" s="54"/>
      <c r="R22" s="55">
        <v>2618</v>
      </c>
      <c r="S22" s="55"/>
      <c r="T22" s="55">
        <v>4624</v>
      </c>
      <c r="U22" s="55"/>
      <c r="V22" s="55">
        <v>3905</v>
      </c>
      <c r="W22" s="55"/>
      <c r="X22" s="55">
        <v>8894</v>
      </c>
      <c r="Y22" s="55"/>
      <c r="Z22" s="55">
        <v>3394.5</v>
      </c>
      <c r="AA22" s="55"/>
      <c r="AB22" s="55">
        <v>402</v>
      </c>
      <c r="AC22" s="56"/>
      <c r="AD22" s="55">
        <v>149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-3730</v>
      </c>
      <c r="S24" s="60"/>
      <c r="T24" s="60">
        <f>IF(T16&gt;0,T16-T20,"")</f>
        <v>10768</v>
      </c>
      <c r="U24" s="60"/>
      <c r="V24" s="60">
        <f>IF(V16&gt;0,V16-V20,"")</f>
        <v>-3453</v>
      </c>
      <c r="W24" s="60"/>
      <c r="X24" s="60">
        <f>IF(X16&gt;0,X16-X20,"")</f>
        <v>-5145</v>
      </c>
      <c r="Y24" s="60"/>
      <c r="Z24" s="60">
        <f>IF(Z16&gt;0,Z16-Z20,"")</f>
        <v>-7974</v>
      </c>
      <c r="AA24" s="60"/>
      <c r="AB24" s="60">
        <f>IF(AB16&gt;0,AB16-AB20,"")</f>
        <v>-11620</v>
      </c>
      <c r="AC24" s="61"/>
      <c r="AD24" s="60">
        <f>IF(AD16&gt;0,AD16-AD20,"")</f>
        <v>-11620</v>
      </c>
      <c r="AE24" s="61"/>
    </row>
    <row r="25" spans="2:43" x14ac:dyDescent="0.3">
      <c r="L25" s="4"/>
      <c r="M25" s="4"/>
      <c r="Q25" s="62"/>
      <c r="R25" s="63">
        <f>IF(R17&gt;=0,R17-R21,"")</f>
        <v>5430</v>
      </c>
      <c r="S25" s="64"/>
      <c r="T25" s="63">
        <f>IF(T17&gt;=0,T17-T21,"")</f>
        <v>7044</v>
      </c>
      <c r="U25" s="64"/>
      <c r="V25" s="63">
        <f>IF(V17&gt;=0,V17-V21,"")</f>
        <v>9594</v>
      </c>
      <c r="W25" s="64"/>
      <c r="X25" s="63">
        <f>IF(X17&gt;=0,X17-X21,"")</f>
        <v>11899</v>
      </c>
      <c r="Y25" s="64"/>
      <c r="Z25" s="63">
        <f>IF(Z17&gt;=0,Z17-Z21,"")</f>
        <v>13021</v>
      </c>
      <c r="AA25" s="64"/>
      <c r="AB25" s="63">
        <f>IF(AB17&gt;=0,AB17-AB21,"")</f>
        <v>15955</v>
      </c>
      <c r="AC25" s="65"/>
      <c r="AD25" s="63">
        <f>IF(AD17&gt;=0,AD17-AD21,"")</f>
        <v>15955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-577.5</v>
      </c>
      <c r="S26" s="55"/>
      <c r="T26" s="67">
        <f>IFERROR(IF(T18&gt;0,T18-T22,""),"")</f>
        <v>4628</v>
      </c>
      <c r="U26" s="55"/>
      <c r="V26" s="67">
        <f>IFERROR(IF(V18&gt;0,V18-V22,""),"")</f>
        <v>-1727.5</v>
      </c>
      <c r="W26" s="55"/>
      <c r="X26" s="67">
        <f>IFERROR(IF(X18&gt;0,X18-X22,""),"")</f>
        <v>-5674.5</v>
      </c>
      <c r="Y26" s="55"/>
      <c r="Z26" s="67">
        <f>IFERROR(IF(Z18&gt;0,Z18-Z22,""),"")</f>
        <v>624</v>
      </c>
      <c r="AA26" s="55"/>
      <c r="AB26" s="67">
        <f>IFERROR(IF(AB18&gt;0,AB18-AB22,""),"")</f>
        <v>-205.5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7881</v>
      </c>
      <c r="D29" s="76">
        <f>C14</f>
        <v>8177</v>
      </c>
      <c r="E29" s="77">
        <f>D29-C29</f>
        <v>296</v>
      </c>
      <c r="M29" s="4"/>
      <c r="O29" s="4"/>
    </row>
    <row r="30" spans="2:43" x14ac:dyDescent="0.3">
      <c r="B30" s="74" t="s">
        <v>56</v>
      </c>
      <c r="C30" s="75">
        <v>26523</v>
      </c>
      <c r="D30" s="76">
        <f>C7+C15+C16+C17+C18</f>
        <v>13052</v>
      </c>
      <c r="E30" s="77">
        <f>D30-C30</f>
        <v>-13471</v>
      </c>
      <c r="J30" s="53"/>
      <c r="L30" s="53"/>
      <c r="M30" s="4"/>
      <c r="O30" s="4"/>
    </row>
    <row r="31" spans="2:43" x14ac:dyDescent="0.3">
      <c r="B31" s="74" t="s">
        <v>21</v>
      </c>
      <c r="C31" s="75">
        <v>2466</v>
      </c>
      <c r="D31" s="76">
        <f>C6</f>
        <v>2466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10904</v>
      </c>
      <c r="D32" s="76">
        <f>C10+C11+C12+C13</f>
        <v>10904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14730</v>
      </c>
      <c r="D33" s="76">
        <f>C19+C20+C21</f>
        <v>14835</v>
      </c>
      <c r="E33" s="77">
        <f>D33-C33</f>
        <v>105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4431</v>
      </c>
      <c r="D34" s="80">
        <f>SUM(C8+C9)</f>
        <v>4431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2540</v>
      </c>
      <c r="R35" s="104">
        <v>120</v>
      </c>
      <c r="S35" s="104">
        <f t="shared" ref="S35:S64" si="1">IF(T35&gt;0,(T35-R35)/2,"")</f>
        <v>0</v>
      </c>
      <c r="T35" s="104">
        <v>120</v>
      </c>
      <c r="U35" s="104">
        <f t="shared" ref="U35:U64" si="2">IF(V35&gt;0,(V35-T35)/2,"")</f>
        <v>324</v>
      </c>
      <c r="V35" s="104">
        <v>768</v>
      </c>
      <c r="W35" s="104">
        <f t="shared" ref="W35:W64" si="3">IF(X35&gt;0,(X35-V35)/2,"")</f>
        <v>0</v>
      </c>
      <c r="X35" s="104">
        <v>768</v>
      </c>
      <c r="Y35" s="104">
        <f t="shared" ref="Y35:Y64" si="4">IF(Z35&gt;0,(Z35-X35)/2,"")</f>
        <v>306.5</v>
      </c>
      <c r="Z35" s="104">
        <v>1381</v>
      </c>
      <c r="AA35" s="104">
        <f t="shared" ref="AA35:AA64" si="5">IF(AB35&gt;0,(AB35-Z35)/2,"")</f>
        <v>0</v>
      </c>
      <c r="AB35" s="104">
        <v>1381</v>
      </c>
      <c r="AC35" s="104">
        <f t="shared" ref="AC35:AC64" si="6">IF(AD35&gt;0,(AD35-AB35)/2,"")</f>
        <v>0</v>
      </c>
      <c r="AD35" s="104">
        <v>1381</v>
      </c>
      <c r="AE35" s="105">
        <f t="shared" ref="AE35:AE64" si="7">AD35-Q35</f>
        <v>-1159</v>
      </c>
    </row>
    <row r="36" spans="2:31" ht="15.6" customHeight="1" x14ac:dyDescent="0.3">
      <c r="N36" s="212"/>
      <c r="O36" s="95" t="s">
        <v>66</v>
      </c>
      <c r="P36" s="106"/>
      <c r="Q36" s="106">
        <v>1377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258.5</v>
      </c>
      <c r="V36" s="106">
        <v>517</v>
      </c>
      <c r="W36" s="106">
        <f t="shared" si="3"/>
        <v>154.5</v>
      </c>
      <c r="X36" s="106">
        <v>826</v>
      </c>
      <c r="Y36" s="106">
        <f t="shared" si="4"/>
        <v>271.5</v>
      </c>
      <c r="Z36" s="106">
        <v>1369</v>
      </c>
      <c r="AA36" s="106">
        <f t="shared" si="5"/>
        <v>0</v>
      </c>
      <c r="AB36" s="106">
        <v>1369</v>
      </c>
      <c r="AC36" s="106">
        <f t="shared" si="6"/>
        <v>0</v>
      </c>
      <c r="AD36" s="106">
        <v>1369</v>
      </c>
      <c r="AE36" s="107">
        <f t="shared" si="7"/>
        <v>-8</v>
      </c>
    </row>
    <row r="37" spans="2:31" ht="15.6" customHeight="1" x14ac:dyDescent="0.3">
      <c r="N37" s="212"/>
      <c r="O37" s="94" t="s">
        <v>67</v>
      </c>
      <c r="P37" s="108"/>
      <c r="Q37" s="108">
        <v>2438</v>
      </c>
      <c r="R37" s="108">
        <v>28</v>
      </c>
      <c r="S37" s="108">
        <f t="shared" si="1"/>
        <v>117.5</v>
      </c>
      <c r="T37" s="108">
        <v>263</v>
      </c>
      <c r="U37" s="108">
        <f t="shared" si="2"/>
        <v>0</v>
      </c>
      <c r="V37" s="108">
        <v>263</v>
      </c>
      <c r="W37" s="108">
        <f t="shared" si="3"/>
        <v>3</v>
      </c>
      <c r="X37" s="108">
        <v>269</v>
      </c>
      <c r="Y37" s="108">
        <f t="shared" si="4"/>
        <v>231</v>
      </c>
      <c r="Z37" s="108">
        <v>731</v>
      </c>
      <c r="AA37" s="108">
        <f t="shared" si="5"/>
        <v>0</v>
      </c>
      <c r="AB37" s="108">
        <v>731</v>
      </c>
      <c r="AC37" s="108">
        <f t="shared" si="6"/>
        <v>0</v>
      </c>
      <c r="AD37" s="108">
        <v>731</v>
      </c>
      <c r="AE37" s="109">
        <f t="shared" si="7"/>
        <v>-1707</v>
      </c>
    </row>
    <row r="38" spans="2:31" ht="15.6" customHeight="1" x14ac:dyDescent="0.3">
      <c r="N38" s="212"/>
      <c r="O38" s="95" t="s">
        <v>68</v>
      </c>
      <c r="P38" s="106"/>
      <c r="Q38" s="106">
        <v>3546</v>
      </c>
      <c r="R38" s="106">
        <v>720</v>
      </c>
      <c r="S38" s="106">
        <f t="shared" si="1"/>
        <v>216.5</v>
      </c>
      <c r="T38" s="106">
        <v>1153</v>
      </c>
      <c r="U38" s="106">
        <f t="shared" si="2"/>
        <v>0</v>
      </c>
      <c r="V38" s="106">
        <v>1153</v>
      </c>
      <c r="W38" s="106">
        <f t="shared" si="3"/>
        <v>431.5</v>
      </c>
      <c r="X38" s="106">
        <v>2016</v>
      </c>
      <c r="Y38" s="106">
        <f t="shared" si="4"/>
        <v>464.5</v>
      </c>
      <c r="Z38" s="106">
        <v>2945</v>
      </c>
      <c r="AA38" s="106">
        <f t="shared" si="5"/>
        <v>0</v>
      </c>
      <c r="AB38" s="106">
        <v>2945</v>
      </c>
      <c r="AC38" s="106">
        <f t="shared" si="6"/>
        <v>0</v>
      </c>
      <c r="AD38" s="106">
        <v>2945</v>
      </c>
      <c r="AE38" s="107">
        <f t="shared" si="7"/>
        <v>-601</v>
      </c>
    </row>
    <row r="39" spans="2:31" ht="15.6" customHeight="1" x14ac:dyDescent="0.3">
      <c r="N39" s="212"/>
      <c r="O39" s="94" t="s">
        <v>69</v>
      </c>
      <c r="P39" s="108"/>
      <c r="Q39" s="108">
        <v>2292</v>
      </c>
      <c r="R39" s="108">
        <v>479</v>
      </c>
      <c r="S39" s="108">
        <f t="shared" si="1"/>
        <v>123</v>
      </c>
      <c r="T39" s="108">
        <v>725</v>
      </c>
      <c r="U39" s="108">
        <f t="shared" si="2"/>
        <v>0</v>
      </c>
      <c r="V39" s="108">
        <v>725</v>
      </c>
      <c r="W39" s="108">
        <f t="shared" si="3"/>
        <v>2</v>
      </c>
      <c r="X39" s="108">
        <v>729</v>
      </c>
      <c r="Y39" s="108">
        <f t="shared" si="4"/>
        <v>784</v>
      </c>
      <c r="Z39" s="108">
        <v>2297</v>
      </c>
      <c r="AA39" s="108">
        <f t="shared" si="5"/>
        <v>0</v>
      </c>
      <c r="AB39" s="108">
        <v>2297</v>
      </c>
      <c r="AC39" s="108">
        <f t="shared" si="6"/>
        <v>0</v>
      </c>
      <c r="AD39" s="108">
        <v>2297</v>
      </c>
      <c r="AE39" s="109">
        <f t="shared" si="7"/>
        <v>5</v>
      </c>
    </row>
    <row r="40" spans="2:31" ht="15.6" customHeight="1" x14ac:dyDescent="0.3">
      <c r="N40" s="212"/>
      <c r="O40" s="95" t="s">
        <v>70</v>
      </c>
      <c r="P40" s="106"/>
      <c r="Q40" s="106">
        <v>3456</v>
      </c>
      <c r="R40" s="106">
        <v>288</v>
      </c>
      <c r="S40" s="106">
        <f t="shared" si="1"/>
        <v>159</v>
      </c>
      <c r="T40" s="106">
        <v>606</v>
      </c>
      <c r="U40" s="106">
        <f t="shared" si="2"/>
        <v>55.5</v>
      </c>
      <c r="V40" s="106">
        <v>717</v>
      </c>
      <c r="W40" s="106">
        <f t="shared" si="3"/>
        <v>1</v>
      </c>
      <c r="X40" s="106">
        <v>719</v>
      </c>
      <c r="Y40" s="106">
        <f t="shared" si="4"/>
        <v>306.5</v>
      </c>
      <c r="Z40" s="106">
        <v>1332</v>
      </c>
      <c r="AA40" s="106">
        <f t="shared" si="5"/>
        <v>0</v>
      </c>
      <c r="AB40" s="106">
        <v>1332</v>
      </c>
      <c r="AC40" s="106">
        <f t="shared" si="6"/>
        <v>0</v>
      </c>
      <c r="AD40" s="106">
        <v>1332</v>
      </c>
      <c r="AE40" s="107">
        <f t="shared" si="7"/>
        <v>-2124</v>
      </c>
    </row>
    <row r="41" spans="2:31" ht="15.6" customHeight="1" x14ac:dyDescent="0.3">
      <c r="N41" s="212"/>
      <c r="O41" s="94" t="s">
        <v>71</v>
      </c>
      <c r="P41" s="108"/>
      <c r="Q41" s="108">
        <v>1182</v>
      </c>
      <c r="R41" s="108">
        <v>229</v>
      </c>
      <c r="S41" s="108">
        <f t="shared" si="1"/>
        <v>129</v>
      </c>
      <c r="T41" s="108">
        <v>487</v>
      </c>
      <c r="U41" s="108">
        <f t="shared" si="2"/>
        <v>0</v>
      </c>
      <c r="V41" s="108">
        <v>487</v>
      </c>
      <c r="W41" s="108">
        <f t="shared" si="3"/>
        <v>159</v>
      </c>
      <c r="X41" s="108">
        <v>805</v>
      </c>
      <c r="Y41" s="108">
        <f t="shared" si="4"/>
        <v>244</v>
      </c>
      <c r="Z41" s="108">
        <v>1293</v>
      </c>
      <c r="AA41" s="108">
        <f t="shared" si="5"/>
        <v>0</v>
      </c>
      <c r="AB41" s="108">
        <v>1293</v>
      </c>
      <c r="AC41" s="108">
        <f t="shared" si="6"/>
        <v>0</v>
      </c>
      <c r="AD41" s="108">
        <v>1293</v>
      </c>
      <c r="AE41" s="109">
        <f t="shared" si="7"/>
        <v>111</v>
      </c>
    </row>
    <row r="42" spans="2:31" ht="15.6" customHeight="1" x14ac:dyDescent="0.3">
      <c r="N42" s="212"/>
      <c r="O42" s="95" t="s">
        <v>72</v>
      </c>
      <c r="P42" s="106"/>
      <c r="Q42" s="106">
        <v>1691</v>
      </c>
      <c r="R42" s="106">
        <v>0</v>
      </c>
      <c r="S42" s="106">
        <f t="shared" si="1"/>
        <v>273</v>
      </c>
      <c r="T42" s="106">
        <v>546</v>
      </c>
      <c r="U42" s="106">
        <f t="shared" si="2"/>
        <v>0</v>
      </c>
      <c r="V42" s="106">
        <v>546</v>
      </c>
      <c r="W42" s="106">
        <f t="shared" si="3"/>
        <v>181</v>
      </c>
      <c r="X42" s="106">
        <v>908</v>
      </c>
      <c r="Y42" s="106">
        <f t="shared" si="4"/>
        <v>0</v>
      </c>
      <c r="Z42" s="106">
        <v>908</v>
      </c>
      <c r="AA42" s="106">
        <f t="shared" si="5"/>
        <v>0</v>
      </c>
      <c r="AB42" s="106">
        <v>908</v>
      </c>
      <c r="AC42" s="106">
        <f t="shared" si="6"/>
        <v>0</v>
      </c>
      <c r="AD42" s="106">
        <v>908</v>
      </c>
      <c r="AE42" s="107">
        <f t="shared" si="7"/>
        <v>-783</v>
      </c>
    </row>
    <row r="43" spans="2:31" ht="15.6" customHeight="1" thickBot="1" x14ac:dyDescent="0.35">
      <c r="N43" s="213"/>
      <c r="O43" s="97" t="s">
        <v>73</v>
      </c>
      <c r="P43" s="110"/>
      <c r="Q43" s="110">
        <v>1574</v>
      </c>
      <c r="R43" s="110">
        <v>4</v>
      </c>
      <c r="S43" s="110">
        <f t="shared" si="1"/>
        <v>248</v>
      </c>
      <c r="T43" s="110">
        <v>500</v>
      </c>
      <c r="U43" s="110">
        <f t="shared" si="2"/>
        <v>-0.5</v>
      </c>
      <c r="V43" s="110">
        <v>499</v>
      </c>
      <c r="W43" s="110">
        <f t="shared" si="3"/>
        <v>392</v>
      </c>
      <c r="X43" s="110">
        <v>1283</v>
      </c>
      <c r="Y43" s="110">
        <f t="shared" si="4"/>
        <v>159.5</v>
      </c>
      <c r="Z43" s="110">
        <v>1602</v>
      </c>
      <c r="AA43" s="110">
        <f t="shared" si="5"/>
        <v>0</v>
      </c>
      <c r="AB43" s="110">
        <v>1602</v>
      </c>
      <c r="AC43" s="110">
        <f t="shared" si="6"/>
        <v>0</v>
      </c>
      <c r="AD43" s="110">
        <v>1602</v>
      </c>
      <c r="AE43" s="111">
        <f t="shared" si="7"/>
        <v>28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4857</v>
      </c>
      <c r="R44" s="112">
        <v>1000</v>
      </c>
      <c r="S44" s="112">
        <f t="shared" si="1"/>
        <v>1928.5</v>
      </c>
      <c r="T44" s="112">
        <v>4857</v>
      </c>
      <c r="U44" s="112">
        <f t="shared" si="2"/>
        <v>0</v>
      </c>
      <c r="V44" s="112">
        <v>4857</v>
      </c>
      <c r="W44" s="112">
        <f t="shared" si="3"/>
        <v>0</v>
      </c>
      <c r="X44" s="112">
        <v>4857</v>
      </c>
      <c r="Y44" s="112">
        <f t="shared" si="4"/>
        <v>0</v>
      </c>
      <c r="Z44" s="112">
        <v>4857</v>
      </c>
      <c r="AA44" s="112">
        <f t="shared" si="5"/>
        <v>0</v>
      </c>
      <c r="AB44" s="112">
        <v>4857</v>
      </c>
      <c r="AC44" s="112">
        <f t="shared" si="6"/>
        <v>0</v>
      </c>
      <c r="AD44" s="112">
        <v>4857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3835</v>
      </c>
      <c r="R45" s="108">
        <v>32</v>
      </c>
      <c r="S45" s="108">
        <f t="shared" si="1"/>
        <v>1917.5</v>
      </c>
      <c r="T45" s="108">
        <v>3867</v>
      </c>
      <c r="U45" s="108">
        <f t="shared" si="2"/>
        <v>0</v>
      </c>
      <c r="V45" s="108">
        <v>3867</v>
      </c>
      <c r="W45" s="108">
        <f t="shared" si="3"/>
        <v>0</v>
      </c>
      <c r="X45" s="108">
        <v>3867</v>
      </c>
      <c r="Y45" s="108">
        <f t="shared" si="4"/>
        <v>0</v>
      </c>
      <c r="Z45" s="108">
        <v>3867</v>
      </c>
      <c r="AA45" s="108">
        <f t="shared" si="5"/>
        <v>0</v>
      </c>
      <c r="AB45" s="108">
        <v>3867</v>
      </c>
      <c r="AC45" s="108">
        <f t="shared" si="6"/>
        <v>0</v>
      </c>
      <c r="AD45" s="108">
        <v>3867</v>
      </c>
      <c r="AE45" s="109">
        <f t="shared" si="7"/>
        <v>32</v>
      </c>
    </row>
    <row r="46" spans="2:31" ht="15.6" customHeight="1" x14ac:dyDescent="0.3">
      <c r="N46" s="212"/>
      <c r="O46" s="95" t="s">
        <v>67</v>
      </c>
      <c r="P46" s="106"/>
      <c r="Q46" s="106">
        <v>2445</v>
      </c>
      <c r="R46" s="106">
        <v>3</v>
      </c>
      <c r="S46" s="106">
        <f t="shared" si="1"/>
        <v>602.5</v>
      </c>
      <c r="T46" s="106">
        <v>1208</v>
      </c>
      <c r="U46" s="106">
        <f t="shared" si="2"/>
        <v>0</v>
      </c>
      <c r="V46" s="106">
        <v>1208</v>
      </c>
      <c r="W46" s="106">
        <f t="shared" si="3"/>
        <v>390.5</v>
      </c>
      <c r="X46" s="106">
        <v>1989</v>
      </c>
      <c r="Y46" s="106">
        <f t="shared" si="4"/>
        <v>0</v>
      </c>
      <c r="Z46" s="106">
        <v>1989</v>
      </c>
      <c r="AA46" s="106">
        <f t="shared" si="5"/>
        <v>0</v>
      </c>
      <c r="AB46" s="106">
        <v>1989</v>
      </c>
      <c r="AC46" s="106">
        <f t="shared" si="6"/>
        <v>0</v>
      </c>
      <c r="AD46" s="106">
        <v>1989</v>
      </c>
      <c r="AE46" s="107">
        <f t="shared" si="7"/>
        <v>-456</v>
      </c>
    </row>
    <row r="47" spans="2:31" ht="15.6" customHeight="1" thickBot="1" x14ac:dyDescent="0.35">
      <c r="N47" s="213"/>
      <c r="O47" s="97" t="s">
        <v>68</v>
      </c>
      <c r="P47" s="110"/>
      <c r="Q47" s="110">
        <v>4157</v>
      </c>
      <c r="R47" s="110">
        <v>0</v>
      </c>
      <c r="S47" s="110">
        <f t="shared" si="1"/>
        <v>2078.5</v>
      </c>
      <c r="T47" s="110">
        <v>4157</v>
      </c>
      <c r="U47" s="110">
        <f t="shared" si="2"/>
        <v>0</v>
      </c>
      <c r="V47" s="110">
        <v>4157</v>
      </c>
      <c r="W47" s="110">
        <f t="shared" si="3"/>
        <v>0</v>
      </c>
      <c r="X47" s="110">
        <v>4157</v>
      </c>
      <c r="Y47" s="110">
        <f t="shared" si="4"/>
        <v>0</v>
      </c>
      <c r="Z47" s="110">
        <v>4157</v>
      </c>
      <c r="AA47" s="110">
        <f t="shared" si="5"/>
        <v>0</v>
      </c>
      <c r="AB47" s="110">
        <v>4157</v>
      </c>
      <c r="AC47" s="110">
        <f t="shared" si="6"/>
        <v>0</v>
      </c>
      <c r="AD47" s="110">
        <v>4157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217</v>
      </c>
      <c r="R48" s="112">
        <v>139</v>
      </c>
      <c r="S48" s="112">
        <f t="shared" si="1"/>
        <v>27.5</v>
      </c>
      <c r="T48" s="112">
        <v>194</v>
      </c>
      <c r="U48" s="112">
        <f t="shared" si="2"/>
        <v>37.5</v>
      </c>
      <c r="V48" s="112">
        <v>269</v>
      </c>
      <c r="W48" s="112">
        <f t="shared" si="3"/>
        <v>12.5</v>
      </c>
      <c r="X48" s="112">
        <v>294</v>
      </c>
      <c r="Y48" s="112">
        <f t="shared" si="4"/>
        <v>0</v>
      </c>
      <c r="Z48" s="112">
        <v>294</v>
      </c>
      <c r="AA48" s="112">
        <f t="shared" si="5"/>
        <v>0</v>
      </c>
      <c r="AB48" s="112">
        <v>294</v>
      </c>
      <c r="AC48" s="112">
        <f t="shared" si="6"/>
        <v>0</v>
      </c>
      <c r="AD48" s="112">
        <v>294</v>
      </c>
      <c r="AE48" s="113">
        <f t="shared" si="7"/>
        <v>77</v>
      </c>
    </row>
    <row r="49" spans="14:31" ht="15.6" customHeight="1" x14ac:dyDescent="0.3">
      <c r="N49" s="212"/>
      <c r="O49" s="94" t="s">
        <v>66</v>
      </c>
      <c r="P49" s="108"/>
      <c r="Q49" s="108">
        <v>275</v>
      </c>
      <c r="R49" s="108">
        <v>0</v>
      </c>
      <c r="S49" s="108">
        <f t="shared" si="1"/>
        <v>75.5</v>
      </c>
      <c r="T49" s="108">
        <v>151</v>
      </c>
      <c r="U49" s="108">
        <f t="shared" si="2"/>
        <v>62</v>
      </c>
      <c r="V49" s="108">
        <v>275</v>
      </c>
      <c r="W49" s="108">
        <f t="shared" si="3"/>
        <v>0</v>
      </c>
      <c r="X49" s="108">
        <v>275</v>
      </c>
      <c r="Y49" s="108">
        <f t="shared" si="4"/>
        <v>0</v>
      </c>
      <c r="Z49" s="108">
        <v>275</v>
      </c>
      <c r="AA49" s="108">
        <f t="shared" si="5"/>
        <v>0</v>
      </c>
      <c r="AB49" s="108">
        <v>275</v>
      </c>
      <c r="AC49" s="108">
        <f t="shared" si="6"/>
        <v>0</v>
      </c>
      <c r="AD49" s="108">
        <v>275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1825</v>
      </c>
      <c r="R50" s="106">
        <v>167</v>
      </c>
      <c r="S50" s="106">
        <f t="shared" si="1"/>
        <v>92.5</v>
      </c>
      <c r="T50" s="106">
        <v>352</v>
      </c>
      <c r="U50" s="106">
        <f t="shared" si="2"/>
        <v>179.5</v>
      </c>
      <c r="V50" s="106">
        <v>711</v>
      </c>
      <c r="W50" s="106">
        <f t="shared" si="3"/>
        <v>131.5</v>
      </c>
      <c r="X50" s="106">
        <v>974</v>
      </c>
      <c r="Y50" s="106">
        <f t="shared" si="4"/>
        <v>54.5</v>
      </c>
      <c r="Z50" s="106">
        <v>1083</v>
      </c>
      <c r="AA50" s="106">
        <f t="shared" si="5"/>
        <v>0</v>
      </c>
      <c r="AB50" s="106">
        <v>1083</v>
      </c>
      <c r="AC50" s="106">
        <f t="shared" si="6"/>
        <v>0</v>
      </c>
      <c r="AD50" s="106">
        <v>1083</v>
      </c>
      <c r="AE50" s="107">
        <f t="shared" si="7"/>
        <v>-742</v>
      </c>
    </row>
    <row r="51" spans="14:31" ht="15.6" customHeight="1" x14ac:dyDescent="0.3">
      <c r="N51" s="212"/>
      <c r="O51" s="94" t="s">
        <v>68</v>
      </c>
      <c r="P51" s="108"/>
      <c r="Q51" s="108">
        <v>1486</v>
      </c>
      <c r="R51" s="108">
        <v>4</v>
      </c>
      <c r="S51" s="108">
        <f t="shared" si="1"/>
        <v>0</v>
      </c>
      <c r="T51" s="108">
        <v>4</v>
      </c>
      <c r="U51" s="108">
        <f t="shared" si="2"/>
        <v>158</v>
      </c>
      <c r="V51" s="108">
        <v>320</v>
      </c>
      <c r="W51" s="108">
        <f t="shared" si="3"/>
        <v>7.5</v>
      </c>
      <c r="X51" s="108">
        <v>335</v>
      </c>
      <c r="Y51" s="108">
        <f t="shared" si="4"/>
        <v>0</v>
      </c>
      <c r="Z51" s="108">
        <v>335</v>
      </c>
      <c r="AA51" s="108">
        <f t="shared" si="5"/>
        <v>0</v>
      </c>
      <c r="AB51" s="108">
        <v>335</v>
      </c>
      <c r="AC51" s="108">
        <f t="shared" si="6"/>
        <v>0</v>
      </c>
      <c r="AD51" s="108">
        <v>335</v>
      </c>
      <c r="AE51" s="109">
        <f t="shared" si="7"/>
        <v>-1151</v>
      </c>
    </row>
    <row r="52" spans="14:31" ht="15.6" customHeight="1" x14ac:dyDescent="0.3">
      <c r="N52" s="212"/>
      <c r="O52" s="95" t="s">
        <v>69</v>
      </c>
      <c r="P52" s="106"/>
      <c r="Q52" s="106">
        <v>2615</v>
      </c>
      <c r="R52" s="106">
        <v>136</v>
      </c>
      <c r="S52" s="106">
        <f t="shared" si="1"/>
        <v>118</v>
      </c>
      <c r="T52" s="106">
        <v>372</v>
      </c>
      <c r="U52" s="106">
        <f t="shared" si="2"/>
        <v>172.5</v>
      </c>
      <c r="V52" s="106">
        <v>717</v>
      </c>
      <c r="W52" s="106">
        <f t="shared" si="3"/>
        <v>140.5</v>
      </c>
      <c r="X52" s="106">
        <v>998</v>
      </c>
      <c r="Y52" s="106">
        <f t="shared" si="4"/>
        <v>86</v>
      </c>
      <c r="Z52" s="106">
        <v>1170</v>
      </c>
      <c r="AA52" s="106">
        <f t="shared" si="5"/>
        <v>0</v>
      </c>
      <c r="AB52" s="106">
        <v>1170</v>
      </c>
      <c r="AC52" s="106">
        <f t="shared" si="6"/>
        <v>0</v>
      </c>
      <c r="AD52" s="106">
        <v>1170</v>
      </c>
      <c r="AE52" s="107">
        <f t="shared" si="7"/>
        <v>-1445</v>
      </c>
    </row>
    <row r="53" spans="14:31" ht="15.6" customHeight="1" x14ac:dyDescent="0.3">
      <c r="N53" s="212"/>
      <c r="O53" s="94" t="s">
        <v>70</v>
      </c>
      <c r="P53" s="108"/>
      <c r="Q53" s="108">
        <v>1586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299.5</v>
      </c>
      <c r="X53" s="108">
        <v>599</v>
      </c>
      <c r="Y53" s="108">
        <f t="shared" si="4"/>
        <v>488.5</v>
      </c>
      <c r="Z53" s="108">
        <v>1576</v>
      </c>
      <c r="AA53" s="108">
        <f t="shared" si="5"/>
        <v>0</v>
      </c>
      <c r="AB53" s="108">
        <v>1576</v>
      </c>
      <c r="AC53" s="108">
        <f t="shared" si="6"/>
        <v>0</v>
      </c>
      <c r="AD53" s="108">
        <v>1576</v>
      </c>
      <c r="AE53" s="109">
        <f t="shared" si="7"/>
        <v>-10</v>
      </c>
    </row>
    <row r="54" spans="14:31" ht="15.6" customHeight="1" x14ac:dyDescent="0.3">
      <c r="N54" s="212"/>
      <c r="O54" s="95" t="s">
        <v>71</v>
      </c>
      <c r="P54" s="106"/>
      <c r="Q54" s="106">
        <v>979</v>
      </c>
      <c r="R54" s="106">
        <v>88</v>
      </c>
      <c r="S54" s="106">
        <f t="shared" si="1"/>
        <v>113</v>
      </c>
      <c r="T54" s="106">
        <v>314</v>
      </c>
      <c r="U54" s="106">
        <f t="shared" si="2"/>
        <v>0</v>
      </c>
      <c r="V54" s="106">
        <v>314</v>
      </c>
      <c r="W54" s="106">
        <f t="shared" si="3"/>
        <v>0</v>
      </c>
      <c r="X54" s="106">
        <v>314</v>
      </c>
      <c r="Y54" s="106">
        <f t="shared" si="4"/>
        <v>0</v>
      </c>
      <c r="Z54" s="106">
        <v>314</v>
      </c>
      <c r="AA54" s="106">
        <f t="shared" si="5"/>
        <v>0</v>
      </c>
      <c r="AB54" s="106">
        <v>314</v>
      </c>
      <c r="AC54" s="106">
        <f t="shared" si="6"/>
        <v>0</v>
      </c>
      <c r="AD54" s="106">
        <v>314</v>
      </c>
      <c r="AE54" s="107">
        <f t="shared" si="7"/>
        <v>-665</v>
      </c>
    </row>
    <row r="55" spans="14:31" ht="15.6" customHeight="1" x14ac:dyDescent="0.3">
      <c r="N55" s="212"/>
      <c r="O55" s="94" t="s">
        <v>72</v>
      </c>
      <c r="P55" s="108"/>
      <c r="Q55" s="108">
        <v>338</v>
      </c>
      <c r="R55" s="108">
        <v>2</v>
      </c>
      <c r="S55" s="108">
        <f t="shared" si="1"/>
        <v>0</v>
      </c>
      <c r="T55" s="108">
        <v>2</v>
      </c>
      <c r="U55" s="108">
        <f t="shared" si="2"/>
        <v>86</v>
      </c>
      <c r="V55" s="108">
        <v>174</v>
      </c>
      <c r="W55" s="108">
        <f t="shared" si="3"/>
        <v>72.5</v>
      </c>
      <c r="X55" s="108">
        <v>319</v>
      </c>
      <c r="Y55" s="108">
        <f t="shared" si="4"/>
        <v>0</v>
      </c>
      <c r="Z55" s="108">
        <v>319</v>
      </c>
      <c r="AA55" s="108">
        <f t="shared" si="5"/>
        <v>0</v>
      </c>
      <c r="AB55" s="108">
        <v>319</v>
      </c>
      <c r="AC55" s="108">
        <f t="shared" si="6"/>
        <v>0</v>
      </c>
      <c r="AD55" s="108">
        <v>319</v>
      </c>
      <c r="AE55" s="109">
        <f t="shared" si="7"/>
        <v>-19</v>
      </c>
    </row>
    <row r="56" spans="14:31" ht="15.6" customHeight="1" thickBot="1" x14ac:dyDescent="0.35">
      <c r="N56" s="213"/>
      <c r="O56" s="99" t="s">
        <v>73</v>
      </c>
      <c r="P56" s="114"/>
      <c r="Q56" s="114">
        <v>201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100.5</v>
      </c>
      <c r="X56" s="114">
        <v>201</v>
      </c>
      <c r="Y56" s="114">
        <f t="shared" si="4"/>
        <v>0</v>
      </c>
      <c r="Z56" s="114">
        <v>201</v>
      </c>
      <c r="AA56" s="114">
        <f t="shared" si="5"/>
        <v>0</v>
      </c>
      <c r="AB56" s="114">
        <v>201</v>
      </c>
      <c r="AC56" s="114">
        <f t="shared" si="6"/>
        <v>0</v>
      </c>
      <c r="AD56" s="114">
        <v>201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5626</v>
      </c>
      <c r="R57" s="104">
        <v>336</v>
      </c>
      <c r="S57" s="104">
        <f t="shared" si="1"/>
        <v>444</v>
      </c>
      <c r="T57" s="104">
        <v>1224</v>
      </c>
      <c r="U57" s="104">
        <f t="shared" si="2"/>
        <v>672</v>
      </c>
      <c r="V57" s="104">
        <v>2568</v>
      </c>
      <c r="W57" s="104">
        <f t="shared" si="3"/>
        <v>291</v>
      </c>
      <c r="X57" s="104">
        <v>3150</v>
      </c>
      <c r="Y57" s="104">
        <f t="shared" si="4"/>
        <v>0</v>
      </c>
      <c r="Z57" s="104">
        <v>3150</v>
      </c>
      <c r="AA57" s="104">
        <f t="shared" si="5"/>
        <v>0</v>
      </c>
      <c r="AB57" s="104">
        <v>3150</v>
      </c>
      <c r="AC57" s="104">
        <f t="shared" si="6"/>
        <v>0</v>
      </c>
      <c r="AD57" s="104">
        <v>3150</v>
      </c>
      <c r="AE57" s="105">
        <f t="shared" si="7"/>
        <v>-2476</v>
      </c>
    </row>
    <row r="58" spans="14:31" ht="15.6" customHeight="1" x14ac:dyDescent="0.3">
      <c r="N58" s="212"/>
      <c r="O58" s="95" t="s">
        <v>66</v>
      </c>
      <c r="P58" s="106"/>
      <c r="Q58" s="106">
        <v>4430</v>
      </c>
      <c r="R58" s="106">
        <v>959</v>
      </c>
      <c r="S58" s="106">
        <f t="shared" si="1"/>
        <v>720</v>
      </c>
      <c r="T58" s="106">
        <v>2399</v>
      </c>
      <c r="U58" s="106">
        <f t="shared" si="2"/>
        <v>357</v>
      </c>
      <c r="V58" s="106">
        <v>3113</v>
      </c>
      <c r="W58" s="106">
        <f t="shared" si="3"/>
        <v>94.5</v>
      </c>
      <c r="X58" s="106">
        <v>3302</v>
      </c>
      <c r="Y58" s="106">
        <f t="shared" si="4"/>
        <v>0</v>
      </c>
      <c r="Z58" s="106">
        <v>3302</v>
      </c>
      <c r="AA58" s="106">
        <f t="shared" si="5"/>
        <v>0</v>
      </c>
      <c r="AB58" s="106">
        <v>3302</v>
      </c>
      <c r="AC58" s="106">
        <f t="shared" si="6"/>
        <v>0</v>
      </c>
      <c r="AD58" s="106">
        <v>3302</v>
      </c>
      <c r="AE58" s="107">
        <f t="shared" si="7"/>
        <v>-1128</v>
      </c>
    </row>
    <row r="59" spans="14:31" ht="15.6" customHeight="1" x14ac:dyDescent="0.3">
      <c r="N59" s="212"/>
      <c r="O59" s="94" t="s">
        <v>67</v>
      </c>
      <c r="P59" s="108"/>
      <c r="Q59" s="108">
        <v>2919</v>
      </c>
      <c r="R59" s="108">
        <v>686</v>
      </c>
      <c r="S59" s="108">
        <f t="shared" si="1"/>
        <v>0</v>
      </c>
      <c r="T59" s="108">
        <v>686</v>
      </c>
      <c r="U59" s="108">
        <f t="shared" si="2"/>
        <v>93</v>
      </c>
      <c r="V59" s="108">
        <v>872</v>
      </c>
      <c r="W59" s="108">
        <f t="shared" si="3"/>
        <v>302.5</v>
      </c>
      <c r="X59" s="108">
        <v>1477</v>
      </c>
      <c r="Y59" s="108">
        <f t="shared" si="4"/>
        <v>0</v>
      </c>
      <c r="Z59" s="108">
        <v>1477</v>
      </c>
      <c r="AA59" s="108">
        <f t="shared" si="5"/>
        <v>0</v>
      </c>
      <c r="AB59" s="108">
        <v>1477</v>
      </c>
      <c r="AC59" s="108">
        <f t="shared" si="6"/>
        <v>0</v>
      </c>
      <c r="AD59" s="108">
        <v>1477</v>
      </c>
      <c r="AE59" s="109">
        <f t="shared" si="7"/>
        <v>-1442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3450</v>
      </c>
      <c r="R61" s="104">
        <v>1169</v>
      </c>
      <c r="S61" s="104">
        <f t="shared" si="1"/>
        <v>0</v>
      </c>
      <c r="T61" s="104">
        <v>1169</v>
      </c>
      <c r="U61" s="104">
        <f t="shared" si="2"/>
        <v>108</v>
      </c>
      <c r="V61" s="104">
        <v>1385</v>
      </c>
      <c r="W61" s="104">
        <f t="shared" si="3"/>
        <v>443</v>
      </c>
      <c r="X61" s="104">
        <v>2271</v>
      </c>
      <c r="Y61" s="104">
        <f t="shared" si="4"/>
        <v>627</v>
      </c>
      <c r="Z61" s="104">
        <v>3525</v>
      </c>
      <c r="AA61" s="104">
        <f t="shared" si="5"/>
        <v>153</v>
      </c>
      <c r="AB61" s="104">
        <v>3831</v>
      </c>
      <c r="AC61" s="104">
        <f t="shared" si="6"/>
        <v>0</v>
      </c>
      <c r="AD61" s="104">
        <v>3831</v>
      </c>
      <c r="AE61" s="105">
        <f t="shared" si="7"/>
        <v>381</v>
      </c>
    </row>
    <row r="62" spans="14:31" ht="15.6" customHeight="1" x14ac:dyDescent="0.3">
      <c r="N62" s="212"/>
      <c r="O62" s="95" t="s">
        <v>66</v>
      </c>
      <c r="P62" s="106"/>
      <c r="Q62" s="106">
        <v>4872</v>
      </c>
      <c r="R62" s="106">
        <v>1680</v>
      </c>
      <c r="S62" s="106">
        <f t="shared" si="1"/>
        <v>683</v>
      </c>
      <c r="T62" s="106">
        <v>3046</v>
      </c>
      <c r="U62" s="106">
        <f t="shared" si="2"/>
        <v>560.5</v>
      </c>
      <c r="V62" s="106">
        <v>4167</v>
      </c>
      <c r="W62" s="106">
        <f t="shared" si="3"/>
        <v>568</v>
      </c>
      <c r="X62" s="106">
        <v>5303</v>
      </c>
      <c r="Y62" s="106">
        <f t="shared" si="4"/>
        <v>276</v>
      </c>
      <c r="Z62" s="106">
        <v>5855</v>
      </c>
      <c r="AA62" s="106">
        <f t="shared" si="5"/>
        <v>0</v>
      </c>
      <c r="AB62" s="106">
        <v>5855</v>
      </c>
      <c r="AC62" s="106">
        <f t="shared" si="6"/>
        <v>0</v>
      </c>
      <c r="AD62" s="106">
        <v>5855</v>
      </c>
      <c r="AE62" s="107">
        <f t="shared" si="7"/>
        <v>983</v>
      </c>
    </row>
    <row r="63" spans="14:31" ht="15.6" customHeight="1" x14ac:dyDescent="0.3">
      <c r="N63" s="212"/>
      <c r="O63" s="94" t="s">
        <v>67</v>
      </c>
      <c r="P63" s="108"/>
      <c r="Q63" s="108">
        <v>3412</v>
      </c>
      <c r="R63" s="108">
        <v>861</v>
      </c>
      <c r="S63" s="108">
        <f t="shared" si="1"/>
        <v>547.5</v>
      </c>
      <c r="T63" s="108">
        <v>1956</v>
      </c>
      <c r="U63" s="108">
        <f t="shared" si="2"/>
        <v>692.5</v>
      </c>
      <c r="V63" s="108">
        <v>3341</v>
      </c>
      <c r="W63" s="108">
        <f t="shared" si="3"/>
        <v>444</v>
      </c>
      <c r="X63" s="108">
        <v>4229</v>
      </c>
      <c r="Y63" s="108">
        <f t="shared" si="4"/>
        <v>330</v>
      </c>
      <c r="Z63" s="108">
        <v>4889</v>
      </c>
      <c r="AA63" s="108">
        <f t="shared" si="5"/>
        <v>3</v>
      </c>
      <c r="AB63" s="108">
        <v>4895</v>
      </c>
      <c r="AC63" s="108">
        <f t="shared" si="6"/>
        <v>0</v>
      </c>
      <c r="AD63" s="108">
        <v>4895</v>
      </c>
      <c r="AE63" s="109">
        <f t="shared" si="7"/>
        <v>1483</v>
      </c>
    </row>
    <row r="64" spans="14:31" ht="15.6" customHeight="1" thickBot="1" x14ac:dyDescent="0.35">
      <c r="N64" s="213"/>
      <c r="O64" s="99" t="s">
        <v>68</v>
      </c>
      <c r="P64" s="114"/>
      <c r="Q64" s="114">
        <v>932</v>
      </c>
      <c r="R64" s="114">
        <v>404</v>
      </c>
      <c r="S64" s="114">
        <f t="shared" si="1"/>
        <v>70</v>
      </c>
      <c r="T64" s="114">
        <v>544</v>
      </c>
      <c r="U64" s="114">
        <f t="shared" si="2"/>
        <v>0</v>
      </c>
      <c r="V64" s="114">
        <v>544</v>
      </c>
      <c r="W64" s="114">
        <f t="shared" si="3"/>
        <v>363.5</v>
      </c>
      <c r="X64" s="114">
        <v>1271</v>
      </c>
      <c r="Y64" s="114">
        <f t="shared" si="4"/>
        <v>0</v>
      </c>
      <c r="Z64" s="114">
        <v>1271</v>
      </c>
      <c r="AA64" s="114">
        <f t="shared" si="5"/>
        <v>0</v>
      </c>
      <c r="AB64" s="114">
        <v>1271</v>
      </c>
      <c r="AC64" s="114">
        <f t="shared" si="6"/>
        <v>0</v>
      </c>
      <c r="AD64" s="114">
        <v>1271</v>
      </c>
      <c r="AE64" s="115">
        <f t="shared" si="7"/>
        <v>339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631" priority="11" operator="lessThan">
      <formula>0</formula>
    </cfRule>
    <cfRule type="cellIs" dxfId="1630" priority="12" operator="greaterThan">
      <formula>0</formula>
    </cfRule>
  </conditionalFormatting>
  <conditionalFormatting sqref="R25:AC25">
    <cfRule type="cellIs" dxfId="1629" priority="9" operator="lessThan">
      <formula>0</formula>
    </cfRule>
    <cfRule type="cellIs" dxfId="1628" priority="10" operator="greaterThan">
      <formula>0</formula>
    </cfRule>
  </conditionalFormatting>
  <conditionalFormatting sqref="R26 T26 V26 X26 Z26 AB26">
    <cfRule type="cellIs" dxfId="1627" priority="7" operator="lessThan">
      <formula>0</formula>
    </cfRule>
    <cfRule type="cellIs" dxfId="1626" priority="8" operator="greaterThan">
      <formula>0</formula>
    </cfRule>
  </conditionalFormatting>
  <conditionalFormatting sqref="AD24:AE24">
    <cfRule type="cellIs" dxfId="1625" priority="5" operator="lessThan">
      <formula>0</formula>
    </cfRule>
    <cfRule type="cellIs" dxfId="1624" priority="6" operator="greaterThan">
      <formula>0</formula>
    </cfRule>
  </conditionalFormatting>
  <conditionalFormatting sqref="AD25:AE25">
    <cfRule type="cellIs" dxfId="1623" priority="3" operator="lessThan">
      <formula>0</formula>
    </cfRule>
    <cfRule type="cellIs" dxfId="1622" priority="4" operator="greaterThan">
      <formula>0</formula>
    </cfRule>
  </conditionalFormatting>
  <conditionalFormatting sqref="AD26">
    <cfRule type="cellIs" dxfId="1621" priority="1" operator="lessThan">
      <formula>0</formula>
    </cfRule>
    <cfRule type="cellIs" dxfId="162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44383</v>
      </c>
    </row>
    <row r="3" spans="2:42" ht="18.75" customHeight="1" thickBot="1" x14ac:dyDescent="0.35">
      <c r="B3" t="s">
        <v>1</v>
      </c>
      <c r="C3" s="3">
        <f>C2+1</f>
        <v>44384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5914</v>
      </c>
      <c r="E6" s="18" t="s">
        <v>22</v>
      </c>
      <c r="F6" s="119">
        <v>20143</v>
      </c>
      <c r="G6" s="117">
        <v>16667.834999999999</v>
      </c>
      <c r="H6" s="117">
        <v>12411.180605159991</v>
      </c>
      <c r="I6" s="19">
        <f>G6+H6</f>
        <v>29079.015605159992</v>
      </c>
      <c r="J6" s="119">
        <v>18746</v>
      </c>
      <c r="K6" s="117">
        <v>16350.81925</v>
      </c>
      <c r="L6" s="117">
        <v>11558.669044880009</v>
      </c>
      <c r="M6" s="19">
        <f>K6+L6</f>
        <v>27909.488294880008</v>
      </c>
      <c r="N6" s="85">
        <v>57</v>
      </c>
      <c r="O6" s="85">
        <v>50</v>
      </c>
      <c r="P6" s="92"/>
      <c r="Q6" s="20">
        <f>J6-P6</f>
        <v>18746</v>
      </c>
      <c r="R6" s="21">
        <v>2253</v>
      </c>
      <c r="S6" s="20">
        <f>IF(R6&gt;0,(R6-R7-$Q6),"")</f>
        <v>-16497</v>
      </c>
      <c r="T6" s="21">
        <v>6918</v>
      </c>
      <c r="U6" s="20">
        <f>IF(T6&gt;0,(T6-T7-$Q6),"")</f>
        <v>-11851</v>
      </c>
      <c r="V6" s="21">
        <v>10905</v>
      </c>
      <c r="W6" s="20">
        <f>IF(V6&gt;0,(V6-V7-$Q6),"")</f>
        <v>-7912</v>
      </c>
      <c r="X6" s="21">
        <v>17299</v>
      </c>
      <c r="Y6" s="20">
        <f>IF(X6&gt;0,(X6-X7-$Q6),"")</f>
        <v>-1558</v>
      </c>
      <c r="Z6" s="21">
        <v>17577</v>
      </c>
      <c r="AA6" s="20">
        <f>IF(Z6&gt;0,(Z6-Z7-$Q6),"")</f>
        <v>-1342</v>
      </c>
      <c r="AB6" s="21">
        <v>17577</v>
      </c>
      <c r="AC6" s="22">
        <f>IF(AB6&gt;0,(AB6-AB7-$Q6),"")</f>
        <v>-1342</v>
      </c>
      <c r="AD6" s="21">
        <v>17577</v>
      </c>
      <c r="AE6" s="22">
        <f>IF(AD6&gt;0,(AD6-AD7-$Q6),"")</f>
        <v>-1342</v>
      </c>
    </row>
    <row r="7" spans="2:42" x14ac:dyDescent="0.3">
      <c r="B7" s="16" t="s">
        <v>23</v>
      </c>
      <c r="C7" s="17">
        <v>2957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7</v>
      </c>
      <c r="P7" s="93" t="s">
        <v>24</v>
      </c>
      <c r="Q7" s="24"/>
      <c r="R7" s="25">
        <v>4</v>
      </c>
      <c r="S7" s="24"/>
      <c r="T7" s="25">
        <v>23</v>
      </c>
      <c r="U7" s="24"/>
      <c r="V7" s="25">
        <v>71</v>
      </c>
      <c r="W7" s="24"/>
      <c r="X7" s="25">
        <v>111</v>
      </c>
      <c r="Y7" s="24"/>
      <c r="Z7" s="25">
        <v>173</v>
      </c>
      <c r="AA7" s="24"/>
      <c r="AB7" s="25">
        <v>173</v>
      </c>
      <c r="AC7" s="26"/>
      <c r="AD7" s="25">
        <v>173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2407</v>
      </c>
      <c r="E8" s="29" t="s">
        <v>27</v>
      </c>
      <c r="F8" s="119">
        <v>15295</v>
      </c>
      <c r="G8" s="117">
        <v>6571.9324999999999</v>
      </c>
      <c r="H8" s="117">
        <v>1448.7828509999999</v>
      </c>
      <c r="I8" s="19">
        <f>G8+H8</f>
        <v>8020.7153509999998</v>
      </c>
      <c r="J8" s="119">
        <v>14293</v>
      </c>
      <c r="K8" s="117">
        <v>6107.8864999999987</v>
      </c>
      <c r="L8" s="117">
        <v>1355.811956</v>
      </c>
      <c r="M8" s="19">
        <f>K8+L8</f>
        <v>7463.6984559999983</v>
      </c>
      <c r="N8" s="87">
        <v>23</v>
      </c>
      <c r="O8" s="87">
        <v>20</v>
      </c>
      <c r="P8" s="92"/>
      <c r="Q8" s="20">
        <f>J8-P8</f>
        <v>14293</v>
      </c>
      <c r="R8" s="21">
        <v>1000</v>
      </c>
      <c r="S8" s="20">
        <f>IF(R8&gt;0,(R8-R9-$Q8),"")</f>
        <v>-13293</v>
      </c>
      <c r="T8" s="21">
        <v>1000</v>
      </c>
      <c r="U8" s="20">
        <f>IF(T8&gt;0,(T8-T9-$Q8),"")</f>
        <v>-13293</v>
      </c>
      <c r="V8" s="21">
        <v>12305</v>
      </c>
      <c r="W8" s="20">
        <f>IF(V8&gt;0,(V8-V9-$Q8),"")</f>
        <v>-1988</v>
      </c>
      <c r="X8" s="21">
        <v>12984</v>
      </c>
      <c r="Y8" s="20">
        <f>IF(X8&gt;0,(X8-X9-$Q8),"")</f>
        <v>-1309</v>
      </c>
      <c r="Z8" s="21">
        <v>13886</v>
      </c>
      <c r="AA8" s="20">
        <f>IF(Z8&gt;0,(Z8-Z9-$Q8),"")</f>
        <v>-407</v>
      </c>
      <c r="AB8" s="21">
        <v>13886</v>
      </c>
      <c r="AC8" s="22">
        <f>IF(AB8&gt;0,(AB8-AB9-$Q8),"")</f>
        <v>-407</v>
      </c>
      <c r="AD8" s="21">
        <v>13886</v>
      </c>
      <c r="AE8" s="22">
        <f>IF(AD8&gt;0,(AD8-AD9-$Q8),"")</f>
        <v>-407</v>
      </c>
    </row>
    <row r="9" spans="2:42" x14ac:dyDescent="0.3">
      <c r="B9" s="28" t="s">
        <v>28</v>
      </c>
      <c r="C9" s="17">
        <v>1521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6436</v>
      </c>
      <c r="E10" s="18" t="s">
        <v>31</v>
      </c>
      <c r="F10" s="119">
        <v>19681</v>
      </c>
      <c r="G10" s="117">
        <v>15107.66</v>
      </c>
      <c r="H10" s="117">
        <v>1905.9848125000001</v>
      </c>
      <c r="I10" s="19">
        <f>G10+H10</f>
        <v>17013.644812499999</v>
      </c>
      <c r="J10" s="119">
        <v>19131</v>
      </c>
      <c r="K10" s="117">
        <v>14553.65675</v>
      </c>
      <c r="L10" s="117">
        <v>1754.9626375</v>
      </c>
      <c r="M10" s="19">
        <f>K10+L10</f>
        <v>16308.619387500001</v>
      </c>
      <c r="N10" s="88">
        <v>44</v>
      </c>
      <c r="O10" s="88">
        <v>33</v>
      </c>
      <c r="P10" s="92"/>
      <c r="Q10" s="20">
        <f>J10-P10</f>
        <v>19131</v>
      </c>
      <c r="R10" s="21">
        <v>3445</v>
      </c>
      <c r="S10" s="20">
        <f>IF(R10&gt;0,(R10-R11-$Q10),"")</f>
        <v>-15686</v>
      </c>
      <c r="T10" s="21">
        <v>5345</v>
      </c>
      <c r="U10" s="20">
        <f>IF(T10&gt;0,(T10-T11-$Q10),"")</f>
        <v>-13786</v>
      </c>
      <c r="V10" s="21">
        <v>8128</v>
      </c>
      <c r="W10" s="20">
        <f>IF(V10&gt;0,(V10-V11-$Q10),"")</f>
        <v>-11795</v>
      </c>
      <c r="X10" s="21">
        <v>10800</v>
      </c>
      <c r="Y10" s="20">
        <f>IF(X10&gt;0,(X10-X11-$Q10),"")</f>
        <v>-9552</v>
      </c>
      <c r="Z10" s="21">
        <v>13479</v>
      </c>
      <c r="AA10" s="20">
        <f>IF(Z10&gt;0,(Z10-Z11-$Q10),"")</f>
        <v>-6821</v>
      </c>
      <c r="AB10" s="21">
        <v>13671</v>
      </c>
      <c r="AC10" s="22">
        <f>IF(AB10&gt;0,(AB10-AB11-$Q10),"")</f>
        <v>-6729</v>
      </c>
      <c r="AD10" s="21">
        <v>13671</v>
      </c>
      <c r="AE10" s="22">
        <f>IF(AD10&gt;0,(AD10-AD11-$Q10),"")</f>
        <v>-6729</v>
      </c>
    </row>
    <row r="11" spans="2:42" x14ac:dyDescent="0.3">
      <c r="B11" s="16" t="s">
        <v>32</v>
      </c>
      <c r="C11" s="17">
        <v>2154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792</v>
      </c>
      <c r="W11" s="24"/>
      <c r="X11" s="30">
        <v>1221</v>
      </c>
      <c r="Y11" s="24"/>
      <c r="Z11" s="30">
        <v>1169</v>
      </c>
      <c r="AA11" s="24"/>
      <c r="AB11" s="30">
        <v>1269</v>
      </c>
      <c r="AC11" s="26"/>
      <c r="AD11" s="30">
        <v>1269</v>
      </c>
      <c r="AE11" s="26"/>
    </row>
    <row r="12" spans="2:42" x14ac:dyDescent="0.3">
      <c r="B12" s="16" t="s">
        <v>34</v>
      </c>
      <c r="C12" s="17">
        <v>1764</v>
      </c>
      <c r="E12" s="29" t="s">
        <v>35</v>
      </c>
      <c r="F12" s="119">
        <v>14812</v>
      </c>
      <c r="G12" s="117">
        <v>12140.495999999999</v>
      </c>
      <c r="H12" s="117">
        <v>16918.065347439999</v>
      </c>
      <c r="I12" s="19">
        <f>G12+H12</f>
        <v>29058.561347439998</v>
      </c>
      <c r="J12" s="119">
        <v>14245</v>
      </c>
      <c r="K12" s="117">
        <v>11825.79775</v>
      </c>
      <c r="L12" s="117">
        <v>15929.5082439</v>
      </c>
      <c r="M12" s="19">
        <f>K12+L12</f>
        <v>27755.305993900001</v>
      </c>
      <c r="N12" s="88">
        <v>47</v>
      </c>
      <c r="O12" s="88">
        <v>42</v>
      </c>
      <c r="P12" s="92"/>
      <c r="Q12" s="20">
        <f>J12-P12</f>
        <v>14245</v>
      </c>
      <c r="R12" s="21">
        <v>2691</v>
      </c>
      <c r="S12" s="20">
        <f>IF(R12&gt;0,(R12-R13-$Q12),"")</f>
        <v>-11912</v>
      </c>
      <c r="T12" s="21">
        <v>5441</v>
      </c>
      <c r="U12" s="20">
        <f>IF(T12&gt;0,(T12-T13-$Q12),"")</f>
        <v>-9620</v>
      </c>
      <c r="V12" s="21">
        <v>6681</v>
      </c>
      <c r="W12" s="20">
        <f>IF(V12&gt;0,(V12-V13-$Q12),"")</f>
        <v>-8739</v>
      </c>
      <c r="X12" s="21">
        <v>7712</v>
      </c>
      <c r="Y12" s="20">
        <f>IF(X12&gt;0,(X12-X13-$Q12),"")</f>
        <v>-7760</v>
      </c>
      <c r="Z12" s="21">
        <v>7712</v>
      </c>
      <c r="AA12" s="20">
        <f>IF(Z12&gt;0,(Z12-Z13-$Q12),"")</f>
        <v>-7760</v>
      </c>
      <c r="AB12" s="21">
        <v>7712</v>
      </c>
      <c r="AC12" s="22">
        <f>IF(AB12&gt;0,(AB12-AB13-$Q12),"")</f>
        <v>-7760</v>
      </c>
      <c r="AD12" s="21">
        <v>7712</v>
      </c>
      <c r="AE12" s="22">
        <f>IF(AD12&gt;0,(AD12-AD13-$Q12),"")</f>
        <v>-7760</v>
      </c>
    </row>
    <row r="13" spans="2:42" x14ac:dyDescent="0.3">
      <c r="B13" s="16" t="s">
        <v>36</v>
      </c>
      <c r="C13" s="17">
        <v>5280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5</v>
      </c>
      <c r="P13" s="93" t="s">
        <v>37</v>
      </c>
      <c r="Q13" s="24"/>
      <c r="R13" s="30">
        <v>358</v>
      </c>
      <c r="S13" s="24"/>
      <c r="T13" s="30">
        <v>816</v>
      </c>
      <c r="U13" s="24"/>
      <c r="V13" s="30">
        <v>1175</v>
      </c>
      <c r="W13" s="24"/>
      <c r="X13" s="30">
        <v>1227</v>
      </c>
      <c r="Y13" s="24"/>
      <c r="Z13" s="30">
        <v>1227</v>
      </c>
      <c r="AA13" s="24"/>
      <c r="AB13" s="30">
        <v>1227</v>
      </c>
      <c r="AC13" s="26"/>
      <c r="AD13" s="30">
        <v>1227</v>
      </c>
      <c r="AE13" s="26"/>
    </row>
    <row r="14" spans="2:42" x14ac:dyDescent="0.3">
      <c r="B14" s="16" t="s">
        <v>38</v>
      </c>
      <c r="C14" s="17">
        <v>7500</v>
      </c>
      <c r="E14" s="18" t="s">
        <v>39</v>
      </c>
      <c r="F14" s="119">
        <v>25559</v>
      </c>
      <c r="G14" s="117">
        <v>19158.25</v>
      </c>
      <c r="H14" s="117">
        <v>23835.11442043502</v>
      </c>
      <c r="I14" s="19">
        <f>G14+H14</f>
        <v>42993.36442043502</v>
      </c>
      <c r="J14" s="119">
        <v>25879</v>
      </c>
      <c r="K14" s="117">
        <v>19574.4375</v>
      </c>
      <c r="L14" s="117">
        <v>24205.892396734998</v>
      </c>
      <c r="M14" s="19">
        <f>K14+L14</f>
        <v>43780.329896734998</v>
      </c>
      <c r="N14" s="88">
        <v>56</v>
      </c>
      <c r="O14" s="88">
        <v>36</v>
      </c>
      <c r="P14" s="92"/>
      <c r="Q14" s="20">
        <f>J14-P14</f>
        <v>25879</v>
      </c>
      <c r="R14" s="21">
        <v>4483</v>
      </c>
      <c r="S14" s="20">
        <f>IF(R14&gt;0,(R14-R15-$Q14),"")</f>
        <v>-25101</v>
      </c>
      <c r="T14" s="21">
        <v>7891</v>
      </c>
      <c r="U14" s="20">
        <f>IF(T14&gt;0,(T14-T15-$Q14),"")</f>
        <v>-24473</v>
      </c>
      <c r="V14" s="21">
        <v>9252</v>
      </c>
      <c r="W14" s="20">
        <f>IF(V14&gt;0,(V14-V15-$Q14),"")</f>
        <v>-24159</v>
      </c>
      <c r="X14" s="21">
        <v>11568</v>
      </c>
      <c r="Y14" s="20">
        <f>IF(X14&gt;0,(X14-X15-$Q14),"")</f>
        <v>-23503</v>
      </c>
      <c r="Z14" s="21">
        <v>13792</v>
      </c>
      <c r="AA14" s="20">
        <f>IF(Z14&gt;0,(Z14-Z15-$Q14),"")</f>
        <v>-22082</v>
      </c>
      <c r="AB14" s="21">
        <v>14318</v>
      </c>
      <c r="AC14" s="22">
        <f>IF(AB14&gt;0,(AB14-AB15-$Q14),"")</f>
        <v>-21556</v>
      </c>
      <c r="AD14" s="21">
        <v>14318</v>
      </c>
      <c r="AE14" s="22">
        <f>IF(AD14&gt;0,(AD14-AD15-$Q14),"")</f>
        <v>-21556</v>
      </c>
    </row>
    <row r="15" spans="2:42" ht="15" customHeight="1" thickBot="1" x14ac:dyDescent="0.3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3705</v>
      </c>
      <c r="S15" s="24"/>
      <c r="T15" s="25">
        <v>6485</v>
      </c>
      <c r="U15" s="24"/>
      <c r="V15" s="25">
        <v>7532</v>
      </c>
      <c r="W15" s="24"/>
      <c r="X15" s="25">
        <v>9192</v>
      </c>
      <c r="Y15" s="24"/>
      <c r="Z15" s="25">
        <v>9995</v>
      </c>
      <c r="AA15" s="24"/>
      <c r="AB15" s="25">
        <v>9995</v>
      </c>
      <c r="AC15" s="26"/>
      <c r="AD15" s="25">
        <v>9995</v>
      </c>
      <c r="AE15" s="26"/>
    </row>
    <row r="16" spans="2:42" ht="15" customHeight="1" thickBot="1" x14ac:dyDescent="0.35">
      <c r="B16" s="28" t="s">
        <v>42</v>
      </c>
      <c r="C16" s="17">
        <v>19242</v>
      </c>
      <c r="E16" s="84"/>
      <c r="F16" s="31">
        <f t="shared" ref="F16:M16" si="0">SUM(F6:F15)</f>
        <v>95490</v>
      </c>
      <c r="G16" s="31">
        <f t="shared" si="0"/>
        <v>69646.173500000004</v>
      </c>
      <c r="H16" s="31">
        <f t="shared" si="0"/>
        <v>56519.12803653501</v>
      </c>
      <c r="I16" s="32">
        <f t="shared" si="0"/>
        <v>126165.301536535</v>
      </c>
      <c r="J16" s="33">
        <f t="shared" si="0"/>
        <v>92294</v>
      </c>
      <c r="K16" s="33">
        <f t="shared" si="0"/>
        <v>68412.597750000001</v>
      </c>
      <c r="L16" s="33">
        <f t="shared" si="0"/>
        <v>54804.844279015007</v>
      </c>
      <c r="M16" s="33">
        <f t="shared" si="0"/>
        <v>123217.44202901502</v>
      </c>
      <c r="N16" s="31">
        <f>SUM(N14,N12,N10,N8,N6)</f>
        <v>227</v>
      </c>
      <c r="O16" s="31">
        <f>SUM(O14,O12,O10,O8,O6)</f>
        <v>181</v>
      </c>
      <c r="P16" s="34">
        <f>SUM(P6:P15)</f>
        <v>0</v>
      </c>
      <c r="Q16" s="34">
        <f>SUM(Q6:Q15)</f>
        <v>92294</v>
      </c>
      <c r="R16" s="35">
        <f>R6+R8+R10+R12+R14-R7-R9-R11-R13-R15</f>
        <v>9805</v>
      </c>
      <c r="S16" s="36">
        <f>IF(R16&gt;1,(R16-$Q16),"")</f>
        <v>-82489</v>
      </c>
      <c r="T16" s="35">
        <f>T6+T8+T10+T12+T14-T7-T9-T11-T13-T15</f>
        <v>19271</v>
      </c>
      <c r="U16" s="36">
        <f>IF(T16&gt;1,(T16-$Q16),"")</f>
        <v>-73023</v>
      </c>
      <c r="V16" s="35">
        <f>V6+V8+V10+V12+V14-V7-V9-V11-V13-V15</f>
        <v>37701</v>
      </c>
      <c r="W16" s="36">
        <f>IF(V16&gt;1,(V16-$Q16),"")</f>
        <v>-54593</v>
      </c>
      <c r="X16" s="35">
        <f>X6+X8+X10+X12+X14-X7-X9-X11-X13-X15</f>
        <v>48612</v>
      </c>
      <c r="Y16" s="36">
        <f>IF(X16&gt;1,(X16-$Q16),"")</f>
        <v>-43682</v>
      </c>
      <c r="Z16" s="35">
        <f>Z6+Z8+Z10+Z12+Z14-Z7-Z9-Z11-Z13-Z15</f>
        <v>53882</v>
      </c>
      <c r="AA16" s="36">
        <f>IF(Z16&gt;1,(Z16-$Q16),"")</f>
        <v>-38412</v>
      </c>
      <c r="AB16" s="35">
        <f>AB6+AB8+AB10+AB12+AB14-AB7-AB9-AB11-AB13-AB15</f>
        <v>54500</v>
      </c>
      <c r="AC16" s="37">
        <f>IF(AB16&gt;1,(AB16-$Q16),"")</f>
        <v>-37794</v>
      </c>
      <c r="AD16" s="35">
        <f>AD6+AD8+AD10+AD12+AD14-AD7-AD9-AD11-AD13-AD15</f>
        <v>54500</v>
      </c>
      <c r="AE16" s="37">
        <f>IF(AD16&gt;1,(AD16-$Q16),"")</f>
        <v>-37794</v>
      </c>
    </row>
    <row r="17" spans="2:43" s="4" customFormat="1" ht="15" customHeight="1" thickBot="1" x14ac:dyDescent="0.35">
      <c r="B17" s="43" t="s">
        <v>47</v>
      </c>
      <c r="C17" s="17">
        <v>1216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4067</v>
      </c>
      <c r="S17" s="41"/>
      <c r="T17" s="40">
        <f>T15+T13+T11+T9+T7</f>
        <v>7324</v>
      </c>
      <c r="U17" s="41"/>
      <c r="V17" s="40">
        <f>V15+V13+V11+V9+V7</f>
        <v>9570</v>
      </c>
      <c r="W17" s="41"/>
      <c r="X17" s="40">
        <f>X15+X13+X11+X9+X7</f>
        <v>11751</v>
      </c>
      <c r="Y17" s="41"/>
      <c r="Z17" s="40">
        <f>Z15+Z13+Z11+Z9+Z7</f>
        <v>12564</v>
      </c>
      <c r="AA17" s="41"/>
      <c r="AB17" s="40">
        <f>AB15+AB13+AB11+AB9+AB7</f>
        <v>12664</v>
      </c>
      <c r="AC17" s="42"/>
      <c r="AD17" s="40">
        <f>AD15+AD13+AD11+AD9+AD7</f>
        <v>12664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578</v>
      </c>
      <c r="P18" s="45" t="s">
        <v>46</v>
      </c>
      <c r="Q18" s="46"/>
      <c r="R18" s="47">
        <f>IF(R16&gt;0,(R16)/2,"")</f>
        <v>4902.5</v>
      </c>
      <c r="S18" s="46"/>
      <c r="T18" s="47">
        <f>IF(T16&gt;0,(T16-R16)/2,"")</f>
        <v>4733</v>
      </c>
      <c r="U18" s="46"/>
      <c r="V18" s="47">
        <f>IF(V16&gt;0,(V16-T16)/2,"")</f>
        <v>9215</v>
      </c>
      <c r="W18" s="46"/>
      <c r="X18" s="47">
        <f>IF(X16&gt;0,(X16-V16)/2,"")</f>
        <v>5455.5</v>
      </c>
      <c r="Y18" s="46"/>
      <c r="Z18" s="47">
        <f>IF(Z16&gt;0,(Z16-X16)/2,"")</f>
        <v>2635</v>
      </c>
      <c r="AA18" s="46"/>
      <c r="AB18" s="47">
        <f>IF(AB16&gt;0,(AB16-Z16)/2,"")</f>
        <v>309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8125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1242</v>
      </c>
      <c r="L20" s="4"/>
      <c r="M20" s="4"/>
      <c r="Q20" s="51" t="s">
        <v>49</v>
      </c>
      <c r="R20" s="35">
        <v>4081</v>
      </c>
      <c r="S20" s="36"/>
      <c r="T20" s="35">
        <v>22585</v>
      </c>
      <c r="U20" s="36"/>
      <c r="V20" s="35">
        <v>26940</v>
      </c>
      <c r="W20" s="36"/>
      <c r="X20" s="35">
        <v>33379</v>
      </c>
      <c r="Y20" s="36"/>
      <c r="Z20" s="35">
        <v>41416</v>
      </c>
      <c r="AA20" s="36"/>
      <c r="AB20" s="35">
        <v>41809</v>
      </c>
      <c r="AC20" s="37"/>
      <c r="AD20" s="35">
        <v>41809</v>
      </c>
      <c r="AE20" s="37">
        <v>-27390</v>
      </c>
    </row>
    <row r="21" spans="2:43" ht="15" customHeight="1" thickBot="1" x14ac:dyDescent="0.35">
      <c r="B21" s="57" t="s">
        <v>52</v>
      </c>
      <c r="C21" s="58">
        <v>4519</v>
      </c>
      <c r="L21" s="4"/>
      <c r="M21" s="4"/>
      <c r="Q21" s="52"/>
      <c r="R21" s="40">
        <v>5453</v>
      </c>
      <c r="S21" s="41"/>
      <c r="T21" s="40">
        <v>8317</v>
      </c>
      <c r="U21" s="41"/>
      <c r="V21" s="40">
        <v>11594</v>
      </c>
      <c r="W21" s="41"/>
      <c r="X21" s="40">
        <v>15290</v>
      </c>
      <c r="Y21" s="41"/>
      <c r="Z21" s="40">
        <v>16919</v>
      </c>
      <c r="AA21" s="41"/>
      <c r="AB21" s="40">
        <v>16919</v>
      </c>
      <c r="AC21" s="42"/>
      <c r="AD21" s="40">
        <v>16919</v>
      </c>
      <c r="AE21" s="42"/>
    </row>
    <row r="22" spans="2:43" ht="15" customHeight="1" thickBot="1" x14ac:dyDescent="0.35">
      <c r="L22" s="4"/>
      <c r="M22" s="4"/>
      <c r="Q22" s="54"/>
      <c r="R22" s="55">
        <v>2040.5</v>
      </c>
      <c r="S22" s="55"/>
      <c r="T22" s="55">
        <v>9252</v>
      </c>
      <c r="U22" s="55"/>
      <c r="V22" s="55">
        <v>2177.5</v>
      </c>
      <c r="W22" s="55"/>
      <c r="X22" s="55">
        <v>3219.5</v>
      </c>
      <c r="Y22" s="55"/>
      <c r="Z22" s="55">
        <v>4018.5</v>
      </c>
      <c r="AA22" s="55"/>
      <c r="AB22" s="55">
        <v>196.5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5724</v>
      </c>
      <c r="S24" s="60"/>
      <c r="T24" s="60">
        <f>IF(T16&gt;0,T16-T20,"")</f>
        <v>-3314</v>
      </c>
      <c r="U24" s="60"/>
      <c r="V24" s="60">
        <f>IF(V16&gt;0,V16-V20,"")</f>
        <v>10761</v>
      </c>
      <c r="W24" s="60"/>
      <c r="X24" s="60">
        <f>IF(X16&gt;0,X16-X20,"")</f>
        <v>15233</v>
      </c>
      <c r="Y24" s="60"/>
      <c r="Z24" s="60">
        <f>IF(Z16&gt;0,Z16-Z20,"")</f>
        <v>12466</v>
      </c>
      <c r="AA24" s="60"/>
      <c r="AB24" s="60">
        <f>IF(AB16&gt;0,AB16-AB20,"")</f>
        <v>12691</v>
      </c>
      <c r="AC24" s="61"/>
      <c r="AD24" s="60">
        <f>IF(AD16&gt;0,AD16-AD20,"")</f>
        <v>12691</v>
      </c>
      <c r="AE24" s="61"/>
    </row>
    <row r="25" spans="2:43" x14ac:dyDescent="0.3">
      <c r="L25" s="4"/>
      <c r="M25" s="4"/>
      <c r="Q25" s="62"/>
      <c r="R25" s="63">
        <f>IF(R17&gt;=0,R17-R21,"")</f>
        <v>-1386</v>
      </c>
      <c r="S25" s="64"/>
      <c r="T25" s="63">
        <f>IF(T17&gt;=0,T17-T21,"")</f>
        <v>-993</v>
      </c>
      <c r="U25" s="64"/>
      <c r="V25" s="63">
        <f>IF(V17&gt;=0,V17-V21,"")</f>
        <v>-2024</v>
      </c>
      <c r="W25" s="64"/>
      <c r="X25" s="63">
        <f>IF(X17&gt;=0,X17-X21,"")</f>
        <v>-3539</v>
      </c>
      <c r="Y25" s="64"/>
      <c r="Z25" s="63">
        <f>IF(Z17&gt;=0,Z17-Z21,"")</f>
        <v>-4355</v>
      </c>
      <c r="AA25" s="64"/>
      <c r="AB25" s="63">
        <f>IF(AB17&gt;=0,AB17-AB21,"")</f>
        <v>-4255</v>
      </c>
      <c r="AC25" s="65"/>
      <c r="AD25" s="63">
        <f>IF(AD17&gt;=0,AD17-AD21,"")</f>
        <v>-4255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2862</v>
      </c>
      <c r="S26" s="55"/>
      <c r="T26" s="67">
        <f>IFERROR(IF(T18&gt;0,T18-T22,""),"")</f>
        <v>-4519</v>
      </c>
      <c r="U26" s="55"/>
      <c r="V26" s="67">
        <f>IFERROR(IF(V18&gt;0,V18-V22,""),"")</f>
        <v>7037.5</v>
      </c>
      <c r="W26" s="55"/>
      <c r="X26" s="67">
        <f>IFERROR(IF(X18&gt;0,X18-X22,""),"")</f>
        <v>2236</v>
      </c>
      <c r="Y26" s="55"/>
      <c r="Z26" s="67">
        <f>IFERROR(IF(Z18&gt;0,Z18-Z22,""),"")</f>
        <v>-1383.5</v>
      </c>
      <c r="AA26" s="55"/>
      <c r="AB26" s="67">
        <f>IFERROR(IF(AB18&gt;0,AB18-AB22,""),"")</f>
        <v>112.5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8962</v>
      </c>
      <c r="D29" s="76">
        <f>C14</f>
        <v>7500</v>
      </c>
      <c r="E29" s="77">
        <f>D29-C29</f>
        <v>-1462</v>
      </c>
      <c r="M29" s="4"/>
      <c r="O29" s="4"/>
    </row>
    <row r="30" spans="2:43" x14ac:dyDescent="0.3">
      <c r="B30" s="74" t="s">
        <v>56</v>
      </c>
      <c r="C30" s="75">
        <v>34997</v>
      </c>
      <c r="D30" s="76">
        <f>C7+C15+C16+C17+C18</f>
        <v>26787</v>
      </c>
      <c r="E30" s="77">
        <f>D30-C30</f>
        <v>-8210</v>
      </c>
      <c r="J30" s="53"/>
      <c r="L30" s="53"/>
      <c r="M30" s="4"/>
      <c r="O30" s="4"/>
    </row>
    <row r="31" spans="2:43" x14ac:dyDescent="0.3">
      <c r="B31" s="74" t="s">
        <v>21</v>
      </c>
      <c r="C31" s="75">
        <v>5914</v>
      </c>
      <c r="D31" s="76">
        <f>C6</f>
        <v>5914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15634</v>
      </c>
      <c r="D32" s="76">
        <f>C10+C11+C12+C13</f>
        <v>15634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14870</v>
      </c>
      <c r="D33" s="76">
        <f>C19+C20+C21</f>
        <v>13886</v>
      </c>
      <c r="E33" s="77">
        <f>D33-C33</f>
        <v>-984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3928</v>
      </c>
      <c r="D34" s="80">
        <f>SUM(C8+C9)</f>
        <v>3928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3217</v>
      </c>
      <c r="R35" s="104">
        <v>100</v>
      </c>
      <c r="S35" s="104">
        <f t="shared" ref="S35:S64" si="1">IF(T35&gt;0,(T35-R35)/2,"")</f>
        <v>575</v>
      </c>
      <c r="T35" s="104">
        <v>1250</v>
      </c>
      <c r="U35" s="104">
        <f t="shared" ref="U35:U64" si="2">IF(V35&gt;0,(V35-T35)/2,"")</f>
        <v>494</v>
      </c>
      <c r="V35" s="104">
        <v>2238</v>
      </c>
      <c r="W35" s="104">
        <f t="shared" ref="W35:W64" si="3">IF(X35&gt;0,(X35-V35)/2,"")</f>
        <v>40.5</v>
      </c>
      <c r="X35" s="104">
        <v>2319</v>
      </c>
      <c r="Y35" s="104">
        <f t="shared" ref="Y35:Y64" si="4">IF(Z35&gt;0,(Z35-X35)/2,"")</f>
        <v>0</v>
      </c>
      <c r="Z35" s="104">
        <v>2319</v>
      </c>
      <c r="AA35" s="104">
        <f t="shared" ref="AA35:AA64" si="5">IF(AB35&gt;0,(AB35-Z35)/2,"")</f>
        <v>0</v>
      </c>
      <c r="AB35" s="104">
        <v>2319</v>
      </c>
      <c r="AC35" s="104">
        <f t="shared" ref="AC35:AC64" si="6">IF(AD35&gt;0,(AD35-AB35)/2,"")</f>
        <v>0</v>
      </c>
      <c r="AD35" s="104">
        <v>2319</v>
      </c>
      <c r="AE35" s="105">
        <f t="shared" ref="AE35:AE64" si="7">AD35-Q35</f>
        <v>-898</v>
      </c>
    </row>
    <row r="36" spans="2:31" ht="15.6" customHeight="1" x14ac:dyDescent="0.3">
      <c r="N36" s="212"/>
      <c r="O36" s="95" t="s">
        <v>66</v>
      </c>
      <c r="P36" s="106"/>
      <c r="Q36" s="106">
        <v>1522</v>
      </c>
      <c r="R36" s="106">
        <v>0</v>
      </c>
      <c r="S36" s="106" t="str">
        <f t="shared" si="1"/>
        <v/>
      </c>
      <c r="T36" s="106">
        <v>-462</v>
      </c>
      <c r="U36" s="106" t="str">
        <f t="shared" si="2"/>
        <v/>
      </c>
      <c r="V36" s="106">
        <v>-237</v>
      </c>
      <c r="W36" s="106">
        <f t="shared" si="3"/>
        <v>876.5</v>
      </c>
      <c r="X36" s="106">
        <v>1516</v>
      </c>
      <c r="Y36" s="106">
        <f t="shared" si="4"/>
        <v>0</v>
      </c>
      <c r="Z36" s="106">
        <v>1516</v>
      </c>
      <c r="AA36" s="106">
        <f t="shared" si="5"/>
        <v>0</v>
      </c>
      <c r="AB36" s="106">
        <v>1516</v>
      </c>
      <c r="AC36" s="106">
        <f t="shared" si="6"/>
        <v>0</v>
      </c>
      <c r="AD36" s="106">
        <v>1516</v>
      </c>
      <c r="AE36" s="107">
        <f t="shared" si="7"/>
        <v>-6</v>
      </c>
    </row>
    <row r="37" spans="2:31" ht="15.6" customHeight="1" x14ac:dyDescent="0.3">
      <c r="N37" s="212"/>
      <c r="O37" s="94" t="s">
        <v>67</v>
      </c>
      <c r="P37" s="108"/>
      <c r="Q37" s="108">
        <v>2614</v>
      </c>
      <c r="R37" s="108">
        <v>420</v>
      </c>
      <c r="S37" s="108">
        <f t="shared" si="1"/>
        <v>318.5</v>
      </c>
      <c r="T37" s="108">
        <v>1057</v>
      </c>
      <c r="U37" s="108">
        <f t="shared" si="2"/>
        <v>3.5</v>
      </c>
      <c r="V37" s="108">
        <v>1064</v>
      </c>
      <c r="W37" s="108">
        <f t="shared" si="3"/>
        <v>776</v>
      </c>
      <c r="X37" s="108">
        <v>2616</v>
      </c>
      <c r="Y37" s="108">
        <f t="shared" si="4"/>
        <v>0</v>
      </c>
      <c r="Z37" s="108">
        <v>2616</v>
      </c>
      <c r="AA37" s="108">
        <f t="shared" si="5"/>
        <v>0</v>
      </c>
      <c r="AB37" s="108">
        <v>2616</v>
      </c>
      <c r="AC37" s="108">
        <f t="shared" si="6"/>
        <v>0</v>
      </c>
      <c r="AD37" s="108">
        <v>2616</v>
      </c>
      <c r="AE37" s="109">
        <f t="shared" si="7"/>
        <v>2</v>
      </c>
    </row>
    <row r="38" spans="2:31" ht="15.6" customHeight="1" x14ac:dyDescent="0.3">
      <c r="N38" s="212"/>
      <c r="O38" s="95" t="s">
        <v>68</v>
      </c>
      <c r="P38" s="106"/>
      <c r="Q38" s="106">
        <v>3036</v>
      </c>
      <c r="R38" s="106">
        <v>745</v>
      </c>
      <c r="S38" s="106">
        <f t="shared" si="1"/>
        <v>0</v>
      </c>
      <c r="T38" s="106">
        <v>745</v>
      </c>
      <c r="U38" s="106">
        <f t="shared" si="2"/>
        <v>639</v>
      </c>
      <c r="V38" s="106">
        <v>2023</v>
      </c>
      <c r="W38" s="106">
        <f t="shared" si="3"/>
        <v>521.5</v>
      </c>
      <c r="X38" s="106">
        <v>3066</v>
      </c>
      <c r="Y38" s="106">
        <f t="shared" si="4"/>
        <v>0</v>
      </c>
      <c r="Z38" s="106">
        <v>3066</v>
      </c>
      <c r="AA38" s="106">
        <f t="shared" si="5"/>
        <v>0</v>
      </c>
      <c r="AB38" s="106">
        <v>3066</v>
      </c>
      <c r="AC38" s="106">
        <f t="shared" si="6"/>
        <v>0</v>
      </c>
      <c r="AD38" s="106">
        <v>3066</v>
      </c>
      <c r="AE38" s="107">
        <f t="shared" si="7"/>
        <v>30</v>
      </c>
    </row>
    <row r="39" spans="2:31" ht="15.6" customHeight="1" x14ac:dyDescent="0.3">
      <c r="N39" s="212"/>
      <c r="O39" s="94" t="s">
        <v>69</v>
      </c>
      <c r="P39" s="108"/>
      <c r="Q39" s="108">
        <v>2363</v>
      </c>
      <c r="R39" s="108">
        <v>279</v>
      </c>
      <c r="S39" s="108">
        <f t="shared" si="1"/>
        <v>475</v>
      </c>
      <c r="T39" s="108">
        <v>1229</v>
      </c>
      <c r="U39" s="108">
        <f t="shared" si="2"/>
        <v>235</v>
      </c>
      <c r="V39" s="108">
        <v>1699</v>
      </c>
      <c r="W39" s="108">
        <f t="shared" si="3"/>
        <v>340</v>
      </c>
      <c r="X39" s="108">
        <v>2379</v>
      </c>
      <c r="Y39" s="108">
        <f t="shared" si="4"/>
        <v>0</v>
      </c>
      <c r="Z39" s="108">
        <v>2379</v>
      </c>
      <c r="AA39" s="108">
        <f t="shared" si="5"/>
        <v>0</v>
      </c>
      <c r="AB39" s="108">
        <v>2379</v>
      </c>
      <c r="AC39" s="108">
        <f t="shared" si="6"/>
        <v>0</v>
      </c>
      <c r="AD39" s="108">
        <v>2379</v>
      </c>
      <c r="AE39" s="109">
        <f t="shared" si="7"/>
        <v>16</v>
      </c>
    </row>
    <row r="40" spans="2:31" ht="15.6" customHeight="1" x14ac:dyDescent="0.3">
      <c r="N40" s="212"/>
      <c r="O40" s="95" t="s">
        <v>70</v>
      </c>
      <c r="P40" s="106"/>
      <c r="Q40" s="106">
        <v>1442</v>
      </c>
      <c r="R40" s="106">
        <v>233</v>
      </c>
      <c r="S40" s="106">
        <f t="shared" si="1"/>
        <v>322</v>
      </c>
      <c r="T40" s="106">
        <v>877</v>
      </c>
      <c r="U40" s="106">
        <f t="shared" si="2"/>
        <v>0</v>
      </c>
      <c r="V40" s="106">
        <v>877</v>
      </c>
      <c r="W40" s="106">
        <f t="shared" si="3"/>
        <v>0</v>
      </c>
      <c r="X40" s="106">
        <v>877</v>
      </c>
      <c r="Y40" s="106">
        <f t="shared" si="4"/>
        <v>78.5</v>
      </c>
      <c r="Z40" s="106">
        <v>1034</v>
      </c>
      <c r="AA40" s="106">
        <f t="shared" si="5"/>
        <v>0</v>
      </c>
      <c r="AB40" s="106">
        <v>1034</v>
      </c>
      <c r="AC40" s="106">
        <f t="shared" si="6"/>
        <v>0</v>
      </c>
      <c r="AD40" s="106">
        <v>1034</v>
      </c>
      <c r="AE40" s="107">
        <f t="shared" si="7"/>
        <v>-408</v>
      </c>
    </row>
    <row r="41" spans="2:31" ht="15.6" customHeight="1" x14ac:dyDescent="0.3">
      <c r="N41" s="212"/>
      <c r="O41" s="94" t="s">
        <v>71</v>
      </c>
      <c r="P41" s="108"/>
      <c r="Q41" s="108">
        <v>1222</v>
      </c>
      <c r="R41" s="108">
        <v>0</v>
      </c>
      <c r="S41" s="108">
        <f t="shared" si="1"/>
        <v>384.5</v>
      </c>
      <c r="T41" s="108">
        <v>769</v>
      </c>
      <c r="U41" s="108">
        <f t="shared" si="2"/>
        <v>5.5</v>
      </c>
      <c r="V41" s="108">
        <v>780</v>
      </c>
      <c r="W41" s="108">
        <f t="shared" si="3"/>
        <v>226</v>
      </c>
      <c r="X41" s="108">
        <v>1232</v>
      </c>
      <c r="Y41" s="108">
        <f t="shared" si="4"/>
        <v>0</v>
      </c>
      <c r="Z41" s="108">
        <v>1232</v>
      </c>
      <c r="AA41" s="108">
        <f t="shared" si="5"/>
        <v>0</v>
      </c>
      <c r="AB41" s="108">
        <v>1232</v>
      </c>
      <c r="AC41" s="108">
        <f t="shared" si="6"/>
        <v>0</v>
      </c>
      <c r="AD41" s="108">
        <v>1232</v>
      </c>
      <c r="AE41" s="109">
        <f t="shared" si="7"/>
        <v>10</v>
      </c>
    </row>
    <row r="42" spans="2:31" ht="15.6" customHeight="1" x14ac:dyDescent="0.3">
      <c r="N42" s="212"/>
      <c r="O42" s="95" t="s">
        <v>72</v>
      </c>
      <c r="P42" s="106"/>
      <c r="Q42" s="106">
        <v>1788</v>
      </c>
      <c r="R42" s="106">
        <v>0</v>
      </c>
      <c r="S42" s="106">
        <f t="shared" si="1"/>
        <v>281.5</v>
      </c>
      <c r="T42" s="106">
        <v>563</v>
      </c>
      <c r="U42" s="106">
        <f t="shared" si="2"/>
        <v>195</v>
      </c>
      <c r="V42" s="106">
        <v>953</v>
      </c>
      <c r="W42" s="106">
        <f t="shared" si="3"/>
        <v>416.5</v>
      </c>
      <c r="X42" s="106">
        <v>1786</v>
      </c>
      <c r="Y42" s="106">
        <f t="shared" si="4"/>
        <v>0</v>
      </c>
      <c r="Z42" s="106">
        <v>1786</v>
      </c>
      <c r="AA42" s="106">
        <f t="shared" si="5"/>
        <v>0</v>
      </c>
      <c r="AB42" s="106">
        <v>1786</v>
      </c>
      <c r="AC42" s="106">
        <f t="shared" si="6"/>
        <v>0</v>
      </c>
      <c r="AD42" s="106">
        <v>1786</v>
      </c>
      <c r="AE42" s="107">
        <f t="shared" si="7"/>
        <v>-2</v>
      </c>
    </row>
    <row r="43" spans="2:31" ht="15.6" customHeight="1" thickBot="1" x14ac:dyDescent="0.35">
      <c r="N43" s="213"/>
      <c r="O43" s="97" t="s">
        <v>73</v>
      </c>
      <c r="P43" s="110"/>
      <c r="Q43" s="110">
        <v>1542</v>
      </c>
      <c r="R43" s="110">
        <v>476</v>
      </c>
      <c r="S43" s="110">
        <f t="shared" si="1"/>
        <v>207</v>
      </c>
      <c r="T43" s="110">
        <v>890</v>
      </c>
      <c r="U43" s="110">
        <f t="shared" si="2"/>
        <v>309</v>
      </c>
      <c r="V43" s="110">
        <v>1508</v>
      </c>
      <c r="W43" s="110">
        <f t="shared" si="3"/>
        <v>0</v>
      </c>
      <c r="X43" s="110">
        <v>1508</v>
      </c>
      <c r="Y43" s="110">
        <f t="shared" si="4"/>
        <v>60.5</v>
      </c>
      <c r="Z43" s="110">
        <v>1629</v>
      </c>
      <c r="AA43" s="110">
        <f t="shared" si="5"/>
        <v>0</v>
      </c>
      <c r="AB43" s="110">
        <v>1629</v>
      </c>
      <c r="AC43" s="110">
        <f t="shared" si="6"/>
        <v>0</v>
      </c>
      <c r="AD43" s="110">
        <v>1629</v>
      </c>
      <c r="AE43" s="111">
        <f t="shared" si="7"/>
        <v>87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4537</v>
      </c>
      <c r="R44" s="112">
        <v>1000</v>
      </c>
      <c r="S44" s="112">
        <f t="shared" si="1"/>
        <v>0</v>
      </c>
      <c r="T44" s="112">
        <v>1000</v>
      </c>
      <c r="U44" s="112">
        <f t="shared" si="2"/>
        <v>1768.5</v>
      </c>
      <c r="V44" s="112">
        <v>4537</v>
      </c>
      <c r="W44" s="112">
        <f t="shared" si="3"/>
        <v>0</v>
      </c>
      <c r="X44" s="112">
        <v>4537</v>
      </c>
      <c r="Y44" s="112">
        <f t="shared" si="4"/>
        <v>0</v>
      </c>
      <c r="Z44" s="112">
        <v>4537</v>
      </c>
      <c r="AA44" s="112">
        <f t="shared" si="5"/>
        <v>0</v>
      </c>
      <c r="AB44" s="112">
        <v>4537</v>
      </c>
      <c r="AC44" s="112">
        <f t="shared" si="6"/>
        <v>0</v>
      </c>
      <c r="AD44" s="112">
        <v>4537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3567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1783.5</v>
      </c>
      <c r="V45" s="108">
        <v>3567</v>
      </c>
      <c r="W45" s="108">
        <f t="shared" si="3"/>
        <v>0</v>
      </c>
      <c r="X45" s="108">
        <v>3567</v>
      </c>
      <c r="Y45" s="108">
        <f t="shared" si="4"/>
        <v>0</v>
      </c>
      <c r="Z45" s="108">
        <v>3567</v>
      </c>
      <c r="AA45" s="108">
        <f t="shared" si="5"/>
        <v>0</v>
      </c>
      <c r="AB45" s="108">
        <v>3567</v>
      </c>
      <c r="AC45" s="108">
        <f t="shared" si="6"/>
        <v>0</v>
      </c>
      <c r="AD45" s="108">
        <v>3567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2210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562</v>
      </c>
      <c r="V46" s="106">
        <v>1124</v>
      </c>
      <c r="W46" s="106">
        <f t="shared" si="3"/>
        <v>339.5</v>
      </c>
      <c r="X46" s="106">
        <v>1803</v>
      </c>
      <c r="Y46" s="106">
        <f t="shared" si="4"/>
        <v>0</v>
      </c>
      <c r="Z46" s="106">
        <v>1803</v>
      </c>
      <c r="AA46" s="106">
        <f t="shared" si="5"/>
        <v>0</v>
      </c>
      <c r="AB46" s="106">
        <v>1803</v>
      </c>
      <c r="AC46" s="106">
        <f t="shared" si="6"/>
        <v>0</v>
      </c>
      <c r="AD46" s="106">
        <v>1803</v>
      </c>
      <c r="AE46" s="107">
        <f t="shared" si="7"/>
        <v>-407</v>
      </c>
    </row>
    <row r="47" spans="2:31" ht="15.6" customHeight="1" thickBot="1" x14ac:dyDescent="0.35">
      <c r="N47" s="213"/>
      <c r="O47" s="97" t="s">
        <v>68</v>
      </c>
      <c r="P47" s="110"/>
      <c r="Q47" s="110">
        <v>3979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1538.5</v>
      </c>
      <c r="V47" s="110">
        <v>3077</v>
      </c>
      <c r="W47" s="110">
        <f t="shared" si="3"/>
        <v>0</v>
      </c>
      <c r="X47" s="110">
        <v>3077</v>
      </c>
      <c r="Y47" s="110">
        <f t="shared" si="4"/>
        <v>451</v>
      </c>
      <c r="Z47" s="110">
        <v>3979</v>
      </c>
      <c r="AA47" s="110">
        <f t="shared" si="5"/>
        <v>0</v>
      </c>
      <c r="AB47" s="110">
        <v>3979</v>
      </c>
      <c r="AC47" s="110">
        <f t="shared" si="6"/>
        <v>0</v>
      </c>
      <c r="AD47" s="110">
        <v>3979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2095</v>
      </c>
      <c r="R48" s="112">
        <v>964</v>
      </c>
      <c r="S48" s="112">
        <f t="shared" si="1"/>
        <v>454.5</v>
      </c>
      <c r="T48" s="112">
        <v>1873</v>
      </c>
      <c r="U48" s="112">
        <f t="shared" si="2"/>
        <v>0</v>
      </c>
      <c r="V48" s="112">
        <v>1873</v>
      </c>
      <c r="W48" s="112">
        <f t="shared" si="3"/>
        <v>14.5</v>
      </c>
      <c r="X48" s="112">
        <v>1902</v>
      </c>
      <c r="Y48" s="112">
        <f t="shared" si="4"/>
        <v>0</v>
      </c>
      <c r="Z48" s="112">
        <v>1902</v>
      </c>
      <c r="AA48" s="112">
        <f t="shared" si="5"/>
        <v>0</v>
      </c>
      <c r="AB48" s="112">
        <v>1902</v>
      </c>
      <c r="AC48" s="112">
        <f t="shared" si="6"/>
        <v>0</v>
      </c>
      <c r="AD48" s="112">
        <v>1902</v>
      </c>
      <c r="AE48" s="113">
        <f t="shared" si="7"/>
        <v>-193</v>
      </c>
    </row>
    <row r="49" spans="14:31" ht="15.6" customHeight="1" x14ac:dyDescent="0.3">
      <c r="N49" s="212"/>
      <c r="O49" s="94" t="s">
        <v>66</v>
      </c>
      <c r="P49" s="108"/>
      <c r="Q49" s="108">
        <v>3720</v>
      </c>
      <c r="R49" s="108">
        <v>908</v>
      </c>
      <c r="S49" s="108">
        <f t="shared" si="1"/>
        <v>199</v>
      </c>
      <c r="T49" s="108">
        <v>1306</v>
      </c>
      <c r="U49" s="108">
        <f t="shared" si="2"/>
        <v>0</v>
      </c>
      <c r="V49" s="108">
        <v>1306</v>
      </c>
      <c r="W49" s="108">
        <f t="shared" si="3"/>
        <v>510</v>
      </c>
      <c r="X49" s="108">
        <v>2326</v>
      </c>
      <c r="Y49" s="108">
        <f t="shared" si="4"/>
        <v>620.5</v>
      </c>
      <c r="Z49" s="108">
        <v>3567</v>
      </c>
      <c r="AA49" s="108">
        <f t="shared" si="5"/>
        <v>2.5</v>
      </c>
      <c r="AB49" s="108">
        <v>3572</v>
      </c>
      <c r="AC49" s="108">
        <f t="shared" si="6"/>
        <v>0</v>
      </c>
      <c r="AD49" s="108">
        <v>3572</v>
      </c>
      <c r="AE49" s="109">
        <f t="shared" si="7"/>
        <v>-148</v>
      </c>
    </row>
    <row r="50" spans="14:31" ht="15.6" customHeight="1" x14ac:dyDescent="0.3">
      <c r="N50" s="212"/>
      <c r="O50" s="95" t="s">
        <v>67</v>
      </c>
      <c r="P50" s="106"/>
      <c r="Q50" s="106">
        <v>1942</v>
      </c>
      <c r="R50" s="106">
        <v>2</v>
      </c>
      <c r="S50" s="106">
        <f t="shared" si="1"/>
        <v>0</v>
      </c>
      <c r="T50" s="106">
        <v>2</v>
      </c>
      <c r="U50" s="106">
        <f t="shared" si="2"/>
        <v>197.5</v>
      </c>
      <c r="V50" s="106">
        <v>397</v>
      </c>
      <c r="W50" s="106">
        <f t="shared" si="3"/>
        <v>182</v>
      </c>
      <c r="X50" s="106">
        <v>761</v>
      </c>
      <c r="Y50" s="106">
        <f t="shared" si="4"/>
        <v>-32</v>
      </c>
      <c r="Z50" s="106">
        <v>697</v>
      </c>
      <c r="AA50" s="106">
        <f t="shared" si="5"/>
        <v>50</v>
      </c>
      <c r="AB50" s="106">
        <v>797</v>
      </c>
      <c r="AC50" s="106">
        <f t="shared" si="6"/>
        <v>0</v>
      </c>
      <c r="AD50" s="106">
        <v>797</v>
      </c>
      <c r="AE50" s="107">
        <f t="shared" si="7"/>
        <v>-1145</v>
      </c>
    </row>
    <row r="51" spans="14:31" ht="15.6" customHeight="1" x14ac:dyDescent="0.3">
      <c r="N51" s="212"/>
      <c r="O51" s="94" t="s">
        <v>68</v>
      </c>
      <c r="P51" s="108"/>
      <c r="Q51" s="108">
        <v>2237</v>
      </c>
      <c r="R51" s="108">
        <v>8</v>
      </c>
      <c r="S51" s="108">
        <f t="shared" si="1"/>
        <v>0</v>
      </c>
      <c r="T51" s="108">
        <v>8</v>
      </c>
      <c r="U51" s="108">
        <f t="shared" si="2"/>
        <v>112</v>
      </c>
      <c r="V51" s="108">
        <v>232</v>
      </c>
      <c r="W51" s="108">
        <f t="shared" si="3"/>
        <v>3</v>
      </c>
      <c r="X51" s="108">
        <v>238</v>
      </c>
      <c r="Y51" s="108">
        <f t="shared" si="4"/>
        <v>0</v>
      </c>
      <c r="Z51" s="108">
        <v>238</v>
      </c>
      <c r="AA51" s="108">
        <f t="shared" si="5"/>
        <v>7</v>
      </c>
      <c r="AB51" s="108">
        <v>252</v>
      </c>
      <c r="AC51" s="108">
        <f t="shared" si="6"/>
        <v>0</v>
      </c>
      <c r="AD51" s="108">
        <v>252</v>
      </c>
      <c r="AE51" s="109">
        <f t="shared" si="7"/>
        <v>-1985</v>
      </c>
    </row>
    <row r="52" spans="14:31" ht="15.6" customHeight="1" x14ac:dyDescent="0.3">
      <c r="N52" s="212"/>
      <c r="O52" s="95" t="s">
        <v>69</v>
      </c>
      <c r="P52" s="106"/>
      <c r="Q52" s="106">
        <v>2573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480</v>
      </c>
      <c r="V52" s="106">
        <v>960</v>
      </c>
      <c r="W52" s="106">
        <f t="shared" si="3"/>
        <v>65</v>
      </c>
      <c r="X52" s="106">
        <v>1090</v>
      </c>
      <c r="Y52" s="106">
        <f t="shared" si="4"/>
        <v>155.5</v>
      </c>
      <c r="Z52" s="106">
        <v>1401</v>
      </c>
      <c r="AA52" s="106">
        <f t="shared" si="5"/>
        <v>11.5</v>
      </c>
      <c r="AB52" s="106">
        <v>1424</v>
      </c>
      <c r="AC52" s="106">
        <f t="shared" si="6"/>
        <v>0</v>
      </c>
      <c r="AD52" s="106">
        <v>1424</v>
      </c>
      <c r="AE52" s="107">
        <f t="shared" si="7"/>
        <v>-1149</v>
      </c>
    </row>
    <row r="53" spans="14:31" ht="15.6" customHeight="1" x14ac:dyDescent="0.3">
      <c r="N53" s="212"/>
      <c r="O53" s="94" t="s">
        <v>70</v>
      </c>
      <c r="P53" s="108"/>
      <c r="Q53" s="108">
        <v>1565</v>
      </c>
      <c r="R53" s="108">
        <v>12</v>
      </c>
      <c r="S53" s="108">
        <f t="shared" si="1"/>
        <v>0</v>
      </c>
      <c r="T53" s="108">
        <v>12</v>
      </c>
      <c r="U53" s="108">
        <f t="shared" si="2"/>
        <v>2</v>
      </c>
      <c r="V53" s="108">
        <v>16</v>
      </c>
      <c r="W53" s="108">
        <f t="shared" si="3"/>
        <v>0</v>
      </c>
      <c r="X53" s="108">
        <v>16</v>
      </c>
      <c r="Y53" s="108">
        <f t="shared" si="4"/>
        <v>361.5</v>
      </c>
      <c r="Z53" s="108">
        <v>739</v>
      </c>
      <c r="AA53" s="108">
        <f t="shared" si="5"/>
        <v>0</v>
      </c>
      <c r="AB53" s="108">
        <v>739</v>
      </c>
      <c r="AC53" s="108">
        <f t="shared" si="6"/>
        <v>0</v>
      </c>
      <c r="AD53" s="108">
        <v>739</v>
      </c>
      <c r="AE53" s="109">
        <f t="shared" si="7"/>
        <v>-826</v>
      </c>
    </row>
    <row r="54" spans="14:31" ht="15.6" customHeight="1" x14ac:dyDescent="0.3">
      <c r="N54" s="212"/>
      <c r="O54" s="95" t="s">
        <v>71</v>
      </c>
      <c r="P54" s="106"/>
      <c r="Q54" s="106">
        <v>1938</v>
      </c>
      <c r="R54" s="106">
        <v>351</v>
      </c>
      <c r="S54" s="106">
        <f t="shared" si="1"/>
        <v>296.5</v>
      </c>
      <c r="T54" s="106">
        <v>944</v>
      </c>
      <c r="U54" s="106">
        <f t="shared" si="2"/>
        <v>0</v>
      </c>
      <c r="V54" s="106">
        <v>944</v>
      </c>
      <c r="W54" s="106">
        <f t="shared" si="3"/>
        <v>483</v>
      </c>
      <c r="X54" s="106">
        <v>1910</v>
      </c>
      <c r="Y54" s="106">
        <f t="shared" si="4"/>
        <v>8.5</v>
      </c>
      <c r="Z54" s="106">
        <v>1927</v>
      </c>
      <c r="AA54" s="106">
        <f t="shared" si="5"/>
        <v>0</v>
      </c>
      <c r="AB54" s="106">
        <v>1927</v>
      </c>
      <c r="AC54" s="106">
        <f t="shared" si="6"/>
        <v>0</v>
      </c>
      <c r="AD54" s="106">
        <v>1927</v>
      </c>
      <c r="AE54" s="107">
        <f t="shared" si="7"/>
        <v>-11</v>
      </c>
    </row>
    <row r="55" spans="14:31" ht="15.6" customHeight="1" x14ac:dyDescent="0.3">
      <c r="N55" s="212"/>
      <c r="O55" s="94" t="s">
        <v>72</v>
      </c>
      <c r="P55" s="108"/>
      <c r="Q55" s="108">
        <v>2838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600</v>
      </c>
      <c r="V55" s="108">
        <v>2400</v>
      </c>
      <c r="W55" s="108">
        <f t="shared" si="3"/>
        <v>0</v>
      </c>
      <c r="X55" s="108">
        <v>2400</v>
      </c>
      <c r="Y55" s="108">
        <f t="shared" si="4"/>
        <v>197.5</v>
      </c>
      <c r="Z55" s="108">
        <v>2795</v>
      </c>
      <c r="AA55" s="108">
        <f t="shared" si="5"/>
        <v>20</v>
      </c>
      <c r="AB55" s="108">
        <v>2835</v>
      </c>
      <c r="AC55" s="108">
        <f t="shared" si="6"/>
        <v>0</v>
      </c>
      <c r="AD55" s="108">
        <v>2835</v>
      </c>
      <c r="AE55" s="109">
        <f t="shared" si="7"/>
        <v>-3</v>
      </c>
    </row>
    <row r="56" spans="14:31" ht="15.6" customHeight="1" thickBot="1" x14ac:dyDescent="0.35">
      <c r="N56" s="213"/>
      <c r="O56" s="99" t="s">
        <v>73</v>
      </c>
      <c r="P56" s="114"/>
      <c r="Q56" s="114">
        <v>223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78.5</v>
      </c>
      <c r="X56" s="114">
        <v>157</v>
      </c>
      <c r="Y56" s="114">
        <f t="shared" si="4"/>
        <v>28</v>
      </c>
      <c r="Z56" s="114">
        <v>213</v>
      </c>
      <c r="AA56" s="114">
        <f t="shared" si="5"/>
        <v>5</v>
      </c>
      <c r="AB56" s="114">
        <v>223</v>
      </c>
      <c r="AC56" s="114">
        <f t="shared" si="6"/>
        <v>0</v>
      </c>
      <c r="AD56" s="114">
        <v>223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6443</v>
      </c>
      <c r="R57" s="104">
        <v>1182</v>
      </c>
      <c r="S57" s="104">
        <f t="shared" si="1"/>
        <v>650.5</v>
      </c>
      <c r="T57" s="104">
        <v>2483</v>
      </c>
      <c r="U57" s="104">
        <f t="shared" si="2"/>
        <v>58.5</v>
      </c>
      <c r="V57" s="104">
        <v>2600</v>
      </c>
      <c r="W57" s="104">
        <f t="shared" si="3"/>
        <v>-34</v>
      </c>
      <c r="X57" s="104">
        <v>2532</v>
      </c>
      <c r="Y57" s="104">
        <f t="shared" si="4"/>
        <v>0</v>
      </c>
      <c r="Z57" s="104">
        <v>2532</v>
      </c>
      <c r="AA57" s="104">
        <f t="shared" si="5"/>
        <v>0</v>
      </c>
      <c r="AB57" s="104">
        <v>2532</v>
      </c>
      <c r="AC57" s="104">
        <f t="shared" si="6"/>
        <v>0</v>
      </c>
      <c r="AD57" s="104">
        <v>2532</v>
      </c>
      <c r="AE57" s="105">
        <f t="shared" si="7"/>
        <v>-3911</v>
      </c>
    </row>
    <row r="58" spans="14:31" ht="15.6" customHeight="1" x14ac:dyDescent="0.3">
      <c r="N58" s="212"/>
      <c r="O58" s="95" t="s">
        <v>66</v>
      </c>
      <c r="P58" s="106"/>
      <c r="Q58" s="106">
        <v>4130</v>
      </c>
      <c r="R58" s="106">
        <v>1509</v>
      </c>
      <c r="S58" s="106">
        <f t="shared" si="1"/>
        <v>362.5</v>
      </c>
      <c r="T58" s="106">
        <v>2234</v>
      </c>
      <c r="U58" s="106">
        <f t="shared" si="2"/>
        <v>361.5</v>
      </c>
      <c r="V58" s="106">
        <v>2957</v>
      </c>
      <c r="W58" s="106">
        <f t="shared" si="3"/>
        <v>58</v>
      </c>
      <c r="X58" s="106">
        <v>3073</v>
      </c>
      <c r="Y58" s="106">
        <f t="shared" si="4"/>
        <v>0</v>
      </c>
      <c r="Z58" s="106">
        <v>3073</v>
      </c>
      <c r="AA58" s="106">
        <f t="shared" si="5"/>
        <v>0</v>
      </c>
      <c r="AB58" s="106">
        <v>3073</v>
      </c>
      <c r="AC58" s="106">
        <f t="shared" si="6"/>
        <v>0</v>
      </c>
      <c r="AD58" s="106">
        <v>3073</v>
      </c>
      <c r="AE58" s="107">
        <f t="shared" si="7"/>
        <v>-1057</v>
      </c>
    </row>
    <row r="59" spans="14:31" ht="15.6" customHeight="1" x14ac:dyDescent="0.3">
      <c r="N59" s="212"/>
      <c r="O59" s="94" t="s">
        <v>67</v>
      </c>
      <c r="P59" s="108"/>
      <c r="Q59" s="108">
        <v>3672</v>
      </c>
      <c r="R59" s="108">
        <v>0</v>
      </c>
      <c r="S59" s="108">
        <f t="shared" si="1"/>
        <v>362</v>
      </c>
      <c r="T59" s="108">
        <v>724</v>
      </c>
      <c r="U59" s="108">
        <f t="shared" si="2"/>
        <v>200</v>
      </c>
      <c r="V59" s="108">
        <v>1124</v>
      </c>
      <c r="W59" s="108">
        <f t="shared" si="3"/>
        <v>491.5</v>
      </c>
      <c r="X59" s="108">
        <v>2107</v>
      </c>
      <c r="Y59" s="108">
        <f t="shared" si="4"/>
        <v>0</v>
      </c>
      <c r="Z59" s="108">
        <v>2107</v>
      </c>
      <c r="AA59" s="108">
        <f t="shared" si="5"/>
        <v>0</v>
      </c>
      <c r="AB59" s="108">
        <v>2107</v>
      </c>
      <c r="AC59" s="108">
        <f t="shared" si="6"/>
        <v>0</v>
      </c>
      <c r="AD59" s="108">
        <v>2107</v>
      </c>
      <c r="AE59" s="109">
        <f t="shared" si="7"/>
        <v>-1565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8431</v>
      </c>
      <c r="R61" s="104">
        <v>2056</v>
      </c>
      <c r="S61" s="104">
        <f t="shared" si="1"/>
        <v>157.5</v>
      </c>
      <c r="T61" s="104">
        <v>2371</v>
      </c>
      <c r="U61" s="104">
        <f t="shared" si="2"/>
        <v>249.5</v>
      </c>
      <c r="V61" s="104">
        <v>2870</v>
      </c>
      <c r="W61" s="104">
        <f t="shared" si="3"/>
        <v>249.5</v>
      </c>
      <c r="X61" s="104">
        <v>3369</v>
      </c>
      <c r="Y61" s="104">
        <f t="shared" si="4"/>
        <v>391.5</v>
      </c>
      <c r="Z61" s="104">
        <v>4152</v>
      </c>
      <c r="AA61" s="104">
        <f t="shared" si="5"/>
        <v>171</v>
      </c>
      <c r="AB61" s="104">
        <v>4494</v>
      </c>
      <c r="AC61" s="104">
        <f t="shared" si="6"/>
        <v>0</v>
      </c>
      <c r="AD61" s="104">
        <v>4494</v>
      </c>
      <c r="AE61" s="105">
        <f t="shared" si="7"/>
        <v>-3937</v>
      </c>
    </row>
    <row r="62" spans="14:31" ht="15.6" customHeight="1" x14ac:dyDescent="0.3">
      <c r="N62" s="212"/>
      <c r="O62" s="95" t="s">
        <v>66</v>
      </c>
      <c r="P62" s="106"/>
      <c r="Q62" s="106">
        <v>7308</v>
      </c>
      <c r="R62" s="106">
        <v>1702</v>
      </c>
      <c r="S62" s="106">
        <f t="shared" si="1"/>
        <v>751</v>
      </c>
      <c r="T62" s="106">
        <v>3204</v>
      </c>
      <c r="U62" s="106">
        <f t="shared" si="2"/>
        <v>210.5</v>
      </c>
      <c r="V62" s="106">
        <v>3625</v>
      </c>
      <c r="W62" s="106">
        <f t="shared" si="3"/>
        <v>212.5</v>
      </c>
      <c r="X62" s="106">
        <v>4050</v>
      </c>
      <c r="Y62" s="106">
        <f t="shared" si="4"/>
        <v>301</v>
      </c>
      <c r="Z62" s="106">
        <v>4652</v>
      </c>
      <c r="AA62" s="106">
        <f t="shared" si="5"/>
        <v>0</v>
      </c>
      <c r="AB62" s="106">
        <v>4652</v>
      </c>
      <c r="AC62" s="106">
        <f t="shared" si="6"/>
        <v>0</v>
      </c>
      <c r="AD62" s="106">
        <v>4652</v>
      </c>
      <c r="AE62" s="107">
        <f t="shared" si="7"/>
        <v>-2656</v>
      </c>
    </row>
    <row r="63" spans="14:31" ht="15.6" customHeight="1" x14ac:dyDescent="0.3">
      <c r="N63" s="212"/>
      <c r="O63" s="94" t="s">
        <v>67</v>
      </c>
      <c r="P63" s="108"/>
      <c r="Q63" s="108">
        <v>6520</v>
      </c>
      <c r="R63" s="108">
        <v>680</v>
      </c>
      <c r="S63" s="108">
        <f t="shared" si="1"/>
        <v>394</v>
      </c>
      <c r="T63" s="108">
        <v>1468</v>
      </c>
      <c r="U63" s="108">
        <f t="shared" si="2"/>
        <v>133</v>
      </c>
      <c r="V63" s="108">
        <v>1734</v>
      </c>
      <c r="W63" s="108">
        <f t="shared" si="3"/>
        <v>681</v>
      </c>
      <c r="X63" s="108">
        <v>3096</v>
      </c>
      <c r="Y63" s="108">
        <f t="shared" si="4"/>
        <v>283</v>
      </c>
      <c r="Z63" s="108">
        <v>3662</v>
      </c>
      <c r="AA63" s="108">
        <f t="shared" si="5"/>
        <v>92</v>
      </c>
      <c r="AB63" s="108">
        <v>3846</v>
      </c>
      <c r="AC63" s="108">
        <f t="shared" si="6"/>
        <v>0</v>
      </c>
      <c r="AD63" s="108">
        <v>3846</v>
      </c>
      <c r="AE63" s="109">
        <f t="shared" si="7"/>
        <v>-2674</v>
      </c>
    </row>
    <row r="64" spans="14:31" ht="15.6" customHeight="1" thickBot="1" x14ac:dyDescent="0.35">
      <c r="N64" s="213"/>
      <c r="O64" s="99" t="s">
        <v>68</v>
      </c>
      <c r="P64" s="114"/>
      <c r="Q64" s="114">
        <v>3084</v>
      </c>
      <c r="R64" s="114">
        <v>45</v>
      </c>
      <c r="S64" s="114">
        <f t="shared" si="1"/>
        <v>352</v>
      </c>
      <c r="T64" s="114">
        <v>749</v>
      </c>
      <c r="U64" s="114">
        <f t="shared" si="2"/>
        <v>27.5</v>
      </c>
      <c r="V64" s="114">
        <v>804</v>
      </c>
      <c r="W64" s="114">
        <f t="shared" si="3"/>
        <v>0</v>
      </c>
      <c r="X64" s="114">
        <v>804</v>
      </c>
      <c r="Y64" s="114">
        <f t="shared" si="4"/>
        <v>91</v>
      </c>
      <c r="Z64" s="114">
        <v>986</v>
      </c>
      <c r="AA64" s="114">
        <f t="shared" si="5"/>
        <v>0</v>
      </c>
      <c r="AB64" s="114">
        <v>986</v>
      </c>
      <c r="AC64" s="114">
        <f t="shared" si="6"/>
        <v>0</v>
      </c>
      <c r="AD64" s="114">
        <v>986</v>
      </c>
      <c r="AE64" s="115">
        <f t="shared" si="7"/>
        <v>-2098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619" priority="11" operator="lessThan">
      <formula>0</formula>
    </cfRule>
    <cfRule type="cellIs" dxfId="1618" priority="12" operator="greaterThan">
      <formula>0</formula>
    </cfRule>
  </conditionalFormatting>
  <conditionalFormatting sqref="R25:AC25">
    <cfRule type="cellIs" dxfId="1617" priority="9" operator="lessThan">
      <formula>0</formula>
    </cfRule>
    <cfRule type="cellIs" dxfId="1616" priority="10" operator="greaterThan">
      <formula>0</formula>
    </cfRule>
  </conditionalFormatting>
  <conditionalFormatting sqref="R26 T26 V26 X26 Z26 AB26">
    <cfRule type="cellIs" dxfId="1615" priority="7" operator="lessThan">
      <formula>0</formula>
    </cfRule>
    <cfRule type="cellIs" dxfId="1614" priority="8" operator="greaterThan">
      <formula>0</formula>
    </cfRule>
  </conditionalFormatting>
  <conditionalFormatting sqref="AD24:AE24">
    <cfRule type="cellIs" dxfId="1613" priority="5" operator="lessThan">
      <formula>0</formula>
    </cfRule>
    <cfRule type="cellIs" dxfId="1612" priority="6" operator="greaterThan">
      <formula>0</formula>
    </cfRule>
  </conditionalFormatting>
  <conditionalFormatting sqref="AD25:AE25">
    <cfRule type="cellIs" dxfId="1611" priority="3" operator="lessThan">
      <formula>0</formula>
    </cfRule>
    <cfRule type="cellIs" dxfId="1610" priority="4" operator="greaterThan">
      <formula>0</formula>
    </cfRule>
  </conditionalFormatting>
  <conditionalFormatting sqref="AD26">
    <cfRule type="cellIs" dxfId="1609" priority="1" operator="lessThan">
      <formula>0</formula>
    </cfRule>
    <cfRule type="cellIs" dxfId="160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tabColor theme="1"/>
    <pageSetUpPr fitToPage="1"/>
  </sheetPr>
  <dimension ref="B1:AQ64"/>
  <sheetViews>
    <sheetView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44384</v>
      </c>
    </row>
    <row r="3" spans="2:42" ht="18.75" customHeight="1" thickBot="1" x14ac:dyDescent="0.35">
      <c r="B3" t="s">
        <v>1</v>
      </c>
      <c r="C3" s="3">
        <f>C2+1</f>
        <v>44385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19652</v>
      </c>
      <c r="G6" s="117">
        <v>16500.368125000001</v>
      </c>
      <c r="H6" s="117">
        <v>12585.955813840001</v>
      </c>
      <c r="I6" s="19">
        <f>G6+H6</f>
        <v>29086.323938840003</v>
      </c>
      <c r="J6" s="119">
        <v>20012</v>
      </c>
      <c r="K6" s="117">
        <v>16737.273625000002</v>
      </c>
      <c r="L6" s="117">
        <v>12607.656265899999</v>
      </c>
      <c r="M6" s="19">
        <f>K6+L6</f>
        <v>29344.929890899999</v>
      </c>
      <c r="N6" s="85">
        <v>57</v>
      </c>
      <c r="O6" s="85">
        <v>48</v>
      </c>
      <c r="P6" s="92"/>
      <c r="Q6" s="20">
        <f>J6-P6</f>
        <v>20012</v>
      </c>
      <c r="R6" s="21">
        <v>3968</v>
      </c>
      <c r="S6" s="20">
        <f>IF(R6&gt;0,(R6-R7-$Q6),"")</f>
        <v>-16596</v>
      </c>
      <c r="T6" s="21">
        <v>6416</v>
      </c>
      <c r="U6" s="20">
        <f>IF(T6&gt;0,(T6-T7-$Q6),"")</f>
        <v>-14163</v>
      </c>
      <c r="V6" s="21">
        <v>9499</v>
      </c>
      <c r="W6" s="20">
        <f>IF(V6&gt;0,(V6-V7-$Q6),"")</f>
        <v>-10863</v>
      </c>
      <c r="X6" s="21">
        <v>12102</v>
      </c>
      <c r="Y6" s="20">
        <f>IF(X6&gt;0,(X6-X7-$Q6),"")</f>
        <v>-8277</v>
      </c>
      <c r="Z6" s="21">
        <v>13138</v>
      </c>
      <c r="AA6" s="20">
        <f>IF(Z6&gt;0,(Z6-Z7-$Q6),"")</f>
        <v>-7265</v>
      </c>
      <c r="AB6" s="21">
        <v>13138</v>
      </c>
      <c r="AC6" s="22">
        <f>IF(AB6&gt;0,(AB6-AB7-$Q6),"")</f>
        <v>-7265</v>
      </c>
      <c r="AD6" s="21">
        <v>13138</v>
      </c>
      <c r="AE6" s="22">
        <f>IF(AD6&gt;0,(AD6-AD7-$Q6),"")</f>
        <v>-7265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552</v>
      </c>
      <c r="S7" s="24"/>
      <c r="T7" s="25">
        <v>567</v>
      </c>
      <c r="U7" s="24"/>
      <c r="V7" s="25">
        <v>350</v>
      </c>
      <c r="W7" s="24"/>
      <c r="X7" s="25">
        <v>367</v>
      </c>
      <c r="Y7" s="24"/>
      <c r="Z7" s="25">
        <v>391</v>
      </c>
      <c r="AA7" s="24"/>
      <c r="AB7" s="25">
        <v>391</v>
      </c>
      <c r="AC7" s="26"/>
      <c r="AD7" s="25">
        <v>391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2665</v>
      </c>
      <c r="E8" s="29" t="s">
        <v>27</v>
      </c>
      <c r="F8" s="119">
        <v>16435</v>
      </c>
      <c r="G8" s="117">
        <v>7009.65</v>
      </c>
      <c r="H8" s="117">
        <v>1551.1903050000001</v>
      </c>
      <c r="I8" s="19">
        <f>G8+H8</f>
        <v>8560.8403049999997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22</v>
      </c>
      <c r="O8" s="87">
        <v>20</v>
      </c>
      <c r="P8" s="92"/>
      <c r="Q8" s="20">
        <f>J8-P8</f>
        <v>0</v>
      </c>
      <c r="R8" s="21">
        <v>1077</v>
      </c>
      <c r="S8" s="20">
        <f>IF(R8&gt;0,(R8-R9-$Q8),"")</f>
        <v>1077</v>
      </c>
      <c r="T8" s="21">
        <v>2038</v>
      </c>
      <c r="U8" s="20">
        <f>IF(T8&gt;0,(T8-T9-$Q8),"")</f>
        <v>2038</v>
      </c>
      <c r="V8" s="21">
        <v>2576</v>
      </c>
      <c r="W8" s="20">
        <f>IF(V8&gt;0,(V8-V9-$Q8),"")</f>
        <v>2576</v>
      </c>
      <c r="X8" s="21">
        <v>14650</v>
      </c>
      <c r="Y8" s="20">
        <f>IF(X8&gt;0,(X8-X9-$Q8),"")</f>
        <v>14578</v>
      </c>
      <c r="Z8" s="21">
        <v>14650</v>
      </c>
      <c r="AA8" s="20">
        <f>IF(Z8&gt;0,(Z8-Z9-$Q8),"")</f>
        <v>14578</v>
      </c>
      <c r="AB8" s="21">
        <v>14650</v>
      </c>
      <c r="AC8" s="22">
        <f>IF(AB8&gt;0,(AB8-AB9-$Q8),"")</f>
        <v>14578</v>
      </c>
      <c r="AD8" s="21">
        <v>14650</v>
      </c>
      <c r="AE8" s="22">
        <f>IF(AD8&gt;0,(AD8-AD9-$Q8),"")</f>
        <v>14578</v>
      </c>
    </row>
    <row r="9" spans="2:42" x14ac:dyDescent="0.3">
      <c r="B9" s="28" t="s">
        <v>28</v>
      </c>
      <c r="C9" s="17">
        <v>1795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72</v>
      </c>
      <c r="Y9" s="24"/>
      <c r="Z9" s="30">
        <v>72</v>
      </c>
      <c r="AA9" s="24"/>
      <c r="AB9" s="30">
        <v>72</v>
      </c>
      <c r="AC9" s="26"/>
      <c r="AD9" s="30">
        <v>72</v>
      </c>
      <c r="AE9" s="26"/>
    </row>
    <row r="10" spans="2:42" x14ac:dyDescent="0.3">
      <c r="B10" s="16" t="s">
        <v>30</v>
      </c>
      <c r="C10" s="17">
        <v>5775</v>
      </c>
      <c r="E10" s="18" t="s">
        <v>31</v>
      </c>
      <c r="F10" s="119">
        <v>9901</v>
      </c>
      <c r="G10" s="117">
        <v>7585.1922500000001</v>
      </c>
      <c r="H10" s="117">
        <v>1834.105</v>
      </c>
      <c r="I10" s="19">
        <f>G10+H10</f>
        <v>9419.2972499999996</v>
      </c>
      <c r="J10" s="119">
        <v>9535</v>
      </c>
      <c r="K10" s="117">
        <v>7262.767249999999</v>
      </c>
      <c r="L10" s="117">
        <v>1703.8851625</v>
      </c>
      <c r="M10" s="19">
        <f>K10+L10</f>
        <v>8966.6524124999996</v>
      </c>
      <c r="N10" s="88">
        <v>43</v>
      </c>
      <c r="O10" s="88">
        <v>33</v>
      </c>
      <c r="P10" s="92"/>
      <c r="Q10" s="20">
        <f>J10-P10</f>
        <v>9535</v>
      </c>
      <c r="R10" s="21">
        <v>399</v>
      </c>
      <c r="S10" s="20">
        <f>IF(R10&gt;0,(R10-R11-$Q10),"")</f>
        <v>-9526</v>
      </c>
      <c r="T10" s="21">
        <v>1475</v>
      </c>
      <c r="U10" s="20">
        <f>IF(T10&gt;0,(T10-T11-$Q10),"")</f>
        <v>-8881</v>
      </c>
      <c r="V10" s="21">
        <v>3473</v>
      </c>
      <c r="W10" s="20">
        <f>IF(V10&gt;0,(V10-V11-$Q10),"")</f>
        <v>-7290</v>
      </c>
      <c r="X10" s="21">
        <v>6180</v>
      </c>
      <c r="Y10" s="20">
        <f>IF(X10&gt;0,(X10-X11-$Q10),"")</f>
        <v>-5617</v>
      </c>
      <c r="Z10" s="21">
        <v>6202</v>
      </c>
      <c r="AA10" s="20">
        <f>IF(Z10&gt;0,(Z10-Z11-$Q10),"")</f>
        <v>-5617</v>
      </c>
      <c r="AB10" s="21">
        <v>6202</v>
      </c>
      <c r="AC10" s="22">
        <f>IF(AB10&gt;0,(AB10-AB11-$Q10),"")</f>
        <v>-5617</v>
      </c>
      <c r="AD10" s="21">
        <v>6202</v>
      </c>
      <c r="AE10" s="22">
        <f>IF(AD10&gt;0,(AD10-AD11-$Q10),"")</f>
        <v>-5617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390</v>
      </c>
      <c r="S11" s="24"/>
      <c r="T11" s="30">
        <v>821</v>
      </c>
      <c r="U11" s="24"/>
      <c r="V11" s="30">
        <v>1228</v>
      </c>
      <c r="W11" s="24"/>
      <c r="X11" s="30">
        <v>2262</v>
      </c>
      <c r="Y11" s="24"/>
      <c r="Z11" s="30">
        <v>2284</v>
      </c>
      <c r="AA11" s="24"/>
      <c r="AB11" s="30">
        <v>2284</v>
      </c>
      <c r="AC11" s="26"/>
      <c r="AD11" s="30">
        <v>2284</v>
      </c>
      <c r="AE11" s="26"/>
    </row>
    <row r="12" spans="2:42" x14ac:dyDescent="0.3">
      <c r="B12" s="16" t="s">
        <v>34</v>
      </c>
      <c r="C12" s="17">
        <v>1674</v>
      </c>
      <c r="E12" s="29" t="s">
        <v>35</v>
      </c>
      <c r="F12" s="119">
        <v>13654</v>
      </c>
      <c r="G12" s="117">
        <v>11517.367</v>
      </c>
      <c r="H12" s="117">
        <v>16112.32112683999</v>
      </c>
      <c r="I12" s="19">
        <f>G12+H12</f>
        <v>27629.688126839988</v>
      </c>
      <c r="J12" s="119">
        <v>12582</v>
      </c>
      <c r="K12" s="117">
        <v>10557.178749999999</v>
      </c>
      <c r="L12" s="117">
        <v>14432.87893984</v>
      </c>
      <c r="M12" s="19">
        <f>K12+L12</f>
        <v>24990.05768984</v>
      </c>
      <c r="N12" s="88">
        <v>50</v>
      </c>
      <c r="O12" s="88">
        <v>41</v>
      </c>
      <c r="P12" s="92"/>
      <c r="Q12" s="20">
        <f>J12-P12</f>
        <v>12582</v>
      </c>
      <c r="R12" s="21">
        <v>2408</v>
      </c>
      <c r="S12" s="20">
        <f>IF(R12&gt;0,(R12-R13-$Q12),"")</f>
        <v>-10862</v>
      </c>
      <c r="T12" s="21">
        <v>4735</v>
      </c>
      <c r="U12" s="20">
        <f>IF(T12&gt;0,(T12-T13-$Q12),"")</f>
        <v>-8876</v>
      </c>
      <c r="V12" s="21">
        <v>7236</v>
      </c>
      <c r="W12" s="20">
        <f>IF(V12&gt;0,(V12-V13-$Q12),"")</f>
        <v>-6375</v>
      </c>
      <c r="X12" s="21">
        <v>8231</v>
      </c>
      <c r="Y12" s="20">
        <f>IF(X12&gt;0,(X12-X13-$Q12),"")</f>
        <v>-5380</v>
      </c>
      <c r="Z12" s="21">
        <v>8231</v>
      </c>
      <c r="AA12" s="20">
        <f>IF(Z12&gt;0,(Z12-Z13-$Q12),"")</f>
        <v>-5380</v>
      </c>
      <c r="AB12" s="21">
        <v>8231</v>
      </c>
      <c r="AC12" s="22">
        <f>IF(AB12&gt;0,(AB12-AB13-$Q12),"")</f>
        <v>-5380</v>
      </c>
      <c r="AD12" s="21">
        <v>8231</v>
      </c>
      <c r="AE12" s="22">
        <f>IF(AD12&gt;0,(AD12-AD13-$Q12),"")</f>
        <v>-5380</v>
      </c>
    </row>
    <row r="13" spans="2:42" x14ac:dyDescent="0.3">
      <c r="B13" s="16" t="s">
        <v>36</v>
      </c>
      <c r="C13" s="17">
        <v>4911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688</v>
      </c>
      <c r="S13" s="24"/>
      <c r="T13" s="30">
        <v>1029</v>
      </c>
      <c r="U13" s="24"/>
      <c r="V13" s="30">
        <v>1029</v>
      </c>
      <c r="W13" s="24"/>
      <c r="X13" s="30">
        <v>1029</v>
      </c>
      <c r="Y13" s="24"/>
      <c r="Z13" s="30">
        <v>1029</v>
      </c>
      <c r="AA13" s="24"/>
      <c r="AB13" s="30">
        <v>1029</v>
      </c>
      <c r="AC13" s="26"/>
      <c r="AD13" s="30">
        <v>1029</v>
      </c>
      <c r="AE13" s="26"/>
    </row>
    <row r="14" spans="2:42" x14ac:dyDescent="0.3">
      <c r="B14" s="16" t="s">
        <v>38</v>
      </c>
      <c r="C14" s="17">
        <v>10631</v>
      </c>
      <c r="E14" s="18" t="s">
        <v>39</v>
      </c>
      <c r="F14" s="119">
        <v>23483</v>
      </c>
      <c r="G14" s="117">
        <v>18524.40625</v>
      </c>
      <c r="H14" s="117">
        <v>21774.814126600009</v>
      </c>
      <c r="I14" s="19">
        <f>G14+H14</f>
        <v>40299.220376600009</v>
      </c>
      <c r="J14" s="119">
        <v>23483</v>
      </c>
      <c r="K14" s="117">
        <v>18524.40625</v>
      </c>
      <c r="L14" s="117">
        <v>21699.814126599998</v>
      </c>
      <c r="M14" s="19">
        <f>K14+L14</f>
        <v>40224.220376600002</v>
      </c>
      <c r="N14" s="88">
        <v>64</v>
      </c>
      <c r="O14" s="88">
        <v>48</v>
      </c>
      <c r="P14" s="92"/>
      <c r="Q14" s="20">
        <f>J14-P14</f>
        <v>23483</v>
      </c>
      <c r="R14" s="21">
        <v>4683</v>
      </c>
      <c r="S14" s="20">
        <f>IF(R14&gt;0,(R14-R15-$Q14),"")</f>
        <v>-23031</v>
      </c>
      <c r="T14" s="21">
        <v>8294</v>
      </c>
      <c r="U14" s="20">
        <f>IF(T14&gt;0,(T14-T15-$Q14),"")</f>
        <v>-22478</v>
      </c>
      <c r="V14" s="21">
        <v>10218</v>
      </c>
      <c r="W14" s="20">
        <f>IF(V14&gt;0,(V14-V15-$Q14),"")</f>
        <v>-22164</v>
      </c>
      <c r="X14" s="21">
        <v>12622</v>
      </c>
      <c r="Y14" s="20">
        <f>IF(X14&gt;0,(X14-X15-$Q14),"")</f>
        <v>-20906</v>
      </c>
      <c r="Z14" s="21">
        <v>14457</v>
      </c>
      <c r="AA14" s="20">
        <f>IF(Z14&gt;0,(Z14-Z15-$Q14),"")</f>
        <v>-19239</v>
      </c>
      <c r="AB14" s="21">
        <v>15177</v>
      </c>
      <c r="AC14" s="22">
        <f>IF(AB14&gt;0,(AB14-AB15-$Q14),"")</f>
        <v>-18519</v>
      </c>
      <c r="AD14" s="21">
        <v>15177</v>
      </c>
      <c r="AE14" s="22">
        <f>IF(AD14&gt;0,(AD14-AD15-$Q14),"")</f>
        <v>-18519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4231</v>
      </c>
      <c r="S15" s="24"/>
      <c r="T15" s="25">
        <v>7289</v>
      </c>
      <c r="U15" s="24"/>
      <c r="V15" s="25">
        <v>8899</v>
      </c>
      <c r="W15" s="24"/>
      <c r="X15" s="25">
        <v>10045</v>
      </c>
      <c r="Y15" s="24"/>
      <c r="Z15" s="25">
        <v>10213</v>
      </c>
      <c r="AA15" s="24"/>
      <c r="AB15" s="25">
        <v>10213</v>
      </c>
      <c r="AC15" s="26"/>
      <c r="AD15" s="25">
        <v>10213</v>
      </c>
      <c r="AE15" s="26"/>
    </row>
    <row r="16" spans="2:42" ht="15" customHeight="1" thickBot="1" x14ac:dyDescent="0.35">
      <c r="B16" s="28" t="s">
        <v>42</v>
      </c>
      <c r="C16" s="17">
        <f>11023+14090</f>
        <v>25113</v>
      </c>
      <c r="E16" s="84"/>
      <c r="F16" s="31">
        <f t="shared" ref="F16:M16" si="0">SUM(F6:F15)</f>
        <v>83125</v>
      </c>
      <c r="G16" s="31">
        <f t="shared" si="0"/>
        <v>61136.983625000001</v>
      </c>
      <c r="H16" s="31">
        <f t="shared" si="0"/>
        <v>53858.386372280002</v>
      </c>
      <c r="I16" s="32">
        <f t="shared" si="0"/>
        <v>114995.36999728001</v>
      </c>
      <c r="J16" s="33">
        <f t="shared" si="0"/>
        <v>65612</v>
      </c>
      <c r="K16" s="33">
        <f t="shared" si="0"/>
        <v>53081.625874999998</v>
      </c>
      <c r="L16" s="33">
        <f t="shared" si="0"/>
        <v>50444.234494839999</v>
      </c>
      <c r="M16" s="33">
        <f t="shared" si="0"/>
        <v>103525.86036984</v>
      </c>
      <c r="N16" s="31">
        <f>SUM(N14,N12,N10,N8,N6)</f>
        <v>236</v>
      </c>
      <c r="O16" s="31">
        <f>SUM(O14,O12,O10,O8,O6)</f>
        <v>190</v>
      </c>
      <c r="P16" s="34">
        <f>SUM(P6:P15)</f>
        <v>0</v>
      </c>
      <c r="Q16" s="34">
        <f>SUM(Q6:Q15)</f>
        <v>65612</v>
      </c>
      <c r="R16" s="35">
        <f>R6+R8+R10+R12+R14-R7-R9-R11-R13-R15</f>
        <v>6674</v>
      </c>
      <c r="S16" s="36">
        <f>IF(R16&gt;1,(R16-$Q16),"")</f>
        <v>-58938</v>
      </c>
      <c r="T16" s="35">
        <f>T6+T8+T10+T12+T14-T7-T9-T11-T13-T15</f>
        <v>13252</v>
      </c>
      <c r="U16" s="36">
        <f>IF(T16&gt;1,(T16-$Q16),"")</f>
        <v>-52360</v>
      </c>
      <c r="V16" s="35">
        <f>V6+V8+V10+V12+V14-V7-V9-V11-V13-V15</f>
        <v>21496</v>
      </c>
      <c r="W16" s="36">
        <f>IF(V16&gt;1,(V16-$Q16),"")</f>
        <v>-44116</v>
      </c>
      <c r="X16" s="35">
        <f>X6+X8+X10+X12+X14-X7-X9-X11-X13-X15</f>
        <v>40010</v>
      </c>
      <c r="Y16" s="36">
        <f>IF(X16&gt;1,(X16-$Q16),"")</f>
        <v>-25602</v>
      </c>
      <c r="Z16" s="35">
        <f>Z6+Z8+Z10+Z12+Z14-Z7-Z9-Z11-Z13-Z15</f>
        <v>42689</v>
      </c>
      <c r="AA16" s="36">
        <f>IF(Z16&gt;1,(Z16-$Q16),"")</f>
        <v>-22923</v>
      </c>
      <c r="AB16" s="35">
        <f>AB6+AB8+AB10+AB12+AB14-AB7-AB9-AB11-AB13-AB15</f>
        <v>43409</v>
      </c>
      <c r="AC16" s="37">
        <f>IF(AB16&gt;1,(AB16-$Q16),"")</f>
        <v>-22203</v>
      </c>
      <c r="AD16" s="35">
        <f>AD6+AD8+AD10+AD12+AD14-AD7-AD9-AD11-AD13-AD15</f>
        <v>43409</v>
      </c>
      <c r="AE16" s="37">
        <f>IF(AD16&gt;1,(AD16-$Q16),"")</f>
        <v>-22203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5861</v>
      </c>
      <c r="S17" s="41"/>
      <c r="T17" s="40">
        <f>T15+T13+T11+T9+T7</f>
        <v>9706</v>
      </c>
      <c r="U17" s="41"/>
      <c r="V17" s="40">
        <f>V15+V13+V11+V9+V7</f>
        <v>11506</v>
      </c>
      <c r="W17" s="41"/>
      <c r="X17" s="40">
        <f>X15+X13+X11+X9+X7</f>
        <v>13775</v>
      </c>
      <c r="Y17" s="41"/>
      <c r="Z17" s="40">
        <f>Z15+Z13+Z11+Z9+Z7</f>
        <v>13989</v>
      </c>
      <c r="AA17" s="41"/>
      <c r="AB17" s="40">
        <f>AB15+AB13+AB11+AB9+AB7</f>
        <v>13989</v>
      </c>
      <c r="AC17" s="42"/>
      <c r="AD17" s="40">
        <f>AD15+AD13+AD11+AD9+AD7</f>
        <v>13989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3337</v>
      </c>
      <c r="S18" s="46"/>
      <c r="T18" s="47">
        <f>IF(T16&gt;0,(T16-R16)/2,"")</f>
        <v>3289</v>
      </c>
      <c r="U18" s="46"/>
      <c r="V18" s="47">
        <f>IF(V16&gt;0,(V16-T16)/2,"")</f>
        <v>4122</v>
      </c>
      <c r="W18" s="46"/>
      <c r="X18" s="47">
        <f>IF(X16&gt;0,(X16-V16)/2,"")</f>
        <v>9257</v>
      </c>
      <c r="Y18" s="46"/>
      <c r="Z18" s="47">
        <f>IF(Z16&gt;0,(Z16-X16)/2,"")</f>
        <v>1339.5</v>
      </c>
      <c r="AA18" s="46"/>
      <c r="AB18" s="47">
        <f>IF(AB16&gt;0,(AB16-Z16)/2,"")</f>
        <v>360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/>
      <c r="L20" s="4"/>
      <c r="M20" s="4"/>
      <c r="Q20" s="51" t="s">
        <v>49</v>
      </c>
      <c r="R20" s="35">
        <v>9805</v>
      </c>
      <c r="S20" s="36"/>
      <c r="T20" s="35">
        <v>19271</v>
      </c>
      <c r="U20" s="36"/>
      <c r="V20" s="35">
        <v>37701</v>
      </c>
      <c r="W20" s="36"/>
      <c r="X20" s="35">
        <v>48612</v>
      </c>
      <c r="Y20" s="36"/>
      <c r="Z20" s="35">
        <v>53882</v>
      </c>
      <c r="AA20" s="36"/>
      <c r="AB20" s="35">
        <v>54500</v>
      </c>
      <c r="AC20" s="37"/>
      <c r="AD20" s="35">
        <v>54500</v>
      </c>
      <c r="AE20" s="37">
        <v>-37794</v>
      </c>
    </row>
    <row r="21" spans="2:43" ht="15" customHeight="1" thickBot="1" x14ac:dyDescent="0.35">
      <c r="B21" s="57" t="s">
        <v>52</v>
      </c>
      <c r="C21" s="58"/>
      <c r="L21" s="4"/>
      <c r="M21" s="4"/>
      <c r="Q21" s="52"/>
      <c r="R21" s="40">
        <v>4067</v>
      </c>
      <c r="S21" s="41"/>
      <c r="T21" s="40">
        <v>7324</v>
      </c>
      <c r="U21" s="41"/>
      <c r="V21" s="40">
        <v>9570</v>
      </c>
      <c r="W21" s="41"/>
      <c r="X21" s="40">
        <v>11751</v>
      </c>
      <c r="Y21" s="41"/>
      <c r="Z21" s="40">
        <v>12564</v>
      </c>
      <c r="AA21" s="41"/>
      <c r="AB21" s="40">
        <v>12664</v>
      </c>
      <c r="AC21" s="42"/>
      <c r="AD21" s="40">
        <v>12664</v>
      </c>
      <c r="AE21" s="42"/>
    </row>
    <row r="22" spans="2:43" ht="15" customHeight="1" thickBot="1" x14ac:dyDescent="0.35">
      <c r="L22" s="4"/>
      <c r="M22" s="4"/>
      <c r="Q22" s="54"/>
      <c r="R22" s="55">
        <v>4902.5</v>
      </c>
      <c r="S22" s="55"/>
      <c r="T22" s="55">
        <v>4733</v>
      </c>
      <c r="U22" s="55"/>
      <c r="V22" s="55">
        <v>9215</v>
      </c>
      <c r="W22" s="55"/>
      <c r="X22" s="55">
        <v>5455.5</v>
      </c>
      <c r="Y22" s="55"/>
      <c r="Z22" s="55">
        <v>2635</v>
      </c>
      <c r="AA22" s="55"/>
      <c r="AB22" s="55">
        <v>309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-3131</v>
      </c>
      <c r="S24" s="60"/>
      <c r="T24" s="60">
        <f>IF(T16&gt;0,T16-T20,"")</f>
        <v>-6019</v>
      </c>
      <c r="U24" s="60"/>
      <c r="V24" s="60">
        <f>IF(V16&gt;0,V16-V20,"")</f>
        <v>-16205</v>
      </c>
      <c r="W24" s="60"/>
      <c r="X24" s="60">
        <f>IF(X16&gt;0,X16-X20,"")</f>
        <v>-8602</v>
      </c>
      <c r="Y24" s="60"/>
      <c r="Z24" s="60">
        <f>IF(Z16&gt;0,Z16-Z20,"")</f>
        <v>-11193</v>
      </c>
      <c r="AA24" s="60"/>
      <c r="AB24" s="60">
        <f>IF(AB16&gt;0,AB16-AB20,"")</f>
        <v>-11091</v>
      </c>
      <c r="AC24" s="61"/>
      <c r="AD24" s="60">
        <f>IF(AD16&gt;0,AD16-AD20,"")</f>
        <v>-11091</v>
      </c>
      <c r="AE24" s="61"/>
    </row>
    <row r="25" spans="2:43" x14ac:dyDescent="0.3">
      <c r="L25" s="4"/>
      <c r="M25" s="4"/>
      <c r="Q25" s="62"/>
      <c r="R25" s="63">
        <f>IF(R17&gt;=0,R17-R21,"")</f>
        <v>1794</v>
      </c>
      <c r="S25" s="64"/>
      <c r="T25" s="63">
        <f>IF(T17&gt;=0,T17-T21,"")</f>
        <v>2382</v>
      </c>
      <c r="U25" s="64"/>
      <c r="V25" s="63">
        <f>IF(V17&gt;=0,V17-V21,"")</f>
        <v>1936</v>
      </c>
      <c r="W25" s="64"/>
      <c r="X25" s="63">
        <f>IF(X17&gt;=0,X17-X21,"")</f>
        <v>2024</v>
      </c>
      <c r="Y25" s="64"/>
      <c r="Z25" s="63">
        <f>IF(Z17&gt;=0,Z17-Z21,"")</f>
        <v>1425</v>
      </c>
      <c r="AA25" s="64"/>
      <c r="AB25" s="63">
        <f>IF(AB17&gt;=0,AB17-AB21,"")</f>
        <v>1325</v>
      </c>
      <c r="AC25" s="65"/>
      <c r="AD25" s="63">
        <f>IF(AD17&gt;=0,AD17-AD21,"")</f>
        <v>1325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-1565.5</v>
      </c>
      <c r="S26" s="55"/>
      <c r="T26" s="67">
        <f>IFERROR(IF(T18&gt;0,T18-T22,""),"")</f>
        <v>-1444</v>
      </c>
      <c r="U26" s="55"/>
      <c r="V26" s="67">
        <f>IFERROR(IF(V18&gt;0,V18-V22,""),"")</f>
        <v>-5093</v>
      </c>
      <c r="W26" s="55"/>
      <c r="X26" s="67">
        <f>IFERROR(IF(X18&gt;0,X18-X22,""),"")</f>
        <v>3801.5</v>
      </c>
      <c r="Y26" s="55"/>
      <c r="Z26" s="67">
        <f>IFERROR(IF(Z18&gt;0,Z18-Z22,""),"")</f>
        <v>-1295.5</v>
      </c>
      <c r="AA26" s="55"/>
      <c r="AB26" s="67">
        <f>IFERROR(IF(AB18&gt;0,AB18-AB22,""),"")</f>
        <v>51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10087</v>
      </c>
      <c r="D29" s="76">
        <f>C14</f>
        <v>10631</v>
      </c>
      <c r="E29" s="77">
        <f>D29-C29</f>
        <v>544</v>
      </c>
      <c r="M29" s="4"/>
      <c r="O29" s="4"/>
    </row>
    <row r="30" spans="2:43" x14ac:dyDescent="0.3">
      <c r="B30" s="74" t="s">
        <v>56</v>
      </c>
      <c r="C30" s="75">
        <v>27649</v>
      </c>
      <c r="D30" s="76">
        <f>C7+C15+C16+C17+C18</f>
        <v>25113</v>
      </c>
      <c r="E30" s="77">
        <f>D30-C30</f>
        <v>-2536</v>
      </c>
      <c r="J30" s="53"/>
      <c r="L30" s="53"/>
      <c r="M30" s="4"/>
      <c r="O30" s="4"/>
    </row>
    <row r="31" spans="2:43" x14ac:dyDescent="0.3">
      <c r="B31" s="74" t="s">
        <v>21</v>
      </c>
      <c r="C31" s="75">
        <v>14449</v>
      </c>
      <c r="D31" s="76">
        <f>C6</f>
        <v>0</v>
      </c>
      <c r="E31" s="77">
        <f>D31-C31</f>
        <v>-14449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0</v>
      </c>
      <c r="D32" s="76">
        <f>C10+C11+C12+C13</f>
        <v>14449</v>
      </c>
      <c r="E32" s="77">
        <f>D32-C32</f>
        <v>14449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15885</v>
      </c>
      <c r="D33" s="76">
        <f>C19+C20+C21</f>
        <v>0</v>
      </c>
      <c r="E33" s="77">
        <f>D33-C33</f>
        <v>-15885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4460</v>
      </c>
      <c r="D34" s="80">
        <f>SUM(C8+C9)</f>
        <v>4460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2153</v>
      </c>
      <c r="R35" s="104">
        <v>182</v>
      </c>
      <c r="S35" s="104">
        <f t="shared" ref="S35:S64" si="1">IF(T35&gt;0,(T35-R35)/2,"")</f>
        <v>19.5</v>
      </c>
      <c r="T35" s="104">
        <v>221</v>
      </c>
      <c r="U35" s="104">
        <f t="shared" ref="U35:U64" si="2">IF(V35&gt;0,(V35-T35)/2,"")</f>
        <v>285.5</v>
      </c>
      <c r="V35" s="104">
        <v>792</v>
      </c>
      <c r="W35" s="104">
        <f t="shared" ref="W35:W64" si="3">IF(X35&gt;0,(X35-V35)/2,"")</f>
        <v>272.5</v>
      </c>
      <c r="X35" s="104">
        <v>1337</v>
      </c>
      <c r="Y35" s="104">
        <f t="shared" ref="Y35:Y64" si="4">IF(Z35&gt;0,(Z35-X35)/2,"")</f>
        <v>0</v>
      </c>
      <c r="Z35" s="104">
        <v>1337</v>
      </c>
      <c r="AA35" s="104">
        <f t="shared" ref="AA35:AA64" si="5">IF(AB35&gt;0,(AB35-Z35)/2,"")</f>
        <v>0</v>
      </c>
      <c r="AB35" s="104">
        <v>1337</v>
      </c>
      <c r="AC35" s="104">
        <f t="shared" ref="AC35:AC64" si="6">IF(AD35&gt;0,(AD35-AB35)/2,"")</f>
        <v>0</v>
      </c>
      <c r="AD35" s="104">
        <v>1337</v>
      </c>
      <c r="AE35" s="105">
        <f t="shared" ref="AE35:AE64" si="7">AD35-Q35</f>
        <v>-816</v>
      </c>
    </row>
    <row r="36" spans="2:31" ht="15.6" customHeight="1" x14ac:dyDescent="0.3">
      <c r="N36" s="212"/>
      <c r="O36" s="95" t="s">
        <v>66</v>
      </c>
      <c r="P36" s="106"/>
      <c r="Q36" s="106">
        <v>1445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360.5</v>
      </c>
      <c r="V36" s="106">
        <v>721</v>
      </c>
      <c r="W36" s="106">
        <f t="shared" si="3"/>
        <v>108</v>
      </c>
      <c r="X36" s="106">
        <v>937</v>
      </c>
      <c r="Y36" s="106">
        <f t="shared" si="4"/>
        <v>0</v>
      </c>
      <c r="Z36" s="106">
        <v>937</v>
      </c>
      <c r="AA36" s="106">
        <f t="shared" si="5"/>
        <v>0</v>
      </c>
      <c r="AB36" s="106">
        <v>937</v>
      </c>
      <c r="AC36" s="106">
        <f t="shared" si="6"/>
        <v>0</v>
      </c>
      <c r="AD36" s="106">
        <v>937</v>
      </c>
      <c r="AE36" s="107">
        <f t="shared" si="7"/>
        <v>-508</v>
      </c>
    </row>
    <row r="37" spans="2:31" ht="15.6" customHeight="1" x14ac:dyDescent="0.3">
      <c r="N37" s="212"/>
      <c r="O37" s="94" t="s">
        <v>67</v>
      </c>
      <c r="P37" s="108"/>
      <c r="Q37" s="108">
        <v>2455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243.5</v>
      </c>
      <c r="V37" s="108">
        <v>487</v>
      </c>
      <c r="W37" s="108">
        <f t="shared" si="3"/>
        <v>119</v>
      </c>
      <c r="X37" s="108">
        <v>725</v>
      </c>
      <c r="Y37" s="108">
        <f t="shared" si="4"/>
        <v>0</v>
      </c>
      <c r="Z37" s="108">
        <v>725</v>
      </c>
      <c r="AA37" s="108">
        <f t="shared" si="5"/>
        <v>0</v>
      </c>
      <c r="AB37" s="108">
        <v>725</v>
      </c>
      <c r="AC37" s="108">
        <f t="shared" si="6"/>
        <v>0</v>
      </c>
      <c r="AD37" s="108">
        <v>725</v>
      </c>
      <c r="AE37" s="109">
        <f t="shared" si="7"/>
        <v>-1730</v>
      </c>
    </row>
    <row r="38" spans="2:31" ht="15.6" customHeight="1" x14ac:dyDescent="0.3">
      <c r="N38" s="212"/>
      <c r="O38" s="95" t="s">
        <v>68</v>
      </c>
      <c r="P38" s="106"/>
      <c r="Q38" s="106">
        <v>3592</v>
      </c>
      <c r="R38" s="106">
        <v>720</v>
      </c>
      <c r="S38" s="106">
        <f t="shared" si="1"/>
        <v>240</v>
      </c>
      <c r="T38" s="106">
        <v>1200</v>
      </c>
      <c r="U38" s="106">
        <f t="shared" si="2"/>
        <v>41.5</v>
      </c>
      <c r="V38" s="106">
        <v>1283</v>
      </c>
      <c r="W38" s="106">
        <f t="shared" si="3"/>
        <v>521.5</v>
      </c>
      <c r="X38" s="106">
        <v>2326</v>
      </c>
      <c r="Y38" s="106">
        <f t="shared" si="4"/>
        <v>0</v>
      </c>
      <c r="Z38" s="106">
        <v>2326</v>
      </c>
      <c r="AA38" s="106">
        <f t="shared" si="5"/>
        <v>0</v>
      </c>
      <c r="AB38" s="106">
        <v>2326</v>
      </c>
      <c r="AC38" s="106">
        <f t="shared" si="6"/>
        <v>0</v>
      </c>
      <c r="AD38" s="106">
        <v>2326</v>
      </c>
      <c r="AE38" s="107">
        <f t="shared" si="7"/>
        <v>-1266</v>
      </c>
    </row>
    <row r="39" spans="2:31" ht="15.6" customHeight="1" x14ac:dyDescent="0.3">
      <c r="N39" s="212"/>
      <c r="O39" s="94" t="s">
        <v>69</v>
      </c>
      <c r="P39" s="108"/>
      <c r="Q39" s="108">
        <v>2492</v>
      </c>
      <c r="R39" s="108">
        <v>892</v>
      </c>
      <c r="S39" s="108">
        <f t="shared" si="1"/>
        <v>232</v>
      </c>
      <c r="T39" s="108">
        <v>1356</v>
      </c>
      <c r="U39" s="108">
        <f t="shared" si="2"/>
        <v>259</v>
      </c>
      <c r="V39" s="108">
        <v>1874</v>
      </c>
      <c r="W39" s="108">
        <f t="shared" si="3"/>
        <v>0</v>
      </c>
      <c r="X39" s="108">
        <v>1874</v>
      </c>
      <c r="Y39" s="108">
        <f t="shared" si="4"/>
        <v>0</v>
      </c>
      <c r="Z39" s="108">
        <v>1874</v>
      </c>
      <c r="AA39" s="108">
        <f t="shared" si="5"/>
        <v>0</v>
      </c>
      <c r="AB39" s="108">
        <v>1874</v>
      </c>
      <c r="AC39" s="108">
        <f t="shared" si="6"/>
        <v>0</v>
      </c>
      <c r="AD39" s="108">
        <v>1874</v>
      </c>
      <c r="AE39" s="109">
        <f t="shared" si="7"/>
        <v>-618</v>
      </c>
    </row>
    <row r="40" spans="2:31" ht="15.6" customHeight="1" x14ac:dyDescent="0.3">
      <c r="N40" s="212"/>
      <c r="O40" s="95" t="s">
        <v>70</v>
      </c>
      <c r="P40" s="106"/>
      <c r="Q40" s="106">
        <v>3480</v>
      </c>
      <c r="R40" s="106">
        <v>1192</v>
      </c>
      <c r="S40" s="106">
        <f t="shared" si="1"/>
        <v>141.5</v>
      </c>
      <c r="T40" s="106">
        <v>1475</v>
      </c>
      <c r="U40" s="106">
        <f t="shared" si="2"/>
        <v>55.5</v>
      </c>
      <c r="V40" s="106">
        <v>1586</v>
      </c>
      <c r="W40" s="106">
        <f t="shared" si="3"/>
        <v>85</v>
      </c>
      <c r="X40" s="106">
        <v>1756</v>
      </c>
      <c r="Y40" s="106">
        <f t="shared" si="4"/>
        <v>243.5</v>
      </c>
      <c r="Z40" s="106">
        <v>2243</v>
      </c>
      <c r="AA40" s="106">
        <f t="shared" si="5"/>
        <v>0</v>
      </c>
      <c r="AB40" s="106">
        <v>2243</v>
      </c>
      <c r="AC40" s="106">
        <f t="shared" si="6"/>
        <v>0</v>
      </c>
      <c r="AD40" s="106">
        <v>2243</v>
      </c>
      <c r="AE40" s="107">
        <f t="shared" si="7"/>
        <v>-1237</v>
      </c>
    </row>
    <row r="41" spans="2:31" ht="15.6" customHeight="1" x14ac:dyDescent="0.3">
      <c r="N41" s="212"/>
      <c r="O41" s="94" t="s">
        <v>71</v>
      </c>
      <c r="P41" s="108"/>
      <c r="Q41" s="108">
        <v>1152</v>
      </c>
      <c r="R41" s="108">
        <v>450</v>
      </c>
      <c r="S41" s="108">
        <f t="shared" si="1"/>
        <v>0</v>
      </c>
      <c r="T41" s="108">
        <v>450</v>
      </c>
      <c r="U41" s="108">
        <f t="shared" si="2"/>
        <v>-88</v>
      </c>
      <c r="V41" s="108">
        <v>274</v>
      </c>
      <c r="W41" s="108">
        <f t="shared" si="3"/>
        <v>195.5</v>
      </c>
      <c r="X41" s="108">
        <v>665</v>
      </c>
      <c r="Y41" s="108">
        <f t="shared" si="4"/>
        <v>0</v>
      </c>
      <c r="Z41" s="108">
        <v>665</v>
      </c>
      <c r="AA41" s="108">
        <f t="shared" si="5"/>
        <v>0</v>
      </c>
      <c r="AB41" s="108">
        <v>665</v>
      </c>
      <c r="AC41" s="108">
        <f t="shared" si="6"/>
        <v>0</v>
      </c>
      <c r="AD41" s="108">
        <v>665</v>
      </c>
      <c r="AE41" s="109">
        <f t="shared" si="7"/>
        <v>-487</v>
      </c>
    </row>
    <row r="42" spans="2:31" ht="15.6" customHeight="1" x14ac:dyDescent="0.3">
      <c r="N42" s="212"/>
      <c r="O42" s="95" t="s">
        <v>72</v>
      </c>
      <c r="P42" s="106"/>
      <c r="Q42" s="106">
        <v>1677</v>
      </c>
      <c r="R42" s="106">
        <v>0</v>
      </c>
      <c r="S42" s="106">
        <f t="shared" si="1"/>
        <v>268</v>
      </c>
      <c r="T42" s="106">
        <v>536</v>
      </c>
      <c r="U42" s="106">
        <f t="shared" si="2"/>
        <v>183</v>
      </c>
      <c r="V42" s="106">
        <v>902</v>
      </c>
      <c r="W42" s="106">
        <f t="shared" si="3"/>
        <v>0</v>
      </c>
      <c r="X42" s="106">
        <v>902</v>
      </c>
      <c r="Y42" s="106">
        <f t="shared" si="4"/>
        <v>196.5</v>
      </c>
      <c r="Z42" s="106">
        <v>1295</v>
      </c>
      <c r="AA42" s="106">
        <f t="shared" si="5"/>
        <v>0</v>
      </c>
      <c r="AB42" s="106">
        <v>1295</v>
      </c>
      <c r="AC42" s="106">
        <f t="shared" si="6"/>
        <v>0</v>
      </c>
      <c r="AD42" s="106">
        <v>1295</v>
      </c>
      <c r="AE42" s="107">
        <f t="shared" si="7"/>
        <v>-382</v>
      </c>
    </row>
    <row r="43" spans="2:31" ht="15.6" customHeight="1" thickBot="1" x14ac:dyDescent="0.35">
      <c r="N43" s="213"/>
      <c r="O43" s="97" t="s">
        <v>73</v>
      </c>
      <c r="P43" s="110"/>
      <c r="Q43" s="110">
        <v>1566</v>
      </c>
      <c r="R43" s="110">
        <v>532</v>
      </c>
      <c r="S43" s="110">
        <f t="shared" si="1"/>
        <v>323</v>
      </c>
      <c r="T43" s="110">
        <v>1178</v>
      </c>
      <c r="U43" s="110">
        <f t="shared" si="2"/>
        <v>201</v>
      </c>
      <c r="V43" s="110">
        <v>1580</v>
      </c>
      <c r="W43" s="110">
        <f t="shared" si="3"/>
        <v>0</v>
      </c>
      <c r="X43" s="110">
        <v>1580</v>
      </c>
      <c r="Y43" s="110">
        <f t="shared" si="4"/>
        <v>78</v>
      </c>
      <c r="Z43" s="110">
        <v>1736</v>
      </c>
      <c r="AA43" s="110">
        <f t="shared" si="5"/>
        <v>0</v>
      </c>
      <c r="AB43" s="110">
        <v>1736</v>
      </c>
      <c r="AC43" s="110">
        <f t="shared" si="6"/>
        <v>0</v>
      </c>
      <c r="AD43" s="110">
        <v>1736</v>
      </c>
      <c r="AE43" s="111">
        <f t="shared" si="7"/>
        <v>170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5105</v>
      </c>
      <c r="R44" s="112">
        <v>1008</v>
      </c>
      <c r="S44" s="112">
        <f t="shared" si="1"/>
        <v>480.5</v>
      </c>
      <c r="T44" s="112">
        <v>1969</v>
      </c>
      <c r="U44" s="112">
        <f t="shared" si="2"/>
        <v>0</v>
      </c>
      <c r="V44" s="112">
        <v>1969</v>
      </c>
      <c r="W44" s="112">
        <f t="shared" si="3"/>
        <v>1572</v>
      </c>
      <c r="X44" s="112">
        <v>5113</v>
      </c>
      <c r="Y44" s="112">
        <f t="shared" si="4"/>
        <v>0</v>
      </c>
      <c r="Z44" s="112">
        <v>5113</v>
      </c>
      <c r="AA44" s="112">
        <f t="shared" si="5"/>
        <v>0</v>
      </c>
      <c r="AB44" s="112">
        <v>5113</v>
      </c>
      <c r="AC44" s="112">
        <f t="shared" si="6"/>
        <v>0</v>
      </c>
      <c r="AD44" s="112">
        <v>5113</v>
      </c>
      <c r="AE44" s="113">
        <f t="shared" si="7"/>
        <v>8</v>
      </c>
    </row>
    <row r="45" spans="2:31" ht="15.6" customHeight="1" x14ac:dyDescent="0.3">
      <c r="N45" s="212"/>
      <c r="O45" s="94" t="s">
        <v>66</v>
      </c>
      <c r="P45" s="108"/>
      <c r="Q45" s="108">
        <v>4165</v>
      </c>
      <c r="R45" s="108">
        <v>30</v>
      </c>
      <c r="S45" s="108">
        <f t="shared" si="1"/>
        <v>0</v>
      </c>
      <c r="T45" s="108">
        <v>30</v>
      </c>
      <c r="U45" s="108">
        <f t="shared" si="2"/>
        <v>0</v>
      </c>
      <c r="V45" s="108">
        <v>30</v>
      </c>
      <c r="W45" s="108">
        <f t="shared" si="3"/>
        <v>2082.5</v>
      </c>
      <c r="X45" s="108">
        <v>4195</v>
      </c>
      <c r="Y45" s="108">
        <f t="shared" si="4"/>
        <v>0</v>
      </c>
      <c r="Z45" s="108">
        <v>4195</v>
      </c>
      <c r="AA45" s="108">
        <f t="shared" si="5"/>
        <v>0</v>
      </c>
      <c r="AB45" s="108">
        <v>4195</v>
      </c>
      <c r="AC45" s="108">
        <f t="shared" si="6"/>
        <v>0</v>
      </c>
      <c r="AD45" s="108">
        <v>4195</v>
      </c>
      <c r="AE45" s="109">
        <f t="shared" si="7"/>
        <v>30</v>
      </c>
    </row>
    <row r="46" spans="2:31" ht="15.6" customHeight="1" x14ac:dyDescent="0.3">
      <c r="N46" s="212"/>
      <c r="O46" s="95" t="s">
        <v>67</v>
      </c>
      <c r="P46" s="106"/>
      <c r="Q46" s="106">
        <v>2761</v>
      </c>
      <c r="R46" s="106">
        <v>36</v>
      </c>
      <c r="S46" s="106">
        <f t="shared" si="1"/>
        <v>0</v>
      </c>
      <c r="T46" s="106">
        <v>36</v>
      </c>
      <c r="U46" s="106">
        <f t="shared" si="2"/>
        <v>269</v>
      </c>
      <c r="V46" s="106">
        <v>574</v>
      </c>
      <c r="W46" s="106">
        <f t="shared" si="3"/>
        <v>648.5</v>
      </c>
      <c r="X46" s="106">
        <v>1871</v>
      </c>
      <c r="Y46" s="106">
        <f t="shared" si="4"/>
        <v>0</v>
      </c>
      <c r="Z46" s="106">
        <v>1871</v>
      </c>
      <c r="AA46" s="106">
        <f t="shared" si="5"/>
        <v>0</v>
      </c>
      <c r="AB46" s="106">
        <v>1871</v>
      </c>
      <c r="AC46" s="106">
        <f t="shared" si="6"/>
        <v>0</v>
      </c>
      <c r="AD46" s="106">
        <v>1871</v>
      </c>
      <c r="AE46" s="107">
        <f t="shared" si="7"/>
        <v>-890</v>
      </c>
    </row>
    <row r="47" spans="2:31" ht="15.6" customHeight="1" thickBot="1" x14ac:dyDescent="0.35">
      <c r="N47" s="213"/>
      <c r="O47" s="97" t="s">
        <v>68</v>
      </c>
      <c r="P47" s="110"/>
      <c r="Q47" s="110">
        <v>4469</v>
      </c>
      <c r="R47" s="110">
        <v>3</v>
      </c>
      <c r="S47" s="110">
        <f t="shared" si="1"/>
        <v>0</v>
      </c>
      <c r="T47" s="110">
        <v>3</v>
      </c>
      <c r="U47" s="110">
        <f t="shared" si="2"/>
        <v>0</v>
      </c>
      <c r="V47" s="110">
        <v>3</v>
      </c>
      <c r="W47" s="110">
        <f t="shared" si="3"/>
        <v>1734</v>
      </c>
      <c r="X47" s="110">
        <v>3471</v>
      </c>
      <c r="Y47" s="110">
        <f t="shared" si="4"/>
        <v>0</v>
      </c>
      <c r="Z47" s="110">
        <v>3471</v>
      </c>
      <c r="AA47" s="110">
        <f t="shared" si="5"/>
        <v>0</v>
      </c>
      <c r="AB47" s="110">
        <v>3471</v>
      </c>
      <c r="AC47" s="110">
        <f t="shared" si="6"/>
        <v>0</v>
      </c>
      <c r="AD47" s="110">
        <v>3471</v>
      </c>
      <c r="AE47" s="111">
        <f t="shared" si="7"/>
        <v>-998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254</v>
      </c>
      <c r="R48" s="112">
        <v>3</v>
      </c>
      <c r="S48" s="112">
        <f t="shared" si="1"/>
        <v>0</v>
      </c>
      <c r="T48" s="112">
        <v>3</v>
      </c>
      <c r="U48" s="112">
        <f t="shared" si="2"/>
        <v>36</v>
      </c>
      <c r="V48" s="112">
        <v>75</v>
      </c>
      <c r="W48" s="112">
        <f t="shared" si="3"/>
        <v>31.5</v>
      </c>
      <c r="X48" s="112">
        <v>138</v>
      </c>
      <c r="Y48" s="112">
        <f t="shared" si="4"/>
        <v>0</v>
      </c>
      <c r="Z48" s="112">
        <v>138</v>
      </c>
      <c r="AA48" s="112">
        <f t="shared" si="5"/>
        <v>0</v>
      </c>
      <c r="AB48" s="112">
        <v>138</v>
      </c>
      <c r="AC48" s="112">
        <f t="shared" si="6"/>
        <v>0</v>
      </c>
      <c r="AD48" s="112">
        <v>138</v>
      </c>
      <c r="AE48" s="113">
        <f t="shared" si="7"/>
        <v>-116</v>
      </c>
    </row>
    <row r="49" spans="14:31" ht="15.6" customHeight="1" x14ac:dyDescent="0.3">
      <c r="N49" s="212"/>
      <c r="O49" s="94" t="s">
        <v>66</v>
      </c>
      <c r="P49" s="108"/>
      <c r="Q49" s="108">
        <v>289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144.5</v>
      </c>
      <c r="V49" s="108">
        <v>289</v>
      </c>
      <c r="W49" s="108">
        <f t="shared" si="3"/>
        <v>2.5</v>
      </c>
      <c r="X49" s="108">
        <v>294</v>
      </c>
      <c r="Y49" s="108">
        <f t="shared" si="4"/>
        <v>0</v>
      </c>
      <c r="Z49" s="108">
        <v>294</v>
      </c>
      <c r="AA49" s="108">
        <f t="shared" si="5"/>
        <v>0</v>
      </c>
      <c r="AB49" s="108">
        <v>294</v>
      </c>
      <c r="AC49" s="108">
        <f t="shared" si="6"/>
        <v>0</v>
      </c>
      <c r="AD49" s="108">
        <v>294</v>
      </c>
      <c r="AE49" s="109">
        <f t="shared" si="7"/>
        <v>5</v>
      </c>
    </row>
    <row r="50" spans="14:31" ht="15.6" customHeight="1" x14ac:dyDescent="0.3">
      <c r="N50" s="212"/>
      <c r="O50" s="95" t="s">
        <v>67</v>
      </c>
      <c r="P50" s="106"/>
      <c r="Q50" s="106">
        <v>2403</v>
      </c>
      <c r="R50" s="106">
        <v>390</v>
      </c>
      <c r="S50" s="106">
        <f t="shared" si="1"/>
        <v>82</v>
      </c>
      <c r="T50" s="106">
        <v>554</v>
      </c>
      <c r="U50" s="106">
        <f t="shared" si="2"/>
        <v>211.5</v>
      </c>
      <c r="V50" s="106">
        <v>977</v>
      </c>
      <c r="W50" s="106">
        <f t="shared" si="3"/>
        <v>208.5</v>
      </c>
      <c r="X50" s="106">
        <v>1394</v>
      </c>
      <c r="Y50" s="106">
        <f t="shared" si="4"/>
        <v>0</v>
      </c>
      <c r="Z50" s="106">
        <v>1394</v>
      </c>
      <c r="AA50" s="106">
        <f t="shared" si="5"/>
        <v>0</v>
      </c>
      <c r="AB50" s="106">
        <v>1394</v>
      </c>
      <c r="AC50" s="106">
        <f t="shared" si="6"/>
        <v>0</v>
      </c>
      <c r="AD50" s="106">
        <v>1394</v>
      </c>
      <c r="AE50" s="107">
        <f t="shared" si="7"/>
        <v>-1009</v>
      </c>
    </row>
    <row r="51" spans="14:31" ht="15.6" customHeight="1" x14ac:dyDescent="0.3">
      <c r="N51" s="212"/>
      <c r="O51" s="94" t="s">
        <v>68</v>
      </c>
      <c r="P51" s="108"/>
      <c r="Q51" s="108">
        <v>764</v>
      </c>
      <c r="R51" s="108">
        <v>3</v>
      </c>
      <c r="S51" s="108">
        <f t="shared" si="1"/>
        <v>0</v>
      </c>
      <c r="T51" s="108">
        <v>3</v>
      </c>
      <c r="U51" s="108">
        <f t="shared" si="2"/>
        <v>125.5</v>
      </c>
      <c r="V51" s="108">
        <v>254</v>
      </c>
      <c r="W51" s="108">
        <f t="shared" si="3"/>
        <v>59.5</v>
      </c>
      <c r="X51" s="108">
        <v>373</v>
      </c>
      <c r="Y51" s="108">
        <f t="shared" si="4"/>
        <v>0</v>
      </c>
      <c r="Z51" s="108">
        <v>373</v>
      </c>
      <c r="AA51" s="108">
        <f t="shared" si="5"/>
        <v>0</v>
      </c>
      <c r="AB51" s="108">
        <v>373</v>
      </c>
      <c r="AC51" s="108">
        <f t="shared" si="6"/>
        <v>0</v>
      </c>
      <c r="AD51" s="108">
        <v>373</v>
      </c>
      <c r="AE51" s="109">
        <f t="shared" si="7"/>
        <v>-391</v>
      </c>
    </row>
    <row r="52" spans="14:31" ht="15.6" customHeight="1" x14ac:dyDescent="0.3">
      <c r="N52" s="212"/>
      <c r="O52" s="95" t="s">
        <v>69</v>
      </c>
      <c r="P52" s="106"/>
      <c r="Q52" s="106">
        <v>2735</v>
      </c>
      <c r="R52" s="106">
        <v>0</v>
      </c>
      <c r="S52" s="106">
        <f t="shared" si="1"/>
        <v>133.5</v>
      </c>
      <c r="T52" s="106">
        <v>267</v>
      </c>
      <c r="U52" s="106">
        <f t="shared" si="2"/>
        <v>319.5</v>
      </c>
      <c r="V52" s="106">
        <v>906</v>
      </c>
      <c r="W52" s="106">
        <f t="shared" si="3"/>
        <v>349</v>
      </c>
      <c r="X52" s="106">
        <v>1604</v>
      </c>
      <c r="Y52" s="106">
        <f t="shared" si="4"/>
        <v>11</v>
      </c>
      <c r="Z52" s="106">
        <v>1626</v>
      </c>
      <c r="AA52" s="106">
        <f t="shared" si="5"/>
        <v>0</v>
      </c>
      <c r="AB52" s="106">
        <v>1626</v>
      </c>
      <c r="AC52" s="106">
        <f t="shared" si="6"/>
        <v>0</v>
      </c>
      <c r="AD52" s="106">
        <v>1626</v>
      </c>
      <c r="AE52" s="107">
        <f t="shared" si="7"/>
        <v>-1109</v>
      </c>
    </row>
    <row r="53" spans="14:31" ht="15.6" customHeight="1" x14ac:dyDescent="0.3">
      <c r="N53" s="212"/>
      <c r="O53" s="94" t="s">
        <v>70</v>
      </c>
      <c r="P53" s="108"/>
      <c r="Q53" s="108">
        <v>1535</v>
      </c>
      <c r="R53" s="108">
        <v>3</v>
      </c>
      <c r="S53" s="108">
        <f t="shared" si="1"/>
        <v>0</v>
      </c>
      <c r="T53" s="108">
        <v>3</v>
      </c>
      <c r="U53" s="108">
        <f t="shared" si="2"/>
        <v>2</v>
      </c>
      <c r="V53" s="108">
        <v>7</v>
      </c>
      <c r="W53" s="108">
        <f t="shared" si="3"/>
        <v>398</v>
      </c>
      <c r="X53" s="108">
        <v>803</v>
      </c>
      <c r="Y53" s="108">
        <f t="shared" si="4"/>
        <v>0</v>
      </c>
      <c r="Z53" s="108">
        <v>803</v>
      </c>
      <c r="AA53" s="108">
        <f t="shared" si="5"/>
        <v>0</v>
      </c>
      <c r="AB53" s="108">
        <v>803</v>
      </c>
      <c r="AC53" s="108">
        <f t="shared" si="6"/>
        <v>0</v>
      </c>
      <c r="AD53" s="108">
        <v>803</v>
      </c>
      <c r="AE53" s="109">
        <f t="shared" si="7"/>
        <v>-732</v>
      </c>
    </row>
    <row r="54" spans="14:31" ht="15.6" customHeight="1" x14ac:dyDescent="0.3">
      <c r="N54" s="212"/>
      <c r="O54" s="95" t="s">
        <v>71</v>
      </c>
      <c r="P54" s="106"/>
      <c r="Q54" s="106">
        <v>959</v>
      </c>
      <c r="R54" s="106">
        <v>0</v>
      </c>
      <c r="S54" s="106">
        <f t="shared" si="1"/>
        <v>322.5</v>
      </c>
      <c r="T54" s="106">
        <v>645</v>
      </c>
      <c r="U54" s="106">
        <f t="shared" si="2"/>
        <v>68</v>
      </c>
      <c r="V54" s="106">
        <v>781</v>
      </c>
      <c r="W54" s="106">
        <f t="shared" si="3"/>
        <v>0</v>
      </c>
      <c r="X54" s="106">
        <v>781</v>
      </c>
      <c r="Y54" s="106">
        <f t="shared" si="4"/>
        <v>0</v>
      </c>
      <c r="Z54" s="106">
        <v>781</v>
      </c>
      <c r="AA54" s="106">
        <f t="shared" si="5"/>
        <v>0</v>
      </c>
      <c r="AB54" s="106">
        <v>781</v>
      </c>
      <c r="AC54" s="106">
        <f t="shared" si="6"/>
        <v>0</v>
      </c>
      <c r="AD54" s="106">
        <v>781</v>
      </c>
      <c r="AE54" s="107">
        <f t="shared" si="7"/>
        <v>-178</v>
      </c>
    </row>
    <row r="55" spans="14:31" ht="15.6" customHeight="1" x14ac:dyDescent="0.3">
      <c r="N55" s="212"/>
      <c r="O55" s="94" t="s">
        <v>72</v>
      </c>
      <c r="P55" s="108"/>
      <c r="Q55" s="108">
        <v>382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14</v>
      </c>
      <c r="V55" s="108">
        <v>28</v>
      </c>
      <c r="W55" s="108">
        <f t="shared" si="3"/>
        <v>275.5</v>
      </c>
      <c r="X55" s="108">
        <v>579</v>
      </c>
      <c r="Y55" s="108">
        <f t="shared" si="4"/>
        <v>0</v>
      </c>
      <c r="Z55" s="108">
        <v>579</v>
      </c>
      <c r="AA55" s="108">
        <f t="shared" si="5"/>
        <v>0</v>
      </c>
      <c r="AB55" s="108">
        <v>579</v>
      </c>
      <c r="AC55" s="108">
        <f t="shared" si="6"/>
        <v>0</v>
      </c>
      <c r="AD55" s="108">
        <v>579</v>
      </c>
      <c r="AE55" s="109">
        <f t="shared" si="7"/>
        <v>197</v>
      </c>
    </row>
    <row r="56" spans="14:31" ht="15.6" customHeight="1" thickBot="1" x14ac:dyDescent="0.35">
      <c r="N56" s="213"/>
      <c r="O56" s="99" t="s">
        <v>73</v>
      </c>
      <c r="P56" s="114"/>
      <c r="Q56" s="114">
        <v>214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78</v>
      </c>
      <c r="V56" s="114">
        <v>156</v>
      </c>
      <c r="W56" s="114">
        <f t="shared" si="3"/>
        <v>29</v>
      </c>
      <c r="X56" s="114">
        <v>214</v>
      </c>
      <c r="Y56" s="114">
        <f t="shared" si="4"/>
        <v>0</v>
      </c>
      <c r="Z56" s="114">
        <v>214</v>
      </c>
      <c r="AA56" s="114">
        <f t="shared" si="5"/>
        <v>0</v>
      </c>
      <c r="AB56" s="114">
        <v>214</v>
      </c>
      <c r="AC56" s="114">
        <f t="shared" si="6"/>
        <v>0</v>
      </c>
      <c r="AD56" s="114">
        <v>214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4384</v>
      </c>
      <c r="R57" s="104">
        <v>536</v>
      </c>
      <c r="S57" s="104">
        <f t="shared" si="1"/>
        <v>390</v>
      </c>
      <c r="T57" s="104">
        <v>1316</v>
      </c>
      <c r="U57" s="104">
        <f t="shared" si="2"/>
        <v>721</v>
      </c>
      <c r="V57" s="104">
        <v>2758</v>
      </c>
      <c r="W57" s="104">
        <f t="shared" si="3"/>
        <v>139.5</v>
      </c>
      <c r="X57" s="104">
        <v>3037</v>
      </c>
      <c r="Y57" s="104">
        <f t="shared" si="4"/>
        <v>0</v>
      </c>
      <c r="Z57" s="104">
        <v>3037</v>
      </c>
      <c r="AA57" s="104">
        <f t="shared" si="5"/>
        <v>0</v>
      </c>
      <c r="AB57" s="104">
        <v>3037</v>
      </c>
      <c r="AC57" s="104">
        <f t="shared" si="6"/>
        <v>0</v>
      </c>
      <c r="AD57" s="104">
        <v>3037</v>
      </c>
      <c r="AE57" s="105">
        <f t="shared" si="7"/>
        <v>-1347</v>
      </c>
    </row>
    <row r="58" spans="14:31" ht="15.6" customHeight="1" x14ac:dyDescent="0.3">
      <c r="N58" s="212"/>
      <c r="O58" s="95" t="s">
        <v>66</v>
      </c>
      <c r="P58" s="106"/>
      <c r="Q58" s="106">
        <v>4427</v>
      </c>
      <c r="R58" s="106">
        <v>1360</v>
      </c>
      <c r="S58" s="106">
        <f t="shared" si="1"/>
        <v>603</v>
      </c>
      <c r="T58" s="106">
        <v>2566</v>
      </c>
      <c r="U58" s="106">
        <f t="shared" si="2"/>
        <v>284.5</v>
      </c>
      <c r="V58" s="106">
        <v>3135</v>
      </c>
      <c r="W58" s="106">
        <f t="shared" si="3"/>
        <v>0</v>
      </c>
      <c r="X58" s="106">
        <v>3135</v>
      </c>
      <c r="Y58" s="106">
        <f t="shared" si="4"/>
        <v>0</v>
      </c>
      <c r="Z58" s="106">
        <v>3135</v>
      </c>
      <c r="AA58" s="106">
        <f t="shared" si="5"/>
        <v>0</v>
      </c>
      <c r="AB58" s="106">
        <v>3135</v>
      </c>
      <c r="AC58" s="106">
        <f t="shared" si="6"/>
        <v>0</v>
      </c>
      <c r="AD58" s="106">
        <v>3135</v>
      </c>
      <c r="AE58" s="107">
        <f t="shared" si="7"/>
        <v>-1292</v>
      </c>
    </row>
    <row r="59" spans="14:31" ht="15.6" customHeight="1" x14ac:dyDescent="0.3">
      <c r="N59" s="212"/>
      <c r="O59" s="94" t="s">
        <v>67</v>
      </c>
      <c r="P59" s="108"/>
      <c r="Q59" s="108">
        <v>3771</v>
      </c>
      <c r="R59" s="108">
        <v>512</v>
      </c>
      <c r="S59" s="108">
        <f t="shared" si="1"/>
        <v>170.5</v>
      </c>
      <c r="T59" s="108">
        <v>853</v>
      </c>
      <c r="U59" s="108">
        <f t="shared" si="2"/>
        <v>245</v>
      </c>
      <c r="V59" s="108">
        <v>1343</v>
      </c>
      <c r="W59" s="108">
        <f t="shared" si="3"/>
        <v>358</v>
      </c>
      <c r="X59" s="108">
        <v>2059</v>
      </c>
      <c r="Y59" s="108">
        <f t="shared" si="4"/>
        <v>0</v>
      </c>
      <c r="Z59" s="108">
        <v>2059</v>
      </c>
      <c r="AA59" s="108">
        <f t="shared" si="5"/>
        <v>0</v>
      </c>
      <c r="AB59" s="108">
        <v>2059</v>
      </c>
      <c r="AC59" s="108">
        <f t="shared" si="6"/>
        <v>0</v>
      </c>
      <c r="AD59" s="108">
        <v>2059</v>
      </c>
      <c r="AE59" s="109">
        <f t="shared" si="7"/>
        <v>-1712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7328</v>
      </c>
      <c r="R61" s="104">
        <v>984</v>
      </c>
      <c r="S61" s="104">
        <f t="shared" si="1"/>
        <v>531</v>
      </c>
      <c r="T61" s="104">
        <v>2046</v>
      </c>
      <c r="U61" s="104">
        <f t="shared" si="2"/>
        <v>206</v>
      </c>
      <c r="V61" s="104">
        <v>2458</v>
      </c>
      <c r="W61" s="104">
        <f t="shared" si="3"/>
        <v>453</v>
      </c>
      <c r="X61" s="104">
        <v>3364</v>
      </c>
      <c r="Y61" s="104">
        <f t="shared" si="4"/>
        <v>515</v>
      </c>
      <c r="Z61" s="104">
        <v>4394</v>
      </c>
      <c r="AA61" s="104">
        <f t="shared" si="5"/>
        <v>123</v>
      </c>
      <c r="AB61" s="104">
        <v>4640</v>
      </c>
      <c r="AC61" s="104">
        <f t="shared" si="6"/>
        <v>0</v>
      </c>
      <c r="AD61" s="104">
        <v>4640</v>
      </c>
      <c r="AE61" s="105">
        <f t="shared" si="7"/>
        <v>-2688</v>
      </c>
    </row>
    <row r="62" spans="14:31" ht="15.6" customHeight="1" x14ac:dyDescent="0.3">
      <c r="N62" s="212"/>
      <c r="O62" s="95" t="s">
        <v>66</v>
      </c>
      <c r="P62" s="106"/>
      <c r="Q62" s="106">
        <v>6531</v>
      </c>
      <c r="R62" s="106">
        <v>2062</v>
      </c>
      <c r="S62" s="106">
        <f t="shared" si="1"/>
        <v>660</v>
      </c>
      <c r="T62" s="106">
        <v>3382</v>
      </c>
      <c r="U62" s="106">
        <f t="shared" si="2"/>
        <v>228.5</v>
      </c>
      <c r="V62" s="106">
        <v>3839</v>
      </c>
      <c r="W62" s="106">
        <f t="shared" si="3"/>
        <v>135</v>
      </c>
      <c r="X62" s="106">
        <v>4109</v>
      </c>
      <c r="Y62" s="106">
        <f t="shared" si="4"/>
        <v>298</v>
      </c>
      <c r="Z62" s="106">
        <v>4705</v>
      </c>
      <c r="AA62" s="106">
        <f t="shared" si="5"/>
        <v>237</v>
      </c>
      <c r="AB62" s="106">
        <v>5179</v>
      </c>
      <c r="AC62" s="106">
        <f t="shared" si="6"/>
        <v>0</v>
      </c>
      <c r="AD62" s="106">
        <v>5179</v>
      </c>
      <c r="AE62" s="107">
        <f t="shared" si="7"/>
        <v>-1352</v>
      </c>
    </row>
    <row r="63" spans="14:31" ht="15.6" customHeight="1" x14ac:dyDescent="0.3">
      <c r="N63" s="212"/>
      <c r="O63" s="94" t="s">
        <v>67</v>
      </c>
      <c r="P63" s="108"/>
      <c r="Q63" s="108">
        <v>6080</v>
      </c>
      <c r="R63" s="108">
        <v>944</v>
      </c>
      <c r="S63" s="108">
        <f t="shared" si="1"/>
        <v>517.5</v>
      </c>
      <c r="T63" s="108">
        <v>1979</v>
      </c>
      <c r="U63" s="108">
        <f t="shared" si="2"/>
        <v>373.5</v>
      </c>
      <c r="V63" s="108">
        <v>2726</v>
      </c>
      <c r="W63" s="108">
        <f t="shared" si="3"/>
        <v>378.5</v>
      </c>
      <c r="X63" s="108">
        <v>3483</v>
      </c>
      <c r="Y63" s="108">
        <f t="shared" si="4"/>
        <v>72.5</v>
      </c>
      <c r="Z63" s="108">
        <v>3628</v>
      </c>
      <c r="AA63" s="108">
        <f t="shared" si="5"/>
        <v>0</v>
      </c>
      <c r="AB63" s="108">
        <v>3628</v>
      </c>
      <c r="AC63" s="108">
        <f t="shared" si="6"/>
        <v>0</v>
      </c>
      <c r="AD63" s="108">
        <v>3628</v>
      </c>
      <c r="AE63" s="109">
        <f t="shared" si="7"/>
        <v>-2452</v>
      </c>
    </row>
    <row r="64" spans="14:31" ht="15.6" customHeight="1" thickBot="1" x14ac:dyDescent="0.35">
      <c r="N64" s="213"/>
      <c r="O64" s="99" t="s">
        <v>68</v>
      </c>
      <c r="P64" s="114"/>
      <c r="Q64" s="114">
        <v>2761</v>
      </c>
      <c r="R64" s="114">
        <v>693</v>
      </c>
      <c r="S64" s="114">
        <f t="shared" si="1"/>
        <v>96</v>
      </c>
      <c r="T64" s="114">
        <v>885</v>
      </c>
      <c r="U64" s="114">
        <f t="shared" si="2"/>
        <v>58.5</v>
      </c>
      <c r="V64" s="114">
        <v>1002</v>
      </c>
      <c r="W64" s="114">
        <f t="shared" si="3"/>
        <v>194.5</v>
      </c>
      <c r="X64" s="114">
        <v>1391</v>
      </c>
      <c r="Y64" s="114">
        <f t="shared" si="4"/>
        <v>8.5</v>
      </c>
      <c r="Z64" s="114">
        <v>1408</v>
      </c>
      <c r="AA64" s="114">
        <f t="shared" si="5"/>
        <v>0</v>
      </c>
      <c r="AB64" s="114">
        <v>1408</v>
      </c>
      <c r="AC64" s="114">
        <f t="shared" si="6"/>
        <v>0</v>
      </c>
      <c r="AD64" s="114">
        <v>1408</v>
      </c>
      <c r="AE64" s="115">
        <f t="shared" si="7"/>
        <v>-1353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607" priority="11" operator="lessThan">
      <formula>0</formula>
    </cfRule>
    <cfRule type="cellIs" dxfId="1606" priority="12" operator="greaterThan">
      <formula>0</formula>
    </cfRule>
  </conditionalFormatting>
  <conditionalFormatting sqref="R25:AC25">
    <cfRule type="cellIs" dxfId="1605" priority="9" operator="lessThan">
      <formula>0</formula>
    </cfRule>
    <cfRule type="cellIs" dxfId="1604" priority="10" operator="greaterThan">
      <formula>0</formula>
    </cfRule>
  </conditionalFormatting>
  <conditionalFormatting sqref="R26 T26 V26 X26 Z26 AB26">
    <cfRule type="cellIs" dxfId="1603" priority="7" operator="lessThan">
      <formula>0</formula>
    </cfRule>
    <cfRule type="cellIs" dxfId="1602" priority="8" operator="greaterThan">
      <formula>0</formula>
    </cfRule>
  </conditionalFormatting>
  <conditionalFormatting sqref="AD24:AE24">
    <cfRule type="cellIs" dxfId="1601" priority="5" operator="lessThan">
      <formula>0</formula>
    </cfRule>
    <cfRule type="cellIs" dxfId="1600" priority="6" operator="greaterThan">
      <formula>0</formula>
    </cfRule>
  </conditionalFormatting>
  <conditionalFormatting sqref="AD25:AE25">
    <cfRule type="cellIs" dxfId="1599" priority="3" operator="lessThan">
      <formula>0</formula>
    </cfRule>
    <cfRule type="cellIs" dxfId="1598" priority="4" operator="greaterThan">
      <formula>0</formula>
    </cfRule>
  </conditionalFormatting>
  <conditionalFormatting sqref="AD26">
    <cfRule type="cellIs" dxfId="1597" priority="1" operator="lessThan">
      <formula>0</formula>
    </cfRule>
    <cfRule type="cellIs" dxfId="159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44385</v>
      </c>
    </row>
    <row r="3" spans="2:42" ht="18.75" customHeight="1" thickBot="1" x14ac:dyDescent="0.35">
      <c r="B3" t="s">
        <v>1</v>
      </c>
      <c r="C3" s="3">
        <f>C2+1</f>
        <v>44386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6710</v>
      </c>
      <c r="E6" s="18" t="s">
        <v>22</v>
      </c>
      <c r="F6" s="119">
        <v>20779</v>
      </c>
      <c r="G6" s="117">
        <v>16892.661875000002</v>
      </c>
      <c r="H6" s="117">
        <v>13797.574634220009</v>
      </c>
      <c r="I6" s="19">
        <f>G6+H6</f>
        <v>30690.236509220013</v>
      </c>
      <c r="J6" s="119">
        <v>22170</v>
      </c>
      <c r="K6" s="117">
        <v>17949.137875</v>
      </c>
      <c r="L6" s="117">
        <v>15584.891420460001</v>
      </c>
      <c r="M6" s="19">
        <f>K6+L6</f>
        <v>33534.029295460001</v>
      </c>
      <c r="N6" s="85">
        <v>62</v>
      </c>
      <c r="O6" s="85">
        <v>55</v>
      </c>
      <c r="P6" s="92"/>
      <c r="Q6" s="20">
        <f>J6-P6</f>
        <v>22170</v>
      </c>
      <c r="R6" s="21">
        <v>3057</v>
      </c>
      <c r="S6" s="20">
        <f>IF(R6&gt;0,(R6-R7-$Q6),"")</f>
        <v>-19113</v>
      </c>
      <c r="T6" s="21">
        <v>7398</v>
      </c>
      <c r="U6" s="20">
        <f>IF(T6&gt;0,(T6-T7-$Q6),"")</f>
        <v>-14772</v>
      </c>
      <c r="V6" s="21">
        <v>10118</v>
      </c>
      <c r="W6" s="20">
        <f>IF(V6&gt;0,(V6-V7-$Q6),"")</f>
        <v>-12052</v>
      </c>
      <c r="X6" s="21">
        <v>14722</v>
      </c>
      <c r="Y6" s="20">
        <f>IF(X6&gt;0,(X6-X7-$Q6),"")</f>
        <v>-7454</v>
      </c>
      <c r="Z6" s="21">
        <v>14722</v>
      </c>
      <c r="AA6" s="20">
        <f>IF(Z6&gt;0,(Z6-Z7-$Q6),"")</f>
        <v>-7454</v>
      </c>
      <c r="AB6" s="21">
        <v>15250</v>
      </c>
      <c r="AC6" s="22">
        <f>IF(AB6&gt;0,(AB6-AB7-$Q6),"")</f>
        <v>-6926</v>
      </c>
      <c r="AD6" s="21">
        <v>15250</v>
      </c>
      <c r="AE6" s="22">
        <f>IF(AD6&gt;0,(AD6-AD7-$Q6),"")</f>
        <v>-6926</v>
      </c>
    </row>
    <row r="7" spans="2:42" x14ac:dyDescent="0.3">
      <c r="B7" s="16" t="s">
        <v>23</v>
      </c>
      <c r="C7" s="17">
        <v>2227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7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6</v>
      </c>
      <c r="Y7" s="24"/>
      <c r="Z7" s="25">
        <v>6</v>
      </c>
      <c r="AA7" s="24"/>
      <c r="AB7" s="25">
        <v>6</v>
      </c>
      <c r="AC7" s="26"/>
      <c r="AD7" s="25">
        <v>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3063</v>
      </c>
      <c r="E8" s="29" t="s">
        <v>27</v>
      </c>
      <c r="F8" s="119">
        <v>15660</v>
      </c>
      <c r="G8" s="117">
        <v>6633.77</v>
      </c>
      <c r="H8" s="117">
        <v>1440.4725739999999</v>
      </c>
      <c r="I8" s="19">
        <f>G8+H8</f>
        <v>8074.2425739999999</v>
      </c>
      <c r="J8" s="119">
        <v>15170</v>
      </c>
      <c r="K8" s="117">
        <v>6425.2660000000014</v>
      </c>
      <c r="L8" s="117">
        <v>1406.7041134000001</v>
      </c>
      <c r="M8" s="19">
        <f>K8+L8</f>
        <v>7831.9701134000015</v>
      </c>
      <c r="N8" s="87">
        <v>22</v>
      </c>
      <c r="O8" s="87">
        <v>21</v>
      </c>
      <c r="P8" s="92"/>
      <c r="Q8" s="20">
        <f>J8-P8</f>
        <v>15170</v>
      </c>
      <c r="R8" s="21">
        <v>1937</v>
      </c>
      <c r="S8" s="20">
        <f>IF(R8&gt;0,(R8-R9-$Q8),"")</f>
        <v>-13251</v>
      </c>
      <c r="T8" s="21">
        <v>2744</v>
      </c>
      <c r="U8" s="20">
        <f>IF(T8&gt;0,(T8-T9-$Q8),"")</f>
        <v>-12449</v>
      </c>
      <c r="V8" s="21">
        <v>13793</v>
      </c>
      <c r="W8" s="20">
        <f>IF(V8&gt;0,(V8-V9-$Q8),"")</f>
        <v>-1400</v>
      </c>
      <c r="X8" s="21">
        <v>13793</v>
      </c>
      <c r="Y8" s="20">
        <f>IF(X8&gt;0,(X8-X9-$Q8),"")</f>
        <v>-1400</v>
      </c>
      <c r="Z8" s="21">
        <v>13793</v>
      </c>
      <c r="AA8" s="20">
        <f>IF(Z8&gt;0,(Z8-Z9-$Q8),"")</f>
        <v>-1400</v>
      </c>
      <c r="AB8" s="21">
        <v>14317</v>
      </c>
      <c r="AC8" s="22">
        <f>IF(AB8&gt;0,(AB8-AB9-$Q8),"")</f>
        <v>-876</v>
      </c>
      <c r="AD8" s="21">
        <v>14317</v>
      </c>
      <c r="AE8" s="22">
        <f>IF(AD8&gt;0,(AD8-AD9-$Q8),"")</f>
        <v>-876</v>
      </c>
    </row>
    <row r="9" spans="2:42" x14ac:dyDescent="0.3">
      <c r="B9" s="28" t="s">
        <v>28</v>
      </c>
      <c r="C9" s="17">
        <v>1988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18</v>
      </c>
      <c r="S9" s="24"/>
      <c r="T9" s="30">
        <v>23</v>
      </c>
      <c r="U9" s="24"/>
      <c r="V9" s="30">
        <v>23</v>
      </c>
      <c r="W9" s="24"/>
      <c r="X9" s="30">
        <v>23</v>
      </c>
      <c r="Y9" s="24"/>
      <c r="Z9" s="30">
        <v>23</v>
      </c>
      <c r="AA9" s="24"/>
      <c r="AB9" s="30">
        <v>23</v>
      </c>
      <c r="AC9" s="26"/>
      <c r="AD9" s="30">
        <v>23</v>
      </c>
      <c r="AE9" s="26"/>
    </row>
    <row r="10" spans="2:42" x14ac:dyDescent="0.3">
      <c r="B10" s="16" t="s">
        <v>30</v>
      </c>
      <c r="C10" s="17">
        <v>4483</v>
      </c>
      <c r="E10" s="18" t="s">
        <v>31</v>
      </c>
      <c r="F10" s="119">
        <v>20620</v>
      </c>
      <c r="G10" s="117">
        <v>15755.277625000001</v>
      </c>
      <c r="H10" s="117">
        <v>1960.1406924999999</v>
      </c>
      <c r="I10" s="19">
        <f>G10+H10</f>
        <v>17715.4183175</v>
      </c>
      <c r="J10" s="119">
        <v>20302</v>
      </c>
      <c r="K10" s="117">
        <v>15353.416125</v>
      </c>
      <c r="L10" s="117">
        <v>1932.8917799999999</v>
      </c>
      <c r="M10" s="19">
        <f>K10+L10</f>
        <v>17286.307905000001</v>
      </c>
      <c r="N10" s="88">
        <v>45</v>
      </c>
      <c r="O10" s="88">
        <v>41</v>
      </c>
      <c r="P10" s="92"/>
      <c r="Q10" s="20">
        <f>J10-P10</f>
        <v>20302</v>
      </c>
      <c r="R10" s="21">
        <v>3916</v>
      </c>
      <c r="S10" s="20">
        <f>IF(R10&gt;0,(R10-R11-$Q10),"")</f>
        <v>-16846</v>
      </c>
      <c r="T10" s="21">
        <v>5802</v>
      </c>
      <c r="U10" s="20">
        <f>IF(T10&gt;0,(T10-T11-$Q10),"")</f>
        <v>-15124</v>
      </c>
      <c r="V10" s="21">
        <v>8735</v>
      </c>
      <c r="W10" s="20">
        <f>IF(V10&gt;0,(V10-V11-$Q10),"")</f>
        <v>-12579</v>
      </c>
      <c r="X10" s="21">
        <v>11226</v>
      </c>
      <c r="Y10" s="20">
        <f>IF(X10&gt;0,(X10-X11-$Q10),"")</f>
        <v>-10310</v>
      </c>
      <c r="Z10" s="21">
        <v>11226</v>
      </c>
      <c r="AA10" s="20">
        <f>IF(Z10&gt;0,(Z10-Z11-$Q10),"")</f>
        <v>-10310</v>
      </c>
      <c r="AB10" s="21">
        <v>13755</v>
      </c>
      <c r="AC10" s="22">
        <f>IF(AB10&gt;0,(AB10-AB11-$Q10),"")</f>
        <v>-8569</v>
      </c>
      <c r="AD10" s="21">
        <v>13755</v>
      </c>
      <c r="AE10" s="22">
        <f>IF(AD10&gt;0,(AD10-AD11-$Q10),"")</f>
        <v>-8569</v>
      </c>
    </row>
    <row r="11" spans="2:42" x14ac:dyDescent="0.3">
      <c r="B11" s="16" t="s">
        <v>32</v>
      </c>
      <c r="C11" s="17">
        <v>2360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460</v>
      </c>
      <c r="S11" s="24"/>
      <c r="T11" s="30">
        <v>624</v>
      </c>
      <c r="U11" s="24"/>
      <c r="V11" s="30">
        <v>1012</v>
      </c>
      <c r="W11" s="24"/>
      <c r="X11" s="30">
        <v>1234</v>
      </c>
      <c r="Y11" s="24"/>
      <c r="Z11" s="30">
        <v>1234</v>
      </c>
      <c r="AA11" s="24"/>
      <c r="AB11" s="30">
        <v>2022</v>
      </c>
      <c r="AC11" s="26"/>
      <c r="AD11" s="30">
        <v>2022</v>
      </c>
      <c r="AE11" s="26"/>
    </row>
    <row r="12" spans="2:42" x14ac:dyDescent="0.3">
      <c r="B12" s="16" t="s">
        <v>34</v>
      </c>
      <c r="C12" s="17">
        <v>1748</v>
      </c>
      <c r="E12" s="29" t="s">
        <v>35</v>
      </c>
      <c r="F12" s="119">
        <v>15416</v>
      </c>
      <c r="G12" s="117">
        <v>12419.114750000001</v>
      </c>
      <c r="H12" s="117">
        <v>17215.692721480009</v>
      </c>
      <c r="I12" s="19">
        <f>G12+H12</f>
        <v>29634.80747148001</v>
      </c>
      <c r="J12" s="119">
        <v>15439</v>
      </c>
      <c r="K12" s="117">
        <v>12727.3285</v>
      </c>
      <c r="L12" s="117">
        <v>17001.426474879991</v>
      </c>
      <c r="M12" s="19">
        <f>K12+L12</f>
        <v>29728.75497487999</v>
      </c>
      <c r="N12" s="88">
        <v>51</v>
      </c>
      <c r="O12" s="88">
        <v>40</v>
      </c>
      <c r="P12" s="92"/>
      <c r="Q12" s="20">
        <f>J12-P12</f>
        <v>15439</v>
      </c>
      <c r="R12" s="21">
        <v>2016</v>
      </c>
      <c r="S12" s="20">
        <f>IF(R12&gt;0,(R12-R13-$Q12),"")</f>
        <v>-14210</v>
      </c>
      <c r="T12" s="21">
        <v>5840</v>
      </c>
      <c r="U12" s="20">
        <f>IF(T12&gt;0,(T12-T13-$Q12),"")</f>
        <v>-10624</v>
      </c>
      <c r="V12" s="21">
        <v>6589</v>
      </c>
      <c r="W12" s="20">
        <f>IF(V12&gt;0,(V12-V13-$Q12),"")</f>
        <v>-9875</v>
      </c>
      <c r="X12" s="21">
        <v>7431</v>
      </c>
      <c r="Y12" s="20">
        <f>IF(X12&gt;0,(X12-X13-$Q12),"")</f>
        <v>-9034</v>
      </c>
      <c r="Z12" s="21">
        <v>7431</v>
      </c>
      <c r="AA12" s="20">
        <f>IF(Z12&gt;0,(Z12-Z13-$Q12),"")</f>
        <v>-9034</v>
      </c>
      <c r="AB12" s="21">
        <v>7431</v>
      </c>
      <c r="AC12" s="22">
        <f>IF(AB12&gt;0,(AB12-AB13-$Q12),"")</f>
        <v>-9034</v>
      </c>
      <c r="AD12" s="21">
        <v>7431</v>
      </c>
      <c r="AE12" s="22">
        <f>IF(AD12&gt;0,(AD12-AD13-$Q12),"")</f>
        <v>-9034</v>
      </c>
    </row>
    <row r="13" spans="2:42" x14ac:dyDescent="0.3">
      <c r="B13" s="16" t="s">
        <v>36</v>
      </c>
      <c r="C13" s="17">
        <v>5062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787</v>
      </c>
      <c r="S13" s="24"/>
      <c r="T13" s="30">
        <v>1025</v>
      </c>
      <c r="U13" s="24"/>
      <c r="V13" s="30">
        <v>1025</v>
      </c>
      <c r="W13" s="24"/>
      <c r="X13" s="30">
        <v>1026</v>
      </c>
      <c r="Y13" s="24"/>
      <c r="Z13" s="30">
        <v>1026</v>
      </c>
      <c r="AA13" s="24"/>
      <c r="AB13" s="30">
        <v>1026</v>
      </c>
      <c r="AC13" s="26"/>
      <c r="AD13" s="30">
        <v>1026</v>
      </c>
      <c r="AE13" s="26"/>
    </row>
    <row r="14" spans="2:42" x14ac:dyDescent="0.3">
      <c r="B14" s="16" t="s">
        <v>38</v>
      </c>
      <c r="C14" s="17">
        <v>11539</v>
      </c>
      <c r="E14" s="18" t="s">
        <v>39</v>
      </c>
      <c r="F14" s="119">
        <v>20800</v>
      </c>
      <c r="G14" s="117">
        <v>20338.96875</v>
      </c>
      <c r="H14" s="117">
        <v>23187.380083560001</v>
      </c>
      <c r="I14" s="19">
        <f>G14+H14</f>
        <v>43526.348833559998</v>
      </c>
      <c r="J14" s="119">
        <v>20877</v>
      </c>
      <c r="K14" s="117">
        <v>20457.21875</v>
      </c>
      <c r="L14" s="117">
        <v>23258.074956839999</v>
      </c>
      <c r="M14" s="19">
        <f>K14+L14</f>
        <v>43715.293706839999</v>
      </c>
      <c r="N14" s="88">
        <v>59</v>
      </c>
      <c r="O14" s="88">
        <v>46</v>
      </c>
      <c r="P14" s="92"/>
      <c r="Q14" s="20">
        <f>J14-P14</f>
        <v>20877</v>
      </c>
      <c r="R14" s="21">
        <v>4229</v>
      </c>
      <c r="S14" s="20">
        <f>IF(R14&gt;0,(R14-R15-$Q14),"")</f>
        <v>-20294</v>
      </c>
      <c r="T14" s="21">
        <v>7321</v>
      </c>
      <c r="U14" s="20">
        <f>IF(T14&gt;0,(T14-T15-$Q14),"")</f>
        <v>-19872</v>
      </c>
      <c r="V14" s="21">
        <v>8871</v>
      </c>
      <c r="W14" s="20">
        <f>IF(V14&gt;0,(V14-V15-$Q14),"")</f>
        <v>-19246</v>
      </c>
      <c r="X14" s="21">
        <v>12129</v>
      </c>
      <c r="Y14" s="20">
        <f>IF(X14&gt;0,(X14-X15-$Q14),"")</f>
        <v>-18501</v>
      </c>
      <c r="Z14" s="21">
        <v>12129</v>
      </c>
      <c r="AA14" s="20">
        <f>IF(Z14&gt;0,(Z14-Z15-$Q14),"")</f>
        <v>-18501</v>
      </c>
      <c r="AB14" s="21">
        <v>13833</v>
      </c>
      <c r="AC14" s="22">
        <f>IF(AB14&gt;0,(AB14-AB15-$Q14),"")</f>
        <v>-17334</v>
      </c>
      <c r="AD14" s="21">
        <v>13833</v>
      </c>
      <c r="AE14" s="22">
        <f>IF(AD14&gt;0,(AD14-AD15-$Q14),"")</f>
        <v>-17334</v>
      </c>
    </row>
    <row r="15" spans="2:42" ht="15" customHeight="1" thickBot="1" x14ac:dyDescent="0.35">
      <c r="B15" s="16" t="s">
        <v>40</v>
      </c>
      <c r="C15" s="17">
        <v>2603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3646</v>
      </c>
      <c r="S15" s="24"/>
      <c r="T15" s="25">
        <v>6316</v>
      </c>
      <c r="U15" s="24"/>
      <c r="V15" s="25">
        <v>7240</v>
      </c>
      <c r="W15" s="24"/>
      <c r="X15" s="25">
        <v>9753</v>
      </c>
      <c r="Y15" s="24"/>
      <c r="Z15" s="25">
        <v>9753</v>
      </c>
      <c r="AA15" s="24"/>
      <c r="AB15" s="25">
        <v>10290</v>
      </c>
      <c r="AC15" s="26"/>
      <c r="AD15" s="25">
        <v>10290</v>
      </c>
      <c r="AE15" s="26"/>
    </row>
    <row r="16" spans="2:42" ht="15" customHeight="1" thickBot="1" x14ac:dyDescent="0.35">
      <c r="B16" s="28" t="s">
        <v>42</v>
      </c>
      <c r="C16" s="17">
        <f>12746+14642</f>
        <v>27388</v>
      </c>
      <c r="E16" s="84"/>
      <c r="F16" s="31">
        <f t="shared" ref="F16:M16" si="0">SUM(F6:F15)</f>
        <v>93275</v>
      </c>
      <c r="G16" s="31">
        <f t="shared" si="0"/>
        <v>72039.793000000005</v>
      </c>
      <c r="H16" s="31">
        <f t="shared" si="0"/>
        <v>57601.260705760011</v>
      </c>
      <c r="I16" s="32">
        <f t="shared" si="0"/>
        <v>129641.05370576002</v>
      </c>
      <c r="J16" s="33">
        <f t="shared" si="0"/>
        <v>93958</v>
      </c>
      <c r="K16" s="33">
        <f t="shared" si="0"/>
        <v>72912.36725000001</v>
      </c>
      <c r="L16" s="33">
        <f t="shared" si="0"/>
        <v>59183.988745579991</v>
      </c>
      <c r="M16" s="33">
        <f t="shared" si="0"/>
        <v>132096.35599558</v>
      </c>
      <c r="N16" s="31">
        <f>SUM(N14,N12,N10,N8,N6)</f>
        <v>239</v>
      </c>
      <c r="O16" s="31">
        <f>SUM(O14,O12,O10,O8,O6)</f>
        <v>203</v>
      </c>
      <c r="P16" s="34">
        <f>SUM(P6:P15)</f>
        <v>0</v>
      </c>
      <c r="Q16" s="34">
        <f>SUM(Q6:Q15)</f>
        <v>93958</v>
      </c>
      <c r="R16" s="35">
        <f>R6+R8+R10+R12+R14-R7-R9-R11-R13-R15</f>
        <v>10244</v>
      </c>
      <c r="S16" s="36">
        <f>IF(R16&gt;1,(R16-$Q16),"")</f>
        <v>-83714</v>
      </c>
      <c r="T16" s="35">
        <f>T6+T8+T10+T12+T14-T7-T9-T11-T13-T15</f>
        <v>21117</v>
      </c>
      <c r="U16" s="36">
        <f>IF(T16&gt;1,(T16-$Q16),"")</f>
        <v>-72841</v>
      </c>
      <c r="V16" s="35">
        <f>V6+V8+V10+V12+V14-V7-V9-V11-V13-V15</f>
        <v>38806</v>
      </c>
      <c r="W16" s="36">
        <f>IF(V16&gt;1,(V16-$Q16),"")</f>
        <v>-55152</v>
      </c>
      <c r="X16" s="35">
        <f>X6+X8+X10+X12+X14-X7-X9-X11-X13-X15</f>
        <v>47259</v>
      </c>
      <c r="Y16" s="36">
        <f>IF(X16&gt;1,(X16-$Q16),"")</f>
        <v>-46699</v>
      </c>
      <c r="Z16" s="35">
        <f>Z6+Z8+Z10+Z12+Z14-Z7-Z9-Z11-Z13-Z15</f>
        <v>47259</v>
      </c>
      <c r="AA16" s="36">
        <f>IF(Z16&gt;1,(Z16-$Q16),"")</f>
        <v>-46699</v>
      </c>
      <c r="AB16" s="35">
        <f>AB6+AB8+AB10+AB12+AB14-AB7-AB9-AB11-AB13-AB15</f>
        <v>51219</v>
      </c>
      <c r="AC16" s="37">
        <f>IF(AB16&gt;1,(AB16-$Q16),"")</f>
        <v>-42739</v>
      </c>
      <c r="AD16" s="35">
        <f>AD6+AD8+AD10+AD12+AD14-AD7-AD9-AD11-AD13-AD15</f>
        <v>51219</v>
      </c>
      <c r="AE16" s="37">
        <f>IF(AD16&gt;1,(AD16-$Q16),"")</f>
        <v>-42739</v>
      </c>
    </row>
    <row r="17" spans="2:43" s="4" customFormat="1" ht="15" customHeight="1" thickBot="1" x14ac:dyDescent="0.35">
      <c r="B17" s="43" t="s">
        <v>47</v>
      </c>
      <c r="C17" s="17">
        <v>1167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36</v>
      </c>
      <c r="P17" s="38" t="s">
        <v>44</v>
      </c>
      <c r="Q17" s="39"/>
      <c r="R17" s="40">
        <f>R15+R13+R11+R9+R7</f>
        <v>4911</v>
      </c>
      <c r="S17" s="41"/>
      <c r="T17" s="40">
        <f>T15+T13+T11+T9+T7</f>
        <v>7988</v>
      </c>
      <c r="U17" s="41"/>
      <c r="V17" s="40">
        <f>V15+V13+V11+V9+V7</f>
        <v>9300</v>
      </c>
      <c r="W17" s="41"/>
      <c r="X17" s="40">
        <f>X15+X13+X11+X9+X7</f>
        <v>12042</v>
      </c>
      <c r="Y17" s="41"/>
      <c r="Z17" s="40">
        <f>Z15+Z13+Z11+Z9+Z7</f>
        <v>12042</v>
      </c>
      <c r="AA17" s="41"/>
      <c r="AB17" s="40">
        <f>AB15+AB13+AB11+AB9+AB7</f>
        <v>13367</v>
      </c>
      <c r="AC17" s="42"/>
      <c r="AD17" s="40">
        <f>AD15+AD13+AD11+AD9+AD7</f>
        <v>13367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559</v>
      </c>
      <c r="P18" s="45" t="s">
        <v>46</v>
      </c>
      <c r="Q18" s="46"/>
      <c r="R18" s="47">
        <f>IF(R16&gt;0,(R16)/2,"")</f>
        <v>5122</v>
      </c>
      <c r="S18" s="46"/>
      <c r="T18" s="47">
        <f>IF(T16&gt;0,(T16-R16)/2,"")</f>
        <v>5436.5</v>
      </c>
      <c r="U18" s="46"/>
      <c r="V18" s="47">
        <f>IF(V16&gt;0,(V16-T16)/2,"")</f>
        <v>8844.5</v>
      </c>
      <c r="W18" s="46"/>
      <c r="X18" s="47">
        <f>IF(X16&gt;0,(X16-V16)/2,"")</f>
        <v>4226.5</v>
      </c>
      <c r="Y18" s="46"/>
      <c r="Z18" s="47">
        <f>IF(Z16&gt;0,(Z16-X16)/2,"")</f>
        <v>0</v>
      </c>
      <c r="AA18" s="46"/>
      <c r="AB18" s="47">
        <f>IF(AB16&gt;0,(AB16-Z16)/2,"")</f>
        <v>1980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4266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2940</v>
      </c>
      <c r="L20" s="4"/>
      <c r="M20" s="4"/>
      <c r="Q20" s="51" t="s">
        <v>49</v>
      </c>
      <c r="R20" s="35">
        <v>6674</v>
      </c>
      <c r="S20" s="36"/>
      <c r="T20" s="35">
        <v>13252</v>
      </c>
      <c r="U20" s="36"/>
      <c r="V20" s="35">
        <v>21496</v>
      </c>
      <c r="W20" s="36"/>
      <c r="X20" s="35">
        <v>40010</v>
      </c>
      <c r="Y20" s="36"/>
      <c r="Z20" s="35">
        <v>42689</v>
      </c>
      <c r="AA20" s="36"/>
      <c r="AB20" s="35">
        <v>43409</v>
      </c>
      <c r="AC20" s="37"/>
      <c r="AD20" s="35">
        <v>43409</v>
      </c>
      <c r="AE20" s="37">
        <v>-22203</v>
      </c>
    </row>
    <row r="21" spans="2:43" ht="15" customHeight="1" thickBot="1" x14ac:dyDescent="0.35">
      <c r="B21" s="57" t="s">
        <v>52</v>
      </c>
      <c r="C21" s="58">
        <v>4266</v>
      </c>
      <c r="L21" s="4"/>
      <c r="M21" s="4"/>
      <c r="Q21" s="52"/>
      <c r="R21" s="40">
        <v>5861</v>
      </c>
      <c r="S21" s="41"/>
      <c r="T21" s="40">
        <v>9706</v>
      </c>
      <c r="U21" s="41"/>
      <c r="V21" s="40">
        <v>11506</v>
      </c>
      <c r="W21" s="41"/>
      <c r="X21" s="40">
        <v>13775</v>
      </c>
      <c r="Y21" s="41"/>
      <c r="Z21" s="40">
        <v>13989</v>
      </c>
      <c r="AA21" s="41"/>
      <c r="AB21" s="40">
        <v>13989</v>
      </c>
      <c r="AC21" s="42"/>
      <c r="AD21" s="40">
        <v>13989</v>
      </c>
      <c r="AE21" s="42"/>
    </row>
    <row r="22" spans="2:43" ht="15" customHeight="1" thickBot="1" x14ac:dyDescent="0.35">
      <c r="L22" s="4"/>
      <c r="M22" s="4"/>
      <c r="Q22" s="54"/>
      <c r="R22" s="55">
        <v>3337</v>
      </c>
      <c r="S22" s="55"/>
      <c r="T22" s="55">
        <v>3289</v>
      </c>
      <c r="U22" s="55"/>
      <c r="V22" s="55">
        <v>4122</v>
      </c>
      <c r="W22" s="55"/>
      <c r="X22" s="55">
        <v>9257</v>
      </c>
      <c r="Y22" s="55"/>
      <c r="Z22" s="55">
        <v>1339.5</v>
      </c>
      <c r="AA22" s="55"/>
      <c r="AB22" s="55">
        <v>360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3570</v>
      </c>
      <c r="S24" s="60"/>
      <c r="T24" s="60">
        <f>IF(T16&gt;0,T16-T20,"")</f>
        <v>7865</v>
      </c>
      <c r="U24" s="60"/>
      <c r="V24" s="60">
        <f>IF(V16&gt;0,V16-V20,"")</f>
        <v>17310</v>
      </c>
      <c r="W24" s="60"/>
      <c r="X24" s="60">
        <f>IF(X16&gt;0,X16-X20,"")</f>
        <v>7249</v>
      </c>
      <c r="Y24" s="60"/>
      <c r="Z24" s="60">
        <f>IF(Z16&gt;0,Z16-Z20,"")</f>
        <v>4570</v>
      </c>
      <c r="AA24" s="60"/>
      <c r="AB24" s="60">
        <f>IF(AB16&gt;0,AB16-AB20,"")</f>
        <v>7810</v>
      </c>
      <c r="AC24" s="61"/>
      <c r="AD24" s="60">
        <f>IF(AD16&gt;0,AD16-AD20,"")</f>
        <v>7810</v>
      </c>
      <c r="AE24" s="61"/>
    </row>
    <row r="25" spans="2:43" x14ac:dyDescent="0.3">
      <c r="L25" s="4"/>
      <c r="M25" s="4"/>
      <c r="Q25" s="62"/>
      <c r="R25" s="63">
        <f>IF(R17&gt;=0,R17-R21,"")</f>
        <v>-950</v>
      </c>
      <c r="S25" s="64"/>
      <c r="T25" s="63">
        <f>IF(T17&gt;=0,T17-T21,"")</f>
        <v>-1718</v>
      </c>
      <c r="U25" s="64"/>
      <c r="V25" s="63">
        <f>IF(V17&gt;=0,V17-V21,"")</f>
        <v>-2206</v>
      </c>
      <c r="W25" s="64"/>
      <c r="X25" s="63">
        <f>IF(X17&gt;=0,X17-X21,"")</f>
        <v>-1733</v>
      </c>
      <c r="Y25" s="64"/>
      <c r="Z25" s="63">
        <f>IF(Z17&gt;=0,Z17-Z21,"")</f>
        <v>-1947</v>
      </c>
      <c r="AA25" s="64"/>
      <c r="AB25" s="63">
        <f>IF(AB17&gt;=0,AB17-AB21,"")</f>
        <v>-622</v>
      </c>
      <c r="AC25" s="65"/>
      <c r="AD25" s="63">
        <f>IF(AD17&gt;=0,AD17-AD21,"")</f>
        <v>-622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1785</v>
      </c>
      <c r="S26" s="55"/>
      <c r="T26" s="67">
        <f>IFERROR(IF(T18&gt;0,T18-T22,""),"")</f>
        <v>2147.5</v>
      </c>
      <c r="U26" s="55"/>
      <c r="V26" s="67">
        <f>IFERROR(IF(V18&gt;0,V18-V22,""),"")</f>
        <v>4722.5</v>
      </c>
      <c r="W26" s="55"/>
      <c r="X26" s="67">
        <f>IFERROR(IF(X18&gt;0,X18-X22,""),"")</f>
        <v>-5030.5</v>
      </c>
      <c r="Y26" s="55"/>
      <c r="Z26" s="67" t="str">
        <f>IFERROR(IF(Z18&gt;0,Z18-Z22,""),"")</f>
        <v/>
      </c>
      <c r="AA26" s="55"/>
      <c r="AB26" s="67">
        <f>IFERROR(IF(AB18&gt;0,AB18-AB22,""),"")</f>
        <v>1620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10623</v>
      </c>
      <c r="D29" s="76">
        <f>C14</f>
        <v>11539</v>
      </c>
      <c r="E29" s="77">
        <f>D29-C29</f>
        <v>916</v>
      </c>
      <c r="M29" s="4"/>
      <c r="O29" s="4"/>
    </row>
    <row r="30" spans="2:43" x14ac:dyDescent="0.3">
      <c r="B30" s="74" t="s">
        <v>56</v>
      </c>
      <c r="C30" s="75">
        <v>35197</v>
      </c>
      <c r="D30" s="76">
        <f>C7+C15+C16+C17+C18</f>
        <v>33944</v>
      </c>
      <c r="E30" s="77">
        <f>D30-C30</f>
        <v>-1253</v>
      </c>
      <c r="J30" s="53"/>
      <c r="L30" s="53"/>
      <c r="M30" s="4"/>
      <c r="O30" s="4"/>
    </row>
    <row r="31" spans="2:43" x14ac:dyDescent="0.3">
      <c r="B31" s="74" t="s">
        <v>21</v>
      </c>
      <c r="C31" s="75">
        <v>6710</v>
      </c>
      <c r="D31" s="76">
        <f>C6</f>
        <v>6710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13653</v>
      </c>
      <c r="D32" s="76">
        <f>C10+C11+C12+C13</f>
        <v>13653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15120</v>
      </c>
      <c r="D33" s="76">
        <f>C19+C20+C21</f>
        <v>11472</v>
      </c>
      <c r="E33" s="77">
        <f>D33-C33</f>
        <v>-3648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5051</v>
      </c>
      <c r="D34" s="80">
        <f>SUM(C8+C9)</f>
        <v>5051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3206</v>
      </c>
      <c r="R35" s="104">
        <v>120</v>
      </c>
      <c r="S35" s="104">
        <f t="shared" ref="S35:S64" si="1">IF(T35&gt;0,(T35-R35)/2,"")</f>
        <v>344</v>
      </c>
      <c r="T35" s="104">
        <v>808</v>
      </c>
      <c r="U35" s="104">
        <f t="shared" ref="U35:U64" si="2">IF(V35&gt;0,(V35-T35)/2,"")</f>
        <v>420</v>
      </c>
      <c r="V35" s="104">
        <v>1648</v>
      </c>
      <c r="W35" s="104">
        <f t="shared" ref="W35:W64" si="3">IF(X35&gt;0,(X35-V35)/2,"")</f>
        <v>300</v>
      </c>
      <c r="X35" s="104">
        <v>2248</v>
      </c>
      <c r="Y35" s="104">
        <f t="shared" ref="Y35:Y64" si="4">IF(Z35&gt;0,(Z35-X35)/2,"")</f>
        <v>0</v>
      </c>
      <c r="Z35" s="104">
        <v>2248</v>
      </c>
      <c r="AA35" s="104">
        <f t="shared" ref="AA35:AA64" si="5">IF(AB35&gt;0,(AB35-Z35)/2,"")</f>
        <v>0</v>
      </c>
      <c r="AB35" s="104">
        <v>2248</v>
      </c>
      <c r="AC35" s="104">
        <f t="shared" ref="AC35:AC64" si="6">IF(AD35&gt;0,(AD35-AB35)/2,"")</f>
        <v>0</v>
      </c>
      <c r="AD35" s="104">
        <v>2248</v>
      </c>
      <c r="AE35" s="105">
        <f t="shared" ref="AE35:AE64" si="7">AD35-Q35</f>
        <v>-958</v>
      </c>
    </row>
    <row r="36" spans="2:31" ht="15.6" customHeight="1" x14ac:dyDescent="0.3">
      <c r="N36" s="212"/>
      <c r="O36" s="95" t="s">
        <v>66</v>
      </c>
      <c r="P36" s="106"/>
      <c r="Q36" s="106">
        <v>1436</v>
      </c>
      <c r="R36" s="106">
        <v>0</v>
      </c>
      <c r="S36" s="106">
        <f t="shared" si="1"/>
        <v>272.5</v>
      </c>
      <c r="T36" s="106">
        <v>545</v>
      </c>
      <c r="U36" s="106">
        <f t="shared" si="2"/>
        <v>314.5</v>
      </c>
      <c r="V36" s="106">
        <v>1174</v>
      </c>
      <c r="W36" s="106">
        <f t="shared" si="3"/>
        <v>-394.5</v>
      </c>
      <c r="X36" s="106">
        <v>385</v>
      </c>
      <c r="Y36" s="106">
        <f t="shared" si="4"/>
        <v>0</v>
      </c>
      <c r="Z36" s="106">
        <v>385</v>
      </c>
      <c r="AA36" s="106">
        <f t="shared" si="5"/>
        <v>0</v>
      </c>
      <c r="AB36" s="106">
        <v>385</v>
      </c>
      <c r="AC36" s="106">
        <f t="shared" si="6"/>
        <v>0</v>
      </c>
      <c r="AD36" s="106">
        <v>385</v>
      </c>
      <c r="AE36" s="107">
        <f t="shared" si="7"/>
        <v>-1051</v>
      </c>
    </row>
    <row r="37" spans="2:31" ht="15.6" customHeight="1" x14ac:dyDescent="0.3">
      <c r="N37" s="212"/>
      <c r="O37" s="94" t="s">
        <v>67</v>
      </c>
      <c r="P37" s="108"/>
      <c r="Q37" s="108">
        <v>2584</v>
      </c>
      <c r="R37" s="108">
        <v>768</v>
      </c>
      <c r="S37" s="108">
        <f t="shared" si="1"/>
        <v>0</v>
      </c>
      <c r="T37" s="108">
        <v>768</v>
      </c>
      <c r="U37" s="108">
        <f t="shared" si="2"/>
        <v>0</v>
      </c>
      <c r="V37" s="108">
        <v>768</v>
      </c>
      <c r="W37" s="108">
        <f t="shared" si="3"/>
        <v>908</v>
      </c>
      <c r="X37" s="108">
        <v>2584</v>
      </c>
      <c r="Y37" s="108">
        <f t="shared" si="4"/>
        <v>0</v>
      </c>
      <c r="Z37" s="108">
        <v>2584</v>
      </c>
      <c r="AA37" s="108">
        <f t="shared" si="5"/>
        <v>0</v>
      </c>
      <c r="AB37" s="108">
        <v>2584</v>
      </c>
      <c r="AC37" s="108">
        <f t="shared" si="6"/>
        <v>0</v>
      </c>
      <c r="AD37" s="108">
        <v>2584</v>
      </c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>
        <v>3747</v>
      </c>
      <c r="R38" s="106">
        <v>412</v>
      </c>
      <c r="S38" s="106">
        <f t="shared" si="1"/>
        <v>540</v>
      </c>
      <c r="T38" s="106">
        <v>1492</v>
      </c>
      <c r="U38" s="106">
        <f t="shared" si="2"/>
        <v>381.5</v>
      </c>
      <c r="V38" s="106">
        <v>2255</v>
      </c>
      <c r="W38" s="106">
        <f t="shared" si="3"/>
        <v>237.5</v>
      </c>
      <c r="X38" s="106">
        <v>2730</v>
      </c>
      <c r="Y38" s="106">
        <f t="shared" si="4"/>
        <v>0</v>
      </c>
      <c r="Z38" s="106">
        <v>2730</v>
      </c>
      <c r="AA38" s="106">
        <f t="shared" si="5"/>
        <v>0</v>
      </c>
      <c r="AB38" s="106">
        <v>2730</v>
      </c>
      <c r="AC38" s="106">
        <f t="shared" si="6"/>
        <v>0</v>
      </c>
      <c r="AD38" s="106">
        <v>2730</v>
      </c>
      <c r="AE38" s="107">
        <f t="shared" si="7"/>
        <v>-1017</v>
      </c>
    </row>
    <row r="39" spans="2:31" ht="15.6" customHeight="1" x14ac:dyDescent="0.3">
      <c r="N39" s="212"/>
      <c r="O39" s="94" t="s">
        <v>69</v>
      </c>
      <c r="P39" s="108"/>
      <c r="Q39" s="108">
        <v>2566</v>
      </c>
      <c r="R39" s="108">
        <v>881</v>
      </c>
      <c r="S39" s="108">
        <f t="shared" si="1"/>
        <v>242.5</v>
      </c>
      <c r="T39" s="108">
        <v>1366</v>
      </c>
      <c r="U39" s="108">
        <f t="shared" si="2"/>
        <v>0</v>
      </c>
      <c r="V39" s="108">
        <v>1366</v>
      </c>
      <c r="W39" s="108">
        <f t="shared" si="3"/>
        <v>335</v>
      </c>
      <c r="X39" s="108">
        <v>2036</v>
      </c>
      <c r="Y39" s="108">
        <f t="shared" si="4"/>
        <v>0</v>
      </c>
      <c r="Z39" s="108">
        <v>2036</v>
      </c>
      <c r="AA39" s="108">
        <f t="shared" si="5"/>
        <v>5</v>
      </c>
      <c r="AB39" s="108">
        <v>2046</v>
      </c>
      <c r="AC39" s="108">
        <f t="shared" si="6"/>
        <v>0</v>
      </c>
      <c r="AD39" s="108">
        <v>2046</v>
      </c>
      <c r="AE39" s="109">
        <f t="shared" si="7"/>
        <v>-520</v>
      </c>
    </row>
    <row r="40" spans="2:31" ht="15.6" customHeight="1" x14ac:dyDescent="0.3">
      <c r="N40" s="212"/>
      <c r="O40" s="95" t="s">
        <v>70</v>
      </c>
      <c r="P40" s="106"/>
      <c r="Q40" s="106">
        <v>3940</v>
      </c>
      <c r="R40" s="106">
        <v>428</v>
      </c>
      <c r="S40" s="106">
        <f t="shared" si="1"/>
        <v>0</v>
      </c>
      <c r="T40" s="106">
        <v>428</v>
      </c>
      <c r="U40" s="106">
        <f t="shared" si="2"/>
        <v>0</v>
      </c>
      <c r="V40" s="106">
        <v>428</v>
      </c>
      <c r="W40" s="106">
        <f t="shared" si="3"/>
        <v>348.5</v>
      </c>
      <c r="X40" s="106">
        <v>1125</v>
      </c>
      <c r="Y40" s="106">
        <f t="shared" si="4"/>
        <v>0</v>
      </c>
      <c r="Z40" s="106">
        <v>1125</v>
      </c>
      <c r="AA40" s="106">
        <f t="shared" si="5"/>
        <v>0</v>
      </c>
      <c r="AB40" s="106">
        <v>1125</v>
      </c>
      <c r="AC40" s="106">
        <f t="shared" si="6"/>
        <v>0</v>
      </c>
      <c r="AD40" s="106">
        <v>1125</v>
      </c>
      <c r="AE40" s="107">
        <f t="shared" si="7"/>
        <v>-2815</v>
      </c>
    </row>
    <row r="41" spans="2:31" ht="15.6" customHeight="1" x14ac:dyDescent="0.3">
      <c r="N41" s="212"/>
      <c r="O41" s="94" t="s">
        <v>71</v>
      </c>
      <c r="P41" s="108"/>
      <c r="Q41" s="108">
        <v>1260</v>
      </c>
      <c r="R41" s="108">
        <v>0</v>
      </c>
      <c r="S41" s="108">
        <f t="shared" si="1"/>
        <v>257</v>
      </c>
      <c r="T41" s="108">
        <v>514</v>
      </c>
      <c r="U41" s="108">
        <f t="shared" si="2"/>
        <v>-59.5</v>
      </c>
      <c r="V41" s="108">
        <v>395</v>
      </c>
      <c r="W41" s="108">
        <f t="shared" si="3"/>
        <v>153</v>
      </c>
      <c r="X41" s="108">
        <v>701</v>
      </c>
      <c r="Y41" s="108">
        <f t="shared" si="4"/>
        <v>0</v>
      </c>
      <c r="Z41" s="108">
        <v>701</v>
      </c>
      <c r="AA41" s="108">
        <f t="shared" si="5"/>
        <v>0</v>
      </c>
      <c r="AB41" s="108">
        <v>701</v>
      </c>
      <c r="AC41" s="108">
        <f t="shared" si="6"/>
        <v>0</v>
      </c>
      <c r="AD41" s="108">
        <v>701</v>
      </c>
      <c r="AE41" s="109">
        <f t="shared" si="7"/>
        <v>-559</v>
      </c>
    </row>
    <row r="42" spans="2:31" ht="15.6" customHeight="1" x14ac:dyDescent="0.3">
      <c r="N42" s="212"/>
      <c r="O42" s="95" t="s">
        <v>72</v>
      </c>
      <c r="P42" s="106"/>
      <c r="Q42" s="106">
        <v>1740</v>
      </c>
      <c r="R42" s="106">
        <v>0</v>
      </c>
      <c r="S42" s="106">
        <f t="shared" si="1"/>
        <v>278.5</v>
      </c>
      <c r="T42" s="106">
        <v>557</v>
      </c>
      <c r="U42" s="106">
        <f t="shared" si="2"/>
        <v>179.5</v>
      </c>
      <c r="V42" s="106">
        <v>916</v>
      </c>
      <c r="W42" s="106">
        <f t="shared" si="3"/>
        <v>197.5</v>
      </c>
      <c r="X42" s="106">
        <v>1311</v>
      </c>
      <c r="Y42" s="106">
        <f t="shared" si="4"/>
        <v>0</v>
      </c>
      <c r="Z42" s="106">
        <v>1311</v>
      </c>
      <c r="AA42" s="106">
        <f t="shared" si="5"/>
        <v>214.5</v>
      </c>
      <c r="AB42" s="106">
        <v>1740</v>
      </c>
      <c r="AC42" s="106">
        <f t="shared" si="6"/>
        <v>0</v>
      </c>
      <c r="AD42" s="106">
        <v>1740</v>
      </c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>
        <v>1691</v>
      </c>
      <c r="R43" s="110">
        <v>448</v>
      </c>
      <c r="S43" s="110">
        <f t="shared" si="1"/>
        <v>236</v>
      </c>
      <c r="T43" s="110">
        <v>920</v>
      </c>
      <c r="U43" s="110">
        <f t="shared" si="2"/>
        <v>124</v>
      </c>
      <c r="V43" s="110">
        <v>1168</v>
      </c>
      <c r="W43" s="110">
        <f t="shared" si="3"/>
        <v>217</v>
      </c>
      <c r="X43" s="110">
        <v>1602</v>
      </c>
      <c r="Y43" s="110">
        <f t="shared" si="4"/>
        <v>0</v>
      </c>
      <c r="Z43" s="110">
        <v>1602</v>
      </c>
      <c r="AA43" s="110">
        <f t="shared" si="5"/>
        <v>44.5</v>
      </c>
      <c r="AB43" s="110">
        <v>1691</v>
      </c>
      <c r="AC43" s="110">
        <f t="shared" si="6"/>
        <v>0</v>
      </c>
      <c r="AD43" s="110">
        <v>1691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4675</v>
      </c>
      <c r="R44" s="112">
        <v>1000</v>
      </c>
      <c r="S44" s="112">
        <f t="shared" si="1"/>
        <v>403.5</v>
      </c>
      <c r="T44" s="112">
        <v>1807</v>
      </c>
      <c r="U44" s="112">
        <f t="shared" si="2"/>
        <v>1436.5</v>
      </c>
      <c r="V44" s="112">
        <v>4680</v>
      </c>
      <c r="W44" s="112">
        <f t="shared" si="3"/>
        <v>0</v>
      </c>
      <c r="X44" s="112">
        <v>4680</v>
      </c>
      <c r="Y44" s="112">
        <f t="shared" si="4"/>
        <v>0</v>
      </c>
      <c r="Z44" s="112">
        <v>4680</v>
      </c>
      <c r="AA44" s="112">
        <f t="shared" si="5"/>
        <v>0</v>
      </c>
      <c r="AB44" s="112">
        <v>4680</v>
      </c>
      <c r="AC44" s="112">
        <f t="shared" si="6"/>
        <v>0</v>
      </c>
      <c r="AD44" s="112">
        <v>4680</v>
      </c>
      <c r="AE44" s="113">
        <f t="shared" si="7"/>
        <v>5</v>
      </c>
    </row>
    <row r="45" spans="2:31" ht="15.6" customHeight="1" x14ac:dyDescent="0.3">
      <c r="N45" s="212"/>
      <c r="O45" s="94" t="s">
        <v>66</v>
      </c>
      <c r="P45" s="108"/>
      <c r="Q45" s="108">
        <v>3841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1920.5</v>
      </c>
      <c r="V45" s="108">
        <v>3841</v>
      </c>
      <c r="W45" s="108">
        <f t="shared" si="3"/>
        <v>0</v>
      </c>
      <c r="X45" s="108">
        <v>3841</v>
      </c>
      <c r="Y45" s="108">
        <f t="shared" si="4"/>
        <v>0</v>
      </c>
      <c r="Z45" s="108">
        <v>3841</v>
      </c>
      <c r="AA45" s="108">
        <f t="shared" si="5"/>
        <v>0</v>
      </c>
      <c r="AB45" s="108">
        <v>3841</v>
      </c>
      <c r="AC45" s="108">
        <f t="shared" si="6"/>
        <v>0</v>
      </c>
      <c r="AD45" s="108">
        <v>3841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2655</v>
      </c>
      <c r="R46" s="106">
        <v>1</v>
      </c>
      <c r="S46" s="106">
        <f t="shared" si="1"/>
        <v>0</v>
      </c>
      <c r="T46" s="106">
        <v>1</v>
      </c>
      <c r="U46" s="106">
        <f t="shared" si="2"/>
        <v>627</v>
      </c>
      <c r="V46" s="106">
        <v>1255</v>
      </c>
      <c r="W46" s="106">
        <f t="shared" si="3"/>
        <v>0</v>
      </c>
      <c r="X46" s="106">
        <v>1255</v>
      </c>
      <c r="Y46" s="106">
        <f t="shared" si="4"/>
        <v>0</v>
      </c>
      <c r="Z46" s="106">
        <v>1255</v>
      </c>
      <c r="AA46" s="106">
        <f t="shared" si="5"/>
        <v>262</v>
      </c>
      <c r="AB46" s="106">
        <v>1779</v>
      </c>
      <c r="AC46" s="106">
        <f t="shared" si="6"/>
        <v>0</v>
      </c>
      <c r="AD46" s="106">
        <v>1779</v>
      </c>
      <c r="AE46" s="107">
        <f t="shared" si="7"/>
        <v>-876</v>
      </c>
    </row>
    <row r="47" spans="2:31" ht="15.6" customHeight="1" thickBot="1" x14ac:dyDescent="0.35">
      <c r="N47" s="213"/>
      <c r="O47" s="97" t="s">
        <v>68</v>
      </c>
      <c r="P47" s="110"/>
      <c r="Q47" s="110">
        <v>3999</v>
      </c>
      <c r="R47" s="110">
        <v>936</v>
      </c>
      <c r="S47" s="110">
        <f t="shared" si="1"/>
        <v>0</v>
      </c>
      <c r="T47" s="110">
        <v>936</v>
      </c>
      <c r="U47" s="110">
        <f t="shared" si="2"/>
        <v>1540.5</v>
      </c>
      <c r="V47" s="110">
        <v>4017</v>
      </c>
      <c r="W47" s="110">
        <f t="shared" si="3"/>
        <v>0</v>
      </c>
      <c r="X47" s="110">
        <v>4017</v>
      </c>
      <c r="Y47" s="110">
        <f t="shared" si="4"/>
        <v>0</v>
      </c>
      <c r="Z47" s="110">
        <v>4017</v>
      </c>
      <c r="AA47" s="110">
        <f t="shared" si="5"/>
        <v>0</v>
      </c>
      <c r="AB47" s="110">
        <v>4017</v>
      </c>
      <c r="AC47" s="110">
        <f t="shared" si="6"/>
        <v>0</v>
      </c>
      <c r="AD47" s="110">
        <v>4017</v>
      </c>
      <c r="AE47" s="111">
        <f t="shared" si="7"/>
        <v>18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2106</v>
      </c>
      <c r="R48" s="112">
        <v>969</v>
      </c>
      <c r="S48" s="112">
        <f t="shared" si="1"/>
        <v>364</v>
      </c>
      <c r="T48" s="112">
        <v>1697</v>
      </c>
      <c r="U48" s="112">
        <f t="shared" si="2"/>
        <v>0</v>
      </c>
      <c r="V48" s="112">
        <v>1697</v>
      </c>
      <c r="W48" s="112">
        <f t="shared" si="3"/>
        <v>38</v>
      </c>
      <c r="X48" s="112">
        <v>1773</v>
      </c>
      <c r="Y48" s="112">
        <f t="shared" si="4"/>
        <v>0</v>
      </c>
      <c r="Z48" s="112">
        <v>1773</v>
      </c>
      <c r="AA48" s="112">
        <f t="shared" si="5"/>
        <v>73.5</v>
      </c>
      <c r="AB48" s="112">
        <v>1920</v>
      </c>
      <c r="AC48" s="112">
        <f t="shared" si="6"/>
        <v>0</v>
      </c>
      <c r="AD48" s="112">
        <v>1920</v>
      </c>
      <c r="AE48" s="113">
        <f t="shared" si="7"/>
        <v>-186</v>
      </c>
    </row>
    <row r="49" spans="14:31" ht="15.6" customHeight="1" x14ac:dyDescent="0.3">
      <c r="N49" s="212"/>
      <c r="O49" s="94" t="s">
        <v>66</v>
      </c>
      <c r="P49" s="108"/>
      <c r="Q49" s="108">
        <v>3582</v>
      </c>
      <c r="R49" s="108">
        <v>900</v>
      </c>
      <c r="S49" s="108">
        <f t="shared" si="1"/>
        <v>207</v>
      </c>
      <c r="T49" s="108">
        <v>1314</v>
      </c>
      <c r="U49" s="108">
        <f t="shared" si="2"/>
        <v>0</v>
      </c>
      <c r="V49" s="108">
        <v>1314</v>
      </c>
      <c r="W49" s="108">
        <f t="shared" si="3"/>
        <v>965.5</v>
      </c>
      <c r="X49" s="108">
        <v>3245</v>
      </c>
      <c r="Y49" s="108">
        <f t="shared" si="4"/>
        <v>0</v>
      </c>
      <c r="Z49" s="108">
        <v>3245</v>
      </c>
      <c r="AA49" s="108">
        <f t="shared" si="5"/>
        <v>168.5</v>
      </c>
      <c r="AB49" s="108">
        <v>3582</v>
      </c>
      <c r="AC49" s="108">
        <f t="shared" si="6"/>
        <v>0</v>
      </c>
      <c r="AD49" s="108">
        <v>3582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2209</v>
      </c>
      <c r="R50" s="106">
        <v>315</v>
      </c>
      <c r="S50" s="106">
        <f t="shared" si="1"/>
        <v>74</v>
      </c>
      <c r="T50" s="106">
        <v>463</v>
      </c>
      <c r="U50" s="106">
        <f t="shared" si="2"/>
        <v>256.5</v>
      </c>
      <c r="V50" s="106">
        <v>976</v>
      </c>
      <c r="W50" s="106">
        <f t="shared" si="3"/>
        <v>-107.5</v>
      </c>
      <c r="X50" s="106">
        <v>761</v>
      </c>
      <c r="Y50" s="106">
        <f t="shared" si="4"/>
        <v>0</v>
      </c>
      <c r="Z50" s="106">
        <v>761</v>
      </c>
      <c r="AA50" s="106">
        <f t="shared" si="5"/>
        <v>137</v>
      </c>
      <c r="AB50" s="106">
        <v>1035</v>
      </c>
      <c r="AC50" s="106">
        <f t="shared" si="6"/>
        <v>0</v>
      </c>
      <c r="AD50" s="106">
        <v>1035</v>
      </c>
      <c r="AE50" s="107">
        <f t="shared" si="7"/>
        <v>-1174</v>
      </c>
    </row>
    <row r="51" spans="14:31" ht="15.6" customHeight="1" x14ac:dyDescent="0.3">
      <c r="N51" s="212"/>
      <c r="O51" s="94" t="s">
        <v>68</v>
      </c>
      <c r="P51" s="108"/>
      <c r="Q51" s="108">
        <v>2708</v>
      </c>
      <c r="R51" s="108">
        <v>12</v>
      </c>
      <c r="S51" s="108">
        <f t="shared" si="1"/>
        <v>0.5</v>
      </c>
      <c r="T51" s="108">
        <v>13</v>
      </c>
      <c r="U51" s="108">
        <f t="shared" si="2"/>
        <v>0</v>
      </c>
      <c r="V51" s="108">
        <v>13</v>
      </c>
      <c r="W51" s="108">
        <f t="shared" si="3"/>
        <v>74</v>
      </c>
      <c r="X51" s="108">
        <v>161</v>
      </c>
      <c r="Y51" s="108">
        <f t="shared" si="4"/>
        <v>0</v>
      </c>
      <c r="Z51" s="108">
        <v>161</v>
      </c>
      <c r="AA51" s="108">
        <f t="shared" si="5"/>
        <v>10.5</v>
      </c>
      <c r="AB51" s="108">
        <v>182</v>
      </c>
      <c r="AC51" s="108">
        <f t="shared" si="6"/>
        <v>0</v>
      </c>
      <c r="AD51" s="108">
        <v>182</v>
      </c>
      <c r="AE51" s="109">
        <f t="shared" si="7"/>
        <v>-2526</v>
      </c>
    </row>
    <row r="52" spans="14:31" ht="15.6" customHeight="1" x14ac:dyDescent="0.3">
      <c r="N52" s="212"/>
      <c r="O52" s="95" t="s">
        <v>69</v>
      </c>
      <c r="P52" s="106"/>
      <c r="Q52" s="106">
        <v>3006</v>
      </c>
      <c r="R52" s="106">
        <v>164</v>
      </c>
      <c r="S52" s="106">
        <f t="shared" si="1"/>
        <v>147.5</v>
      </c>
      <c r="T52" s="106">
        <v>459</v>
      </c>
      <c r="U52" s="106">
        <f t="shared" si="2"/>
        <v>2</v>
      </c>
      <c r="V52" s="106">
        <v>463</v>
      </c>
      <c r="W52" s="106">
        <f t="shared" si="3"/>
        <v>225.5</v>
      </c>
      <c r="X52" s="106">
        <v>914</v>
      </c>
      <c r="Y52" s="106">
        <f t="shared" si="4"/>
        <v>0</v>
      </c>
      <c r="Z52" s="106">
        <v>914</v>
      </c>
      <c r="AA52" s="106">
        <f t="shared" si="5"/>
        <v>168</v>
      </c>
      <c r="AB52" s="106">
        <v>1250</v>
      </c>
      <c r="AC52" s="106">
        <f t="shared" si="6"/>
        <v>0</v>
      </c>
      <c r="AD52" s="106">
        <v>1250</v>
      </c>
      <c r="AE52" s="107">
        <f t="shared" si="7"/>
        <v>-1756</v>
      </c>
    </row>
    <row r="53" spans="14:31" ht="15.6" customHeight="1" x14ac:dyDescent="0.3">
      <c r="N53" s="212"/>
      <c r="O53" s="94" t="s">
        <v>70</v>
      </c>
      <c r="P53" s="108"/>
      <c r="Q53" s="108">
        <v>1735</v>
      </c>
      <c r="R53" s="108">
        <v>11</v>
      </c>
      <c r="S53" s="108">
        <f t="shared" si="1"/>
        <v>0</v>
      </c>
      <c r="T53" s="108">
        <v>11</v>
      </c>
      <c r="U53" s="108">
        <f t="shared" si="2"/>
        <v>0</v>
      </c>
      <c r="V53" s="108">
        <v>11</v>
      </c>
      <c r="W53" s="108">
        <f t="shared" si="3"/>
        <v>0</v>
      </c>
      <c r="X53" s="108">
        <v>11</v>
      </c>
      <c r="Y53" s="108">
        <f t="shared" si="4"/>
        <v>0</v>
      </c>
      <c r="Z53" s="108">
        <v>11</v>
      </c>
      <c r="AA53" s="108">
        <f t="shared" si="5"/>
        <v>619</v>
      </c>
      <c r="AB53" s="108">
        <v>1249</v>
      </c>
      <c r="AC53" s="108">
        <f t="shared" si="6"/>
        <v>0</v>
      </c>
      <c r="AD53" s="108">
        <v>1249</v>
      </c>
      <c r="AE53" s="109">
        <f t="shared" si="7"/>
        <v>-486</v>
      </c>
    </row>
    <row r="54" spans="14:31" ht="15.6" customHeight="1" x14ac:dyDescent="0.3">
      <c r="N54" s="212"/>
      <c r="O54" s="95" t="s">
        <v>71</v>
      </c>
      <c r="P54" s="106"/>
      <c r="Q54" s="106">
        <v>1918</v>
      </c>
      <c r="R54" s="106">
        <v>341</v>
      </c>
      <c r="S54" s="106">
        <f t="shared" si="1"/>
        <v>150</v>
      </c>
      <c r="T54" s="106">
        <v>641</v>
      </c>
      <c r="U54" s="106">
        <f t="shared" si="2"/>
        <v>520</v>
      </c>
      <c r="V54" s="106">
        <v>1681</v>
      </c>
      <c r="W54" s="106">
        <f t="shared" si="3"/>
        <v>18</v>
      </c>
      <c r="X54" s="106">
        <v>1717</v>
      </c>
      <c r="Y54" s="106">
        <f t="shared" si="4"/>
        <v>0</v>
      </c>
      <c r="Z54" s="106">
        <v>1717</v>
      </c>
      <c r="AA54" s="106">
        <f t="shared" si="5"/>
        <v>0</v>
      </c>
      <c r="AB54" s="106">
        <v>1717</v>
      </c>
      <c r="AC54" s="106">
        <f t="shared" si="6"/>
        <v>0</v>
      </c>
      <c r="AD54" s="106">
        <v>1717</v>
      </c>
      <c r="AE54" s="107">
        <f t="shared" si="7"/>
        <v>-201</v>
      </c>
    </row>
    <row r="55" spans="14:31" ht="15.6" customHeight="1" x14ac:dyDescent="0.3">
      <c r="N55" s="212"/>
      <c r="O55" s="94" t="s">
        <v>72</v>
      </c>
      <c r="P55" s="108"/>
      <c r="Q55" s="108">
        <v>2775</v>
      </c>
      <c r="R55" s="108">
        <v>1203</v>
      </c>
      <c r="S55" s="108">
        <f t="shared" si="1"/>
        <v>0</v>
      </c>
      <c r="T55" s="108">
        <v>1203</v>
      </c>
      <c r="U55" s="108">
        <f t="shared" si="2"/>
        <v>586</v>
      </c>
      <c r="V55" s="108">
        <v>2375</v>
      </c>
      <c r="W55" s="108">
        <f t="shared" si="3"/>
        <v>32</v>
      </c>
      <c r="X55" s="108">
        <v>2439</v>
      </c>
      <c r="Y55" s="108">
        <f t="shared" si="4"/>
        <v>0</v>
      </c>
      <c r="Z55" s="108">
        <v>2439</v>
      </c>
      <c r="AA55" s="108">
        <f t="shared" si="5"/>
        <v>88</v>
      </c>
      <c r="AB55" s="108">
        <v>2615</v>
      </c>
      <c r="AC55" s="108">
        <f t="shared" si="6"/>
        <v>0</v>
      </c>
      <c r="AD55" s="108">
        <v>2615</v>
      </c>
      <c r="AE55" s="109">
        <f t="shared" si="7"/>
        <v>-160</v>
      </c>
    </row>
    <row r="56" spans="14:31" ht="15.6" customHeight="1" thickBot="1" x14ac:dyDescent="0.35">
      <c r="N56" s="213"/>
      <c r="O56" s="99" t="s">
        <v>73</v>
      </c>
      <c r="P56" s="114"/>
      <c r="Q56" s="114">
        <v>263</v>
      </c>
      <c r="R56" s="114">
        <v>1</v>
      </c>
      <c r="S56" s="114">
        <f t="shared" si="1"/>
        <v>0</v>
      </c>
      <c r="T56" s="114">
        <v>1</v>
      </c>
      <c r="U56" s="114">
        <f t="shared" si="2"/>
        <v>102</v>
      </c>
      <c r="V56" s="114">
        <v>205</v>
      </c>
      <c r="W56" s="114">
        <f t="shared" si="3"/>
        <v>0</v>
      </c>
      <c r="X56" s="114">
        <v>205</v>
      </c>
      <c r="Y56" s="114">
        <f t="shared" si="4"/>
        <v>0</v>
      </c>
      <c r="Z56" s="114">
        <v>205</v>
      </c>
      <c r="AA56" s="114">
        <f t="shared" si="5"/>
        <v>0</v>
      </c>
      <c r="AB56" s="114">
        <v>205</v>
      </c>
      <c r="AC56" s="114">
        <f t="shared" si="6"/>
        <v>0</v>
      </c>
      <c r="AD56" s="114">
        <v>205</v>
      </c>
      <c r="AE56" s="115">
        <f t="shared" si="7"/>
        <v>-58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5924</v>
      </c>
      <c r="R57" s="104">
        <v>570</v>
      </c>
      <c r="S57" s="104">
        <f t="shared" si="1"/>
        <v>1112</v>
      </c>
      <c r="T57" s="104">
        <v>2794</v>
      </c>
      <c r="U57" s="104">
        <f t="shared" si="2"/>
        <v>144.5</v>
      </c>
      <c r="V57" s="104">
        <v>3083</v>
      </c>
      <c r="W57" s="104">
        <f t="shared" si="3"/>
        <v>11.5</v>
      </c>
      <c r="X57" s="104">
        <v>3106</v>
      </c>
      <c r="Y57" s="104">
        <f t="shared" si="4"/>
        <v>0</v>
      </c>
      <c r="Z57" s="104">
        <v>3106</v>
      </c>
      <c r="AA57" s="104">
        <f t="shared" si="5"/>
        <v>0</v>
      </c>
      <c r="AB57" s="104">
        <v>3106</v>
      </c>
      <c r="AC57" s="104">
        <f t="shared" si="6"/>
        <v>0</v>
      </c>
      <c r="AD57" s="104">
        <v>3106</v>
      </c>
      <c r="AE57" s="105">
        <f t="shared" si="7"/>
        <v>-2818</v>
      </c>
    </row>
    <row r="58" spans="14:31" ht="15.6" customHeight="1" x14ac:dyDescent="0.3">
      <c r="N58" s="212"/>
      <c r="O58" s="95" t="s">
        <v>66</v>
      </c>
      <c r="P58" s="106"/>
      <c r="Q58" s="106">
        <v>4471</v>
      </c>
      <c r="R58" s="106">
        <v>1029</v>
      </c>
      <c r="S58" s="106">
        <f t="shared" si="1"/>
        <v>556.5</v>
      </c>
      <c r="T58" s="106">
        <v>2142</v>
      </c>
      <c r="U58" s="106">
        <f t="shared" si="2"/>
        <v>230</v>
      </c>
      <c r="V58" s="106">
        <v>2602</v>
      </c>
      <c r="W58" s="106">
        <f t="shared" si="3"/>
        <v>257</v>
      </c>
      <c r="X58" s="106">
        <v>3116</v>
      </c>
      <c r="Y58" s="106">
        <f t="shared" si="4"/>
        <v>0</v>
      </c>
      <c r="Z58" s="106">
        <v>3116</v>
      </c>
      <c r="AA58" s="106">
        <f t="shared" si="5"/>
        <v>0</v>
      </c>
      <c r="AB58" s="106">
        <v>3116</v>
      </c>
      <c r="AC58" s="106">
        <f t="shared" si="6"/>
        <v>0</v>
      </c>
      <c r="AD58" s="106">
        <v>3116</v>
      </c>
      <c r="AE58" s="107">
        <f t="shared" si="7"/>
        <v>-1355</v>
      </c>
    </row>
    <row r="59" spans="14:31" ht="15.6" customHeight="1" x14ac:dyDescent="0.3">
      <c r="N59" s="212"/>
      <c r="O59" s="94" t="s">
        <v>67</v>
      </c>
      <c r="P59" s="108"/>
      <c r="Q59" s="108">
        <v>5044</v>
      </c>
      <c r="R59" s="108">
        <v>417</v>
      </c>
      <c r="S59" s="108">
        <f t="shared" si="1"/>
        <v>243.5</v>
      </c>
      <c r="T59" s="108">
        <v>904</v>
      </c>
      <c r="U59" s="108">
        <f t="shared" si="2"/>
        <v>0</v>
      </c>
      <c r="V59" s="108">
        <v>904</v>
      </c>
      <c r="W59" s="108">
        <f t="shared" si="3"/>
        <v>152.5</v>
      </c>
      <c r="X59" s="108">
        <v>1209</v>
      </c>
      <c r="Y59" s="108">
        <f t="shared" si="4"/>
        <v>0</v>
      </c>
      <c r="Z59" s="108">
        <v>1209</v>
      </c>
      <c r="AA59" s="108">
        <f t="shared" si="5"/>
        <v>0</v>
      </c>
      <c r="AB59" s="108">
        <v>1209</v>
      </c>
      <c r="AC59" s="108">
        <f t="shared" si="6"/>
        <v>0</v>
      </c>
      <c r="AD59" s="108">
        <v>1209</v>
      </c>
      <c r="AE59" s="109">
        <f t="shared" si="7"/>
        <v>-3835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6136</v>
      </c>
      <c r="R61" s="104">
        <v>1431</v>
      </c>
      <c r="S61" s="104">
        <f t="shared" si="1"/>
        <v>214</v>
      </c>
      <c r="T61" s="104">
        <v>1859</v>
      </c>
      <c r="U61" s="104">
        <f t="shared" si="2"/>
        <v>91</v>
      </c>
      <c r="V61" s="104">
        <v>2041</v>
      </c>
      <c r="W61" s="104">
        <f t="shared" si="3"/>
        <v>437</v>
      </c>
      <c r="X61" s="104">
        <v>2915</v>
      </c>
      <c r="Y61" s="104">
        <f t="shared" si="4"/>
        <v>0</v>
      </c>
      <c r="Z61" s="104">
        <v>2915</v>
      </c>
      <c r="AA61" s="104">
        <f t="shared" si="5"/>
        <v>376</v>
      </c>
      <c r="AB61" s="104">
        <v>3667</v>
      </c>
      <c r="AC61" s="104">
        <f t="shared" si="6"/>
        <v>0</v>
      </c>
      <c r="AD61" s="104">
        <v>3667</v>
      </c>
      <c r="AE61" s="105">
        <f t="shared" si="7"/>
        <v>-2469</v>
      </c>
    </row>
    <row r="62" spans="14:31" ht="15.6" customHeight="1" x14ac:dyDescent="0.3">
      <c r="N62" s="212"/>
      <c r="O62" s="95" t="s">
        <v>66</v>
      </c>
      <c r="P62" s="106"/>
      <c r="Q62" s="106">
        <v>7517</v>
      </c>
      <c r="R62" s="106">
        <v>1276</v>
      </c>
      <c r="S62" s="106">
        <f t="shared" si="1"/>
        <v>824</v>
      </c>
      <c r="T62" s="106">
        <v>2924</v>
      </c>
      <c r="U62" s="106">
        <f t="shared" si="2"/>
        <v>429.5</v>
      </c>
      <c r="V62" s="106">
        <v>3783</v>
      </c>
      <c r="W62" s="106">
        <f t="shared" si="3"/>
        <v>390.5</v>
      </c>
      <c r="X62" s="106">
        <v>4564</v>
      </c>
      <c r="Y62" s="106">
        <f t="shared" si="4"/>
        <v>0</v>
      </c>
      <c r="Z62" s="106">
        <v>4564</v>
      </c>
      <c r="AA62" s="106">
        <f t="shared" si="5"/>
        <v>182</v>
      </c>
      <c r="AB62" s="106">
        <v>4928</v>
      </c>
      <c r="AC62" s="106">
        <f t="shared" si="6"/>
        <v>0</v>
      </c>
      <c r="AD62" s="106">
        <v>4928</v>
      </c>
      <c r="AE62" s="107">
        <f t="shared" si="7"/>
        <v>-2589</v>
      </c>
    </row>
    <row r="63" spans="14:31" ht="15.6" customHeight="1" x14ac:dyDescent="0.3">
      <c r="N63" s="212"/>
      <c r="O63" s="94" t="s">
        <v>67</v>
      </c>
      <c r="P63" s="108"/>
      <c r="Q63" s="108">
        <v>5092</v>
      </c>
      <c r="R63" s="108">
        <v>753</v>
      </c>
      <c r="S63" s="108">
        <f t="shared" si="1"/>
        <v>306</v>
      </c>
      <c r="T63" s="108">
        <v>1365</v>
      </c>
      <c r="U63" s="108">
        <f t="shared" si="2"/>
        <v>253.5</v>
      </c>
      <c r="V63" s="108">
        <v>1872</v>
      </c>
      <c r="W63" s="108">
        <f t="shared" si="3"/>
        <v>712.5</v>
      </c>
      <c r="X63" s="108">
        <v>3297</v>
      </c>
      <c r="Y63" s="108">
        <f t="shared" si="4"/>
        <v>0</v>
      </c>
      <c r="Z63" s="108">
        <v>3297</v>
      </c>
      <c r="AA63" s="108">
        <f t="shared" si="5"/>
        <v>276</v>
      </c>
      <c r="AB63" s="108">
        <v>3849</v>
      </c>
      <c r="AC63" s="108">
        <f t="shared" si="6"/>
        <v>0</v>
      </c>
      <c r="AD63" s="108">
        <v>3849</v>
      </c>
      <c r="AE63" s="109">
        <f t="shared" si="7"/>
        <v>-1243</v>
      </c>
    </row>
    <row r="64" spans="14:31" ht="15.6" customHeight="1" thickBot="1" x14ac:dyDescent="0.35">
      <c r="N64" s="213"/>
      <c r="O64" s="99" t="s">
        <v>68</v>
      </c>
      <c r="P64" s="114"/>
      <c r="Q64" s="114">
        <v>1712</v>
      </c>
      <c r="R64" s="114">
        <v>705</v>
      </c>
      <c r="S64" s="114">
        <f t="shared" si="1"/>
        <v>76.5</v>
      </c>
      <c r="T64" s="114">
        <v>858</v>
      </c>
      <c r="U64" s="114">
        <f t="shared" si="2"/>
        <v>1</v>
      </c>
      <c r="V64" s="114">
        <v>860</v>
      </c>
      <c r="W64" s="114">
        <f t="shared" si="3"/>
        <v>11.5</v>
      </c>
      <c r="X64" s="114">
        <v>883</v>
      </c>
      <c r="Y64" s="114">
        <f t="shared" si="4"/>
        <v>0</v>
      </c>
      <c r="Z64" s="114">
        <v>883</v>
      </c>
      <c r="AA64" s="114">
        <f t="shared" si="5"/>
        <v>18</v>
      </c>
      <c r="AB64" s="114">
        <v>919</v>
      </c>
      <c r="AC64" s="114">
        <f t="shared" si="6"/>
        <v>0</v>
      </c>
      <c r="AD64" s="114">
        <v>919</v>
      </c>
      <c r="AE64" s="115">
        <f t="shared" si="7"/>
        <v>-793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95" priority="11" operator="lessThan">
      <formula>0</formula>
    </cfRule>
    <cfRule type="cellIs" dxfId="1594" priority="12" operator="greaterThan">
      <formula>0</formula>
    </cfRule>
  </conditionalFormatting>
  <conditionalFormatting sqref="R25:AC25">
    <cfRule type="cellIs" dxfId="1593" priority="9" operator="lessThan">
      <formula>0</formula>
    </cfRule>
    <cfRule type="cellIs" dxfId="1592" priority="10" operator="greaterThan">
      <formula>0</formula>
    </cfRule>
  </conditionalFormatting>
  <conditionalFormatting sqref="R26 T26 V26 X26 Z26 AB26">
    <cfRule type="cellIs" dxfId="1591" priority="7" operator="lessThan">
      <formula>0</formula>
    </cfRule>
    <cfRule type="cellIs" dxfId="1590" priority="8" operator="greaterThan">
      <formula>0</formula>
    </cfRule>
  </conditionalFormatting>
  <conditionalFormatting sqref="AD24:AE24">
    <cfRule type="cellIs" dxfId="1589" priority="5" operator="lessThan">
      <formula>0</formula>
    </cfRule>
    <cfRule type="cellIs" dxfId="1588" priority="6" operator="greaterThan">
      <formula>0</formula>
    </cfRule>
  </conditionalFormatting>
  <conditionalFormatting sqref="AD25:AE25">
    <cfRule type="cellIs" dxfId="1587" priority="3" operator="lessThan">
      <formula>0</formula>
    </cfRule>
    <cfRule type="cellIs" dxfId="1586" priority="4" operator="greaterThan">
      <formula>0</formula>
    </cfRule>
  </conditionalFormatting>
  <conditionalFormatting sqref="AD26">
    <cfRule type="cellIs" dxfId="1585" priority="1" operator="lessThan">
      <formula>0</formula>
    </cfRule>
    <cfRule type="cellIs" dxfId="158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theme="1"/>
    <pageSetUpPr fitToPage="1"/>
  </sheetPr>
  <dimension ref="B1:AQ64"/>
  <sheetViews>
    <sheetView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44386</v>
      </c>
    </row>
    <row r="3" spans="2:42" ht="18.75" customHeight="1" thickBot="1" x14ac:dyDescent="0.35">
      <c r="B3" t="s">
        <v>1</v>
      </c>
      <c r="C3" s="3">
        <f>C2+1</f>
        <v>44387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19616</v>
      </c>
      <c r="G6" s="117">
        <v>15852.951875000001</v>
      </c>
      <c r="H6" s="117">
        <v>11483.17101526001</v>
      </c>
      <c r="I6" s="19">
        <f>G6+H6</f>
        <v>27336.122890260012</v>
      </c>
      <c r="J6" s="119">
        <v>20473</v>
      </c>
      <c r="K6" s="117">
        <v>16483.427749999999</v>
      </c>
      <c r="L6" s="117">
        <v>12844.669844260001</v>
      </c>
      <c r="M6" s="19">
        <f>K6+L6</f>
        <v>29328.097594259998</v>
      </c>
      <c r="N6" s="85">
        <v>61</v>
      </c>
      <c r="O6" s="85">
        <v>50</v>
      </c>
      <c r="P6" s="92"/>
      <c r="Q6" s="20">
        <f>J6-P6</f>
        <v>20473</v>
      </c>
      <c r="R6" s="21">
        <v>3857</v>
      </c>
      <c r="S6" s="20">
        <f>IF(R6&gt;0,(R6-R7-$Q6),"")</f>
        <v>-16965</v>
      </c>
      <c r="T6" s="21">
        <v>4981</v>
      </c>
      <c r="U6" s="20">
        <f>IF(T6&gt;0,(T6-T7-$Q6),"")</f>
        <v>-15498</v>
      </c>
      <c r="V6" s="21">
        <v>9722</v>
      </c>
      <c r="W6" s="20">
        <f>IF(V6&gt;0,(V6-V7-$Q6),"")</f>
        <v>-10757</v>
      </c>
      <c r="X6" s="21">
        <v>13170</v>
      </c>
      <c r="Y6" s="20">
        <f>IF(X6&gt;0,(X6-X7-$Q6),"")</f>
        <v>-7310</v>
      </c>
      <c r="Z6" s="21">
        <v>13170</v>
      </c>
      <c r="AA6" s="20">
        <f>IF(Z6&gt;0,(Z6-Z7-$Q6),"")</f>
        <v>-7310</v>
      </c>
      <c r="AB6" s="21">
        <v>13170</v>
      </c>
      <c r="AC6" s="22">
        <f>IF(AB6&gt;0,(AB6-AB7-$Q6),"")</f>
        <v>-7310</v>
      </c>
      <c r="AD6" s="21">
        <v>13170</v>
      </c>
      <c r="AE6" s="22">
        <f>IF(AD6&gt;0,(AD6-AD7-$Q6),"")</f>
        <v>-7310</v>
      </c>
    </row>
    <row r="7" spans="2:42" x14ac:dyDescent="0.3">
      <c r="B7" s="16" t="s">
        <v>23</v>
      </c>
      <c r="C7" s="17">
        <v>238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349</v>
      </c>
      <c r="S7" s="24"/>
      <c r="T7" s="25">
        <v>6</v>
      </c>
      <c r="U7" s="24"/>
      <c r="V7" s="25">
        <v>6</v>
      </c>
      <c r="W7" s="24"/>
      <c r="X7" s="25">
        <v>7</v>
      </c>
      <c r="Y7" s="24"/>
      <c r="Z7" s="25">
        <v>7</v>
      </c>
      <c r="AA7" s="24"/>
      <c r="AB7" s="25">
        <v>7</v>
      </c>
      <c r="AC7" s="26"/>
      <c r="AD7" s="25">
        <v>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2919</v>
      </c>
      <c r="E8" s="29" t="s">
        <v>27</v>
      </c>
      <c r="F8" s="119">
        <v>12560</v>
      </c>
      <c r="G8" s="117">
        <v>5350.8074999999999</v>
      </c>
      <c r="H8" s="117">
        <v>1157.3336999999999</v>
      </c>
      <c r="I8" s="19">
        <f>G8+H8</f>
        <v>6508.1412</v>
      </c>
      <c r="J8" s="119">
        <v>12200</v>
      </c>
      <c r="K8" s="117">
        <v>5172.76</v>
      </c>
      <c r="L8" s="117">
        <v>1115.5302173</v>
      </c>
      <c r="M8" s="19">
        <f>K8+L8</f>
        <v>6288.2902173000002</v>
      </c>
      <c r="N8" s="87">
        <v>23</v>
      </c>
      <c r="O8" s="87">
        <v>19</v>
      </c>
      <c r="P8" s="92"/>
      <c r="Q8" s="20">
        <f>J8-P8</f>
        <v>12200</v>
      </c>
      <c r="R8" s="21">
        <v>1801</v>
      </c>
      <c r="S8" s="20">
        <f>IF(R8&gt;0,(R8-R9-$Q8),"")</f>
        <v>-12200</v>
      </c>
      <c r="T8" s="21">
        <v>2277</v>
      </c>
      <c r="U8" s="20">
        <f>IF(T8&gt;0,(T8-T9-$Q8),"")</f>
        <v>-9949</v>
      </c>
      <c r="V8" s="21">
        <v>6085</v>
      </c>
      <c r="W8" s="20">
        <f>IF(V8&gt;0,(V8-V9-$Q8),"")</f>
        <v>-6141</v>
      </c>
      <c r="X8" s="21">
        <v>8915</v>
      </c>
      <c r="Y8" s="20">
        <f>IF(X8&gt;0,(X8-X9-$Q8),"")</f>
        <v>-3311</v>
      </c>
      <c r="Z8" s="21">
        <v>10256</v>
      </c>
      <c r="AA8" s="20">
        <f>IF(Z8&gt;0,(Z8-Z9-$Q8),"")</f>
        <v>-1970</v>
      </c>
      <c r="AB8" s="21">
        <v>10256</v>
      </c>
      <c r="AC8" s="22">
        <f>IF(AB8&gt;0,(AB8-AB9-$Q8),"")</f>
        <v>-1970</v>
      </c>
      <c r="AD8" s="21">
        <v>10256</v>
      </c>
      <c r="AE8" s="22">
        <f>IF(AD8&gt;0,(AD8-AD9-$Q8),"")</f>
        <v>-1970</v>
      </c>
    </row>
    <row r="9" spans="2:42" x14ac:dyDescent="0.3">
      <c r="B9" s="28" t="s">
        <v>28</v>
      </c>
      <c r="C9" s="17">
        <v>1692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1801</v>
      </c>
      <c r="S9" s="24"/>
      <c r="T9" s="30">
        <v>26</v>
      </c>
      <c r="U9" s="24"/>
      <c r="V9" s="30">
        <v>26</v>
      </c>
      <c r="W9" s="24"/>
      <c r="X9" s="30">
        <v>26</v>
      </c>
      <c r="Y9" s="24"/>
      <c r="Z9" s="30">
        <v>26</v>
      </c>
      <c r="AA9" s="24"/>
      <c r="AB9" s="30">
        <v>26</v>
      </c>
      <c r="AC9" s="26"/>
      <c r="AD9" s="30">
        <v>26</v>
      </c>
      <c r="AE9" s="26"/>
    </row>
    <row r="10" spans="2:42" x14ac:dyDescent="0.3">
      <c r="B10" s="16" t="s">
        <v>30</v>
      </c>
      <c r="C10" s="17">
        <v>4626</v>
      </c>
      <c r="E10" s="18" t="s">
        <v>31</v>
      </c>
      <c r="F10" s="119">
        <v>9542</v>
      </c>
      <c r="G10" s="117">
        <v>7634.0242500000004</v>
      </c>
      <c r="H10" s="117">
        <v>1801.05342</v>
      </c>
      <c r="I10" s="19">
        <f>G10+H10</f>
        <v>9435.0776700000006</v>
      </c>
      <c r="J10" s="119">
        <v>9170</v>
      </c>
      <c r="K10" s="117">
        <v>7172.2362499999999</v>
      </c>
      <c r="L10" s="117">
        <v>1820.816135</v>
      </c>
      <c r="M10" s="19">
        <f>K10+L10</f>
        <v>8993.052384999999</v>
      </c>
      <c r="N10" s="88">
        <v>40</v>
      </c>
      <c r="O10" s="88">
        <v>39</v>
      </c>
      <c r="P10" s="92"/>
      <c r="Q10" s="20">
        <f>J10-P10</f>
        <v>9170</v>
      </c>
      <c r="R10" s="21">
        <v>1353</v>
      </c>
      <c r="S10" s="20">
        <f>IF(R10&gt;0,(R10-R11-$Q10),"")</f>
        <v>-8448</v>
      </c>
      <c r="T10" s="21">
        <v>2846</v>
      </c>
      <c r="U10" s="20">
        <f>IF(T10&gt;0,(T10-T11-$Q10),"")</f>
        <v>-7289</v>
      </c>
      <c r="V10" s="21">
        <v>5273</v>
      </c>
      <c r="W10" s="20">
        <f>IF(V10&gt;0,(V10-V11-$Q10),"")</f>
        <v>-5599</v>
      </c>
      <c r="X10" s="21">
        <v>5434</v>
      </c>
      <c r="Y10" s="20">
        <f>IF(X10&gt;0,(X10-X11-$Q10),"")</f>
        <v>-5596</v>
      </c>
      <c r="Z10" s="21">
        <v>5434</v>
      </c>
      <c r="AA10" s="20">
        <f>IF(Z10&gt;0,(Z10-Z11-$Q10),"")</f>
        <v>-5596</v>
      </c>
      <c r="AB10" s="21">
        <v>5434</v>
      </c>
      <c r="AC10" s="22">
        <f>IF(AB10&gt;0,(AB10-AB11-$Q10),"")</f>
        <v>-5596</v>
      </c>
      <c r="AD10" s="21">
        <v>5434</v>
      </c>
      <c r="AE10" s="22">
        <f>IF(AD10&gt;0,(AD10-AD11-$Q10),"")</f>
        <v>-5596</v>
      </c>
    </row>
    <row r="11" spans="2:42" x14ac:dyDescent="0.3">
      <c r="B11" s="16" t="s">
        <v>32</v>
      </c>
      <c r="C11" s="17">
        <v>2342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</v>
      </c>
      <c r="P11" s="93" t="s">
        <v>33</v>
      </c>
      <c r="Q11" s="24"/>
      <c r="R11" s="30">
        <v>631</v>
      </c>
      <c r="S11" s="24"/>
      <c r="T11" s="30">
        <v>965</v>
      </c>
      <c r="U11" s="24"/>
      <c r="V11" s="30">
        <v>1702</v>
      </c>
      <c r="W11" s="24"/>
      <c r="X11" s="30">
        <v>1860</v>
      </c>
      <c r="Y11" s="24"/>
      <c r="Z11" s="30">
        <v>1860</v>
      </c>
      <c r="AA11" s="24"/>
      <c r="AB11" s="30">
        <v>1860</v>
      </c>
      <c r="AC11" s="26"/>
      <c r="AD11" s="30">
        <v>1860</v>
      </c>
      <c r="AE11" s="26"/>
    </row>
    <row r="12" spans="2:42" x14ac:dyDescent="0.3">
      <c r="B12" s="16" t="s">
        <v>34</v>
      </c>
      <c r="C12" s="17">
        <v>1712</v>
      </c>
      <c r="E12" s="29" t="s">
        <v>35</v>
      </c>
      <c r="F12" s="119">
        <v>13583</v>
      </c>
      <c r="G12" s="117">
        <v>12602.289000000001</v>
      </c>
      <c r="H12" s="117">
        <v>16191.4177562</v>
      </c>
      <c r="I12" s="19">
        <f>G12+H12</f>
        <v>28793.706756200001</v>
      </c>
      <c r="J12" s="119">
        <v>12509</v>
      </c>
      <c r="K12" s="117">
        <v>11445.95125</v>
      </c>
      <c r="L12" s="117">
        <v>14690.577026400009</v>
      </c>
      <c r="M12" s="19">
        <f>K12+L12</f>
        <v>26136.528276400008</v>
      </c>
      <c r="N12" s="88">
        <v>52</v>
      </c>
      <c r="O12" s="88">
        <v>42</v>
      </c>
      <c r="P12" s="92"/>
      <c r="Q12" s="20">
        <f>J12-P12</f>
        <v>12509</v>
      </c>
      <c r="R12" s="21">
        <v>1707</v>
      </c>
      <c r="S12" s="20">
        <f>IF(R12&gt;0,(R12-R13-$Q12),"")</f>
        <v>-11222</v>
      </c>
      <c r="T12" s="21">
        <v>3805</v>
      </c>
      <c r="U12" s="20">
        <f>IF(T12&gt;0,(T12-T13-$Q12),"")</f>
        <v>-9614</v>
      </c>
      <c r="V12" s="21">
        <v>6766</v>
      </c>
      <c r="W12" s="20">
        <f>IF(V12&gt;0,(V12-V13-$Q12),"")</f>
        <v>-6876</v>
      </c>
      <c r="X12" s="21">
        <v>8875</v>
      </c>
      <c r="Y12" s="20">
        <f>IF(X12&gt;0,(X12-X13-$Q12),"")</f>
        <v>-4767</v>
      </c>
      <c r="Z12" s="21">
        <v>9497</v>
      </c>
      <c r="AA12" s="20">
        <f>IF(Z12&gt;0,(Z12-Z13-$Q12),"")</f>
        <v>-4148</v>
      </c>
      <c r="AB12" s="21">
        <v>9497</v>
      </c>
      <c r="AC12" s="22">
        <f>IF(AB12&gt;0,(AB12-AB13-$Q12),"")</f>
        <v>-4148</v>
      </c>
      <c r="AD12" s="21">
        <v>9497</v>
      </c>
      <c r="AE12" s="22">
        <f>IF(AD12&gt;0,(AD12-AD13-$Q12),"")</f>
        <v>-4148</v>
      </c>
    </row>
    <row r="13" spans="2:42" x14ac:dyDescent="0.3">
      <c r="B13" s="16" t="s">
        <v>36</v>
      </c>
      <c r="C13" s="17">
        <v>5231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420</v>
      </c>
      <c r="S13" s="24"/>
      <c r="T13" s="30">
        <v>910</v>
      </c>
      <c r="U13" s="24"/>
      <c r="V13" s="30">
        <v>1133</v>
      </c>
      <c r="W13" s="24"/>
      <c r="X13" s="30">
        <v>1133</v>
      </c>
      <c r="Y13" s="24"/>
      <c r="Z13" s="30">
        <v>1136</v>
      </c>
      <c r="AA13" s="24"/>
      <c r="AB13" s="30">
        <v>1136</v>
      </c>
      <c r="AC13" s="26"/>
      <c r="AD13" s="30">
        <v>1136</v>
      </c>
      <c r="AE13" s="26"/>
    </row>
    <row r="14" spans="2:42" x14ac:dyDescent="0.3">
      <c r="B14" s="16" t="s">
        <v>38</v>
      </c>
      <c r="C14" s="17">
        <v>10150</v>
      </c>
      <c r="E14" s="18" t="s">
        <v>39</v>
      </c>
      <c r="F14" s="119">
        <v>21873</v>
      </c>
      <c r="G14" s="117">
        <v>20750.65625</v>
      </c>
      <c r="H14" s="117">
        <v>23292.45349547001</v>
      </c>
      <c r="I14" s="19">
        <f>G14+H14</f>
        <v>44043.109745470007</v>
      </c>
      <c r="J14" s="119">
        <v>21977</v>
      </c>
      <c r="K14" s="117">
        <v>20879.65625</v>
      </c>
      <c r="L14" s="117">
        <v>23405.864455129999</v>
      </c>
      <c r="M14" s="19">
        <f>K14+L14</f>
        <v>44285.520705129995</v>
      </c>
      <c r="N14" s="88">
        <v>62</v>
      </c>
      <c r="O14" s="88">
        <v>54</v>
      </c>
      <c r="P14" s="92"/>
      <c r="Q14" s="20">
        <f>J14-P14</f>
        <v>21977</v>
      </c>
      <c r="R14" s="21">
        <v>5558</v>
      </c>
      <c r="S14" s="20">
        <f>IF(R14&gt;0,(R14-R15-$Q14),"")</f>
        <v>-21203</v>
      </c>
      <c r="T14" s="21">
        <v>9479</v>
      </c>
      <c r="U14" s="20">
        <f>IF(T14&gt;0,(T14-T15-$Q14),"")</f>
        <v>-20371</v>
      </c>
      <c r="V14" s="21">
        <v>10915</v>
      </c>
      <c r="W14" s="20">
        <f>IF(V14&gt;0,(V14-V15-$Q14),"")</f>
        <v>-19921</v>
      </c>
      <c r="X14" s="21">
        <v>13695</v>
      </c>
      <c r="Y14" s="20">
        <f>IF(X14&gt;0,(X14-X15-$Q14),"")</f>
        <v>-18247</v>
      </c>
      <c r="Z14" s="21">
        <v>13764</v>
      </c>
      <c r="AA14" s="20">
        <f>IF(Z14&gt;0,(Z14-Z15-$Q14),"")</f>
        <v>-18247</v>
      </c>
      <c r="AB14" s="21">
        <v>13764</v>
      </c>
      <c r="AC14" s="22">
        <f>IF(AB14&gt;0,(AB14-AB15-$Q14),"")</f>
        <v>-18247</v>
      </c>
      <c r="AD14" s="21">
        <v>13764</v>
      </c>
      <c r="AE14" s="22">
        <f>IF(AD14&gt;0,(AD14-AD15-$Q14),"")</f>
        <v>-18247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8</v>
      </c>
      <c r="P15" s="93" t="s">
        <v>41</v>
      </c>
      <c r="Q15" s="24"/>
      <c r="R15" s="25">
        <v>4784</v>
      </c>
      <c r="S15" s="24"/>
      <c r="T15" s="25">
        <v>7873</v>
      </c>
      <c r="U15" s="24"/>
      <c r="V15" s="25">
        <v>8859</v>
      </c>
      <c r="W15" s="24"/>
      <c r="X15" s="25">
        <v>9965</v>
      </c>
      <c r="Y15" s="24"/>
      <c r="Z15" s="25">
        <v>10034</v>
      </c>
      <c r="AA15" s="24"/>
      <c r="AB15" s="25">
        <v>10034</v>
      </c>
      <c r="AC15" s="26"/>
      <c r="AD15" s="25">
        <v>10034</v>
      </c>
      <c r="AE15" s="26"/>
    </row>
    <row r="16" spans="2:42" ht="15" customHeight="1" thickBot="1" x14ac:dyDescent="0.35">
      <c r="B16" s="28" t="s">
        <v>42</v>
      </c>
      <c r="C16" s="17">
        <v>12078</v>
      </c>
      <c r="E16" s="84"/>
      <c r="F16" s="31">
        <f t="shared" ref="F16:M16" si="0">SUM(F6:F15)</f>
        <v>77174</v>
      </c>
      <c r="G16" s="31">
        <f t="shared" si="0"/>
        <v>62190.728875000001</v>
      </c>
      <c r="H16" s="31">
        <f t="shared" si="0"/>
        <v>53925.429386930016</v>
      </c>
      <c r="I16" s="32">
        <f t="shared" si="0"/>
        <v>116116.15826193002</v>
      </c>
      <c r="J16" s="33">
        <f t="shared" si="0"/>
        <v>76329</v>
      </c>
      <c r="K16" s="33">
        <f t="shared" si="0"/>
        <v>61154.031499999997</v>
      </c>
      <c r="L16" s="33">
        <f t="shared" si="0"/>
        <v>53877.45767809001</v>
      </c>
      <c r="M16" s="33">
        <f t="shared" si="0"/>
        <v>115031.48917808999</v>
      </c>
      <c r="N16" s="31">
        <f>SUM(N14,N12,N10,N8,N6)</f>
        <v>238</v>
      </c>
      <c r="O16" s="31">
        <f>SUM(O14,O12,O10,O8,O6)</f>
        <v>204</v>
      </c>
      <c r="P16" s="34">
        <f>SUM(P6:P15)</f>
        <v>0</v>
      </c>
      <c r="Q16" s="34">
        <f>SUM(Q6:Q15)</f>
        <v>76329</v>
      </c>
      <c r="R16" s="35">
        <f>R6+R8+R10+R12+R14-R7-R9-R11-R13-R15</f>
        <v>6291</v>
      </c>
      <c r="S16" s="36">
        <f>IF(R16&gt;1,(R16-$Q16),"")</f>
        <v>-70038</v>
      </c>
      <c r="T16" s="35">
        <f>T6+T8+T10+T12+T14-T7-T9-T11-T13-T15</f>
        <v>13608</v>
      </c>
      <c r="U16" s="36">
        <f>IF(T16&gt;1,(T16-$Q16),"")</f>
        <v>-62721</v>
      </c>
      <c r="V16" s="35">
        <f>V6+V8+V10+V12+V14-V7-V9-V11-V13-V15</f>
        <v>27035</v>
      </c>
      <c r="W16" s="36">
        <f>IF(V16&gt;1,(V16-$Q16),"")</f>
        <v>-49294</v>
      </c>
      <c r="X16" s="35">
        <f>X6+X8+X10+X12+X14-X7-X9-X11-X13-X15</f>
        <v>37098</v>
      </c>
      <c r="Y16" s="36">
        <f>IF(X16&gt;1,(X16-$Q16),"")</f>
        <v>-39231</v>
      </c>
      <c r="Z16" s="35">
        <f>Z6+Z8+Z10+Z12+Z14-Z7-Z9-Z11-Z13-Z15</f>
        <v>39058</v>
      </c>
      <c r="AA16" s="36">
        <f>IF(Z16&gt;1,(Z16-$Q16),"")</f>
        <v>-37271</v>
      </c>
      <c r="AB16" s="35">
        <f>AB6+AB8+AB10+AB12+AB14-AB7-AB9-AB11-AB13-AB15</f>
        <v>39058</v>
      </c>
      <c r="AC16" s="37">
        <f>IF(AB16&gt;1,(AB16-$Q16),"")</f>
        <v>-37271</v>
      </c>
      <c r="AD16" s="35">
        <f>AD6+AD8+AD10+AD12+AD14-AD7-AD9-AD11-AD13-AD15</f>
        <v>39058</v>
      </c>
      <c r="AE16" s="37">
        <f>IF(AD16&gt;1,(AD16-$Q16),"")</f>
        <v>-37271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34</v>
      </c>
      <c r="P17" s="38" t="s">
        <v>44</v>
      </c>
      <c r="Q17" s="39"/>
      <c r="R17" s="40">
        <f>R15+R13+R11+R9+R7</f>
        <v>7985</v>
      </c>
      <c r="S17" s="41"/>
      <c r="T17" s="40">
        <f>T15+T13+T11+T9+T7</f>
        <v>9780</v>
      </c>
      <c r="U17" s="41"/>
      <c r="V17" s="40">
        <f>V15+V13+V11+V9+V7</f>
        <v>11726</v>
      </c>
      <c r="W17" s="41"/>
      <c r="X17" s="40">
        <f>X15+X13+X11+X9+X7</f>
        <v>12991</v>
      </c>
      <c r="Y17" s="41"/>
      <c r="Z17" s="40">
        <f>Z15+Z13+Z11+Z9+Z7</f>
        <v>13063</v>
      </c>
      <c r="AA17" s="41"/>
      <c r="AB17" s="40">
        <f>AB15+AB13+AB11+AB9+AB7</f>
        <v>13063</v>
      </c>
      <c r="AC17" s="42"/>
      <c r="AD17" s="40">
        <f>AD15+AD13+AD11+AD9+AD7</f>
        <v>13063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3145.5</v>
      </c>
      <c r="S18" s="46"/>
      <c r="T18" s="47">
        <f>IF(T16&gt;0,(T16-R16)/2,"")</f>
        <v>3658.5</v>
      </c>
      <c r="U18" s="46"/>
      <c r="V18" s="47">
        <f>IF(V16&gt;0,(V16-T16)/2,"")</f>
        <v>6713.5</v>
      </c>
      <c r="W18" s="46"/>
      <c r="X18" s="47">
        <f>IF(X16&gt;0,(X16-V16)/2,"")</f>
        <v>5031.5</v>
      </c>
      <c r="Y18" s="46"/>
      <c r="Z18" s="47">
        <f>IF(Z16&gt;0,(Z16-X16)/2,"")</f>
        <v>980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7119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835</v>
      </c>
      <c r="L20" s="4"/>
      <c r="M20" s="4"/>
      <c r="Q20" s="51" t="s">
        <v>49</v>
      </c>
      <c r="R20" s="35">
        <v>10244</v>
      </c>
      <c r="S20" s="36"/>
      <c r="T20" s="35">
        <v>21117</v>
      </c>
      <c r="U20" s="36"/>
      <c r="V20" s="35">
        <v>38806</v>
      </c>
      <c r="W20" s="36"/>
      <c r="X20" s="35">
        <v>47259</v>
      </c>
      <c r="Y20" s="36"/>
      <c r="Z20" s="35">
        <v>47259</v>
      </c>
      <c r="AA20" s="36"/>
      <c r="AB20" s="35">
        <v>51219</v>
      </c>
      <c r="AC20" s="37"/>
      <c r="AD20" s="35">
        <v>51219</v>
      </c>
      <c r="AE20" s="37">
        <v>-42739</v>
      </c>
    </row>
    <row r="21" spans="2:43" ht="15" customHeight="1" thickBot="1" x14ac:dyDescent="0.35">
      <c r="B21" s="57" t="s">
        <v>52</v>
      </c>
      <c r="C21" s="58">
        <v>3848</v>
      </c>
      <c r="L21" s="4"/>
      <c r="M21" s="4"/>
      <c r="Q21" s="52"/>
      <c r="R21" s="40">
        <v>4911</v>
      </c>
      <c r="S21" s="41"/>
      <c r="T21" s="40">
        <v>7988</v>
      </c>
      <c r="U21" s="41"/>
      <c r="V21" s="40">
        <v>9300</v>
      </c>
      <c r="W21" s="41"/>
      <c r="X21" s="40">
        <v>12042</v>
      </c>
      <c r="Y21" s="41"/>
      <c r="Z21" s="40">
        <v>12042</v>
      </c>
      <c r="AA21" s="41"/>
      <c r="AB21" s="40">
        <v>13367</v>
      </c>
      <c r="AC21" s="42"/>
      <c r="AD21" s="40">
        <v>13367</v>
      </c>
      <c r="AE21" s="42"/>
    </row>
    <row r="22" spans="2:43" ht="15" customHeight="1" thickBot="1" x14ac:dyDescent="0.35">
      <c r="L22" s="4"/>
      <c r="M22" s="4"/>
      <c r="Q22" s="54"/>
      <c r="R22" s="55">
        <v>5122</v>
      </c>
      <c r="S22" s="55"/>
      <c r="T22" s="55">
        <v>5436.5</v>
      </c>
      <c r="U22" s="55"/>
      <c r="V22" s="55">
        <v>8844.5</v>
      </c>
      <c r="W22" s="55"/>
      <c r="X22" s="55">
        <v>4226.5</v>
      </c>
      <c r="Y22" s="55"/>
      <c r="Z22" s="55">
        <v>0</v>
      </c>
      <c r="AA22" s="55"/>
      <c r="AB22" s="55">
        <v>1980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-3953</v>
      </c>
      <c r="S24" s="60"/>
      <c r="T24" s="60">
        <f>IF(T16&gt;0,T16-T20,"")</f>
        <v>-7509</v>
      </c>
      <c r="U24" s="60"/>
      <c r="V24" s="60">
        <f>IF(V16&gt;0,V16-V20,"")</f>
        <v>-11771</v>
      </c>
      <c r="W24" s="60"/>
      <c r="X24" s="60">
        <f>IF(X16&gt;0,X16-X20,"")</f>
        <v>-10161</v>
      </c>
      <c r="Y24" s="60"/>
      <c r="Z24" s="60">
        <f>IF(Z16&gt;0,Z16-Z20,"")</f>
        <v>-8201</v>
      </c>
      <c r="AA24" s="60"/>
      <c r="AB24" s="60">
        <f>IF(AB16&gt;0,AB16-AB20,"")</f>
        <v>-12161</v>
      </c>
      <c r="AC24" s="61"/>
      <c r="AD24" s="60">
        <f>IF(AD16&gt;0,AD16-AD20,"")</f>
        <v>-12161</v>
      </c>
      <c r="AE24" s="61"/>
    </row>
    <row r="25" spans="2:43" x14ac:dyDescent="0.3">
      <c r="L25" s="4"/>
      <c r="M25" s="4"/>
      <c r="Q25" s="62"/>
      <c r="R25" s="63">
        <f>IF(R17&gt;=0,R17-R21,"")</f>
        <v>3074</v>
      </c>
      <c r="S25" s="64"/>
      <c r="T25" s="63">
        <f>IF(T17&gt;=0,T17-T21,"")</f>
        <v>1792</v>
      </c>
      <c r="U25" s="64"/>
      <c r="V25" s="63">
        <f>IF(V17&gt;=0,V17-V21,"")</f>
        <v>2426</v>
      </c>
      <c r="W25" s="64"/>
      <c r="X25" s="63">
        <f>IF(X17&gt;=0,X17-X21,"")</f>
        <v>949</v>
      </c>
      <c r="Y25" s="64"/>
      <c r="Z25" s="63">
        <f>IF(Z17&gt;=0,Z17-Z21,"")</f>
        <v>1021</v>
      </c>
      <c r="AA25" s="64"/>
      <c r="AB25" s="63">
        <f>IF(AB17&gt;=0,AB17-AB21,"")</f>
        <v>-304</v>
      </c>
      <c r="AC25" s="65"/>
      <c r="AD25" s="63">
        <f>IF(AD17&gt;=0,AD17-AD21,"")</f>
        <v>-304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-1976.5</v>
      </c>
      <c r="S26" s="55"/>
      <c r="T26" s="67">
        <f>IFERROR(IF(T18&gt;0,T18-T22,""),"")</f>
        <v>-1778</v>
      </c>
      <c r="U26" s="55"/>
      <c r="V26" s="67">
        <f>IFERROR(IF(V18&gt;0,V18-V22,""),"")</f>
        <v>-2131</v>
      </c>
      <c r="W26" s="55"/>
      <c r="X26" s="67">
        <f>IFERROR(IF(X18&gt;0,X18-X22,""),"")</f>
        <v>805</v>
      </c>
      <c r="Y26" s="55"/>
      <c r="Z26" s="67">
        <f>IFERROR(IF(Z18&gt;0,Z18-Z22,""),"")</f>
        <v>980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9695</v>
      </c>
      <c r="D29" s="76">
        <f>C14</f>
        <v>10150</v>
      </c>
      <c r="E29" s="77">
        <f>D29-C29</f>
        <v>455</v>
      </c>
      <c r="M29" s="4"/>
      <c r="O29" s="4"/>
    </row>
    <row r="30" spans="2:43" x14ac:dyDescent="0.3">
      <c r="B30" s="74" t="s">
        <v>56</v>
      </c>
      <c r="C30" s="75">
        <v>29385</v>
      </c>
      <c r="D30" s="76">
        <f>C7+C15+C16+C17+C18</f>
        <v>12316</v>
      </c>
      <c r="E30" s="77">
        <f>D30-C30</f>
        <v>-17069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13911</v>
      </c>
      <c r="D32" s="76">
        <f>C10+C11+C12+C13</f>
        <v>13911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12175</v>
      </c>
      <c r="D33" s="76">
        <f>C19+C20+C21</f>
        <v>11802</v>
      </c>
      <c r="E33" s="77">
        <f>D33-C33</f>
        <v>-373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4611</v>
      </c>
      <c r="D34" s="80">
        <f>SUM(C8+C9)</f>
        <v>4611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2196</v>
      </c>
      <c r="R35" s="104">
        <v>100</v>
      </c>
      <c r="S35" s="104">
        <f t="shared" ref="S35:S64" si="1">IF(T35&gt;0,(T35-R35)/2,"")</f>
        <v>39</v>
      </c>
      <c r="T35" s="104">
        <v>178</v>
      </c>
      <c r="U35" s="104">
        <f t="shared" ref="U35:U64" si="2">IF(V35&gt;0,(V35-T35)/2,"")</f>
        <v>287.5</v>
      </c>
      <c r="V35" s="104">
        <v>753</v>
      </c>
      <c r="W35" s="104">
        <f t="shared" ref="W35:W64" si="3">IF(X35&gt;0,(X35-V35)/2,"")</f>
        <v>138.5</v>
      </c>
      <c r="X35" s="104">
        <v>1030</v>
      </c>
      <c r="Y35" s="104">
        <f t="shared" ref="Y35:Y64" si="4">IF(Z35&gt;0,(Z35-X35)/2,"")</f>
        <v>0</v>
      </c>
      <c r="Z35" s="104">
        <v>1030</v>
      </c>
      <c r="AA35" s="104">
        <f t="shared" ref="AA35:AA64" si="5">IF(AB35&gt;0,(AB35-Z35)/2,"")</f>
        <v>0</v>
      </c>
      <c r="AB35" s="104">
        <v>1030</v>
      </c>
      <c r="AC35" s="104">
        <f t="shared" ref="AC35:AC64" si="6">IF(AD35&gt;0,(AD35-AB35)/2,"")</f>
        <v>0</v>
      </c>
      <c r="AD35" s="104">
        <v>1030</v>
      </c>
      <c r="AE35" s="105">
        <f t="shared" ref="AE35:AE64" si="7">AD35-Q35</f>
        <v>-1166</v>
      </c>
    </row>
    <row r="36" spans="2:31" ht="15.6" customHeight="1" x14ac:dyDescent="0.3">
      <c r="N36" s="212"/>
      <c r="O36" s="95" t="s">
        <v>66</v>
      </c>
      <c r="P36" s="106"/>
      <c r="Q36" s="106">
        <v>1418</v>
      </c>
      <c r="R36" s="106">
        <v>536</v>
      </c>
      <c r="S36" s="106">
        <f t="shared" si="1"/>
        <v>0</v>
      </c>
      <c r="T36" s="106">
        <v>536</v>
      </c>
      <c r="U36" s="106">
        <f t="shared" si="2"/>
        <v>320</v>
      </c>
      <c r="V36" s="106">
        <v>1176</v>
      </c>
      <c r="W36" s="106">
        <f t="shared" si="3"/>
        <v>121</v>
      </c>
      <c r="X36" s="106">
        <v>1418</v>
      </c>
      <c r="Y36" s="106">
        <f t="shared" si="4"/>
        <v>0</v>
      </c>
      <c r="Z36" s="106">
        <v>1418</v>
      </c>
      <c r="AA36" s="106">
        <f t="shared" si="5"/>
        <v>0</v>
      </c>
      <c r="AB36" s="106">
        <v>1418</v>
      </c>
      <c r="AC36" s="106">
        <f t="shared" si="6"/>
        <v>0</v>
      </c>
      <c r="AD36" s="106">
        <v>1418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2644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203.5</v>
      </c>
      <c r="V37" s="108">
        <v>407</v>
      </c>
      <c r="W37" s="108">
        <f t="shared" si="3"/>
        <v>-66.5</v>
      </c>
      <c r="X37" s="108">
        <v>274</v>
      </c>
      <c r="Y37" s="108">
        <f t="shared" si="4"/>
        <v>0</v>
      </c>
      <c r="Z37" s="108">
        <v>274</v>
      </c>
      <c r="AA37" s="108">
        <f t="shared" si="5"/>
        <v>0</v>
      </c>
      <c r="AB37" s="108">
        <v>274</v>
      </c>
      <c r="AC37" s="108">
        <f t="shared" si="6"/>
        <v>0</v>
      </c>
      <c r="AD37" s="108">
        <v>274</v>
      </c>
      <c r="AE37" s="109">
        <f t="shared" si="7"/>
        <v>-2370</v>
      </c>
    </row>
    <row r="38" spans="2:31" ht="15.6" customHeight="1" x14ac:dyDescent="0.3">
      <c r="N38" s="212"/>
      <c r="O38" s="95" t="s">
        <v>68</v>
      </c>
      <c r="P38" s="106"/>
      <c r="Q38" s="106">
        <v>3750</v>
      </c>
      <c r="R38" s="106">
        <v>1095</v>
      </c>
      <c r="S38" s="106">
        <f t="shared" si="1"/>
        <v>85.5</v>
      </c>
      <c r="T38" s="106">
        <v>1266</v>
      </c>
      <c r="U38" s="106">
        <f t="shared" si="2"/>
        <v>397</v>
      </c>
      <c r="V38" s="106">
        <v>2060</v>
      </c>
      <c r="W38" s="106">
        <f t="shared" si="3"/>
        <v>415.5</v>
      </c>
      <c r="X38" s="106">
        <v>2891</v>
      </c>
      <c r="Y38" s="106">
        <f t="shared" si="4"/>
        <v>0</v>
      </c>
      <c r="Z38" s="106">
        <v>2891</v>
      </c>
      <c r="AA38" s="106">
        <f t="shared" si="5"/>
        <v>0</v>
      </c>
      <c r="AB38" s="106">
        <v>2891</v>
      </c>
      <c r="AC38" s="106">
        <f t="shared" si="6"/>
        <v>0</v>
      </c>
      <c r="AD38" s="106">
        <v>2891</v>
      </c>
      <c r="AE38" s="107">
        <f t="shared" si="7"/>
        <v>-859</v>
      </c>
    </row>
    <row r="39" spans="2:31" ht="15.6" customHeight="1" x14ac:dyDescent="0.3">
      <c r="N39" s="212"/>
      <c r="O39" s="94" t="s">
        <v>69</v>
      </c>
      <c r="P39" s="108"/>
      <c r="Q39" s="108">
        <v>2326</v>
      </c>
      <c r="R39" s="108">
        <v>517</v>
      </c>
      <c r="S39" s="108">
        <f t="shared" si="1"/>
        <v>201.5</v>
      </c>
      <c r="T39" s="108">
        <v>920</v>
      </c>
      <c r="U39" s="108">
        <f t="shared" si="2"/>
        <v>217.5</v>
      </c>
      <c r="V39" s="108">
        <v>1355</v>
      </c>
      <c r="W39" s="108">
        <f t="shared" si="3"/>
        <v>190.5</v>
      </c>
      <c r="X39" s="108">
        <v>1736</v>
      </c>
      <c r="Y39" s="108">
        <f t="shared" si="4"/>
        <v>0</v>
      </c>
      <c r="Z39" s="108">
        <v>1736</v>
      </c>
      <c r="AA39" s="108">
        <f t="shared" si="5"/>
        <v>0</v>
      </c>
      <c r="AB39" s="108">
        <v>1736</v>
      </c>
      <c r="AC39" s="108">
        <f t="shared" si="6"/>
        <v>0</v>
      </c>
      <c r="AD39" s="108">
        <v>1736</v>
      </c>
      <c r="AE39" s="109">
        <f t="shared" si="7"/>
        <v>-590</v>
      </c>
    </row>
    <row r="40" spans="2:31" ht="15.6" customHeight="1" x14ac:dyDescent="0.3">
      <c r="N40" s="212"/>
      <c r="O40" s="95" t="s">
        <v>70</v>
      </c>
      <c r="P40" s="106"/>
      <c r="Q40" s="106">
        <v>3498</v>
      </c>
      <c r="R40" s="106">
        <v>204</v>
      </c>
      <c r="S40" s="106">
        <f t="shared" si="1"/>
        <v>237</v>
      </c>
      <c r="T40" s="106">
        <v>678</v>
      </c>
      <c r="U40" s="106">
        <f t="shared" si="2"/>
        <v>57</v>
      </c>
      <c r="V40" s="106">
        <v>792</v>
      </c>
      <c r="W40" s="106">
        <f t="shared" si="3"/>
        <v>634</v>
      </c>
      <c r="X40" s="106">
        <v>2060</v>
      </c>
      <c r="Y40" s="106">
        <f t="shared" si="4"/>
        <v>0</v>
      </c>
      <c r="Z40" s="106">
        <v>2060</v>
      </c>
      <c r="AA40" s="106">
        <f t="shared" si="5"/>
        <v>0</v>
      </c>
      <c r="AB40" s="106">
        <v>2060</v>
      </c>
      <c r="AC40" s="106">
        <f t="shared" si="6"/>
        <v>0</v>
      </c>
      <c r="AD40" s="106">
        <v>2060</v>
      </c>
      <c r="AE40" s="107">
        <f t="shared" si="7"/>
        <v>-1438</v>
      </c>
    </row>
    <row r="41" spans="2:31" ht="15.6" customHeight="1" x14ac:dyDescent="0.3">
      <c r="N41" s="212"/>
      <c r="O41" s="94" t="s">
        <v>71</v>
      </c>
      <c r="P41" s="108"/>
      <c r="Q41" s="108">
        <v>1264</v>
      </c>
      <c r="R41" s="108">
        <v>520</v>
      </c>
      <c r="S41" s="108">
        <f t="shared" si="1"/>
        <v>0</v>
      </c>
      <c r="T41" s="108">
        <v>520</v>
      </c>
      <c r="U41" s="108">
        <f t="shared" si="2"/>
        <v>296.5</v>
      </c>
      <c r="V41" s="108">
        <v>1113</v>
      </c>
      <c r="W41" s="108">
        <f t="shared" si="3"/>
        <v>77</v>
      </c>
      <c r="X41" s="108">
        <v>1267</v>
      </c>
      <c r="Y41" s="108">
        <f t="shared" si="4"/>
        <v>0</v>
      </c>
      <c r="Z41" s="108">
        <v>1267</v>
      </c>
      <c r="AA41" s="108">
        <f t="shared" si="5"/>
        <v>0</v>
      </c>
      <c r="AB41" s="108">
        <v>1267</v>
      </c>
      <c r="AC41" s="108">
        <f t="shared" si="6"/>
        <v>0</v>
      </c>
      <c r="AD41" s="108">
        <v>1267</v>
      </c>
      <c r="AE41" s="109">
        <f t="shared" si="7"/>
        <v>3</v>
      </c>
    </row>
    <row r="42" spans="2:31" ht="15.6" customHeight="1" x14ac:dyDescent="0.3">
      <c r="N42" s="212"/>
      <c r="O42" s="95" t="s">
        <v>72</v>
      </c>
      <c r="P42" s="106"/>
      <c r="Q42" s="106">
        <v>1771</v>
      </c>
      <c r="R42" s="106">
        <v>378</v>
      </c>
      <c r="S42" s="106">
        <f t="shared" si="1"/>
        <v>0</v>
      </c>
      <c r="T42" s="106">
        <v>378</v>
      </c>
      <c r="U42" s="106">
        <f t="shared" si="2"/>
        <v>278</v>
      </c>
      <c r="V42" s="106">
        <v>934</v>
      </c>
      <c r="W42" s="106">
        <f t="shared" si="3"/>
        <v>418.5</v>
      </c>
      <c r="X42" s="106">
        <v>1771</v>
      </c>
      <c r="Y42" s="106">
        <f t="shared" si="4"/>
        <v>0</v>
      </c>
      <c r="Z42" s="106">
        <v>1771</v>
      </c>
      <c r="AA42" s="106">
        <f t="shared" si="5"/>
        <v>0</v>
      </c>
      <c r="AB42" s="106">
        <v>1771</v>
      </c>
      <c r="AC42" s="106">
        <f t="shared" si="6"/>
        <v>0</v>
      </c>
      <c r="AD42" s="106">
        <v>1771</v>
      </c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>
        <v>1606</v>
      </c>
      <c r="R43" s="110">
        <v>507</v>
      </c>
      <c r="S43" s="110">
        <f t="shared" si="1"/>
        <v>-1</v>
      </c>
      <c r="T43" s="110">
        <v>505</v>
      </c>
      <c r="U43" s="110">
        <f t="shared" si="2"/>
        <v>313.5</v>
      </c>
      <c r="V43" s="110">
        <v>1132</v>
      </c>
      <c r="W43" s="110">
        <f t="shared" si="3"/>
        <v>-204.5</v>
      </c>
      <c r="X43" s="110">
        <v>723</v>
      </c>
      <c r="Y43" s="110">
        <f t="shared" si="4"/>
        <v>0</v>
      </c>
      <c r="Z43" s="110">
        <v>723</v>
      </c>
      <c r="AA43" s="110">
        <f t="shared" si="5"/>
        <v>0</v>
      </c>
      <c r="AB43" s="110">
        <v>723</v>
      </c>
      <c r="AC43" s="110">
        <f t="shared" si="6"/>
        <v>0</v>
      </c>
      <c r="AD43" s="110">
        <v>723</v>
      </c>
      <c r="AE43" s="111">
        <f t="shared" si="7"/>
        <v>-883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0</v>
      </c>
      <c r="R44" s="112">
        <v>1000</v>
      </c>
      <c r="S44" s="112">
        <f t="shared" si="1"/>
        <v>238</v>
      </c>
      <c r="T44" s="112">
        <v>1476</v>
      </c>
      <c r="U44" s="112">
        <f t="shared" si="2"/>
        <v>786.5</v>
      </c>
      <c r="V44" s="112">
        <v>3049</v>
      </c>
      <c r="W44" s="112">
        <f t="shared" si="3"/>
        <v>415.5</v>
      </c>
      <c r="X44" s="112">
        <v>3880</v>
      </c>
      <c r="Y44" s="112">
        <f t="shared" si="4"/>
        <v>0</v>
      </c>
      <c r="Z44" s="112">
        <v>3880</v>
      </c>
      <c r="AA44" s="112">
        <f t="shared" si="5"/>
        <v>0</v>
      </c>
      <c r="AB44" s="112">
        <v>3880</v>
      </c>
      <c r="AC44" s="112">
        <f t="shared" si="6"/>
        <v>0</v>
      </c>
      <c r="AD44" s="112">
        <v>3880</v>
      </c>
      <c r="AE44" s="113">
        <f t="shared" si="7"/>
        <v>3880</v>
      </c>
    </row>
    <row r="45" spans="2:31" ht="15.6" customHeight="1" x14ac:dyDescent="0.3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416.5</v>
      </c>
      <c r="V45" s="108">
        <v>833</v>
      </c>
      <c r="W45" s="108">
        <f t="shared" si="3"/>
        <v>592</v>
      </c>
      <c r="X45" s="108">
        <v>2017</v>
      </c>
      <c r="Y45" s="108">
        <f t="shared" si="4"/>
        <v>532.5</v>
      </c>
      <c r="Z45" s="108">
        <v>3082</v>
      </c>
      <c r="AA45" s="108">
        <f t="shared" si="5"/>
        <v>0</v>
      </c>
      <c r="AB45" s="108">
        <v>3082</v>
      </c>
      <c r="AC45" s="108">
        <f t="shared" si="6"/>
        <v>0</v>
      </c>
      <c r="AD45" s="108">
        <v>3082</v>
      </c>
      <c r="AE45" s="109">
        <f t="shared" si="7"/>
        <v>3082</v>
      </c>
    </row>
    <row r="46" spans="2:31" ht="15.6" customHeight="1" x14ac:dyDescent="0.3">
      <c r="N46" s="212"/>
      <c r="O46" s="95" t="s">
        <v>67</v>
      </c>
      <c r="P46" s="106"/>
      <c r="Q46" s="106">
        <v>0</v>
      </c>
      <c r="R46" s="106">
        <v>29</v>
      </c>
      <c r="S46" s="106">
        <f t="shared" si="1"/>
        <v>0</v>
      </c>
      <c r="T46" s="106">
        <v>29</v>
      </c>
      <c r="U46" s="106">
        <f t="shared" si="2"/>
        <v>118.5</v>
      </c>
      <c r="V46" s="106">
        <v>266</v>
      </c>
      <c r="W46" s="106">
        <f t="shared" si="3"/>
        <v>0</v>
      </c>
      <c r="X46" s="106">
        <v>266</v>
      </c>
      <c r="Y46" s="106">
        <f t="shared" si="4"/>
        <v>138</v>
      </c>
      <c r="Z46" s="106">
        <v>542</v>
      </c>
      <c r="AA46" s="106">
        <f t="shared" si="5"/>
        <v>0</v>
      </c>
      <c r="AB46" s="106">
        <v>542</v>
      </c>
      <c r="AC46" s="106">
        <f t="shared" si="6"/>
        <v>0</v>
      </c>
      <c r="AD46" s="106">
        <v>542</v>
      </c>
      <c r="AE46" s="107">
        <f t="shared" si="7"/>
        <v>542</v>
      </c>
    </row>
    <row r="47" spans="2:31" ht="15.6" customHeight="1" thickBot="1" x14ac:dyDescent="0.35">
      <c r="N47" s="213"/>
      <c r="O47" s="97" t="s">
        <v>68</v>
      </c>
      <c r="P47" s="110"/>
      <c r="Q47" s="110">
        <v>0</v>
      </c>
      <c r="R47" s="110">
        <v>772</v>
      </c>
      <c r="S47" s="110">
        <f t="shared" si="1"/>
        <v>0</v>
      </c>
      <c r="T47" s="110">
        <v>772</v>
      </c>
      <c r="U47" s="110">
        <f t="shared" si="2"/>
        <v>582.5</v>
      </c>
      <c r="V47" s="110">
        <v>1937</v>
      </c>
      <c r="W47" s="110">
        <f t="shared" si="3"/>
        <v>407.5</v>
      </c>
      <c r="X47" s="110">
        <v>2752</v>
      </c>
      <c r="Y47" s="110">
        <f t="shared" si="4"/>
        <v>0</v>
      </c>
      <c r="Z47" s="110">
        <v>2752</v>
      </c>
      <c r="AA47" s="110">
        <f t="shared" si="5"/>
        <v>0</v>
      </c>
      <c r="AB47" s="110">
        <v>2752</v>
      </c>
      <c r="AC47" s="110">
        <f t="shared" si="6"/>
        <v>0</v>
      </c>
      <c r="AD47" s="110">
        <v>2752</v>
      </c>
      <c r="AE47" s="111">
        <f t="shared" si="7"/>
        <v>2752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344</v>
      </c>
      <c r="R48" s="112">
        <v>0</v>
      </c>
      <c r="S48" s="112">
        <f t="shared" si="1"/>
        <v>65</v>
      </c>
      <c r="T48" s="112">
        <v>130</v>
      </c>
      <c r="U48" s="112">
        <f t="shared" si="2"/>
        <v>105.5</v>
      </c>
      <c r="V48" s="112">
        <v>341</v>
      </c>
      <c r="W48" s="112">
        <f t="shared" si="3"/>
        <v>0</v>
      </c>
      <c r="X48" s="112">
        <v>341</v>
      </c>
      <c r="Y48" s="112">
        <f t="shared" si="4"/>
        <v>0</v>
      </c>
      <c r="Z48" s="112">
        <v>341</v>
      </c>
      <c r="AA48" s="112">
        <f t="shared" si="5"/>
        <v>0</v>
      </c>
      <c r="AB48" s="112">
        <v>341</v>
      </c>
      <c r="AC48" s="112">
        <f t="shared" si="6"/>
        <v>0</v>
      </c>
      <c r="AD48" s="112">
        <v>341</v>
      </c>
      <c r="AE48" s="113">
        <f t="shared" si="7"/>
        <v>-3</v>
      </c>
    </row>
    <row r="49" spans="14:31" ht="15.6" customHeight="1" x14ac:dyDescent="0.3">
      <c r="N49" s="212"/>
      <c r="O49" s="94" t="s">
        <v>66</v>
      </c>
      <c r="P49" s="108"/>
      <c r="Q49" s="108">
        <v>280</v>
      </c>
      <c r="R49" s="108">
        <v>1</v>
      </c>
      <c r="S49" s="108">
        <f t="shared" si="1"/>
        <v>66.5</v>
      </c>
      <c r="T49" s="108">
        <v>134</v>
      </c>
      <c r="U49" s="108">
        <f t="shared" si="2"/>
        <v>0</v>
      </c>
      <c r="V49" s="108">
        <v>134</v>
      </c>
      <c r="W49" s="108">
        <f t="shared" si="3"/>
        <v>0</v>
      </c>
      <c r="X49" s="108">
        <v>134</v>
      </c>
      <c r="Y49" s="108">
        <f t="shared" si="4"/>
        <v>0</v>
      </c>
      <c r="Z49" s="108">
        <v>134</v>
      </c>
      <c r="AA49" s="108">
        <f t="shared" si="5"/>
        <v>0</v>
      </c>
      <c r="AB49" s="108">
        <v>134</v>
      </c>
      <c r="AC49" s="108">
        <f t="shared" si="6"/>
        <v>0</v>
      </c>
      <c r="AD49" s="108">
        <v>134</v>
      </c>
      <c r="AE49" s="109">
        <f t="shared" si="7"/>
        <v>-146</v>
      </c>
    </row>
    <row r="50" spans="14:31" ht="15.6" customHeight="1" x14ac:dyDescent="0.3">
      <c r="N50" s="212"/>
      <c r="O50" s="95" t="s">
        <v>67</v>
      </c>
      <c r="P50" s="106"/>
      <c r="Q50" s="106">
        <v>1911</v>
      </c>
      <c r="R50" s="106">
        <v>434</v>
      </c>
      <c r="S50" s="106">
        <f t="shared" si="1"/>
        <v>219</v>
      </c>
      <c r="T50" s="106">
        <v>872</v>
      </c>
      <c r="U50" s="106">
        <f t="shared" si="2"/>
        <v>291.5</v>
      </c>
      <c r="V50" s="106">
        <v>1455</v>
      </c>
      <c r="W50" s="106">
        <f t="shared" si="3"/>
        <v>0</v>
      </c>
      <c r="X50" s="106">
        <v>1455</v>
      </c>
      <c r="Y50" s="106">
        <f t="shared" si="4"/>
        <v>0</v>
      </c>
      <c r="Z50" s="106">
        <v>1455</v>
      </c>
      <c r="AA50" s="106">
        <f t="shared" si="5"/>
        <v>0</v>
      </c>
      <c r="AB50" s="106">
        <v>1455</v>
      </c>
      <c r="AC50" s="106">
        <f t="shared" si="6"/>
        <v>0</v>
      </c>
      <c r="AD50" s="106">
        <v>1455</v>
      </c>
      <c r="AE50" s="107">
        <f t="shared" si="7"/>
        <v>-456</v>
      </c>
    </row>
    <row r="51" spans="14:31" ht="15.6" customHeight="1" x14ac:dyDescent="0.3">
      <c r="N51" s="212"/>
      <c r="O51" s="94" t="s">
        <v>68</v>
      </c>
      <c r="P51" s="108"/>
      <c r="Q51" s="108">
        <v>711</v>
      </c>
      <c r="R51" s="108">
        <v>0</v>
      </c>
      <c r="S51" s="108">
        <f t="shared" si="1"/>
        <v>111</v>
      </c>
      <c r="T51" s="108">
        <v>222</v>
      </c>
      <c r="U51" s="108">
        <f t="shared" si="2"/>
        <v>244.5</v>
      </c>
      <c r="V51" s="108">
        <v>711</v>
      </c>
      <c r="W51" s="108">
        <f t="shared" si="3"/>
        <v>0</v>
      </c>
      <c r="X51" s="108">
        <v>711</v>
      </c>
      <c r="Y51" s="108">
        <f t="shared" si="4"/>
        <v>0</v>
      </c>
      <c r="Z51" s="108">
        <v>711</v>
      </c>
      <c r="AA51" s="108">
        <f t="shared" si="5"/>
        <v>0</v>
      </c>
      <c r="AB51" s="108">
        <v>711</v>
      </c>
      <c r="AC51" s="108">
        <f t="shared" si="6"/>
        <v>0</v>
      </c>
      <c r="AD51" s="108">
        <v>711</v>
      </c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>
        <v>2762</v>
      </c>
      <c r="R52" s="106">
        <v>195</v>
      </c>
      <c r="S52" s="106">
        <f t="shared" si="1"/>
        <v>182</v>
      </c>
      <c r="T52" s="106">
        <v>559</v>
      </c>
      <c r="U52" s="106">
        <f t="shared" si="2"/>
        <v>84.5</v>
      </c>
      <c r="V52" s="106">
        <v>728</v>
      </c>
      <c r="W52" s="106">
        <f t="shared" si="3"/>
        <v>80.5</v>
      </c>
      <c r="X52" s="106">
        <v>889</v>
      </c>
      <c r="Y52" s="106">
        <f t="shared" si="4"/>
        <v>0</v>
      </c>
      <c r="Z52" s="106">
        <v>889</v>
      </c>
      <c r="AA52" s="106">
        <f t="shared" si="5"/>
        <v>0</v>
      </c>
      <c r="AB52" s="106">
        <v>889</v>
      </c>
      <c r="AC52" s="106">
        <f t="shared" si="6"/>
        <v>0</v>
      </c>
      <c r="AD52" s="106">
        <v>889</v>
      </c>
      <c r="AE52" s="107">
        <f t="shared" si="7"/>
        <v>-1873</v>
      </c>
    </row>
    <row r="53" spans="14:31" ht="15.6" customHeight="1" x14ac:dyDescent="0.3">
      <c r="N53" s="212"/>
      <c r="O53" s="94" t="s">
        <v>70</v>
      </c>
      <c r="P53" s="108"/>
      <c r="Q53" s="108">
        <v>1538</v>
      </c>
      <c r="R53" s="108">
        <v>6</v>
      </c>
      <c r="S53" s="108">
        <f t="shared" si="1"/>
        <v>0</v>
      </c>
      <c r="T53" s="108">
        <v>6</v>
      </c>
      <c r="U53" s="108">
        <f t="shared" si="2"/>
        <v>315.5</v>
      </c>
      <c r="V53" s="108">
        <v>637</v>
      </c>
      <c r="W53" s="108">
        <f t="shared" si="3"/>
        <v>0</v>
      </c>
      <c r="X53" s="108">
        <v>637</v>
      </c>
      <c r="Y53" s="108">
        <f t="shared" si="4"/>
        <v>0</v>
      </c>
      <c r="Z53" s="108">
        <v>637</v>
      </c>
      <c r="AA53" s="108">
        <f t="shared" si="5"/>
        <v>0</v>
      </c>
      <c r="AB53" s="108">
        <v>637</v>
      </c>
      <c r="AC53" s="108">
        <f t="shared" si="6"/>
        <v>0</v>
      </c>
      <c r="AD53" s="108">
        <v>637</v>
      </c>
      <c r="AE53" s="109">
        <f t="shared" si="7"/>
        <v>-901</v>
      </c>
    </row>
    <row r="54" spans="14:31" ht="15.6" customHeight="1" x14ac:dyDescent="0.3">
      <c r="N54" s="212"/>
      <c r="O54" s="95" t="s">
        <v>71</v>
      </c>
      <c r="P54" s="106"/>
      <c r="Q54" s="106">
        <v>1058</v>
      </c>
      <c r="R54" s="106">
        <v>692</v>
      </c>
      <c r="S54" s="106">
        <f t="shared" si="1"/>
        <v>12</v>
      </c>
      <c r="T54" s="106">
        <v>716</v>
      </c>
      <c r="U54" s="106">
        <f t="shared" si="2"/>
        <v>62</v>
      </c>
      <c r="V54" s="106">
        <v>840</v>
      </c>
      <c r="W54" s="106">
        <f t="shared" si="3"/>
        <v>0</v>
      </c>
      <c r="X54" s="106">
        <v>840</v>
      </c>
      <c r="Y54" s="106">
        <f t="shared" si="4"/>
        <v>0</v>
      </c>
      <c r="Z54" s="106">
        <v>840</v>
      </c>
      <c r="AA54" s="106">
        <f t="shared" si="5"/>
        <v>0</v>
      </c>
      <c r="AB54" s="106">
        <v>840</v>
      </c>
      <c r="AC54" s="106">
        <f t="shared" si="6"/>
        <v>0</v>
      </c>
      <c r="AD54" s="106">
        <v>840</v>
      </c>
      <c r="AE54" s="107">
        <f t="shared" si="7"/>
        <v>-218</v>
      </c>
    </row>
    <row r="55" spans="14:31" ht="15.6" customHeight="1" x14ac:dyDescent="0.3">
      <c r="N55" s="212"/>
      <c r="O55" s="94" t="s">
        <v>72</v>
      </c>
      <c r="P55" s="108"/>
      <c r="Q55" s="108">
        <v>346</v>
      </c>
      <c r="R55" s="108">
        <v>25</v>
      </c>
      <c r="S55" s="108">
        <f t="shared" si="1"/>
        <v>91</v>
      </c>
      <c r="T55" s="108">
        <v>207</v>
      </c>
      <c r="U55" s="108">
        <f t="shared" si="2"/>
        <v>0</v>
      </c>
      <c r="V55" s="108">
        <v>207</v>
      </c>
      <c r="W55" s="108">
        <f t="shared" si="3"/>
        <v>0</v>
      </c>
      <c r="X55" s="108">
        <v>207</v>
      </c>
      <c r="Y55" s="108">
        <f t="shared" si="4"/>
        <v>0</v>
      </c>
      <c r="Z55" s="108">
        <v>207</v>
      </c>
      <c r="AA55" s="108">
        <f t="shared" si="5"/>
        <v>0</v>
      </c>
      <c r="AB55" s="108">
        <v>207</v>
      </c>
      <c r="AC55" s="108">
        <f t="shared" si="6"/>
        <v>0</v>
      </c>
      <c r="AD55" s="108">
        <v>207</v>
      </c>
      <c r="AE55" s="109">
        <f t="shared" si="7"/>
        <v>-139</v>
      </c>
    </row>
    <row r="56" spans="14:31" ht="15.6" customHeight="1" thickBot="1" x14ac:dyDescent="0.35">
      <c r="N56" s="213"/>
      <c r="O56" s="99" t="s">
        <v>73</v>
      </c>
      <c r="P56" s="114"/>
      <c r="Q56" s="114">
        <v>220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110</v>
      </c>
      <c r="V56" s="114">
        <v>220</v>
      </c>
      <c r="W56" s="114">
        <f t="shared" si="3"/>
        <v>0</v>
      </c>
      <c r="X56" s="114">
        <v>220</v>
      </c>
      <c r="Y56" s="114">
        <f t="shared" si="4"/>
        <v>0</v>
      </c>
      <c r="Z56" s="114">
        <v>220</v>
      </c>
      <c r="AA56" s="114">
        <f t="shared" si="5"/>
        <v>0</v>
      </c>
      <c r="AB56" s="114">
        <v>220</v>
      </c>
      <c r="AC56" s="114">
        <f t="shared" si="6"/>
        <v>0</v>
      </c>
      <c r="AD56" s="114">
        <v>220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4572</v>
      </c>
      <c r="R57" s="104">
        <v>340</v>
      </c>
      <c r="S57" s="104">
        <f t="shared" si="1"/>
        <v>328.5</v>
      </c>
      <c r="T57" s="104">
        <v>997</v>
      </c>
      <c r="U57" s="104">
        <f t="shared" si="2"/>
        <v>660</v>
      </c>
      <c r="V57" s="104">
        <v>2317</v>
      </c>
      <c r="W57" s="104">
        <f t="shared" si="3"/>
        <v>728</v>
      </c>
      <c r="X57" s="104">
        <v>3773</v>
      </c>
      <c r="Y57" s="104">
        <f t="shared" si="4"/>
        <v>-2.5</v>
      </c>
      <c r="Z57" s="104">
        <v>3768</v>
      </c>
      <c r="AA57" s="104">
        <f t="shared" si="5"/>
        <v>0</v>
      </c>
      <c r="AB57" s="104">
        <v>3768</v>
      </c>
      <c r="AC57" s="104">
        <f t="shared" si="6"/>
        <v>0</v>
      </c>
      <c r="AD57" s="104">
        <v>3768</v>
      </c>
      <c r="AE57" s="105">
        <f t="shared" si="7"/>
        <v>-804</v>
      </c>
    </row>
    <row r="58" spans="14:31" ht="15.6" customHeight="1" x14ac:dyDescent="0.3">
      <c r="N58" s="212"/>
      <c r="O58" s="95" t="s">
        <v>66</v>
      </c>
      <c r="P58" s="106"/>
      <c r="Q58" s="106">
        <v>4829</v>
      </c>
      <c r="R58" s="106">
        <v>947</v>
      </c>
      <c r="S58" s="106">
        <f t="shared" si="1"/>
        <v>563.5</v>
      </c>
      <c r="T58" s="106">
        <v>2074</v>
      </c>
      <c r="U58" s="106">
        <f t="shared" si="2"/>
        <v>580</v>
      </c>
      <c r="V58" s="106">
        <v>3234</v>
      </c>
      <c r="W58" s="106">
        <f t="shared" si="3"/>
        <v>69</v>
      </c>
      <c r="X58" s="106">
        <v>3372</v>
      </c>
      <c r="Y58" s="106">
        <f t="shared" si="4"/>
        <v>319</v>
      </c>
      <c r="Z58" s="106">
        <v>4010</v>
      </c>
      <c r="AA58" s="106">
        <f t="shared" si="5"/>
        <v>0</v>
      </c>
      <c r="AB58" s="106">
        <v>4010</v>
      </c>
      <c r="AC58" s="106">
        <f t="shared" si="6"/>
        <v>0</v>
      </c>
      <c r="AD58" s="106">
        <v>4010</v>
      </c>
      <c r="AE58" s="107">
        <f t="shared" si="7"/>
        <v>-819</v>
      </c>
    </row>
    <row r="59" spans="14:31" ht="15.6" customHeight="1" x14ac:dyDescent="0.3">
      <c r="N59" s="212"/>
      <c r="O59" s="94" t="s">
        <v>67</v>
      </c>
      <c r="P59" s="108"/>
      <c r="Q59" s="108">
        <v>3108</v>
      </c>
      <c r="R59" s="108">
        <v>420</v>
      </c>
      <c r="S59" s="108">
        <f t="shared" si="1"/>
        <v>157</v>
      </c>
      <c r="T59" s="108">
        <v>734</v>
      </c>
      <c r="U59" s="108">
        <f t="shared" si="2"/>
        <v>240.5</v>
      </c>
      <c r="V59" s="108">
        <v>1215</v>
      </c>
      <c r="W59" s="108">
        <f t="shared" si="3"/>
        <v>257.5</v>
      </c>
      <c r="X59" s="108">
        <v>1730</v>
      </c>
      <c r="Y59" s="108">
        <f t="shared" si="4"/>
        <v>-5.5</v>
      </c>
      <c r="Z59" s="108">
        <v>1719</v>
      </c>
      <c r="AA59" s="108">
        <f t="shared" si="5"/>
        <v>0</v>
      </c>
      <c r="AB59" s="108">
        <v>1719</v>
      </c>
      <c r="AC59" s="108">
        <f t="shared" si="6"/>
        <v>0</v>
      </c>
      <c r="AD59" s="108">
        <v>1719</v>
      </c>
      <c r="AE59" s="109">
        <f t="shared" si="7"/>
        <v>-1389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6440</v>
      </c>
      <c r="R61" s="104">
        <v>1310</v>
      </c>
      <c r="S61" s="104">
        <f t="shared" si="1"/>
        <v>498.5</v>
      </c>
      <c r="T61" s="104">
        <v>2307</v>
      </c>
      <c r="U61" s="104">
        <f t="shared" si="2"/>
        <v>218.5</v>
      </c>
      <c r="V61" s="104">
        <v>2744</v>
      </c>
      <c r="W61" s="104">
        <f t="shared" si="3"/>
        <v>411</v>
      </c>
      <c r="X61" s="104">
        <v>3566</v>
      </c>
      <c r="Y61" s="104">
        <f t="shared" si="4"/>
        <v>34.5</v>
      </c>
      <c r="Z61" s="104">
        <v>3635</v>
      </c>
      <c r="AA61" s="104">
        <f t="shared" si="5"/>
        <v>0</v>
      </c>
      <c r="AB61" s="104">
        <v>3635</v>
      </c>
      <c r="AC61" s="104">
        <f t="shared" si="6"/>
        <v>0</v>
      </c>
      <c r="AD61" s="104">
        <v>3635</v>
      </c>
      <c r="AE61" s="105">
        <f t="shared" si="7"/>
        <v>-2805</v>
      </c>
    </row>
    <row r="62" spans="14:31" ht="15.6" customHeight="1" x14ac:dyDescent="0.3">
      <c r="N62" s="212"/>
      <c r="O62" s="95" t="s">
        <v>66</v>
      </c>
      <c r="P62" s="106"/>
      <c r="Q62" s="106">
        <v>7684</v>
      </c>
      <c r="R62" s="106">
        <v>2980</v>
      </c>
      <c r="S62" s="106">
        <f t="shared" si="1"/>
        <v>663</v>
      </c>
      <c r="T62" s="106">
        <v>4306</v>
      </c>
      <c r="U62" s="106">
        <f t="shared" si="2"/>
        <v>80</v>
      </c>
      <c r="V62" s="106">
        <v>4466</v>
      </c>
      <c r="W62" s="106">
        <f t="shared" si="3"/>
        <v>225</v>
      </c>
      <c r="X62" s="106">
        <v>4916</v>
      </c>
      <c r="Y62" s="106">
        <f t="shared" si="4"/>
        <v>0</v>
      </c>
      <c r="Z62" s="106">
        <v>4916</v>
      </c>
      <c r="AA62" s="106">
        <f t="shared" si="5"/>
        <v>0</v>
      </c>
      <c r="AB62" s="106">
        <v>4916</v>
      </c>
      <c r="AC62" s="106">
        <f t="shared" si="6"/>
        <v>0</v>
      </c>
      <c r="AD62" s="106">
        <v>4916</v>
      </c>
      <c r="AE62" s="107">
        <f t="shared" si="7"/>
        <v>-2768</v>
      </c>
    </row>
    <row r="63" spans="14:31" ht="15.6" customHeight="1" x14ac:dyDescent="0.3">
      <c r="N63" s="212"/>
      <c r="O63" s="94" t="s">
        <v>67</v>
      </c>
      <c r="P63" s="108"/>
      <c r="Q63" s="108">
        <v>5485</v>
      </c>
      <c r="R63" s="108">
        <v>517</v>
      </c>
      <c r="S63" s="108">
        <f t="shared" si="1"/>
        <v>767.5</v>
      </c>
      <c r="T63" s="108">
        <v>2052</v>
      </c>
      <c r="U63" s="108">
        <f t="shared" si="2"/>
        <v>226</v>
      </c>
      <c r="V63" s="108">
        <v>2504</v>
      </c>
      <c r="W63" s="108">
        <f t="shared" si="3"/>
        <v>640</v>
      </c>
      <c r="X63" s="108">
        <v>3784</v>
      </c>
      <c r="Y63" s="108">
        <f t="shared" si="4"/>
        <v>0</v>
      </c>
      <c r="Z63" s="108">
        <v>3784</v>
      </c>
      <c r="AA63" s="108">
        <f t="shared" si="5"/>
        <v>0</v>
      </c>
      <c r="AB63" s="108">
        <v>3784</v>
      </c>
      <c r="AC63" s="108">
        <f t="shared" si="6"/>
        <v>0</v>
      </c>
      <c r="AD63" s="108">
        <v>3784</v>
      </c>
      <c r="AE63" s="109">
        <f t="shared" si="7"/>
        <v>-1701</v>
      </c>
    </row>
    <row r="64" spans="14:31" ht="15.6" customHeight="1" thickBot="1" x14ac:dyDescent="0.35">
      <c r="N64" s="213"/>
      <c r="O64" s="99" t="s">
        <v>68</v>
      </c>
      <c r="P64" s="114"/>
      <c r="Q64" s="114">
        <v>1958</v>
      </c>
      <c r="R64" s="114">
        <v>595</v>
      </c>
      <c r="S64" s="114">
        <f t="shared" si="1"/>
        <v>10</v>
      </c>
      <c r="T64" s="114">
        <v>615</v>
      </c>
      <c r="U64" s="114">
        <f t="shared" si="2"/>
        <v>193.5</v>
      </c>
      <c r="V64" s="114">
        <v>1002</v>
      </c>
      <c r="W64" s="114">
        <f t="shared" si="3"/>
        <v>114</v>
      </c>
      <c r="X64" s="114">
        <v>1230</v>
      </c>
      <c r="Y64" s="114">
        <f t="shared" si="4"/>
        <v>0</v>
      </c>
      <c r="Z64" s="114">
        <v>1230</v>
      </c>
      <c r="AA64" s="114">
        <f t="shared" si="5"/>
        <v>0</v>
      </c>
      <c r="AB64" s="114">
        <v>1230</v>
      </c>
      <c r="AC64" s="114">
        <f t="shared" si="6"/>
        <v>0</v>
      </c>
      <c r="AD64" s="114">
        <v>1230</v>
      </c>
      <c r="AE64" s="115">
        <f t="shared" si="7"/>
        <v>-728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83" priority="11" operator="lessThan">
      <formula>0</formula>
    </cfRule>
    <cfRule type="cellIs" dxfId="1582" priority="12" operator="greaterThan">
      <formula>0</formula>
    </cfRule>
  </conditionalFormatting>
  <conditionalFormatting sqref="R25:AC25">
    <cfRule type="cellIs" dxfId="1581" priority="9" operator="lessThan">
      <formula>0</formula>
    </cfRule>
    <cfRule type="cellIs" dxfId="1580" priority="10" operator="greaterThan">
      <formula>0</formula>
    </cfRule>
  </conditionalFormatting>
  <conditionalFormatting sqref="R26 T26 V26 X26 Z26 AB26">
    <cfRule type="cellIs" dxfId="1579" priority="7" operator="lessThan">
      <formula>0</formula>
    </cfRule>
    <cfRule type="cellIs" dxfId="1578" priority="8" operator="greaterThan">
      <formula>0</formula>
    </cfRule>
  </conditionalFormatting>
  <conditionalFormatting sqref="AD24:AE24">
    <cfRule type="cellIs" dxfId="1577" priority="5" operator="lessThan">
      <formula>0</formula>
    </cfRule>
    <cfRule type="cellIs" dxfId="1576" priority="6" operator="greaterThan">
      <formula>0</formula>
    </cfRule>
  </conditionalFormatting>
  <conditionalFormatting sqref="AD25:AE25">
    <cfRule type="cellIs" dxfId="1575" priority="3" operator="lessThan">
      <formula>0</formula>
    </cfRule>
    <cfRule type="cellIs" dxfId="1574" priority="4" operator="greaterThan">
      <formula>0</formula>
    </cfRule>
  </conditionalFormatting>
  <conditionalFormatting sqref="AD26">
    <cfRule type="cellIs" dxfId="1573" priority="1" operator="lessThan">
      <formula>0</formula>
    </cfRule>
    <cfRule type="cellIs" dxfId="15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44387</v>
      </c>
    </row>
    <row r="3" spans="2:42" ht="18.75" customHeight="1" thickBot="1" x14ac:dyDescent="0.35">
      <c r="B3" t="s">
        <v>1</v>
      </c>
      <c r="C3" s="3">
        <f>C2+1</f>
        <v>44388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17820</v>
      </c>
      <c r="G6" s="117">
        <v>14391.548624999999</v>
      </c>
      <c r="H6" s="117">
        <v>10822.98922640001</v>
      </c>
      <c r="I6" s="19">
        <f>G6+H6</f>
        <v>25214.537851400011</v>
      </c>
      <c r="J6" s="119">
        <v>18802</v>
      </c>
      <c r="K6" s="117">
        <v>15257.699124999999</v>
      </c>
      <c r="L6" s="117">
        <v>11196.673081880021</v>
      </c>
      <c r="M6" s="19">
        <f>K6+L6</f>
        <v>26454.37220688002</v>
      </c>
      <c r="N6" s="85">
        <v>79</v>
      </c>
      <c r="O6" s="85">
        <v>62</v>
      </c>
      <c r="P6" s="92"/>
      <c r="Q6" s="20">
        <f>J6-P6</f>
        <v>18802</v>
      </c>
      <c r="R6" s="21">
        <v>4570</v>
      </c>
      <c r="S6" s="20">
        <f>IF(R6&gt;0,(R6-R7-$Q6),"")</f>
        <v>-14301</v>
      </c>
      <c r="T6" s="21">
        <v>7736</v>
      </c>
      <c r="U6" s="20">
        <f>IF(T6&gt;0,(T6-T7-$Q6),"")</f>
        <v>-11138</v>
      </c>
      <c r="V6" s="21">
        <v>9929</v>
      </c>
      <c r="W6" s="20">
        <f>IF(V6&gt;0,(V6-V7-$Q6),"")</f>
        <v>-8948</v>
      </c>
      <c r="X6" s="21">
        <v>12680</v>
      </c>
      <c r="Y6" s="20">
        <f>IF(X6&gt;0,(X6-X7-$Q6),"")</f>
        <v>-6179</v>
      </c>
      <c r="Z6" s="21">
        <v>12680</v>
      </c>
      <c r="AA6" s="20">
        <f>IF(Z6&gt;0,(Z6-Z7-$Q6),"")</f>
        <v>-6179</v>
      </c>
      <c r="AB6" s="21">
        <v>12680</v>
      </c>
      <c r="AC6" s="22">
        <f>IF(AB6&gt;0,(AB6-AB7-$Q6),"")</f>
        <v>-6179</v>
      </c>
      <c r="AD6" s="21">
        <v>12680</v>
      </c>
      <c r="AE6" s="22">
        <f>IF(AD6&gt;0,(AD6-AD7-$Q6),"")</f>
        <v>-6179</v>
      </c>
    </row>
    <row r="7" spans="2:42" x14ac:dyDescent="0.3">
      <c r="B7" s="16" t="s">
        <v>23</v>
      </c>
      <c r="C7" s="17">
        <v>2121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69</v>
      </c>
      <c r="S7" s="24"/>
      <c r="T7" s="25">
        <v>72</v>
      </c>
      <c r="U7" s="24"/>
      <c r="V7" s="25">
        <v>75</v>
      </c>
      <c r="W7" s="24"/>
      <c r="X7" s="25">
        <v>57</v>
      </c>
      <c r="Y7" s="24"/>
      <c r="Z7" s="25">
        <v>57</v>
      </c>
      <c r="AA7" s="24"/>
      <c r="AB7" s="25">
        <v>57</v>
      </c>
      <c r="AC7" s="26"/>
      <c r="AD7" s="25">
        <v>57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3260</v>
      </c>
      <c r="E8" s="29" t="s">
        <v>27</v>
      </c>
      <c r="F8" s="119">
        <v>15040</v>
      </c>
      <c r="G8" s="117">
        <v>6407.32</v>
      </c>
      <c r="H8" s="117">
        <v>1415.1180715</v>
      </c>
      <c r="I8" s="19">
        <f>G8+H8</f>
        <v>7822.4380714999998</v>
      </c>
      <c r="J8" s="119">
        <v>14637</v>
      </c>
      <c r="K8" s="117">
        <v>6225.3014999999996</v>
      </c>
      <c r="L8" s="117">
        <v>1386.3068306</v>
      </c>
      <c r="M8" s="19">
        <f>K8+L8</f>
        <v>7611.6083306</v>
      </c>
      <c r="N8" s="87">
        <v>34</v>
      </c>
      <c r="O8" s="87">
        <v>31</v>
      </c>
      <c r="P8" s="92"/>
      <c r="Q8" s="20">
        <f>J8-P8</f>
        <v>14637</v>
      </c>
      <c r="R8" s="21">
        <v>1911</v>
      </c>
      <c r="S8" s="20">
        <f>IF(R8&gt;0,(R8-R9-$Q8),"")</f>
        <v>-12827</v>
      </c>
      <c r="T8" s="21">
        <v>2831</v>
      </c>
      <c r="U8" s="20">
        <f>IF(T8&gt;0,(T8-T9-$Q8),"")</f>
        <v>-12052</v>
      </c>
      <c r="V8" s="21">
        <v>10361</v>
      </c>
      <c r="W8" s="20">
        <f>IF(V8&gt;0,(V8-V9-$Q8),"")</f>
        <v>-5543</v>
      </c>
      <c r="X8" s="21">
        <v>14439</v>
      </c>
      <c r="Y8" s="20">
        <f>IF(X8&gt;0,(X8-X9-$Q8),"")</f>
        <v>-1465</v>
      </c>
      <c r="Z8" s="21">
        <v>15455</v>
      </c>
      <c r="AA8" s="20">
        <f>IF(Z8&gt;0,(Z8-Z9-$Q8),"")</f>
        <v>-449</v>
      </c>
      <c r="AB8" s="21">
        <v>15455</v>
      </c>
      <c r="AC8" s="22">
        <f>IF(AB8&gt;0,(AB8-AB9-$Q8),"")</f>
        <v>-449</v>
      </c>
      <c r="AD8" s="21">
        <v>15455</v>
      </c>
      <c r="AE8" s="22">
        <f>IF(AD8&gt;0,(AD8-AD9-$Q8),"")</f>
        <v>-449</v>
      </c>
    </row>
    <row r="9" spans="2:42" x14ac:dyDescent="0.3">
      <c r="B9" s="28" t="s">
        <v>28</v>
      </c>
      <c r="C9" s="17">
        <v>1633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101</v>
      </c>
      <c r="S9" s="24"/>
      <c r="T9" s="30">
        <v>246</v>
      </c>
      <c r="U9" s="24"/>
      <c r="V9" s="30">
        <v>1267</v>
      </c>
      <c r="W9" s="24"/>
      <c r="X9" s="30">
        <v>1267</v>
      </c>
      <c r="Y9" s="24"/>
      <c r="Z9" s="30">
        <v>1267</v>
      </c>
      <c r="AA9" s="24"/>
      <c r="AB9" s="30">
        <v>1267</v>
      </c>
      <c r="AC9" s="26"/>
      <c r="AD9" s="30">
        <v>1267</v>
      </c>
      <c r="AE9" s="26"/>
    </row>
    <row r="10" spans="2:42" x14ac:dyDescent="0.3">
      <c r="B10" s="16" t="s">
        <v>30</v>
      </c>
      <c r="C10" s="17">
        <v>5803</v>
      </c>
      <c r="E10" s="18" t="s">
        <v>31</v>
      </c>
      <c r="F10" s="119">
        <v>17303</v>
      </c>
      <c r="G10" s="117">
        <v>13865.4285</v>
      </c>
      <c r="H10" s="117">
        <v>1758.0414925</v>
      </c>
      <c r="I10" s="19">
        <f>G10+H10</f>
        <v>15623.4699925</v>
      </c>
      <c r="J10" s="119">
        <v>17087</v>
      </c>
      <c r="K10" s="117">
        <v>13466.64</v>
      </c>
      <c r="L10" s="117">
        <v>1621.1243675000001</v>
      </c>
      <c r="M10" s="19">
        <f>K10+L10</f>
        <v>15087.7643675</v>
      </c>
      <c r="N10" s="88">
        <v>53</v>
      </c>
      <c r="O10" s="88">
        <v>47</v>
      </c>
      <c r="P10" s="92"/>
      <c r="Q10" s="20">
        <f>J10-P10</f>
        <v>17087</v>
      </c>
      <c r="R10" s="21">
        <v>4393</v>
      </c>
      <c r="S10" s="20">
        <f>IF(R10&gt;0,(R10-R11-$Q10),"")</f>
        <v>-13430</v>
      </c>
      <c r="T10" s="21">
        <v>4825</v>
      </c>
      <c r="U10" s="20">
        <f>IF(T10&gt;0,(T10-T11-$Q10),"")</f>
        <v>-12917</v>
      </c>
      <c r="V10" s="21">
        <v>8475</v>
      </c>
      <c r="W10" s="20">
        <f>IF(V10&gt;0,(V10-V11-$Q10),"")</f>
        <v>-9586</v>
      </c>
      <c r="X10" s="21">
        <v>11483</v>
      </c>
      <c r="Y10" s="20">
        <f>IF(X10&gt;0,(X10-X11-$Q10),"")</f>
        <v>-7282</v>
      </c>
      <c r="Z10" s="21">
        <v>14647</v>
      </c>
      <c r="AA10" s="20">
        <f>IF(Z10&gt;0,(Z10-Z11-$Q10),"")</f>
        <v>-4713</v>
      </c>
      <c r="AB10" s="21">
        <v>14647</v>
      </c>
      <c r="AC10" s="22">
        <f>IF(AB10&gt;0,(AB10-AB11-$Q10),"")</f>
        <v>-4713</v>
      </c>
      <c r="AD10" s="21">
        <v>14647</v>
      </c>
      <c r="AE10" s="22">
        <f>IF(AD10&gt;0,(AD10-AD11-$Q10),"")</f>
        <v>-4713</v>
      </c>
    </row>
    <row r="11" spans="2:42" x14ac:dyDescent="0.3">
      <c r="B11" s="16" t="s">
        <v>32</v>
      </c>
      <c r="C11" s="17">
        <v>2173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736</v>
      </c>
      <c r="S11" s="24"/>
      <c r="T11" s="30">
        <v>655</v>
      </c>
      <c r="U11" s="24"/>
      <c r="V11" s="30">
        <v>974</v>
      </c>
      <c r="W11" s="24"/>
      <c r="X11" s="30">
        <v>1678</v>
      </c>
      <c r="Y11" s="24"/>
      <c r="Z11" s="30">
        <v>2273</v>
      </c>
      <c r="AA11" s="24"/>
      <c r="AB11" s="30">
        <v>2273</v>
      </c>
      <c r="AC11" s="26"/>
      <c r="AD11" s="30">
        <v>2273</v>
      </c>
      <c r="AE11" s="26"/>
    </row>
    <row r="12" spans="2:42" x14ac:dyDescent="0.3">
      <c r="B12" s="16" t="s">
        <v>34</v>
      </c>
      <c r="C12" s="17">
        <v>1665</v>
      </c>
      <c r="E12" s="29" t="s">
        <v>35</v>
      </c>
      <c r="F12" s="119">
        <v>10921</v>
      </c>
      <c r="G12" s="117">
        <v>9628.2794999999987</v>
      </c>
      <c r="H12" s="117">
        <v>15466.904871580011</v>
      </c>
      <c r="I12" s="19">
        <f>G12+H12</f>
        <v>25095.18437158001</v>
      </c>
      <c r="J12" s="119">
        <v>11032</v>
      </c>
      <c r="K12" s="117">
        <v>9860.3777499999978</v>
      </c>
      <c r="L12" s="117">
        <v>14808.485988459999</v>
      </c>
      <c r="M12" s="19">
        <f>K12+L12</f>
        <v>24668.863738459997</v>
      </c>
      <c r="N12" s="88">
        <v>58</v>
      </c>
      <c r="O12" s="88">
        <v>49</v>
      </c>
      <c r="P12" s="92"/>
      <c r="Q12" s="20">
        <f>J12-P12</f>
        <v>11032</v>
      </c>
      <c r="R12" s="21">
        <v>3872</v>
      </c>
      <c r="S12" s="20">
        <f>IF(R12&gt;0,(R12-R13-$Q12),"")</f>
        <v>-8004</v>
      </c>
      <c r="T12" s="21">
        <v>5615</v>
      </c>
      <c r="U12" s="20">
        <f>IF(T12&gt;0,(T12-T13-$Q12),"")</f>
        <v>-6431</v>
      </c>
      <c r="V12" s="21">
        <v>5536</v>
      </c>
      <c r="W12" s="20">
        <f>IF(V12&gt;0,(V12-V13-$Q12),"")</f>
        <v>-6518</v>
      </c>
      <c r="X12" s="21">
        <v>7327</v>
      </c>
      <c r="Y12" s="20">
        <f>IF(X12&gt;0,(X12-X13-$Q12),"")</f>
        <v>-4736</v>
      </c>
      <c r="Z12" s="21">
        <v>7327</v>
      </c>
      <c r="AA12" s="20">
        <f>IF(Z12&gt;0,(Z12-Z13-$Q12),"")</f>
        <v>-4736</v>
      </c>
      <c r="AB12" s="21">
        <v>7327</v>
      </c>
      <c r="AC12" s="22">
        <f>IF(AB12&gt;0,(AB12-AB13-$Q12),"")</f>
        <v>-4736</v>
      </c>
      <c r="AD12" s="21">
        <v>7327</v>
      </c>
      <c r="AE12" s="22">
        <f>IF(AD12&gt;0,(AD12-AD13-$Q12),"")</f>
        <v>-4736</v>
      </c>
    </row>
    <row r="13" spans="2:42" x14ac:dyDescent="0.3">
      <c r="B13" s="16" t="s">
        <v>36</v>
      </c>
      <c r="C13" s="17">
        <v>5014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844</v>
      </c>
      <c r="S13" s="24"/>
      <c r="T13" s="30">
        <v>1014</v>
      </c>
      <c r="U13" s="24"/>
      <c r="V13" s="30">
        <v>1022</v>
      </c>
      <c r="W13" s="24"/>
      <c r="X13" s="30">
        <v>1031</v>
      </c>
      <c r="Y13" s="24"/>
      <c r="Z13" s="30">
        <v>1031</v>
      </c>
      <c r="AA13" s="24"/>
      <c r="AB13" s="30">
        <v>1031</v>
      </c>
      <c r="AC13" s="26"/>
      <c r="AD13" s="30">
        <v>1031</v>
      </c>
      <c r="AE13" s="26"/>
    </row>
    <row r="14" spans="2:42" x14ac:dyDescent="0.3">
      <c r="B14" s="16" t="s">
        <v>38</v>
      </c>
      <c r="C14" s="17">
        <v>8146</v>
      </c>
      <c r="E14" s="18" t="s">
        <v>39</v>
      </c>
      <c r="F14" s="119">
        <v>24341</v>
      </c>
      <c r="G14" s="117">
        <v>19334.4375</v>
      </c>
      <c r="H14" s="117">
        <v>22742.716612799999</v>
      </c>
      <c r="I14" s="19">
        <f>G14+H14</f>
        <v>42077.154112799995</v>
      </c>
      <c r="J14" s="119">
        <v>24341</v>
      </c>
      <c r="K14" s="117">
        <v>19334.4375</v>
      </c>
      <c r="L14" s="117">
        <v>22728.716612799999</v>
      </c>
      <c r="M14" s="19">
        <f>K14+L14</f>
        <v>42063.154112799995</v>
      </c>
      <c r="N14" s="88">
        <v>79</v>
      </c>
      <c r="O14" s="88">
        <v>61</v>
      </c>
      <c r="P14" s="92"/>
      <c r="Q14" s="20">
        <f>J14-P14</f>
        <v>24341</v>
      </c>
      <c r="R14" s="21">
        <v>5636</v>
      </c>
      <c r="S14" s="20">
        <f>IF(R14&gt;0,(R14-R15-$Q14),"")</f>
        <v>-23690</v>
      </c>
      <c r="T14" s="21">
        <v>7637</v>
      </c>
      <c r="U14" s="20">
        <f>IF(T14&gt;0,(T14-T15-$Q14),"")</f>
        <v>-23268</v>
      </c>
      <c r="V14" s="21">
        <v>10770</v>
      </c>
      <c r="W14" s="20">
        <f>IF(V14&gt;0,(V14-V15-$Q14),"")</f>
        <v>-22640</v>
      </c>
      <c r="X14" s="21">
        <v>14246</v>
      </c>
      <c r="Y14" s="20">
        <f>IF(X14&gt;0,(X14-X15-$Q14),"")</f>
        <v>-21351</v>
      </c>
      <c r="Z14" s="21">
        <v>16142</v>
      </c>
      <c r="AA14" s="20">
        <f>IF(Z14&gt;0,(Z14-Z15-$Q14),"")</f>
        <v>-19682</v>
      </c>
      <c r="AB14" s="21">
        <v>16142</v>
      </c>
      <c r="AC14" s="22">
        <f>IF(AB14&gt;0,(AB14-AB15-$Q14),"")</f>
        <v>-19682</v>
      </c>
      <c r="AD14" s="21">
        <v>16142</v>
      </c>
      <c r="AE14" s="22">
        <f>IF(AD14&gt;0,(AD14-AD15-$Q14),"")</f>
        <v>-19682</v>
      </c>
    </row>
    <row r="15" spans="2:42" ht="15" customHeight="1" thickBot="1" x14ac:dyDescent="0.35">
      <c r="B15" s="16" t="s">
        <v>40</v>
      </c>
      <c r="C15" s="17">
        <v>2611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4985</v>
      </c>
      <c r="S15" s="24"/>
      <c r="T15" s="25">
        <v>6564</v>
      </c>
      <c r="U15" s="24"/>
      <c r="V15" s="25">
        <v>9069</v>
      </c>
      <c r="W15" s="24"/>
      <c r="X15" s="25">
        <v>11256</v>
      </c>
      <c r="Y15" s="24"/>
      <c r="Z15" s="25">
        <v>11483</v>
      </c>
      <c r="AA15" s="24"/>
      <c r="AB15" s="25">
        <v>11483</v>
      </c>
      <c r="AC15" s="26"/>
      <c r="AD15" s="25">
        <v>11483</v>
      </c>
      <c r="AE15" s="26"/>
    </row>
    <row r="16" spans="2:42" ht="15" customHeight="1" thickBot="1" x14ac:dyDescent="0.35">
      <c r="B16" s="28" t="s">
        <v>42</v>
      </c>
      <c r="C16" s="17">
        <f>14802+12262</f>
        <v>27064</v>
      </c>
      <c r="E16" s="84"/>
      <c r="F16" s="31">
        <f t="shared" ref="F16:M16" si="0">SUM(F6:F15)</f>
        <v>85425</v>
      </c>
      <c r="G16" s="31">
        <f t="shared" si="0"/>
        <v>63627.014124999994</v>
      </c>
      <c r="H16" s="31">
        <f t="shared" si="0"/>
        <v>52205.770274780021</v>
      </c>
      <c r="I16" s="32">
        <f t="shared" si="0"/>
        <v>115832.78439978002</v>
      </c>
      <c r="J16" s="33">
        <f t="shared" si="0"/>
        <v>85899</v>
      </c>
      <c r="K16" s="33">
        <f t="shared" si="0"/>
        <v>64144.455875</v>
      </c>
      <c r="L16" s="33">
        <f t="shared" si="0"/>
        <v>51741.306881240016</v>
      </c>
      <c r="M16" s="33">
        <f t="shared" si="0"/>
        <v>115885.76275624002</v>
      </c>
      <c r="N16" s="31">
        <f>SUM(N14,N12,N10,N8,N6)</f>
        <v>303</v>
      </c>
      <c r="O16" s="31">
        <f>SUM(O14,O12,O10,O8,O6)</f>
        <v>250</v>
      </c>
      <c r="P16" s="34">
        <f>SUM(P6:P15)</f>
        <v>0</v>
      </c>
      <c r="Q16" s="34">
        <f>SUM(Q6:Q15)</f>
        <v>85899</v>
      </c>
      <c r="R16" s="35">
        <f>R6+R8+R10+R12+R14-R7-R9-R11-R13-R15</f>
        <v>13647</v>
      </c>
      <c r="S16" s="36">
        <f>IF(R16&gt;1,(R16-$Q16),"")</f>
        <v>-72252</v>
      </c>
      <c r="T16" s="35">
        <f>T6+T8+T10+T12+T14-T7-T9-T11-T13-T15</f>
        <v>20093</v>
      </c>
      <c r="U16" s="36">
        <f>IF(T16&gt;1,(T16-$Q16),"")</f>
        <v>-65806</v>
      </c>
      <c r="V16" s="35">
        <f>V6+V8+V10+V12+V14-V7-V9-V11-V13-V15</f>
        <v>32664</v>
      </c>
      <c r="W16" s="36">
        <f>IF(V16&gt;1,(V16-$Q16),"")</f>
        <v>-53235</v>
      </c>
      <c r="X16" s="35">
        <f>X6+X8+X10+X12+X14-X7-X9-X11-X13-X15</f>
        <v>44886</v>
      </c>
      <c r="Y16" s="36">
        <f>IF(X16&gt;1,(X16-$Q16),"")</f>
        <v>-41013</v>
      </c>
      <c r="Z16" s="35">
        <f>Z6+Z8+Z10+Z12+Z14-Z7-Z9-Z11-Z13-Z15</f>
        <v>50140</v>
      </c>
      <c r="AA16" s="36">
        <f>IF(Z16&gt;1,(Z16-$Q16),"")</f>
        <v>-35759</v>
      </c>
      <c r="AB16" s="35">
        <f>AB6+AB8+AB10+AB12+AB14-AB7-AB9-AB11-AB13-AB15</f>
        <v>50140</v>
      </c>
      <c r="AC16" s="37">
        <f>IF(AB16&gt;1,(AB16-$Q16),"")</f>
        <v>-35759</v>
      </c>
      <c r="AD16" s="35">
        <f>AD6+AD8+AD10+AD12+AD14-AD7-AD9-AD11-AD13-AD15</f>
        <v>50140</v>
      </c>
      <c r="AE16" s="37">
        <f>IF(AD16&gt;1,(AD16-$Q16),"")</f>
        <v>-35759</v>
      </c>
    </row>
    <row r="17" spans="2:43" s="4" customFormat="1" ht="15" customHeight="1" thickBot="1" x14ac:dyDescent="0.35">
      <c r="B17" s="43" t="s">
        <v>47</v>
      </c>
      <c r="C17" s="17">
        <v>1505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6735</v>
      </c>
      <c r="S17" s="41"/>
      <c r="T17" s="40">
        <f>T15+T13+T11+T9+T7</f>
        <v>8551</v>
      </c>
      <c r="U17" s="41"/>
      <c r="V17" s="40">
        <f>V15+V13+V11+V9+V7</f>
        <v>12407</v>
      </c>
      <c r="W17" s="41"/>
      <c r="X17" s="40">
        <f>X15+X13+X11+X9+X7</f>
        <v>15289</v>
      </c>
      <c r="Y17" s="41"/>
      <c r="Z17" s="40">
        <f>Z15+Z13+Z11+Z9+Z7</f>
        <v>16111</v>
      </c>
      <c r="AA17" s="41"/>
      <c r="AB17" s="40">
        <f>AB15+AB13+AB11+AB9+AB7</f>
        <v>16111</v>
      </c>
      <c r="AC17" s="42"/>
      <c r="AD17" s="40">
        <f>AD15+AD13+AD11+AD9+AD7</f>
        <v>16111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575</v>
      </c>
      <c r="P18" s="45" t="s">
        <v>46</v>
      </c>
      <c r="Q18" s="46"/>
      <c r="R18" s="47">
        <f>IF(R16&gt;0,(R16)/2,"")</f>
        <v>6823.5</v>
      </c>
      <c r="S18" s="46"/>
      <c r="T18" s="47">
        <f>IF(T16&gt;0,(T16-R16)/2,"")</f>
        <v>3223</v>
      </c>
      <c r="U18" s="46"/>
      <c r="V18" s="47">
        <f>IF(V16&gt;0,(V16-T16)/2,"")</f>
        <v>6285.5</v>
      </c>
      <c r="W18" s="46"/>
      <c r="X18" s="47">
        <f>IF(X16&gt;0,(X16-V16)/2,"")</f>
        <v>6111</v>
      </c>
      <c r="Y18" s="46"/>
      <c r="Z18" s="47">
        <f>IF(Z16&gt;0,(Z16-X16)/2,"")</f>
        <v>2627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7712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2144</v>
      </c>
      <c r="L20" s="4"/>
      <c r="M20" s="4"/>
      <c r="Q20" s="51" t="s">
        <v>49</v>
      </c>
      <c r="R20" s="35">
        <v>6291</v>
      </c>
      <c r="S20" s="36"/>
      <c r="T20" s="35">
        <v>13608</v>
      </c>
      <c r="U20" s="36"/>
      <c r="V20" s="35">
        <v>27035</v>
      </c>
      <c r="W20" s="36"/>
      <c r="X20" s="35">
        <v>37098</v>
      </c>
      <c r="Y20" s="36"/>
      <c r="Z20" s="35">
        <v>39058</v>
      </c>
      <c r="AA20" s="36"/>
      <c r="AB20" s="35">
        <v>39058</v>
      </c>
      <c r="AC20" s="37"/>
      <c r="AD20" s="35">
        <v>39058</v>
      </c>
      <c r="AE20" s="37"/>
    </row>
    <row r="21" spans="2:43" ht="15" customHeight="1" thickBot="1" x14ac:dyDescent="0.35">
      <c r="B21" s="57" t="s">
        <v>52</v>
      </c>
      <c r="C21" s="58">
        <v>4332</v>
      </c>
      <c r="L21" s="4"/>
      <c r="M21" s="4"/>
      <c r="Q21" s="52"/>
      <c r="R21" s="40">
        <v>7985</v>
      </c>
      <c r="S21" s="41"/>
      <c r="T21" s="40">
        <v>9780</v>
      </c>
      <c r="U21" s="41"/>
      <c r="V21" s="40">
        <v>11726</v>
      </c>
      <c r="W21" s="41"/>
      <c r="X21" s="40">
        <v>12991</v>
      </c>
      <c r="Y21" s="41"/>
      <c r="Z21" s="40">
        <v>13063</v>
      </c>
      <c r="AA21" s="41"/>
      <c r="AB21" s="40">
        <v>13063</v>
      </c>
      <c r="AC21" s="42"/>
      <c r="AD21" s="40">
        <v>13063</v>
      </c>
      <c r="AE21" s="42"/>
    </row>
    <row r="22" spans="2:43" ht="15" customHeight="1" thickBot="1" x14ac:dyDescent="0.35">
      <c r="L22" s="4"/>
      <c r="M22" s="4"/>
      <c r="Q22" s="54"/>
      <c r="R22" s="55">
        <v>3145.5</v>
      </c>
      <c r="S22" s="55"/>
      <c r="T22" s="55">
        <v>3658.5</v>
      </c>
      <c r="U22" s="55"/>
      <c r="V22" s="55">
        <v>6713.5</v>
      </c>
      <c r="W22" s="55"/>
      <c r="X22" s="55">
        <v>5031.5</v>
      </c>
      <c r="Y22" s="55"/>
      <c r="Z22" s="55">
        <v>980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7356</v>
      </c>
      <c r="S24" s="60"/>
      <c r="T24" s="60">
        <f>IF(T16&gt;0,T16-T20,"")</f>
        <v>6485</v>
      </c>
      <c r="U24" s="60"/>
      <c r="V24" s="60">
        <f>IF(V16&gt;0,V16-V20,"")</f>
        <v>5629</v>
      </c>
      <c r="W24" s="60"/>
      <c r="X24" s="60">
        <f>IF(X16&gt;0,X16-X20,"")</f>
        <v>7788</v>
      </c>
      <c r="Y24" s="60"/>
      <c r="Z24" s="60">
        <f>IF(Z16&gt;0,Z16-Z20,"")</f>
        <v>11082</v>
      </c>
      <c r="AA24" s="60"/>
      <c r="AB24" s="60">
        <f>IF(AB16&gt;0,AB16-AB20,"")</f>
        <v>11082</v>
      </c>
      <c r="AC24" s="61"/>
      <c r="AD24" s="60">
        <f>IF(AD16&gt;0,AD16-AD20,"")</f>
        <v>11082</v>
      </c>
      <c r="AE24" s="61"/>
    </row>
    <row r="25" spans="2:43" x14ac:dyDescent="0.3">
      <c r="L25" s="4"/>
      <c r="M25" s="4"/>
      <c r="Q25" s="62"/>
      <c r="R25" s="63">
        <f>IF(R17&gt;=0,R17-R21,"")</f>
        <v>-1250</v>
      </c>
      <c r="S25" s="64"/>
      <c r="T25" s="63">
        <f>IF(T17&gt;=0,T17-T21,"")</f>
        <v>-1229</v>
      </c>
      <c r="U25" s="64"/>
      <c r="V25" s="63">
        <f>IF(V17&gt;=0,V17-V21,"")</f>
        <v>681</v>
      </c>
      <c r="W25" s="64"/>
      <c r="X25" s="63">
        <f>IF(X17&gt;=0,X17-X21,"")</f>
        <v>2298</v>
      </c>
      <c r="Y25" s="64"/>
      <c r="Z25" s="63">
        <f>IF(Z17&gt;=0,Z17-Z21,"")</f>
        <v>3048</v>
      </c>
      <c r="AA25" s="64"/>
      <c r="AB25" s="63">
        <f>IF(AB17&gt;=0,AB17-AB21,"")</f>
        <v>3048</v>
      </c>
      <c r="AC25" s="65"/>
      <c r="AD25" s="63">
        <f>IF(AD17&gt;=0,AD17-AD21,"")</f>
        <v>3048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3678</v>
      </c>
      <c r="S26" s="55"/>
      <c r="T26" s="67">
        <f>IFERROR(IF(T18&gt;0,T18-T22,""),"")</f>
        <v>-435.5</v>
      </c>
      <c r="U26" s="55"/>
      <c r="V26" s="67">
        <f>IFERROR(IF(V18&gt;0,V18-V22,""),"")</f>
        <v>-428</v>
      </c>
      <c r="W26" s="55"/>
      <c r="X26" s="67">
        <f>IFERROR(IF(X18&gt;0,X18-X22,""),"")</f>
        <v>1079.5</v>
      </c>
      <c r="Y26" s="55"/>
      <c r="Z26" s="67">
        <f>IFERROR(IF(Z18&gt;0,Z18-Z22,""),"")</f>
        <v>1647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7587</v>
      </c>
      <c r="D29" s="76">
        <f>C14</f>
        <v>8146</v>
      </c>
      <c r="E29" s="77">
        <f>D29-C29</f>
        <v>559</v>
      </c>
      <c r="M29" s="4"/>
      <c r="O29" s="4"/>
    </row>
    <row r="30" spans="2:43" x14ac:dyDescent="0.3">
      <c r="B30" s="74" t="s">
        <v>56</v>
      </c>
      <c r="C30" s="75">
        <v>33403</v>
      </c>
      <c r="D30" s="76">
        <f>C7+C15+C16+C17+C18</f>
        <v>33876</v>
      </c>
      <c r="E30" s="77">
        <f>D30-C30</f>
        <v>473</v>
      </c>
      <c r="J30" s="53"/>
      <c r="L30" s="53"/>
      <c r="M30" s="4"/>
      <c r="O30" s="4"/>
    </row>
    <row r="31" spans="2:43" x14ac:dyDescent="0.3">
      <c r="B31" s="74" t="s">
        <v>21</v>
      </c>
      <c r="C31" s="75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14655</v>
      </c>
      <c r="D32" s="76">
        <f>C10+C11+C12+C13</f>
        <v>14655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14540</v>
      </c>
      <c r="D33" s="76">
        <f>C19+C20+C21</f>
        <v>14188</v>
      </c>
      <c r="E33" s="77">
        <f>D33-C33</f>
        <v>-352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4893</v>
      </c>
      <c r="D34" s="80">
        <f>SUM(C8+C9)</f>
        <v>4893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2145</v>
      </c>
      <c r="R35" s="104">
        <v>138</v>
      </c>
      <c r="S35" s="104">
        <f t="shared" ref="S35:S64" si="1">IF(T35&gt;0,(T35-R35)/2,"")</f>
        <v>1003.5</v>
      </c>
      <c r="T35" s="104">
        <v>2145</v>
      </c>
      <c r="U35" s="104">
        <f t="shared" ref="U35:U64" si="2">IF(V35&gt;0,(V35-T35)/2,"")</f>
        <v>-765.5</v>
      </c>
      <c r="V35" s="104">
        <v>614</v>
      </c>
      <c r="W35" s="104">
        <f t="shared" ref="W35:W64" si="3">IF(X35&gt;0,(X35-V35)/2,"")</f>
        <v>220.5</v>
      </c>
      <c r="X35" s="104">
        <v>1055</v>
      </c>
      <c r="Y35" s="104">
        <f t="shared" ref="Y35:Y64" si="4">IF(Z35&gt;0,(Z35-X35)/2,"")</f>
        <v>0</v>
      </c>
      <c r="Z35" s="104">
        <v>1055</v>
      </c>
      <c r="AA35" s="104">
        <f t="shared" ref="AA35:AA64" si="5">IF(AB35&gt;0,(AB35-Z35)/2,"")</f>
        <v>0</v>
      </c>
      <c r="AB35" s="104">
        <v>1055</v>
      </c>
      <c r="AC35" s="104">
        <f t="shared" ref="AC35:AC64" si="6">IF(AD35&gt;0,(AD35-AB35)/2,"")</f>
        <v>0</v>
      </c>
      <c r="AD35" s="104">
        <v>1055</v>
      </c>
      <c r="AE35" s="105">
        <f t="shared" ref="AE35:AE64" si="7">AD35-Q35</f>
        <v>-1090</v>
      </c>
    </row>
    <row r="36" spans="2:31" ht="15.6" customHeight="1" x14ac:dyDescent="0.3">
      <c r="N36" s="212"/>
      <c r="O36" s="95" t="s">
        <v>66</v>
      </c>
      <c r="P36" s="106"/>
      <c r="Q36" s="106">
        <v>1283</v>
      </c>
      <c r="R36" s="106">
        <v>0</v>
      </c>
      <c r="S36" s="106">
        <f t="shared" si="1"/>
        <v>641.5</v>
      </c>
      <c r="T36" s="106">
        <v>1283</v>
      </c>
      <c r="U36" s="106">
        <f t="shared" si="2"/>
        <v>-17.5</v>
      </c>
      <c r="V36" s="106">
        <v>1248</v>
      </c>
      <c r="W36" s="106">
        <f t="shared" si="3"/>
        <v>10</v>
      </c>
      <c r="X36" s="106">
        <v>1268</v>
      </c>
      <c r="Y36" s="106">
        <f t="shared" si="4"/>
        <v>0</v>
      </c>
      <c r="Z36" s="106">
        <v>1268</v>
      </c>
      <c r="AA36" s="106">
        <f t="shared" si="5"/>
        <v>0</v>
      </c>
      <c r="AB36" s="106">
        <v>1268</v>
      </c>
      <c r="AC36" s="106">
        <f t="shared" si="6"/>
        <v>0</v>
      </c>
      <c r="AD36" s="106">
        <v>1268</v>
      </c>
      <c r="AE36" s="107">
        <f t="shared" si="7"/>
        <v>-15</v>
      </c>
    </row>
    <row r="37" spans="2:31" ht="15.6" customHeight="1" x14ac:dyDescent="0.3">
      <c r="N37" s="212"/>
      <c r="O37" s="94" t="s">
        <v>67</v>
      </c>
      <c r="P37" s="108"/>
      <c r="Q37" s="108">
        <v>2524</v>
      </c>
      <c r="R37" s="108">
        <v>420</v>
      </c>
      <c r="S37" s="108">
        <f t="shared" si="1"/>
        <v>1052</v>
      </c>
      <c r="T37" s="108">
        <v>2524</v>
      </c>
      <c r="U37" s="108">
        <f t="shared" si="2"/>
        <v>-551.5</v>
      </c>
      <c r="V37" s="108">
        <v>1421</v>
      </c>
      <c r="W37" s="108">
        <f t="shared" si="3"/>
        <v>551.5</v>
      </c>
      <c r="X37" s="108">
        <v>2524</v>
      </c>
      <c r="Y37" s="108">
        <f t="shared" si="4"/>
        <v>0</v>
      </c>
      <c r="Z37" s="108">
        <v>2524</v>
      </c>
      <c r="AA37" s="108">
        <f t="shared" si="5"/>
        <v>0</v>
      </c>
      <c r="AB37" s="108">
        <v>2524</v>
      </c>
      <c r="AC37" s="108">
        <f t="shared" si="6"/>
        <v>0</v>
      </c>
      <c r="AD37" s="108">
        <v>2524</v>
      </c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>
        <v>3689</v>
      </c>
      <c r="R38" s="106">
        <v>988</v>
      </c>
      <c r="S38" s="106">
        <f t="shared" si="1"/>
        <v>1350.5</v>
      </c>
      <c r="T38" s="106">
        <v>3689</v>
      </c>
      <c r="U38" s="106">
        <f t="shared" si="2"/>
        <v>-1228.5</v>
      </c>
      <c r="V38" s="106">
        <v>1232</v>
      </c>
      <c r="W38" s="106">
        <f t="shared" si="3"/>
        <v>647</v>
      </c>
      <c r="X38" s="106">
        <v>2526</v>
      </c>
      <c r="Y38" s="106">
        <f t="shared" si="4"/>
        <v>0</v>
      </c>
      <c r="Z38" s="106">
        <v>2526</v>
      </c>
      <c r="AA38" s="106">
        <f t="shared" si="5"/>
        <v>0</v>
      </c>
      <c r="AB38" s="106">
        <v>2526</v>
      </c>
      <c r="AC38" s="106">
        <f t="shared" si="6"/>
        <v>0</v>
      </c>
      <c r="AD38" s="106">
        <v>2526</v>
      </c>
      <c r="AE38" s="107">
        <f t="shared" si="7"/>
        <v>-1163</v>
      </c>
    </row>
    <row r="39" spans="2:31" ht="15.6" customHeight="1" x14ac:dyDescent="0.3">
      <c r="N39" s="212"/>
      <c r="O39" s="94" t="s">
        <v>69</v>
      </c>
      <c r="P39" s="108"/>
      <c r="Q39" s="108">
        <v>2044</v>
      </c>
      <c r="R39" s="108">
        <v>952</v>
      </c>
      <c r="S39" s="108">
        <f t="shared" si="1"/>
        <v>546</v>
      </c>
      <c r="T39" s="108">
        <v>2044</v>
      </c>
      <c r="U39" s="108">
        <f t="shared" si="2"/>
        <v>-192.5</v>
      </c>
      <c r="V39" s="108">
        <v>1659</v>
      </c>
      <c r="W39" s="108">
        <f t="shared" si="3"/>
        <v>0</v>
      </c>
      <c r="X39" s="108">
        <v>1659</v>
      </c>
      <c r="Y39" s="108">
        <f t="shared" si="4"/>
        <v>0</v>
      </c>
      <c r="Z39" s="108">
        <v>1659</v>
      </c>
      <c r="AA39" s="108">
        <f t="shared" si="5"/>
        <v>0</v>
      </c>
      <c r="AB39" s="108">
        <v>1659</v>
      </c>
      <c r="AC39" s="108">
        <f t="shared" si="6"/>
        <v>0</v>
      </c>
      <c r="AD39" s="108">
        <v>1659</v>
      </c>
      <c r="AE39" s="109">
        <f t="shared" si="7"/>
        <v>-385</v>
      </c>
    </row>
    <row r="40" spans="2:31" ht="15.6" customHeight="1" x14ac:dyDescent="0.3">
      <c r="N40" s="212"/>
      <c r="O40" s="95" t="s">
        <v>70</v>
      </c>
      <c r="P40" s="106"/>
      <c r="Q40" s="106">
        <v>2865</v>
      </c>
      <c r="R40" s="106">
        <v>1030</v>
      </c>
      <c r="S40" s="106">
        <f t="shared" si="1"/>
        <v>917.5</v>
      </c>
      <c r="T40" s="106">
        <v>2865</v>
      </c>
      <c r="U40" s="106">
        <f t="shared" si="2"/>
        <v>-709</v>
      </c>
      <c r="V40" s="106">
        <v>1447</v>
      </c>
      <c r="W40" s="106">
        <f t="shared" si="3"/>
        <v>68.5</v>
      </c>
      <c r="X40" s="106">
        <v>1584</v>
      </c>
      <c r="Y40" s="106">
        <f t="shared" si="4"/>
        <v>0</v>
      </c>
      <c r="Z40" s="106">
        <v>1584</v>
      </c>
      <c r="AA40" s="106">
        <f t="shared" si="5"/>
        <v>0</v>
      </c>
      <c r="AB40" s="106">
        <v>1584</v>
      </c>
      <c r="AC40" s="106">
        <f t="shared" si="6"/>
        <v>0</v>
      </c>
      <c r="AD40" s="106">
        <v>1584</v>
      </c>
      <c r="AE40" s="107">
        <f t="shared" si="7"/>
        <v>-1281</v>
      </c>
    </row>
    <row r="41" spans="2:31" ht="15.6" customHeight="1" x14ac:dyDescent="0.3">
      <c r="N41" s="212"/>
      <c r="O41" s="94" t="s">
        <v>71</v>
      </c>
      <c r="P41" s="108"/>
      <c r="Q41" s="108">
        <v>1189</v>
      </c>
      <c r="R41" s="108">
        <v>0</v>
      </c>
      <c r="S41" s="108">
        <f t="shared" si="1"/>
        <v>594.5</v>
      </c>
      <c r="T41" s="108">
        <v>1189</v>
      </c>
      <c r="U41" s="108">
        <f t="shared" si="2"/>
        <v>-127</v>
      </c>
      <c r="V41" s="108">
        <v>935</v>
      </c>
      <c r="W41" s="108">
        <f t="shared" si="3"/>
        <v>127</v>
      </c>
      <c r="X41" s="108">
        <v>1189</v>
      </c>
      <c r="Y41" s="108">
        <f t="shared" si="4"/>
        <v>0</v>
      </c>
      <c r="Z41" s="108">
        <v>1189</v>
      </c>
      <c r="AA41" s="108">
        <f t="shared" si="5"/>
        <v>0</v>
      </c>
      <c r="AB41" s="108">
        <v>1189</v>
      </c>
      <c r="AC41" s="108">
        <f t="shared" si="6"/>
        <v>0</v>
      </c>
      <c r="AD41" s="108">
        <v>1189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1628</v>
      </c>
      <c r="R42" s="106">
        <v>535</v>
      </c>
      <c r="S42" s="106">
        <f t="shared" si="1"/>
        <v>546.5</v>
      </c>
      <c r="T42" s="106">
        <v>1628</v>
      </c>
      <c r="U42" s="106">
        <f t="shared" si="2"/>
        <v>-807</v>
      </c>
      <c r="V42" s="106">
        <v>14</v>
      </c>
      <c r="W42" s="106">
        <f t="shared" si="3"/>
        <v>0</v>
      </c>
      <c r="X42" s="106">
        <v>14</v>
      </c>
      <c r="Y42" s="106">
        <f t="shared" si="4"/>
        <v>0</v>
      </c>
      <c r="Z42" s="106">
        <v>14</v>
      </c>
      <c r="AA42" s="106">
        <f t="shared" si="5"/>
        <v>0</v>
      </c>
      <c r="AB42" s="106">
        <v>14</v>
      </c>
      <c r="AC42" s="106">
        <f t="shared" si="6"/>
        <v>0</v>
      </c>
      <c r="AD42" s="106">
        <v>14</v>
      </c>
      <c r="AE42" s="107">
        <f t="shared" si="7"/>
        <v>-1614</v>
      </c>
    </row>
    <row r="43" spans="2:31" ht="15.6" customHeight="1" thickBot="1" x14ac:dyDescent="0.35">
      <c r="N43" s="213"/>
      <c r="O43" s="97" t="s">
        <v>73</v>
      </c>
      <c r="P43" s="110"/>
      <c r="Q43" s="110">
        <v>1435</v>
      </c>
      <c r="R43" s="110">
        <v>507</v>
      </c>
      <c r="S43" s="110">
        <f t="shared" si="1"/>
        <v>464</v>
      </c>
      <c r="T43" s="110">
        <v>1435</v>
      </c>
      <c r="U43" s="110">
        <f t="shared" si="2"/>
        <v>-38</v>
      </c>
      <c r="V43" s="110">
        <v>1359</v>
      </c>
      <c r="W43" s="110">
        <f t="shared" si="3"/>
        <v>-249</v>
      </c>
      <c r="X43" s="110">
        <v>861</v>
      </c>
      <c r="Y43" s="110">
        <f t="shared" si="4"/>
        <v>0</v>
      </c>
      <c r="Z43" s="110">
        <v>861</v>
      </c>
      <c r="AA43" s="110">
        <f t="shared" si="5"/>
        <v>0</v>
      </c>
      <c r="AB43" s="110">
        <v>861</v>
      </c>
      <c r="AC43" s="110">
        <f t="shared" si="6"/>
        <v>0</v>
      </c>
      <c r="AD43" s="110">
        <v>861</v>
      </c>
      <c r="AE43" s="111">
        <f t="shared" si="7"/>
        <v>-574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4617</v>
      </c>
      <c r="R44" s="112">
        <v>1000</v>
      </c>
      <c r="S44" s="112">
        <f t="shared" si="1"/>
        <v>1808.5</v>
      </c>
      <c r="T44" s="112">
        <v>4617</v>
      </c>
      <c r="U44" s="112">
        <f t="shared" si="2"/>
        <v>-435.5</v>
      </c>
      <c r="V44" s="112">
        <v>3746</v>
      </c>
      <c r="W44" s="112">
        <f t="shared" si="3"/>
        <v>0</v>
      </c>
      <c r="X44" s="112">
        <v>3746</v>
      </c>
      <c r="Y44" s="112">
        <f t="shared" si="4"/>
        <v>508</v>
      </c>
      <c r="Z44" s="112">
        <v>4762</v>
      </c>
      <c r="AA44" s="112">
        <f t="shared" si="5"/>
        <v>0</v>
      </c>
      <c r="AB44" s="112">
        <v>4762</v>
      </c>
      <c r="AC44" s="112">
        <f t="shared" si="6"/>
        <v>0</v>
      </c>
      <c r="AD44" s="112">
        <v>4762</v>
      </c>
      <c r="AE44" s="113">
        <f t="shared" si="7"/>
        <v>145</v>
      </c>
    </row>
    <row r="45" spans="2:31" ht="15.6" customHeight="1" x14ac:dyDescent="0.3">
      <c r="N45" s="212"/>
      <c r="O45" s="94" t="s">
        <v>66</v>
      </c>
      <c r="P45" s="108"/>
      <c r="Q45" s="108">
        <v>3720</v>
      </c>
      <c r="R45" s="108">
        <v>0</v>
      </c>
      <c r="S45" s="108">
        <f t="shared" si="1"/>
        <v>1860</v>
      </c>
      <c r="T45" s="108">
        <v>3720</v>
      </c>
      <c r="U45" s="108">
        <f t="shared" si="2"/>
        <v>-127</v>
      </c>
      <c r="V45" s="108">
        <v>3466</v>
      </c>
      <c r="W45" s="108">
        <f t="shared" si="3"/>
        <v>637.5</v>
      </c>
      <c r="X45" s="108">
        <v>4741</v>
      </c>
      <c r="Y45" s="108">
        <f t="shared" si="4"/>
        <v>0</v>
      </c>
      <c r="Z45" s="108">
        <v>4741</v>
      </c>
      <c r="AA45" s="108">
        <f t="shared" si="5"/>
        <v>0</v>
      </c>
      <c r="AB45" s="108">
        <v>4741</v>
      </c>
      <c r="AC45" s="108">
        <f t="shared" si="6"/>
        <v>0</v>
      </c>
      <c r="AD45" s="108">
        <v>4741</v>
      </c>
      <c r="AE45" s="109">
        <f t="shared" si="7"/>
        <v>1021</v>
      </c>
    </row>
    <row r="46" spans="2:31" ht="15.6" customHeight="1" x14ac:dyDescent="0.3">
      <c r="N46" s="212"/>
      <c r="O46" s="95" t="s">
        <v>67</v>
      </c>
      <c r="P46" s="106"/>
      <c r="Q46" s="106">
        <v>2400</v>
      </c>
      <c r="R46" s="106">
        <v>0</v>
      </c>
      <c r="S46" s="106">
        <f t="shared" si="1"/>
        <v>1200</v>
      </c>
      <c r="T46" s="106">
        <v>2400</v>
      </c>
      <c r="U46" s="106">
        <f t="shared" si="2"/>
        <v>-826.5</v>
      </c>
      <c r="V46" s="106">
        <v>747</v>
      </c>
      <c r="W46" s="106">
        <f t="shared" si="3"/>
        <v>602</v>
      </c>
      <c r="X46" s="106">
        <v>1951</v>
      </c>
      <c r="Y46" s="106">
        <f t="shared" si="4"/>
        <v>0</v>
      </c>
      <c r="Z46" s="106">
        <v>1951</v>
      </c>
      <c r="AA46" s="106">
        <f t="shared" si="5"/>
        <v>0</v>
      </c>
      <c r="AB46" s="106">
        <v>1951</v>
      </c>
      <c r="AC46" s="106">
        <f t="shared" si="6"/>
        <v>0</v>
      </c>
      <c r="AD46" s="106">
        <v>1951</v>
      </c>
      <c r="AE46" s="107">
        <f t="shared" si="7"/>
        <v>-449</v>
      </c>
    </row>
    <row r="47" spans="2:31" ht="15.6" customHeight="1" thickBot="1" x14ac:dyDescent="0.35">
      <c r="N47" s="213"/>
      <c r="O47" s="97" t="s">
        <v>68</v>
      </c>
      <c r="P47" s="110"/>
      <c r="Q47" s="110">
        <v>3900</v>
      </c>
      <c r="R47" s="110">
        <v>911</v>
      </c>
      <c r="S47" s="110">
        <f t="shared" si="1"/>
        <v>1494.5</v>
      </c>
      <c r="T47" s="110">
        <v>3900</v>
      </c>
      <c r="U47" s="110">
        <f t="shared" si="2"/>
        <v>-749</v>
      </c>
      <c r="V47" s="110">
        <v>2402</v>
      </c>
      <c r="W47" s="110">
        <f t="shared" si="3"/>
        <v>799.5</v>
      </c>
      <c r="X47" s="110">
        <v>4001</v>
      </c>
      <c r="Y47" s="110">
        <f t="shared" si="4"/>
        <v>0</v>
      </c>
      <c r="Z47" s="110">
        <v>4001</v>
      </c>
      <c r="AA47" s="110">
        <f t="shared" si="5"/>
        <v>0</v>
      </c>
      <c r="AB47" s="110">
        <v>4001</v>
      </c>
      <c r="AC47" s="110">
        <f t="shared" si="6"/>
        <v>0</v>
      </c>
      <c r="AD47" s="110">
        <v>4001</v>
      </c>
      <c r="AE47" s="111">
        <f t="shared" si="7"/>
        <v>101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2128</v>
      </c>
      <c r="R48" s="112">
        <v>960</v>
      </c>
      <c r="S48" s="112">
        <f t="shared" si="1"/>
        <v>584</v>
      </c>
      <c r="T48" s="112">
        <v>2128</v>
      </c>
      <c r="U48" s="112">
        <f t="shared" si="2"/>
        <v>-175</v>
      </c>
      <c r="V48" s="112">
        <v>1778</v>
      </c>
      <c r="W48" s="112">
        <f t="shared" si="3"/>
        <v>0</v>
      </c>
      <c r="X48" s="112">
        <v>1778</v>
      </c>
      <c r="Y48" s="112">
        <f t="shared" si="4"/>
        <v>107.5</v>
      </c>
      <c r="Z48" s="112">
        <v>1993</v>
      </c>
      <c r="AA48" s="112">
        <f t="shared" si="5"/>
        <v>0</v>
      </c>
      <c r="AB48" s="112">
        <v>1993</v>
      </c>
      <c r="AC48" s="112">
        <f t="shared" si="6"/>
        <v>0</v>
      </c>
      <c r="AD48" s="112">
        <v>1993</v>
      </c>
      <c r="AE48" s="113">
        <f t="shared" si="7"/>
        <v>-135</v>
      </c>
    </row>
    <row r="49" spans="14:31" ht="15.6" customHeight="1" x14ac:dyDescent="0.3">
      <c r="N49" s="212"/>
      <c r="O49" s="94" t="s">
        <v>66</v>
      </c>
      <c r="P49" s="108"/>
      <c r="Q49" s="108">
        <v>4509</v>
      </c>
      <c r="R49" s="108">
        <v>901</v>
      </c>
      <c r="S49" s="108">
        <f t="shared" si="1"/>
        <v>1804</v>
      </c>
      <c r="T49" s="108">
        <v>4509</v>
      </c>
      <c r="U49" s="108">
        <f t="shared" si="2"/>
        <v>-1549</v>
      </c>
      <c r="V49" s="108">
        <v>1411</v>
      </c>
      <c r="W49" s="108">
        <f t="shared" si="3"/>
        <v>803.5</v>
      </c>
      <c r="X49" s="108">
        <v>3018</v>
      </c>
      <c r="Y49" s="108">
        <f t="shared" si="4"/>
        <v>689.5</v>
      </c>
      <c r="Z49" s="108">
        <v>4397</v>
      </c>
      <c r="AA49" s="108">
        <f t="shared" si="5"/>
        <v>0</v>
      </c>
      <c r="AB49" s="108">
        <v>4397</v>
      </c>
      <c r="AC49" s="108">
        <f t="shared" si="6"/>
        <v>0</v>
      </c>
      <c r="AD49" s="108">
        <v>4397</v>
      </c>
      <c r="AE49" s="109">
        <f t="shared" si="7"/>
        <v>-112</v>
      </c>
    </row>
    <row r="50" spans="14:31" ht="15.6" customHeight="1" x14ac:dyDescent="0.3">
      <c r="N50" s="212"/>
      <c r="O50" s="95" t="s">
        <v>67</v>
      </c>
      <c r="P50" s="106"/>
      <c r="Q50" s="106">
        <v>1715</v>
      </c>
      <c r="R50" s="106">
        <v>393</v>
      </c>
      <c r="S50" s="106">
        <f t="shared" si="1"/>
        <v>661</v>
      </c>
      <c r="T50" s="106">
        <v>1715</v>
      </c>
      <c r="U50" s="106">
        <f t="shared" si="2"/>
        <v>-431</v>
      </c>
      <c r="V50" s="106">
        <v>853</v>
      </c>
      <c r="W50" s="106">
        <f t="shared" si="3"/>
        <v>39.5</v>
      </c>
      <c r="X50" s="106">
        <v>932</v>
      </c>
      <c r="Y50" s="106">
        <f t="shared" si="4"/>
        <v>234.5</v>
      </c>
      <c r="Z50" s="106">
        <v>1401</v>
      </c>
      <c r="AA50" s="106">
        <f t="shared" si="5"/>
        <v>0</v>
      </c>
      <c r="AB50" s="106">
        <v>1401</v>
      </c>
      <c r="AC50" s="106">
        <f t="shared" si="6"/>
        <v>0</v>
      </c>
      <c r="AD50" s="106">
        <v>1401</v>
      </c>
      <c r="AE50" s="107">
        <f t="shared" si="7"/>
        <v>-314</v>
      </c>
    </row>
    <row r="51" spans="14:31" ht="15.6" customHeight="1" x14ac:dyDescent="0.3">
      <c r="N51" s="212"/>
      <c r="O51" s="94" t="s">
        <v>68</v>
      </c>
      <c r="P51" s="108"/>
      <c r="Q51" s="108">
        <v>633</v>
      </c>
      <c r="R51" s="108">
        <v>6</v>
      </c>
      <c r="S51" s="108">
        <f t="shared" si="1"/>
        <v>313.5</v>
      </c>
      <c r="T51" s="108">
        <v>633</v>
      </c>
      <c r="U51" s="108">
        <f t="shared" si="2"/>
        <v>-238.5</v>
      </c>
      <c r="V51" s="108">
        <v>156</v>
      </c>
      <c r="W51" s="108">
        <f t="shared" si="3"/>
        <v>47.5</v>
      </c>
      <c r="X51" s="108">
        <v>251</v>
      </c>
      <c r="Y51" s="108">
        <f t="shared" si="4"/>
        <v>40</v>
      </c>
      <c r="Z51" s="108">
        <v>331</v>
      </c>
      <c r="AA51" s="108">
        <f t="shared" si="5"/>
        <v>0</v>
      </c>
      <c r="AB51" s="108">
        <v>331</v>
      </c>
      <c r="AC51" s="108">
        <f t="shared" si="6"/>
        <v>0</v>
      </c>
      <c r="AD51" s="108">
        <v>331</v>
      </c>
      <c r="AE51" s="109">
        <f t="shared" si="7"/>
        <v>-302</v>
      </c>
    </row>
    <row r="52" spans="14:31" ht="15.6" customHeight="1" x14ac:dyDescent="0.3">
      <c r="N52" s="212"/>
      <c r="O52" s="95" t="s">
        <v>69</v>
      </c>
      <c r="P52" s="106"/>
      <c r="Q52" s="106">
        <v>2860</v>
      </c>
      <c r="R52" s="106">
        <v>321</v>
      </c>
      <c r="S52" s="106">
        <f t="shared" si="1"/>
        <v>1269.5</v>
      </c>
      <c r="T52" s="106">
        <v>2860</v>
      </c>
      <c r="U52" s="106">
        <f t="shared" si="2"/>
        <v>-947.5</v>
      </c>
      <c r="V52" s="106">
        <v>965</v>
      </c>
      <c r="W52" s="106">
        <f t="shared" si="3"/>
        <v>305</v>
      </c>
      <c r="X52" s="106">
        <v>1575</v>
      </c>
      <c r="Y52" s="106">
        <f t="shared" si="4"/>
        <v>85</v>
      </c>
      <c r="Z52" s="106">
        <v>1745</v>
      </c>
      <c r="AA52" s="106">
        <f t="shared" si="5"/>
        <v>0</v>
      </c>
      <c r="AB52" s="106">
        <v>1745</v>
      </c>
      <c r="AC52" s="106">
        <f t="shared" si="6"/>
        <v>0</v>
      </c>
      <c r="AD52" s="106">
        <v>1745</v>
      </c>
      <c r="AE52" s="107">
        <f t="shared" si="7"/>
        <v>-1115</v>
      </c>
    </row>
    <row r="53" spans="14:31" ht="15.6" customHeight="1" x14ac:dyDescent="0.3">
      <c r="N53" s="212"/>
      <c r="O53" s="94" t="s">
        <v>70</v>
      </c>
      <c r="P53" s="108"/>
      <c r="Q53" s="108">
        <v>1274</v>
      </c>
      <c r="R53" s="108">
        <v>0</v>
      </c>
      <c r="S53" s="108">
        <f t="shared" si="1"/>
        <v>637</v>
      </c>
      <c r="T53" s="108">
        <v>1274</v>
      </c>
      <c r="U53" s="108" t="str">
        <f t="shared" si="2"/>
        <v/>
      </c>
      <c r="V53" s="108">
        <v>0</v>
      </c>
      <c r="W53" s="108">
        <f t="shared" si="3"/>
        <v>218</v>
      </c>
      <c r="X53" s="108">
        <v>436</v>
      </c>
      <c r="Y53" s="108">
        <f t="shared" si="4"/>
        <v>168</v>
      </c>
      <c r="Z53" s="108">
        <v>772</v>
      </c>
      <c r="AA53" s="108">
        <f t="shared" si="5"/>
        <v>0</v>
      </c>
      <c r="AB53" s="108">
        <v>772</v>
      </c>
      <c r="AC53" s="108">
        <f t="shared" si="6"/>
        <v>0</v>
      </c>
      <c r="AD53" s="108">
        <v>772</v>
      </c>
      <c r="AE53" s="109">
        <f t="shared" si="7"/>
        <v>-502</v>
      </c>
    </row>
    <row r="54" spans="14:31" ht="15.6" customHeight="1" x14ac:dyDescent="0.3">
      <c r="N54" s="212"/>
      <c r="O54" s="95" t="s">
        <v>71</v>
      </c>
      <c r="P54" s="106"/>
      <c r="Q54" s="106">
        <v>916</v>
      </c>
      <c r="R54" s="106">
        <v>612</v>
      </c>
      <c r="S54" s="106">
        <f t="shared" si="1"/>
        <v>152</v>
      </c>
      <c r="T54" s="106">
        <v>916</v>
      </c>
      <c r="U54" s="106">
        <f t="shared" si="2"/>
        <v>-2</v>
      </c>
      <c r="V54" s="106">
        <v>912</v>
      </c>
      <c r="W54" s="106">
        <f t="shared" si="3"/>
        <v>6</v>
      </c>
      <c r="X54" s="106">
        <v>924</v>
      </c>
      <c r="Y54" s="106">
        <f t="shared" si="4"/>
        <v>8</v>
      </c>
      <c r="Z54" s="106">
        <v>940</v>
      </c>
      <c r="AA54" s="106">
        <f t="shared" si="5"/>
        <v>0</v>
      </c>
      <c r="AB54" s="106">
        <v>940</v>
      </c>
      <c r="AC54" s="106">
        <f t="shared" si="6"/>
        <v>0</v>
      </c>
      <c r="AD54" s="106">
        <v>940</v>
      </c>
      <c r="AE54" s="107">
        <f t="shared" si="7"/>
        <v>24</v>
      </c>
    </row>
    <row r="55" spans="14:31" ht="15.6" customHeight="1" x14ac:dyDescent="0.3">
      <c r="N55" s="212"/>
      <c r="O55" s="94" t="s">
        <v>72</v>
      </c>
      <c r="P55" s="108"/>
      <c r="Q55" s="108">
        <v>2848</v>
      </c>
      <c r="R55" s="108">
        <v>1200</v>
      </c>
      <c r="S55" s="108">
        <f t="shared" si="1"/>
        <v>824</v>
      </c>
      <c r="T55" s="108">
        <v>2848</v>
      </c>
      <c r="U55" s="108">
        <f t="shared" si="2"/>
        <v>-224</v>
      </c>
      <c r="V55" s="108">
        <v>2400</v>
      </c>
      <c r="W55" s="108">
        <f t="shared" si="3"/>
        <v>0</v>
      </c>
      <c r="X55" s="108">
        <v>2400</v>
      </c>
      <c r="Y55" s="108">
        <f t="shared" si="4"/>
        <v>230.5</v>
      </c>
      <c r="Z55" s="108">
        <v>2861</v>
      </c>
      <c r="AA55" s="108">
        <f t="shared" si="5"/>
        <v>0</v>
      </c>
      <c r="AB55" s="108">
        <v>2861</v>
      </c>
      <c r="AC55" s="108">
        <f t="shared" si="6"/>
        <v>0</v>
      </c>
      <c r="AD55" s="108">
        <v>2861</v>
      </c>
      <c r="AE55" s="109">
        <f t="shared" si="7"/>
        <v>13</v>
      </c>
    </row>
    <row r="56" spans="14:31" ht="15.6" customHeight="1" thickBot="1" x14ac:dyDescent="0.35">
      <c r="N56" s="213"/>
      <c r="O56" s="99" t="s">
        <v>73</v>
      </c>
      <c r="P56" s="114"/>
      <c r="Q56" s="114">
        <v>204</v>
      </c>
      <c r="R56" s="114">
        <v>0</v>
      </c>
      <c r="S56" s="114">
        <f t="shared" si="1"/>
        <v>102</v>
      </c>
      <c r="T56" s="114">
        <v>204</v>
      </c>
      <c r="U56" s="114" t="str">
        <f t="shared" si="2"/>
        <v/>
      </c>
      <c r="V56" s="114">
        <v>0</v>
      </c>
      <c r="W56" s="114">
        <f t="shared" si="3"/>
        <v>84.5</v>
      </c>
      <c r="X56" s="114">
        <v>169</v>
      </c>
      <c r="Y56" s="114">
        <f t="shared" si="4"/>
        <v>19</v>
      </c>
      <c r="Z56" s="114">
        <v>207</v>
      </c>
      <c r="AA56" s="114">
        <f t="shared" si="5"/>
        <v>0</v>
      </c>
      <c r="AB56" s="114">
        <v>207</v>
      </c>
      <c r="AC56" s="114">
        <f t="shared" si="6"/>
        <v>0</v>
      </c>
      <c r="AD56" s="114">
        <v>207</v>
      </c>
      <c r="AE56" s="115">
        <f t="shared" si="7"/>
        <v>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3714</v>
      </c>
      <c r="R57" s="104">
        <v>1523</v>
      </c>
      <c r="S57" s="104">
        <f t="shared" si="1"/>
        <v>1095.5</v>
      </c>
      <c r="T57" s="104">
        <v>3714</v>
      </c>
      <c r="U57" s="104">
        <f t="shared" si="2"/>
        <v>-681.5</v>
      </c>
      <c r="V57" s="104">
        <v>2351</v>
      </c>
      <c r="W57" s="104">
        <f t="shared" si="3"/>
        <v>8</v>
      </c>
      <c r="X57" s="104">
        <v>2367</v>
      </c>
      <c r="Y57" s="104">
        <f t="shared" si="4"/>
        <v>0</v>
      </c>
      <c r="Z57" s="104">
        <v>2367</v>
      </c>
      <c r="AA57" s="104">
        <f t="shared" si="5"/>
        <v>0</v>
      </c>
      <c r="AB57" s="104">
        <v>2367</v>
      </c>
      <c r="AC57" s="104">
        <f t="shared" si="6"/>
        <v>0</v>
      </c>
      <c r="AD57" s="104">
        <v>2367</v>
      </c>
      <c r="AE57" s="105">
        <f t="shared" si="7"/>
        <v>-1347</v>
      </c>
    </row>
    <row r="58" spans="14:31" ht="15.6" customHeight="1" x14ac:dyDescent="0.3">
      <c r="N58" s="212"/>
      <c r="O58" s="95" t="s">
        <v>66</v>
      </c>
      <c r="P58" s="106"/>
      <c r="Q58" s="106">
        <v>3980</v>
      </c>
      <c r="R58" s="106">
        <v>1625</v>
      </c>
      <c r="S58" s="106">
        <f t="shared" si="1"/>
        <v>1177.5</v>
      </c>
      <c r="T58" s="106">
        <v>3980</v>
      </c>
      <c r="U58" s="106">
        <f t="shared" si="2"/>
        <v>-1218.5</v>
      </c>
      <c r="V58" s="106">
        <v>1543</v>
      </c>
      <c r="W58" s="106">
        <f t="shared" si="3"/>
        <v>549</v>
      </c>
      <c r="X58" s="106">
        <v>2641</v>
      </c>
      <c r="Y58" s="106">
        <f t="shared" si="4"/>
        <v>0</v>
      </c>
      <c r="Z58" s="106">
        <v>2641</v>
      </c>
      <c r="AA58" s="106">
        <f t="shared" si="5"/>
        <v>0</v>
      </c>
      <c r="AB58" s="106">
        <v>2641</v>
      </c>
      <c r="AC58" s="106">
        <f t="shared" si="6"/>
        <v>0</v>
      </c>
      <c r="AD58" s="106">
        <v>2641</v>
      </c>
      <c r="AE58" s="107">
        <f t="shared" si="7"/>
        <v>-1339</v>
      </c>
    </row>
    <row r="59" spans="14:31" ht="15.6" customHeight="1" x14ac:dyDescent="0.3">
      <c r="N59" s="212"/>
      <c r="O59" s="94" t="s">
        <v>67</v>
      </c>
      <c r="P59" s="108"/>
      <c r="Q59" s="108">
        <v>3338</v>
      </c>
      <c r="R59" s="108">
        <v>724</v>
      </c>
      <c r="S59" s="108">
        <f t="shared" si="1"/>
        <v>1307</v>
      </c>
      <c r="T59" s="108">
        <v>3338</v>
      </c>
      <c r="U59" s="108">
        <f t="shared" si="2"/>
        <v>-848</v>
      </c>
      <c r="V59" s="108">
        <v>1642</v>
      </c>
      <c r="W59" s="108">
        <f t="shared" si="3"/>
        <v>338.5</v>
      </c>
      <c r="X59" s="108">
        <v>2319</v>
      </c>
      <c r="Y59" s="108">
        <f t="shared" si="4"/>
        <v>0</v>
      </c>
      <c r="Z59" s="108">
        <v>2319</v>
      </c>
      <c r="AA59" s="108">
        <f t="shared" si="5"/>
        <v>0</v>
      </c>
      <c r="AB59" s="108">
        <v>2319</v>
      </c>
      <c r="AC59" s="108">
        <f t="shared" si="6"/>
        <v>0</v>
      </c>
      <c r="AD59" s="108">
        <v>2319</v>
      </c>
      <c r="AE59" s="109">
        <f t="shared" si="7"/>
        <v>-1019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6685</v>
      </c>
      <c r="R61" s="104">
        <v>1937</v>
      </c>
      <c r="S61" s="104">
        <f t="shared" si="1"/>
        <v>2374</v>
      </c>
      <c r="T61" s="104">
        <v>6685</v>
      </c>
      <c r="U61" s="104">
        <f t="shared" si="2"/>
        <v>-1761</v>
      </c>
      <c r="V61" s="104">
        <v>3163</v>
      </c>
      <c r="W61" s="104">
        <f t="shared" si="3"/>
        <v>437</v>
      </c>
      <c r="X61" s="104">
        <v>4037</v>
      </c>
      <c r="Y61" s="104">
        <f t="shared" si="4"/>
        <v>162</v>
      </c>
      <c r="Z61" s="104">
        <v>4361</v>
      </c>
      <c r="AA61" s="104">
        <f t="shared" si="5"/>
        <v>0</v>
      </c>
      <c r="AB61" s="104">
        <v>4361</v>
      </c>
      <c r="AC61" s="104">
        <f t="shared" si="6"/>
        <v>0</v>
      </c>
      <c r="AD61" s="104">
        <v>4361</v>
      </c>
      <c r="AE61" s="105">
        <f t="shared" si="7"/>
        <v>-2324</v>
      </c>
    </row>
    <row r="62" spans="14:31" ht="15.6" customHeight="1" x14ac:dyDescent="0.3">
      <c r="N62" s="212"/>
      <c r="O62" s="95" t="s">
        <v>66</v>
      </c>
      <c r="P62" s="106"/>
      <c r="Q62" s="106">
        <v>9102</v>
      </c>
      <c r="R62" s="106">
        <v>2287</v>
      </c>
      <c r="S62" s="106">
        <f t="shared" si="1"/>
        <v>3407.5</v>
      </c>
      <c r="T62" s="106">
        <v>9102</v>
      </c>
      <c r="U62" s="106">
        <f t="shared" si="2"/>
        <v>-2516.5</v>
      </c>
      <c r="V62" s="106">
        <v>4069</v>
      </c>
      <c r="W62" s="106">
        <f t="shared" si="3"/>
        <v>493</v>
      </c>
      <c r="X62" s="106">
        <v>5055</v>
      </c>
      <c r="Y62" s="106">
        <f t="shared" si="4"/>
        <v>474</v>
      </c>
      <c r="Z62" s="106">
        <v>6003</v>
      </c>
      <c r="AA62" s="106">
        <f t="shared" si="5"/>
        <v>0</v>
      </c>
      <c r="AB62" s="106">
        <v>6003</v>
      </c>
      <c r="AC62" s="106">
        <f t="shared" si="6"/>
        <v>0</v>
      </c>
      <c r="AD62" s="106">
        <v>6003</v>
      </c>
      <c r="AE62" s="107">
        <f t="shared" si="7"/>
        <v>-3099</v>
      </c>
    </row>
    <row r="63" spans="14:31" ht="15.6" customHeight="1" x14ac:dyDescent="0.3">
      <c r="N63" s="212"/>
      <c r="O63" s="94" t="s">
        <v>67</v>
      </c>
      <c r="P63" s="108"/>
      <c r="Q63" s="108">
        <v>5580</v>
      </c>
      <c r="R63" s="108">
        <v>1062</v>
      </c>
      <c r="S63" s="108">
        <f t="shared" si="1"/>
        <v>2259</v>
      </c>
      <c r="T63" s="108">
        <v>5580</v>
      </c>
      <c r="U63" s="108">
        <f t="shared" si="2"/>
        <v>-1489</v>
      </c>
      <c r="V63" s="108">
        <v>2602</v>
      </c>
      <c r="W63" s="108">
        <f t="shared" si="3"/>
        <v>617</v>
      </c>
      <c r="X63" s="108">
        <v>3836</v>
      </c>
      <c r="Y63" s="108">
        <f t="shared" si="4"/>
        <v>234</v>
      </c>
      <c r="Z63" s="108">
        <v>4304</v>
      </c>
      <c r="AA63" s="108">
        <f t="shared" si="5"/>
        <v>0</v>
      </c>
      <c r="AB63" s="108">
        <v>4304</v>
      </c>
      <c r="AC63" s="108">
        <f t="shared" si="6"/>
        <v>0</v>
      </c>
      <c r="AD63" s="108">
        <v>4304</v>
      </c>
      <c r="AE63" s="109">
        <f t="shared" si="7"/>
        <v>-1276</v>
      </c>
    </row>
    <row r="64" spans="14:31" ht="15.6" customHeight="1" thickBot="1" x14ac:dyDescent="0.35">
      <c r="N64" s="213"/>
      <c r="O64" s="99" t="s">
        <v>68</v>
      </c>
      <c r="P64" s="114"/>
      <c r="Q64" s="114">
        <v>2538</v>
      </c>
      <c r="R64" s="114">
        <v>350</v>
      </c>
      <c r="S64" s="114">
        <f t="shared" si="1"/>
        <v>1094</v>
      </c>
      <c r="T64" s="114">
        <v>2538</v>
      </c>
      <c r="U64" s="114">
        <f t="shared" si="2"/>
        <v>-952.5</v>
      </c>
      <c r="V64" s="114">
        <v>633</v>
      </c>
      <c r="W64" s="114">
        <f t="shared" si="3"/>
        <v>191</v>
      </c>
      <c r="X64" s="114">
        <v>1015</v>
      </c>
      <c r="Y64" s="114">
        <f t="shared" si="4"/>
        <v>78</v>
      </c>
      <c r="Z64" s="114">
        <v>1171</v>
      </c>
      <c r="AA64" s="114">
        <f t="shared" si="5"/>
        <v>0</v>
      </c>
      <c r="AB64" s="114">
        <v>1171</v>
      </c>
      <c r="AC64" s="114">
        <f t="shared" si="6"/>
        <v>0</v>
      </c>
      <c r="AD64" s="114">
        <v>1171</v>
      </c>
      <c r="AE64" s="115">
        <f t="shared" si="7"/>
        <v>-1367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71" priority="11" operator="lessThan">
      <formula>0</formula>
    </cfRule>
    <cfRule type="cellIs" dxfId="1570" priority="12" operator="greaterThan">
      <formula>0</formula>
    </cfRule>
  </conditionalFormatting>
  <conditionalFormatting sqref="R25:AC25">
    <cfRule type="cellIs" dxfId="1569" priority="9" operator="lessThan">
      <formula>0</formula>
    </cfRule>
    <cfRule type="cellIs" dxfId="1568" priority="10" operator="greaterThan">
      <formula>0</formula>
    </cfRule>
  </conditionalFormatting>
  <conditionalFormatting sqref="R26 T26 V26 X26 Z26 AB26">
    <cfRule type="cellIs" dxfId="1567" priority="7" operator="lessThan">
      <formula>0</formula>
    </cfRule>
    <cfRule type="cellIs" dxfId="1566" priority="8" operator="greaterThan">
      <formula>0</formula>
    </cfRule>
  </conditionalFormatting>
  <conditionalFormatting sqref="AD24:AE24">
    <cfRule type="cellIs" dxfId="1565" priority="5" operator="lessThan">
      <formula>0</formula>
    </cfRule>
    <cfRule type="cellIs" dxfId="1564" priority="6" operator="greaterThan">
      <formula>0</formula>
    </cfRule>
  </conditionalFormatting>
  <conditionalFormatting sqref="AD25:AE25">
    <cfRule type="cellIs" dxfId="1563" priority="3" operator="lessThan">
      <formula>0</formula>
    </cfRule>
    <cfRule type="cellIs" dxfId="1562" priority="4" operator="greaterThan">
      <formula>0</formula>
    </cfRule>
  </conditionalFormatting>
  <conditionalFormatting sqref="AD26">
    <cfRule type="cellIs" dxfId="1561" priority="1" operator="lessThan">
      <formula>0</formula>
    </cfRule>
    <cfRule type="cellIs" dxfId="15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44388</v>
      </c>
    </row>
    <row r="3" spans="2:42" ht="18.75" customHeight="1" thickBot="1" x14ac:dyDescent="0.35">
      <c r="B3" t="s">
        <v>1</v>
      </c>
      <c r="C3" s="3">
        <f>C2+1</f>
        <v>44389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2690</v>
      </c>
      <c r="E6" s="18" t="s">
        <v>22</v>
      </c>
      <c r="F6" s="119">
        <v>19088</v>
      </c>
      <c r="G6" s="117">
        <v>15329.474874999991</v>
      </c>
      <c r="H6" s="117">
        <v>11645.187245060009</v>
      </c>
      <c r="I6" s="19">
        <f>G6+H6</f>
        <v>26974.662120059998</v>
      </c>
      <c r="J6" s="119">
        <v>19914</v>
      </c>
      <c r="K6" s="117">
        <v>15754.205125</v>
      </c>
      <c r="L6" s="117">
        <v>12649.79763736001</v>
      </c>
      <c r="M6" s="19">
        <f>K6+L6</f>
        <v>28404.002762360011</v>
      </c>
      <c r="N6" s="85">
        <v>72</v>
      </c>
      <c r="O6" s="85">
        <v>59</v>
      </c>
      <c r="P6" s="92"/>
      <c r="Q6" s="20">
        <f>J6-P6</f>
        <v>19914</v>
      </c>
      <c r="R6" s="21">
        <v>3244</v>
      </c>
      <c r="S6" s="20">
        <f>IF(R6&gt;0,(R6-R7-$Q6),"")</f>
        <v>-16972</v>
      </c>
      <c r="T6" s="21">
        <v>5621</v>
      </c>
      <c r="U6" s="20">
        <f>IF(T6&gt;0,(T6-T7-$Q6),"")</f>
        <v>-14296</v>
      </c>
      <c r="V6" s="21">
        <v>11804</v>
      </c>
      <c r="W6" s="20">
        <f>IF(V6&gt;0,(V6-V7-$Q6),"")</f>
        <v>-8117</v>
      </c>
      <c r="X6" s="21">
        <v>15474</v>
      </c>
      <c r="Y6" s="20">
        <f>IF(X6&gt;0,(X6-X7-$Q6),"")</f>
        <v>-4470</v>
      </c>
      <c r="Z6" s="21">
        <v>16431</v>
      </c>
      <c r="AA6" s="20">
        <f>IF(Z6&gt;0,(Z6-Z7-$Q6),"")</f>
        <v>-3503</v>
      </c>
      <c r="AB6" s="21">
        <v>16431</v>
      </c>
      <c r="AC6" s="22">
        <f>IF(AB6&gt;0,(AB6-AB7-$Q6),"")</f>
        <v>-3503</v>
      </c>
      <c r="AD6" s="21">
        <v>16431</v>
      </c>
      <c r="AE6" s="22">
        <f>IF(AD6&gt;0,(AD6-AD7-$Q6),"")</f>
        <v>-3503</v>
      </c>
    </row>
    <row r="7" spans="2:42" x14ac:dyDescent="0.3">
      <c r="B7" s="16" t="s">
        <v>23</v>
      </c>
      <c r="C7" s="17">
        <v>347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302</v>
      </c>
      <c r="S7" s="24"/>
      <c r="T7" s="25">
        <v>3</v>
      </c>
      <c r="U7" s="24"/>
      <c r="V7" s="25">
        <v>7</v>
      </c>
      <c r="W7" s="24"/>
      <c r="X7" s="25">
        <v>30</v>
      </c>
      <c r="Y7" s="24"/>
      <c r="Z7" s="25">
        <v>20</v>
      </c>
      <c r="AA7" s="24"/>
      <c r="AB7" s="25">
        <v>20</v>
      </c>
      <c r="AC7" s="26"/>
      <c r="AD7" s="25">
        <v>20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2333</v>
      </c>
      <c r="E8" s="29" t="s">
        <v>27</v>
      </c>
      <c r="F8" s="119">
        <v>13967</v>
      </c>
      <c r="G8" s="117">
        <v>5963.4994999999999</v>
      </c>
      <c r="H8" s="117">
        <v>1312.8790335000001</v>
      </c>
      <c r="I8" s="19">
        <f>G8+H8</f>
        <v>7276.3785335000002</v>
      </c>
      <c r="J8" s="119">
        <v>14450</v>
      </c>
      <c r="K8" s="117">
        <v>6173.732</v>
      </c>
      <c r="L8" s="117">
        <v>1378.6275873</v>
      </c>
      <c r="M8" s="19">
        <f>K8+L8</f>
        <v>7552.3595872999995</v>
      </c>
      <c r="N8" s="87">
        <v>29</v>
      </c>
      <c r="O8" s="87">
        <v>19</v>
      </c>
      <c r="P8" s="92"/>
      <c r="Q8" s="20">
        <f>J8-P8</f>
        <v>14450</v>
      </c>
      <c r="R8" s="21">
        <v>1895</v>
      </c>
      <c r="S8" s="20">
        <f>IF(R8&gt;0,(R8-R9-$Q8),"")</f>
        <v>-12555</v>
      </c>
      <c r="T8" s="21">
        <v>2530</v>
      </c>
      <c r="U8" s="20">
        <f>IF(T8&gt;0,(T8-T9-$Q8),"")</f>
        <v>-11920</v>
      </c>
      <c r="V8" s="21">
        <v>5768</v>
      </c>
      <c r="W8" s="20">
        <f>IF(V8&gt;0,(V8-V9-$Q8),"")</f>
        <v>-8682</v>
      </c>
      <c r="X8" s="21">
        <v>11975</v>
      </c>
      <c r="Y8" s="20">
        <f>IF(X8&gt;0,(X8-X9-$Q8),"")</f>
        <v>-2478</v>
      </c>
      <c r="Z8" s="21">
        <v>14041</v>
      </c>
      <c r="AA8" s="20">
        <f>IF(Z8&gt;0,(Z8-Z9-$Q8),"")</f>
        <v>-412</v>
      </c>
      <c r="AB8" s="21">
        <v>14041</v>
      </c>
      <c r="AC8" s="22">
        <f>IF(AB8&gt;0,(AB8-AB9-$Q8),"")</f>
        <v>-412</v>
      </c>
      <c r="AD8" s="21">
        <v>14041</v>
      </c>
      <c r="AE8" s="22">
        <f>IF(AD8&gt;0,(AD8-AD9-$Q8),"")</f>
        <v>-412</v>
      </c>
    </row>
    <row r="9" spans="2:42" x14ac:dyDescent="0.3">
      <c r="B9" s="28" t="s">
        <v>28</v>
      </c>
      <c r="C9" s="17">
        <v>1802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3</v>
      </c>
      <c r="AE9" s="26"/>
    </row>
    <row r="10" spans="2:42" x14ac:dyDescent="0.3">
      <c r="B10" s="16" t="s">
        <v>30</v>
      </c>
      <c r="C10" s="17">
        <v>6178</v>
      </c>
      <c r="E10" s="18" t="s">
        <v>31</v>
      </c>
      <c r="F10" s="119">
        <v>9833</v>
      </c>
      <c r="G10" s="117">
        <v>7405.9883750000008</v>
      </c>
      <c r="H10" s="117">
        <v>1976.4823675</v>
      </c>
      <c r="I10" s="19">
        <f>G10+H10</f>
        <v>9382.4707425000015</v>
      </c>
      <c r="J10" s="119">
        <v>10180</v>
      </c>
      <c r="K10" s="117">
        <v>7576.2563749999999</v>
      </c>
      <c r="L10" s="117">
        <v>2025.73089</v>
      </c>
      <c r="M10" s="19">
        <f>K10+L10</f>
        <v>9601.9872649999998</v>
      </c>
      <c r="N10" s="88">
        <v>38</v>
      </c>
      <c r="O10" s="88">
        <v>29</v>
      </c>
      <c r="P10" s="92"/>
      <c r="Q10" s="20">
        <f>J10-P10</f>
        <v>10180</v>
      </c>
      <c r="R10" s="21">
        <v>873</v>
      </c>
      <c r="S10" s="20">
        <f>IF(R10&gt;0,(R10-R11-$Q10),"")</f>
        <v>-9551</v>
      </c>
      <c r="T10" s="21">
        <v>2076</v>
      </c>
      <c r="U10" s="20">
        <f>IF(T10&gt;0,(T10-T11-$Q10),"")</f>
        <v>-9209</v>
      </c>
      <c r="V10" s="21">
        <v>4177</v>
      </c>
      <c r="W10" s="20">
        <f>IF(V10&gt;0,(V10-V11-$Q10),"")</f>
        <v>-7433</v>
      </c>
      <c r="X10" s="21">
        <v>5761</v>
      </c>
      <c r="Y10" s="20">
        <f>IF(X10&gt;0,(X10-X11-$Q10),"")</f>
        <v>-6140</v>
      </c>
      <c r="Z10" s="21">
        <v>6625</v>
      </c>
      <c r="AA10" s="20">
        <f>IF(Z10&gt;0,(Z10-Z11-$Q10),"")</f>
        <v>-5722</v>
      </c>
      <c r="AB10" s="21">
        <v>6625</v>
      </c>
      <c r="AC10" s="22">
        <f>IF(AB10&gt;0,(AB10-AB11-$Q10),"")</f>
        <v>-5722</v>
      </c>
      <c r="AD10" s="21">
        <v>6625</v>
      </c>
      <c r="AE10" s="22">
        <f>IF(AD10&gt;0,(AD10-AD11-$Q10),"")</f>
        <v>-5722</v>
      </c>
    </row>
    <row r="11" spans="2:42" x14ac:dyDescent="0.3">
      <c r="B11" s="16" t="s">
        <v>32</v>
      </c>
      <c r="C11" s="17">
        <v>2170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244</v>
      </c>
      <c r="S11" s="24"/>
      <c r="T11" s="30">
        <v>1105</v>
      </c>
      <c r="U11" s="24"/>
      <c r="V11" s="30">
        <v>1430</v>
      </c>
      <c r="W11" s="24"/>
      <c r="X11" s="30">
        <v>1721</v>
      </c>
      <c r="Y11" s="24"/>
      <c r="Z11" s="30">
        <v>2167</v>
      </c>
      <c r="AA11" s="24"/>
      <c r="AB11" s="30">
        <v>2167</v>
      </c>
      <c r="AC11" s="26"/>
      <c r="AD11" s="30">
        <v>2167</v>
      </c>
      <c r="AE11" s="26"/>
    </row>
    <row r="12" spans="2:42" x14ac:dyDescent="0.3">
      <c r="B12" s="16" t="s">
        <v>34</v>
      </c>
      <c r="C12" s="17">
        <v>1810</v>
      </c>
      <c r="E12" s="29" t="s">
        <v>35</v>
      </c>
      <c r="F12" s="119">
        <v>14960</v>
      </c>
      <c r="G12" s="117">
        <v>11425.93399999999</v>
      </c>
      <c r="H12" s="117">
        <v>14364.866926860001</v>
      </c>
      <c r="I12" s="19">
        <f>G12+H12</f>
        <v>25790.800926859993</v>
      </c>
      <c r="J12" s="119">
        <v>14569</v>
      </c>
      <c r="K12" s="117">
        <v>10620.77425</v>
      </c>
      <c r="L12" s="117">
        <v>12758.451962839999</v>
      </c>
      <c r="M12" s="19">
        <f>K12+L12</f>
        <v>23379.22621284</v>
      </c>
      <c r="N12" s="88">
        <v>54</v>
      </c>
      <c r="O12" s="88">
        <v>45</v>
      </c>
      <c r="P12" s="92"/>
      <c r="Q12" s="20">
        <f>J12-P12</f>
        <v>14569</v>
      </c>
      <c r="R12" s="21">
        <v>2332</v>
      </c>
      <c r="S12" s="20">
        <f>IF(R12&gt;0,(R12-R13-$Q12),"")</f>
        <v>-12648</v>
      </c>
      <c r="T12" s="21">
        <v>5052</v>
      </c>
      <c r="U12" s="20">
        <f>IF(T12&gt;0,(T12-T13-$Q12),"")</f>
        <v>-10440</v>
      </c>
      <c r="V12" s="21">
        <v>6157</v>
      </c>
      <c r="W12" s="20">
        <f>IF(V12&gt;0,(V12-V13-$Q12),"")</f>
        <v>-9335</v>
      </c>
      <c r="X12" s="21">
        <v>7918</v>
      </c>
      <c r="Y12" s="20">
        <f>IF(X12&gt;0,(X12-X13-$Q12),"")</f>
        <v>-7694</v>
      </c>
      <c r="Z12" s="21">
        <v>7421</v>
      </c>
      <c r="AA12" s="20">
        <f>IF(Z12&gt;0,(Z12-Z13-$Q12),"")</f>
        <v>-8425</v>
      </c>
      <c r="AB12" s="21">
        <v>7421</v>
      </c>
      <c r="AC12" s="22">
        <f>IF(AB12&gt;0,(AB12-AB13-$Q12),"")</f>
        <v>-8425</v>
      </c>
      <c r="AD12" s="21">
        <v>7421</v>
      </c>
      <c r="AE12" s="22">
        <f>IF(AD12&gt;0,(AD12-AD13-$Q12),"")</f>
        <v>-8425</v>
      </c>
    </row>
    <row r="13" spans="2:42" x14ac:dyDescent="0.3">
      <c r="B13" s="16" t="s">
        <v>36</v>
      </c>
      <c r="C13" s="17">
        <v>5088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411</v>
      </c>
      <c r="S13" s="24"/>
      <c r="T13" s="30">
        <v>923</v>
      </c>
      <c r="U13" s="24"/>
      <c r="V13" s="30">
        <v>923</v>
      </c>
      <c r="W13" s="24"/>
      <c r="X13" s="30">
        <v>1043</v>
      </c>
      <c r="Y13" s="24"/>
      <c r="Z13" s="30">
        <v>1277</v>
      </c>
      <c r="AA13" s="24"/>
      <c r="AB13" s="30">
        <v>1277</v>
      </c>
      <c r="AC13" s="26"/>
      <c r="AD13" s="30">
        <v>1277</v>
      </c>
      <c r="AE13" s="26"/>
    </row>
    <row r="14" spans="2:42" x14ac:dyDescent="0.3">
      <c r="B14" s="16" t="s">
        <v>38</v>
      </c>
      <c r="C14" s="17">
        <v>10821</v>
      </c>
      <c r="E14" s="18" t="s">
        <v>39</v>
      </c>
      <c r="F14" s="119">
        <v>23870</v>
      </c>
      <c r="G14" s="117">
        <v>18817.15625</v>
      </c>
      <c r="H14" s="117">
        <v>23086.192912944982</v>
      </c>
      <c r="I14" s="19">
        <f>G14+H14</f>
        <v>41903.349162944985</v>
      </c>
      <c r="J14" s="119">
        <v>24025</v>
      </c>
      <c r="K14" s="117">
        <v>19010.96875</v>
      </c>
      <c r="L14" s="117">
        <v>23265.588449845</v>
      </c>
      <c r="M14" s="19">
        <f>K14+L14</f>
        <v>42276.557199845003</v>
      </c>
      <c r="N14" s="88">
        <v>74</v>
      </c>
      <c r="O14" s="88">
        <v>45</v>
      </c>
      <c r="P14" s="92"/>
      <c r="Q14" s="20">
        <f>J14-P14</f>
        <v>24025</v>
      </c>
      <c r="R14" s="21">
        <v>4498</v>
      </c>
      <c r="S14" s="20">
        <f>IF(R14&gt;0,(R14-R15-$Q14),"")</f>
        <v>-23504</v>
      </c>
      <c r="T14" s="21">
        <v>7597</v>
      </c>
      <c r="U14" s="20">
        <f>IF(T14&gt;0,(T14-T15-$Q14),"")</f>
        <v>-22813</v>
      </c>
      <c r="V14" s="21">
        <v>9323</v>
      </c>
      <c r="W14" s="20">
        <f>IF(V14&gt;0,(V14-V15-$Q14),"")</f>
        <v>-22537</v>
      </c>
      <c r="X14" s="21">
        <v>11269</v>
      </c>
      <c r="Y14" s="20">
        <f>IF(X14&gt;0,(X14-X15-$Q14),"")</f>
        <v>-21683</v>
      </c>
      <c r="Z14" s="21">
        <v>12962</v>
      </c>
      <c r="AA14" s="20">
        <f>IF(Z14&gt;0,(Z14-Z15-$Q14),"")</f>
        <v>-20994</v>
      </c>
      <c r="AB14" s="21">
        <v>13928</v>
      </c>
      <c r="AC14" s="22">
        <f>IF(AB14&gt;0,(AB14-AB15-$Q14),"")</f>
        <v>-20028</v>
      </c>
      <c r="AD14" s="21">
        <v>13928</v>
      </c>
      <c r="AE14" s="22">
        <f>IF(AD14&gt;0,(AD14-AD15-$Q14),"")</f>
        <v>-20028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29</v>
      </c>
      <c r="P15" s="93" t="s">
        <v>41</v>
      </c>
      <c r="Q15" s="24"/>
      <c r="R15" s="25">
        <v>3977</v>
      </c>
      <c r="S15" s="24"/>
      <c r="T15" s="25">
        <v>6385</v>
      </c>
      <c r="U15" s="24"/>
      <c r="V15" s="25">
        <v>7835</v>
      </c>
      <c r="W15" s="24"/>
      <c r="X15" s="25">
        <v>8927</v>
      </c>
      <c r="Y15" s="24"/>
      <c r="Z15" s="25">
        <v>9931</v>
      </c>
      <c r="AA15" s="24"/>
      <c r="AB15" s="25">
        <v>9931</v>
      </c>
      <c r="AC15" s="26"/>
      <c r="AD15" s="25">
        <v>9931</v>
      </c>
      <c r="AE15" s="26"/>
    </row>
    <row r="16" spans="2:42" ht="15" customHeight="1" thickBot="1" x14ac:dyDescent="0.35">
      <c r="B16" s="28" t="s">
        <v>42</v>
      </c>
      <c r="C16" s="17">
        <v>9753</v>
      </c>
      <c r="E16" s="84"/>
      <c r="F16" s="31">
        <f t="shared" ref="F16:M16" si="0">SUM(F6:F15)</f>
        <v>81718</v>
      </c>
      <c r="G16" s="31">
        <f t="shared" si="0"/>
        <v>58942.052999999985</v>
      </c>
      <c r="H16" s="31">
        <f t="shared" si="0"/>
        <v>52385.608485864992</v>
      </c>
      <c r="I16" s="32">
        <f t="shared" si="0"/>
        <v>111327.66148586497</v>
      </c>
      <c r="J16" s="33">
        <f t="shared" si="0"/>
        <v>83138</v>
      </c>
      <c r="K16" s="33">
        <f t="shared" si="0"/>
        <v>59135.936500000003</v>
      </c>
      <c r="L16" s="33">
        <f t="shared" si="0"/>
        <v>52078.196527345004</v>
      </c>
      <c r="M16" s="33">
        <f t="shared" si="0"/>
        <v>111214.13302734501</v>
      </c>
      <c r="N16" s="31">
        <f>SUM(N14,N12,N10,N8,N6)</f>
        <v>267</v>
      </c>
      <c r="O16" s="31">
        <f>SUM(O14,O12,O10,O8,O6)</f>
        <v>197</v>
      </c>
      <c r="P16" s="34">
        <f>SUM(P6:P15)</f>
        <v>0</v>
      </c>
      <c r="Q16" s="34">
        <f>SUM(Q6:Q15)</f>
        <v>83138</v>
      </c>
      <c r="R16" s="35">
        <f>R6+R8+R10+R12+R14-R7-R9-R11-R13-R15</f>
        <v>7908</v>
      </c>
      <c r="S16" s="36">
        <f>IF(R16&gt;1,(R16-$Q16),"")</f>
        <v>-75230</v>
      </c>
      <c r="T16" s="35">
        <f>T6+T8+T10+T12+T14-T7-T9-T11-T13-T15</f>
        <v>14460</v>
      </c>
      <c r="U16" s="36">
        <f>IF(T16&gt;1,(T16-$Q16),"")</f>
        <v>-68678</v>
      </c>
      <c r="V16" s="35">
        <f>V6+V8+V10+V12+V14-V7-V9-V11-V13-V15</f>
        <v>27034</v>
      </c>
      <c r="W16" s="36">
        <f>IF(V16&gt;1,(V16-$Q16),"")</f>
        <v>-56104</v>
      </c>
      <c r="X16" s="35">
        <f>X6+X8+X10+X12+X14-X7-X9-X11-X13-X15</f>
        <v>40673</v>
      </c>
      <c r="Y16" s="36">
        <f>IF(X16&gt;1,(X16-$Q16),"")</f>
        <v>-42465</v>
      </c>
      <c r="Z16" s="35">
        <f>Z6+Z8+Z10+Z12+Z14-Z7-Z9-Z11-Z13-Z15</f>
        <v>44082</v>
      </c>
      <c r="AA16" s="36">
        <f>IF(Z16&gt;1,(Z16-$Q16),"")</f>
        <v>-39056</v>
      </c>
      <c r="AB16" s="35">
        <f>AB6+AB8+AB10+AB12+AB14-AB7-AB9-AB11-AB13-AB15</f>
        <v>45048</v>
      </c>
      <c r="AC16" s="37">
        <f>IF(AB16&gt;1,(AB16-$Q16),"")</f>
        <v>-38090</v>
      </c>
      <c r="AD16" s="35">
        <f>AD6+AD8+AD10+AD12+AD14-AD7-AD9-AD11-AD13-AD15</f>
        <v>45048</v>
      </c>
      <c r="AE16" s="37">
        <f>IF(AD16&gt;1,(AD16-$Q16),"")</f>
        <v>-38090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70</v>
      </c>
      <c r="P17" s="38" t="s">
        <v>44</v>
      </c>
      <c r="Q17" s="39"/>
      <c r="R17" s="40">
        <f>R15+R13+R11+R9+R7</f>
        <v>4934</v>
      </c>
      <c r="S17" s="41"/>
      <c r="T17" s="40">
        <f>T15+T13+T11+T9+T7</f>
        <v>8416</v>
      </c>
      <c r="U17" s="41"/>
      <c r="V17" s="40">
        <f>V15+V13+V11+V9+V7</f>
        <v>10195</v>
      </c>
      <c r="W17" s="41"/>
      <c r="X17" s="40">
        <f>X15+X13+X11+X9+X7</f>
        <v>11724</v>
      </c>
      <c r="Y17" s="41"/>
      <c r="Z17" s="40">
        <f>Z15+Z13+Z11+Z9+Z7</f>
        <v>13398</v>
      </c>
      <c r="AA17" s="41"/>
      <c r="AB17" s="40">
        <f>AB15+AB13+AB11+AB9+AB7</f>
        <v>13398</v>
      </c>
      <c r="AC17" s="42"/>
      <c r="AD17" s="40">
        <f>AD15+AD13+AD11+AD9+AD7</f>
        <v>13398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3954</v>
      </c>
      <c r="S18" s="46"/>
      <c r="T18" s="47">
        <f>IF(T16&gt;0,(T16-R16)/2,"")</f>
        <v>3276</v>
      </c>
      <c r="U18" s="46"/>
      <c r="V18" s="47">
        <f>IF(V16&gt;0,(V16-T16)/2,"")</f>
        <v>6287</v>
      </c>
      <c r="W18" s="46"/>
      <c r="X18" s="47">
        <f>IF(X16&gt;0,(X16-V16)/2,"")</f>
        <v>6819.5</v>
      </c>
      <c r="Y18" s="46"/>
      <c r="Z18" s="47">
        <f>IF(Z16&gt;0,(Z16-X16)/2,"")</f>
        <v>1704.5</v>
      </c>
      <c r="AA18" s="46"/>
      <c r="AB18" s="47">
        <f>IF(AB16&gt;0,(AB16-Z16)/2,"")</f>
        <v>483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8384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1210</v>
      </c>
      <c r="L20" s="4"/>
      <c r="M20" s="4"/>
      <c r="Q20" s="51" t="s">
        <v>49</v>
      </c>
      <c r="R20" s="35">
        <v>13647</v>
      </c>
      <c r="S20" s="36"/>
      <c r="T20" s="35">
        <v>20093</v>
      </c>
      <c r="U20" s="36"/>
      <c r="V20" s="35">
        <v>32664</v>
      </c>
      <c r="W20" s="36"/>
      <c r="X20" s="35">
        <v>44886</v>
      </c>
      <c r="Y20" s="36"/>
      <c r="Z20" s="35">
        <v>50140</v>
      </c>
      <c r="AA20" s="36"/>
      <c r="AB20" s="35">
        <v>50140</v>
      </c>
      <c r="AC20" s="37"/>
      <c r="AD20" s="35">
        <v>50140</v>
      </c>
      <c r="AE20" s="37">
        <v>-35759</v>
      </c>
    </row>
    <row r="21" spans="2:43" ht="15" customHeight="1" thickBot="1" x14ac:dyDescent="0.35">
      <c r="B21" s="57" t="s">
        <v>52</v>
      </c>
      <c r="C21" s="58">
        <v>4444</v>
      </c>
      <c r="L21" s="4"/>
      <c r="M21" s="4"/>
      <c r="Q21" s="52"/>
      <c r="R21" s="40">
        <v>6735</v>
      </c>
      <c r="S21" s="41"/>
      <c r="T21" s="40">
        <v>8551</v>
      </c>
      <c r="U21" s="41"/>
      <c r="V21" s="40">
        <v>12407</v>
      </c>
      <c r="W21" s="41"/>
      <c r="X21" s="40">
        <v>15289</v>
      </c>
      <c r="Y21" s="41"/>
      <c r="Z21" s="40">
        <v>16111</v>
      </c>
      <c r="AA21" s="41"/>
      <c r="AB21" s="40">
        <v>16111</v>
      </c>
      <c r="AC21" s="42"/>
      <c r="AD21" s="40">
        <v>16111</v>
      </c>
      <c r="AE21" s="42"/>
    </row>
    <row r="22" spans="2:43" ht="15" customHeight="1" thickBot="1" x14ac:dyDescent="0.35">
      <c r="L22" s="4"/>
      <c r="M22" s="4"/>
      <c r="Q22" s="54"/>
      <c r="R22" s="55">
        <v>3145.5</v>
      </c>
      <c r="S22" s="55"/>
      <c r="T22" s="55">
        <v>3658.5</v>
      </c>
      <c r="U22" s="55"/>
      <c r="V22" s="55">
        <v>6713.5</v>
      </c>
      <c r="W22" s="55"/>
      <c r="X22" s="55">
        <v>5031.5</v>
      </c>
      <c r="Y22" s="55"/>
      <c r="Z22" s="55">
        <v>980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-5739</v>
      </c>
      <c r="S24" s="60"/>
      <c r="T24" s="60">
        <f>IF(T16&gt;0,T16-T20,"")</f>
        <v>-5633</v>
      </c>
      <c r="U24" s="60"/>
      <c r="V24" s="60">
        <f>IF(V16&gt;0,V16-V20,"")</f>
        <v>-5630</v>
      </c>
      <c r="W24" s="60"/>
      <c r="X24" s="60">
        <f>IF(X16&gt;0,X16-X20,"")</f>
        <v>-4213</v>
      </c>
      <c r="Y24" s="60"/>
      <c r="Z24" s="60">
        <f>IF(Z16&gt;0,Z16-Z20,"")</f>
        <v>-6058</v>
      </c>
      <c r="AA24" s="60"/>
      <c r="AB24" s="60">
        <f>IF(AB16&gt;0,AB16-AB20,"")</f>
        <v>-5092</v>
      </c>
      <c r="AC24" s="61"/>
      <c r="AD24" s="60">
        <f>IF(AD16&gt;0,AD16-AD20,"")</f>
        <v>-5092</v>
      </c>
      <c r="AE24" s="61"/>
    </row>
    <row r="25" spans="2:43" x14ac:dyDescent="0.3">
      <c r="L25" s="4"/>
      <c r="M25" s="4"/>
      <c r="Q25" s="62"/>
      <c r="R25" s="63">
        <f>IF(R17&gt;=0,R17-R21,"")</f>
        <v>-1801</v>
      </c>
      <c r="S25" s="64"/>
      <c r="T25" s="63">
        <f>IF(T17&gt;=0,T17-T21,"")</f>
        <v>-135</v>
      </c>
      <c r="U25" s="64"/>
      <c r="V25" s="63">
        <f>IF(V17&gt;=0,V17-V21,"")</f>
        <v>-2212</v>
      </c>
      <c r="W25" s="64"/>
      <c r="X25" s="63">
        <f>IF(X17&gt;=0,X17-X21,"")</f>
        <v>-3565</v>
      </c>
      <c r="Y25" s="64"/>
      <c r="Z25" s="63">
        <f>IF(Z17&gt;=0,Z17-Z21,"")</f>
        <v>-2713</v>
      </c>
      <c r="AA25" s="64"/>
      <c r="AB25" s="63">
        <f>IF(AB17&gt;=0,AB17-AB21,"")</f>
        <v>-2713</v>
      </c>
      <c r="AC25" s="65"/>
      <c r="AD25" s="63">
        <f>IF(AD17&gt;=0,AD17-AD21,"")</f>
        <v>-2713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808.5</v>
      </c>
      <c r="S26" s="55"/>
      <c r="T26" s="67">
        <f>IFERROR(IF(T18&gt;0,T18-T22,""),"")</f>
        <v>-382.5</v>
      </c>
      <c r="U26" s="55"/>
      <c r="V26" s="67">
        <f>IFERROR(IF(V18&gt;0,V18-V22,""),"")</f>
        <v>-426.5</v>
      </c>
      <c r="W26" s="55"/>
      <c r="X26" s="67">
        <f>IFERROR(IF(X18&gt;0,X18-X22,""),"")</f>
        <v>1788</v>
      </c>
      <c r="Y26" s="55"/>
      <c r="Z26" s="67">
        <f>IFERROR(IF(Z18&gt;0,Z18-Z22,""),"")</f>
        <v>724.5</v>
      </c>
      <c r="AA26" s="55"/>
      <c r="AB26" s="67">
        <f>IFERROR(IF(AB18&gt;0,AB18-AB22,""),"")</f>
        <v>483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9409</v>
      </c>
      <c r="D29" s="76">
        <f>C14</f>
        <v>10821</v>
      </c>
      <c r="E29" s="77">
        <f>D29-C29</f>
        <v>1412</v>
      </c>
      <c r="M29" s="4"/>
      <c r="O29" s="4"/>
    </row>
    <row r="30" spans="2:43" x14ac:dyDescent="0.3">
      <c r="B30" s="74" t="s">
        <v>56</v>
      </c>
      <c r="C30" s="75">
        <v>25267</v>
      </c>
      <c r="D30" s="76">
        <f>C7+C15+C16+C17+C18</f>
        <v>10100</v>
      </c>
      <c r="E30" s="77">
        <f>D30-C30</f>
        <v>-15167</v>
      </c>
      <c r="J30" s="53"/>
      <c r="L30" s="53"/>
      <c r="M30" s="4"/>
      <c r="O30" s="4"/>
    </row>
    <row r="31" spans="2:43" x14ac:dyDescent="0.3">
      <c r="B31" s="74" t="s">
        <v>21</v>
      </c>
      <c r="C31" s="75">
        <v>2690</v>
      </c>
      <c r="D31" s="76">
        <f>C6</f>
        <v>2690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15246</v>
      </c>
      <c r="D32" s="76">
        <f>C10+C11+C12+C13</f>
        <v>15246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13552</v>
      </c>
      <c r="D33" s="76">
        <f>C19+C20+C21</f>
        <v>14038</v>
      </c>
      <c r="E33" s="77">
        <f>D33-C33</f>
        <v>486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4135</v>
      </c>
      <c r="D34" s="80">
        <f>SUM(C8+C9)</f>
        <v>4135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2548</v>
      </c>
      <c r="R35" s="104">
        <v>0</v>
      </c>
      <c r="S35" s="104">
        <f t="shared" ref="S35:S64" si="1">IF(T35&gt;0,(T35-R35)/2,"")</f>
        <v>216</v>
      </c>
      <c r="T35" s="104">
        <v>432</v>
      </c>
      <c r="U35" s="104">
        <f t="shared" ref="U35:U64" si="2">IF(V35&gt;0,(V35-T35)/2,"")</f>
        <v>228.5</v>
      </c>
      <c r="V35" s="104">
        <v>889</v>
      </c>
      <c r="W35" s="104">
        <f t="shared" ref="W35:W64" si="3">IF(X35&gt;0,(X35-V35)/2,"")</f>
        <v>0</v>
      </c>
      <c r="X35" s="104">
        <v>889</v>
      </c>
      <c r="Y35" s="104">
        <f t="shared" ref="Y35:Y64" si="4">IF(Z35&gt;0,(Z35-X35)/2,"")</f>
        <v>0</v>
      </c>
      <c r="Z35" s="104">
        <v>889</v>
      </c>
      <c r="AA35" s="104">
        <f t="shared" ref="AA35:AA64" si="5">IF(AB35&gt;0,(AB35-Z35)/2,"")</f>
        <v>0</v>
      </c>
      <c r="AB35" s="104">
        <v>889</v>
      </c>
      <c r="AC35" s="104">
        <f t="shared" ref="AC35:AC64" si="6">IF(AD35&gt;0,(AD35-AB35)/2,"")</f>
        <v>0</v>
      </c>
      <c r="AD35" s="104">
        <v>889</v>
      </c>
      <c r="AE35" s="105">
        <f t="shared" ref="AE35:AE64" si="7">AD35-Q35</f>
        <v>-1659</v>
      </c>
    </row>
    <row r="36" spans="2:31" ht="15.6" customHeight="1" x14ac:dyDescent="0.3">
      <c r="N36" s="212"/>
      <c r="O36" s="95" t="s">
        <v>66</v>
      </c>
      <c r="P36" s="106"/>
      <c r="Q36" s="106">
        <v>1313</v>
      </c>
      <c r="R36" s="106">
        <v>0</v>
      </c>
      <c r="S36" s="106">
        <f t="shared" si="1"/>
        <v>259.5</v>
      </c>
      <c r="T36" s="106">
        <v>519</v>
      </c>
      <c r="U36" s="106">
        <f t="shared" si="2"/>
        <v>0</v>
      </c>
      <c r="V36" s="106">
        <v>519</v>
      </c>
      <c r="W36" s="106">
        <f t="shared" si="3"/>
        <v>246.5</v>
      </c>
      <c r="X36" s="106">
        <v>1012</v>
      </c>
      <c r="Y36" s="106">
        <f t="shared" si="4"/>
        <v>0</v>
      </c>
      <c r="Z36" s="106">
        <v>1012</v>
      </c>
      <c r="AA36" s="106">
        <f t="shared" si="5"/>
        <v>0</v>
      </c>
      <c r="AB36" s="106">
        <v>1012</v>
      </c>
      <c r="AC36" s="106">
        <f t="shared" si="6"/>
        <v>0</v>
      </c>
      <c r="AD36" s="106">
        <v>1012</v>
      </c>
      <c r="AE36" s="107">
        <f t="shared" si="7"/>
        <v>-301</v>
      </c>
    </row>
    <row r="37" spans="2:31" ht="15.6" customHeight="1" x14ac:dyDescent="0.3">
      <c r="N37" s="212"/>
      <c r="O37" s="94" t="s">
        <v>67</v>
      </c>
      <c r="P37" s="108"/>
      <c r="Q37" s="108">
        <v>2539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338</v>
      </c>
      <c r="V37" s="108">
        <v>1096</v>
      </c>
      <c r="W37" s="108">
        <f t="shared" si="3"/>
        <v>721.5</v>
      </c>
      <c r="X37" s="108">
        <v>2539</v>
      </c>
      <c r="Y37" s="108">
        <f t="shared" si="4"/>
        <v>0</v>
      </c>
      <c r="Z37" s="108">
        <v>2539</v>
      </c>
      <c r="AA37" s="108">
        <f t="shared" si="5"/>
        <v>0</v>
      </c>
      <c r="AB37" s="108">
        <v>2539</v>
      </c>
      <c r="AC37" s="108">
        <f t="shared" si="6"/>
        <v>0</v>
      </c>
      <c r="AD37" s="108">
        <v>2539</v>
      </c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>
        <v>2976</v>
      </c>
      <c r="R38" s="106">
        <v>565</v>
      </c>
      <c r="S38" s="106">
        <f t="shared" si="1"/>
        <v>356.5</v>
      </c>
      <c r="T38" s="106">
        <v>1278</v>
      </c>
      <c r="U38" s="106">
        <f t="shared" si="2"/>
        <v>738.5</v>
      </c>
      <c r="V38" s="106">
        <v>2755</v>
      </c>
      <c r="W38" s="106">
        <f t="shared" si="3"/>
        <v>114.5</v>
      </c>
      <c r="X38" s="106">
        <v>2984</v>
      </c>
      <c r="Y38" s="106">
        <f t="shared" si="4"/>
        <v>0</v>
      </c>
      <c r="Z38" s="106">
        <v>2984</v>
      </c>
      <c r="AA38" s="106">
        <f t="shared" si="5"/>
        <v>0</v>
      </c>
      <c r="AB38" s="106">
        <v>2984</v>
      </c>
      <c r="AC38" s="106">
        <f t="shared" si="6"/>
        <v>0</v>
      </c>
      <c r="AD38" s="106">
        <v>2984</v>
      </c>
      <c r="AE38" s="107">
        <f t="shared" si="7"/>
        <v>8</v>
      </c>
    </row>
    <row r="39" spans="2:31" ht="15.6" customHeight="1" x14ac:dyDescent="0.3">
      <c r="N39" s="212"/>
      <c r="O39" s="94" t="s">
        <v>69</v>
      </c>
      <c r="P39" s="108"/>
      <c r="Q39" s="108">
        <v>2810</v>
      </c>
      <c r="R39" s="108">
        <v>1380</v>
      </c>
      <c r="S39" s="108">
        <f t="shared" si="1"/>
        <v>-167</v>
      </c>
      <c r="T39" s="108">
        <v>1046</v>
      </c>
      <c r="U39" s="108">
        <f t="shared" si="2"/>
        <v>460</v>
      </c>
      <c r="V39" s="108">
        <v>1966</v>
      </c>
      <c r="W39" s="108">
        <f t="shared" si="3"/>
        <v>0</v>
      </c>
      <c r="X39" s="108">
        <v>1966</v>
      </c>
      <c r="Y39" s="108">
        <f t="shared" si="4"/>
        <v>0</v>
      </c>
      <c r="Z39" s="108">
        <v>1966</v>
      </c>
      <c r="AA39" s="108">
        <f t="shared" si="5"/>
        <v>0</v>
      </c>
      <c r="AB39" s="108">
        <v>1966</v>
      </c>
      <c r="AC39" s="108">
        <f t="shared" si="6"/>
        <v>0</v>
      </c>
      <c r="AD39" s="108">
        <v>1966</v>
      </c>
      <c r="AE39" s="109">
        <f t="shared" si="7"/>
        <v>-844</v>
      </c>
    </row>
    <row r="40" spans="2:31" ht="15.6" customHeight="1" x14ac:dyDescent="0.3">
      <c r="N40" s="212"/>
      <c r="O40" s="95" t="s">
        <v>70</v>
      </c>
      <c r="P40" s="106"/>
      <c r="Q40" s="106">
        <v>3133</v>
      </c>
      <c r="R40" s="106">
        <v>653</v>
      </c>
      <c r="S40" s="106">
        <f t="shared" si="1"/>
        <v>172.5</v>
      </c>
      <c r="T40" s="106">
        <v>998</v>
      </c>
      <c r="U40" s="106">
        <f t="shared" si="2"/>
        <v>559.5</v>
      </c>
      <c r="V40" s="106">
        <v>2117</v>
      </c>
      <c r="W40" s="106">
        <f t="shared" si="3"/>
        <v>174.5</v>
      </c>
      <c r="X40" s="106">
        <v>2466</v>
      </c>
      <c r="Y40" s="106">
        <f t="shared" si="4"/>
        <v>0</v>
      </c>
      <c r="Z40" s="106">
        <v>2466</v>
      </c>
      <c r="AA40" s="106">
        <f t="shared" si="5"/>
        <v>0</v>
      </c>
      <c r="AB40" s="106">
        <v>2466</v>
      </c>
      <c r="AC40" s="106">
        <f t="shared" si="6"/>
        <v>0</v>
      </c>
      <c r="AD40" s="106">
        <v>2466</v>
      </c>
      <c r="AE40" s="107">
        <f t="shared" si="7"/>
        <v>-667</v>
      </c>
    </row>
    <row r="41" spans="2:31" ht="15.6" customHeight="1" x14ac:dyDescent="0.3">
      <c r="N41" s="212"/>
      <c r="O41" s="94" t="s">
        <v>71</v>
      </c>
      <c r="P41" s="108"/>
      <c r="Q41" s="108">
        <v>1163</v>
      </c>
      <c r="R41" s="108">
        <v>226</v>
      </c>
      <c r="S41" s="108">
        <f t="shared" si="1"/>
        <v>118</v>
      </c>
      <c r="T41" s="108">
        <v>462</v>
      </c>
      <c r="U41" s="108">
        <f t="shared" si="2"/>
        <v>136.5</v>
      </c>
      <c r="V41" s="108">
        <v>735</v>
      </c>
      <c r="W41" s="108">
        <f t="shared" si="3"/>
        <v>211.5</v>
      </c>
      <c r="X41" s="108">
        <v>1158</v>
      </c>
      <c r="Y41" s="108">
        <f t="shared" si="4"/>
        <v>0</v>
      </c>
      <c r="Z41" s="108">
        <v>1158</v>
      </c>
      <c r="AA41" s="108">
        <f t="shared" si="5"/>
        <v>0</v>
      </c>
      <c r="AB41" s="108">
        <v>1158</v>
      </c>
      <c r="AC41" s="108">
        <f t="shared" si="6"/>
        <v>0</v>
      </c>
      <c r="AD41" s="108">
        <v>1158</v>
      </c>
      <c r="AE41" s="109">
        <f t="shared" si="7"/>
        <v>-5</v>
      </c>
    </row>
    <row r="42" spans="2:31" ht="15.6" customHeight="1" x14ac:dyDescent="0.3">
      <c r="N42" s="212"/>
      <c r="O42" s="95" t="s">
        <v>72</v>
      </c>
      <c r="P42" s="106"/>
      <c r="Q42" s="106">
        <v>1710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272</v>
      </c>
      <c r="V42" s="106">
        <v>544</v>
      </c>
      <c r="W42" s="106">
        <f t="shared" si="3"/>
        <v>195</v>
      </c>
      <c r="X42" s="106">
        <v>934</v>
      </c>
      <c r="Y42" s="106">
        <f t="shared" si="4"/>
        <v>385.5</v>
      </c>
      <c r="Z42" s="106">
        <v>1705</v>
      </c>
      <c r="AA42" s="106">
        <f t="shared" si="5"/>
        <v>0</v>
      </c>
      <c r="AB42" s="106">
        <v>1705</v>
      </c>
      <c r="AC42" s="106">
        <f t="shared" si="6"/>
        <v>0</v>
      </c>
      <c r="AD42" s="106">
        <v>1705</v>
      </c>
      <c r="AE42" s="107">
        <f t="shared" si="7"/>
        <v>-5</v>
      </c>
    </row>
    <row r="43" spans="2:31" ht="15.6" customHeight="1" thickBot="1" x14ac:dyDescent="0.35">
      <c r="N43" s="213"/>
      <c r="O43" s="97" t="s">
        <v>73</v>
      </c>
      <c r="P43" s="110"/>
      <c r="Q43" s="110">
        <v>1722</v>
      </c>
      <c r="R43" s="110">
        <v>0</v>
      </c>
      <c r="S43" s="110">
        <f t="shared" si="1"/>
        <v>233</v>
      </c>
      <c r="T43" s="110">
        <v>466</v>
      </c>
      <c r="U43" s="110">
        <f t="shared" si="2"/>
        <v>358.5</v>
      </c>
      <c r="V43" s="110">
        <v>1183</v>
      </c>
      <c r="W43" s="110">
        <f t="shared" si="3"/>
        <v>171.5</v>
      </c>
      <c r="X43" s="110">
        <v>1526</v>
      </c>
      <c r="Y43" s="110">
        <f t="shared" si="4"/>
        <v>93</v>
      </c>
      <c r="Z43" s="110">
        <v>1712</v>
      </c>
      <c r="AA43" s="110">
        <f t="shared" si="5"/>
        <v>0</v>
      </c>
      <c r="AB43" s="110">
        <v>1712</v>
      </c>
      <c r="AC43" s="110">
        <f t="shared" si="6"/>
        <v>0</v>
      </c>
      <c r="AD43" s="110">
        <v>1712</v>
      </c>
      <c r="AE43" s="111">
        <f t="shared" si="7"/>
        <v>-10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4588</v>
      </c>
      <c r="R44" s="112">
        <v>1000</v>
      </c>
      <c r="S44" s="112">
        <f t="shared" si="1"/>
        <v>317.5</v>
      </c>
      <c r="T44" s="112">
        <v>1635</v>
      </c>
      <c r="U44" s="112">
        <f t="shared" si="2"/>
        <v>918.5</v>
      </c>
      <c r="V44" s="112">
        <v>3472</v>
      </c>
      <c r="W44" s="112">
        <f t="shared" si="3"/>
        <v>482</v>
      </c>
      <c r="X44" s="112">
        <v>4436</v>
      </c>
      <c r="Y44" s="112">
        <f t="shared" si="4"/>
        <v>76</v>
      </c>
      <c r="Z44" s="112">
        <v>4588</v>
      </c>
      <c r="AA44" s="112">
        <f t="shared" si="5"/>
        <v>0</v>
      </c>
      <c r="AB44" s="112">
        <v>4588</v>
      </c>
      <c r="AC44" s="112">
        <f t="shared" si="6"/>
        <v>0</v>
      </c>
      <c r="AD44" s="112">
        <v>4588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3617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700.5</v>
      </c>
      <c r="V45" s="108">
        <v>1401</v>
      </c>
      <c r="W45" s="108">
        <f t="shared" si="3"/>
        <v>1108</v>
      </c>
      <c r="X45" s="108">
        <v>3617</v>
      </c>
      <c r="Y45" s="108">
        <f t="shared" si="4"/>
        <v>0</v>
      </c>
      <c r="Z45" s="108">
        <v>3617</v>
      </c>
      <c r="AA45" s="108">
        <f t="shared" si="5"/>
        <v>0</v>
      </c>
      <c r="AB45" s="108">
        <v>3617</v>
      </c>
      <c r="AC45" s="108">
        <f t="shared" si="6"/>
        <v>0</v>
      </c>
      <c r="AD45" s="108">
        <v>3617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2265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501</v>
      </c>
      <c r="X46" s="106">
        <v>1002</v>
      </c>
      <c r="Y46" s="106">
        <f t="shared" si="4"/>
        <v>425.5</v>
      </c>
      <c r="Z46" s="106">
        <v>1853</v>
      </c>
      <c r="AA46" s="106">
        <f t="shared" si="5"/>
        <v>0</v>
      </c>
      <c r="AB46" s="106">
        <v>1853</v>
      </c>
      <c r="AC46" s="106">
        <f t="shared" si="6"/>
        <v>0</v>
      </c>
      <c r="AD46" s="106">
        <v>1853</v>
      </c>
      <c r="AE46" s="107">
        <f t="shared" si="7"/>
        <v>-412</v>
      </c>
    </row>
    <row r="47" spans="2:31" ht="15.6" customHeight="1" thickBot="1" x14ac:dyDescent="0.35">
      <c r="N47" s="213"/>
      <c r="O47" s="97" t="s">
        <v>68</v>
      </c>
      <c r="P47" s="110"/>
      <c r="Q47" s="110">
        <v>3980</v>
      </c>
      <c r="R47" s="110">
        <v>895</v>
      </c>
      <c r="S47" s="110">
        <f t="shared" si="1"/>
        <v>0</v>
      </c>
      <c r="T47" s="110">
        <v>895</v>
      </c>
      <c r="U47" s="110">
        <f t="shared" si="2"/>
        <v>0</v>
      </c>
      <c r="V47" s="110">
        <v>895</v>
      </c>
      <c r="W47" s="110">
        <f t="shared" si="3"/>
        <v>1012.5</v>
      </c>
      <c r="X47" s="110">
        <v>2920</v>
      </c>
      <c r="Y47" s="110">
        <f t="shared" si="4"/>
        <v>531.5</v>
      </c>
      <c r="Z47" s="110">
        <v>3983</v>
      </c>
      <c r="AA47" s="110">
        <f t="shared" si="5"/>
        <v>0</v>
      </c>
      <c r="AB47" s="110">
        <v>3983</v>
      </c>
      <c r="AC47" s="110">
        <f t="shared" si="6"/>
        <v>0</v>
      </c>
      <c r="AD47" s="110">
        <v>3983</v>
      </c>
      <c r="AE47" s="111">
        <f t="shared" si="7"/>
        <v>3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289</v>
      </c>
      <c r="R48" s="112">
        <v>2</v>
      </c>
      <c r="S48" s="112">
        <f t="shared" si="1"/>
        <v>0</v>
      </c>
      <c r="T48" s="112">
        <v>2</v>
      </c>
      <c r="U48" s="112">
        <f t="shared" si="2"/>
        <v>38</v>
      </c>
      <c r="V48" s="112">
        <v>78</v>
      </c>
      <c r="W48" s="112">
        <f t="shared" si="3"/>
        <v>66</v>
      </c>
      <c r="X48" s="112">
        <v>210</v>
      </c>
      <c r="Y48" s="112">
        <f t="shared" si="4"/>
        <v>0</v>
      </c>
      <c r="Z48" s="112">
        <v>210</v>
      </c>
      <c r="AA48" s="112">
        <f t="shared" si="5"/>
        <v>0</v>
      </c>
      <c r="AB48" s="112">
        <v>210</v>
      </c>
      <c r="AC48" s="112">
        <f t="shared" si="6"/>
        <v>0</v>
      </c>
      <c r="AD48" s="112">
        <v>210</v>
      </c>
      <c r="AE48" s="113">
        <f t="shared" si="7"/>
        <v>-79</v>
      </c>
    </row>
    <row r="49" spans="14:31" ht="15.6" customHeight="1" x14ac:dyDescent="0.3">
      <c r="N49" s="212"/>
      <c r="O49" s="94" t="s">
        <v>66</v>
      </c>
      <c r="P49" s="108"/>
      <c r="Q49" s="108">
        <v>336</v>
      </c>
      <c r="R49" s="108">
        <v>0</v>
      </c>
      <c r="S49" s="108">
        <f t="shared" si="1"/>
        <v>159.5</v>
      </c>
      <c r="T49" s="108">
        <v>319</v>
      </c>
      <c r="U49" s="108">
        <f t="shared" si="2"/>
        <v>0</v>
      </c>
      <c r="V49" s="108">
        <v>319</v>
      </c>
      <c r="W49" s="108">
        <f t="shared" si="3"/>
        <v>2</v>
      </c>
      <c r="X49" s="108">
        <v>323</v>
      </c>
      <c r="Y49" s="108">
        <f t="shared" si="4"/>
        <v>7</v>
      </c>
      <c r="Z49" s="108">
        <v>337</v>
      </c>
      <c r="AA49" s="108">
        <f t="shared" si="5"/>
        <v>0</v>
      </c>
      <c r="AB49" s="108">
        <v>337</v>
      </c>
      <c r="AC49" s="108">
        <f t="shared" si="6"/>
        <v>0</v>
      </c>
      <c r="AD49" s="108">
        <v>337</v>
      </c>
      <c r="AE49" s="109">
        <f t="shared" si="7"/>
        <v>1</v>
      </c>
    </row>
    <row r="50" spans="14:31" ht="15.6" customHeight="1" x14ac:dyDescent="0.3">
      <c r="N50" s="212"/>
      <c r="O50" s="95" t="s">
        <v>67</v>
      </c>
      <c r="P50" s="106"/>
      <c r="Q50" s="106">
        <v>1758</v>
      </c>
      <c r="R50" s="106">
        <v>254</v>
      </c>
      <c r="S50" s="106">
        <f t="shared" si="1"/>
        <v>136</v>
      </c>
      <c r="T50" s="106">
        <v>526</v>
      </c>
      <c r="U50" s="106">
        <f t="shared" si="2"/>
        <v>283</v>
      </c>
      <c r="V50" s="106">
        <v>1092</v>
      </c>
      <c r="W50" s="106">
        <f t="shared" si="3"/>
        <v>53</v>
      </c>
      <c r="X50" s="106">
        <v>1198</v>
      </c>
      <c r="Y50" s="106">
        <f t="shared" si="4"/>
        <v>21</v>
      </c>
      <c r="Z50" s="106">
        <v>1240</v>
      </c>
      <c r="AA50" s="106">
        <f t="shared" si="5"/>
        <v>0</v>
      </c>
      <c r="AB50" s="106">
        <v>1240</v>
      </c>
      <c r="AC50" s="106">
        <f t="shared" si="6"/>
        <v>0</v>
      </c>
      <c r="AD50" s="106">
        <v>1240</v>
      </c>
      <c r="AE50" s="107">
        <f t="shared" si="7"/>
        <v>-518</v>
      </c>
    </row>
    <row r="51" spans="14:31" ht="15.6" customHeight="1" x14ac:dyDescent="0.3">
      <c r="N51" s="212"/>
      <c r="O51" s="94" t="s">
        <v>68</v>
      </c>
      <c r="P51" s="108"/>
      <c r="Q51" s="108">
        <v>1803</v>
      </c>
      <c r="R51" s="108">
        <v>2</v>
      </c>
      <c r="S51" s="108">
        <f t="shared" si="1"/>
        <v>0</v>
      </c>
      <c r="T51" s="108">
        <v>2</v>
      </c>
      <c r="U51" s="108">
        <f t="shared" si="2"/>
        <v>334.5</v>
      </c>
      <c r="V51" s="108">
        <v>671</v>
      </c>
      <c r="W51" s="108">
        <f t="shared" si="3"/>
        <v>83.5</v>
      </c>
      <c r="X51" s="108">
        <v>838</v>
      </c>
      <c r="Y51" s="108">
        <f t="shared" si="4"/>
        <v>0</v>
      </c>
      <c r="Z51" s="108">
        <v>838</v>
      </c>
      <c r="AA51" s="108">
        <f t="shared" si="5"/>
        <v>0</v>
      </c>
      <c r="AB51" s="108">
        <v>838</v>
      </c>
      <c r="AC51" s="108">
        <f t="shared" si="6"/>
        <v>0</v>
      </c>
      <c r="AD51" s="108">
        <v>838</v>
      </c>
      <c r="AE51" s="109">
        <f t="shared" si="7"/>
        <v>-965</v>
      </c>
    </row>
    <row r="52" spans="14:31" ht="15.6" customHeight="1" x14ac:dyDescent="0.3">
      <c r="N52" s="212"/>
      <c r="O52" s="95" t="s">
        <v>69</v>
      </c>
      <c r="P52" s="106"/>
      <c r="Q52" s="106">
        <v>2586</v>
      </c>
      <c r="R52" s="106">
        <v>0</v>
      </c>
      <c r="S52" s="106">
        <f t="shared" si="1"/>
        <v>306</v>
      </c>
      <c r="T52" s="106">
        <v>612</v>
      </c>
      <c r="U52" s="106">
        <f t="shared" si="2"/>
        <v>189.5</v>
      </c>
      <c r="V52" s="106">
        <v>991</v>
      </c>
      <c r="W52" s="106">
        <f t="shared" si="3"/>
        <v>31</v>
      </c>
      <c r="X52" s="106">
        <v>1053</v>
      </c>
      <c r="Y52" s="106">
        <f t="shared" si="4"/>
        <v>319.5</v>
      </c>
      <c r="Z52" s="106">
        <v>1692</v>
      </c>
      <c r="AA52" s="106">
        <f t="shared" si="5"/>
        <v>0</v>
      </c>
      <c r="AB52" s="106">
        <v>1692</v>
      </c>
      <c r="AC52" s="106">
        <f t="shared" si="6"/>
        <v>0</v>
      </c>
      <c r="AD52" s="106">
        <v>1692</v>
      </c>
      <c r="AE52" s="107">
        <f t="shared" si="7"/>
        <v>-894</v>
      </c>
    </row>
    <row r="53" spans="14:31" ht="15.6" customHeight="1" x14ac:dyDescent="0.3">
      <c r="N53" s="212"/>
      <c r="O53" s="94" t="s">
        <v>70</v>
      </c>
      <c r="P53" s="108"/>
      <c r="Q53" s="108">
        <v>1784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463</v>
      </c>
      <c r="X53" s="108">
        <v>926</v>
      </c>
      <c r="Y53" s="108">
        <f t="shared" si="4"/>
        <v>0</v>
      </c>
      <c r="Z53" s="108">
        <v>926</v>
      </c>
      <c r="AA53" s="108">
        <f t="shared" si="5"/>
        <v>0</v>
      </c>
      <c r="AB53" s="108">
        <v>926</v>
      </c>
      <c r="AC53" s="108">
        <f t="shared" si="6"/>
        <v>0</v>
      </c>
      <c r="AD53" s="108">
        <v>926</v>
      </c>
      <c r="AE53" s="109">
        <f t="shared" si="7"/>
        <v>-858</v>
      </c>
    </row>
    <row r="54" spans="14:31" ht="15.6" customHeight="1" x14ac:dyDescent="0.3">
      <c r="N54" s="212"/>
      <c r="O54" s="95" t="s">
        <v>71</v>
      </c>
      <c r="P54" s="106"/>
      <c r="Q54" s="106">
        <v>1039</v>
      </c>
      <c r="R54" s="106">
        <v>613</v>
      </c>
      <c r="S54" s="106">
        <f t="shared" si="1"/>
        <v>0</v>
      </c>
      <c r="T54" s="106">
        <v>613</v>
      </c>
      <c r="U54" s="106">
        <f t="shared" si="2"/>
        <v>195.5</v>
      </c>
      <c r="V54" s="106">
        <v>1004</v>
      </c>
      <c r="W54" s="106">
        <f t="shared" si="3"/>
        <v>2.5</v>
      </c>
      <c r="X54" s="106">
        <v>1009</v>
      </c>
      <c r="Y54" s="106">
        <f t="shared" si="4"/>
        <v>0</v>
      </c>
      <c r="Z54" s="106">
        <v>1009</v>
      </c>
      <c r="AA54" s="106">
        <f t="shared" si="5"/>
        <v>0</v>
      </c>
      <c r="AB54" s="106">
        <v>1009</v>
      </c>
      <c r="AC54" s="106">
        <f t="shared" si="6"/>
        <v>0</v>
      </c>
      <c r="AD54" s="106">
        <v>1009</v>
      </c>
      <c r="AE54" s="107">
        <f t="shared" si="7"/>
        <v>-30</v>
      </c>
    </row>
    <row r="55" spans="14:31" ht="15.6" customHeight="1" x14ac:dyDescent="0.3">
      <c r="N55" s="212"/>
      <c r="O55" s="94" t="s">
        <v>72</v>
      </c>
      <c r="P55" s="108"/>
      <c r="Q55" s="108">
        <v>403</v>
      </c>
      <c r="R55" s="108">
        <v>2</v>
      </c>
      <c r="S55" s="108">
        <f t="shared" si="1"/>
        <v>0</v>
      </c>
      <c r="T55" s="108">
        <v>2</v>
      </c>
      <c r="U55" s="108">
        <f t="shared" si="2"/>
        <v>10</v>
      </c>
      <c r="V55" s="108">
        <v>22</v>
      </c>
      <c r="W55" s="108">
        <f t="shared" si="3"/>
        <v>0</v>
      </c>
      <c r="X55" s="108">
        <v>22</v>
      </c>
      <c r="Y55" s="108">
        <f t="shared" si="4"/>
        <v>84.5</v>
      </c>
      <c r="Z55" s="108">
        <v>191</v>
      </c>
      <c r="AA55" s="108">
        <f t="shared" si="5"/>
        <v>0</v>
      </c>
      <c r="AB55" s="108">
        <v>191</v>
      </c>
      <c r="AC55" s="108">
        <f t="shared" si="6"/>
        <v>0</v>
      </c>
      <c r="AD55" s="108">
        <v>191</v>
      </c>
      <c r="AE55" s="109">
        <f t="shared" si="7"/>
        <v>-212</v>
      </c>
    </row>
    <row r="56" spans="14:31" ht="15.6" customHeight="1" thickBot="1" x14ac:dyDescent="0.35">
      <c r="N56" s="213"/>
      <c r="O56" s="99" t="s">
        <v>73</v>
      </c>
      <c r="P56" s="114"/>
      <c r="Q56" s="114">
        <v>182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91</v>
      </c>
      <c r="X56" s="114">
        <v>182</v>
      </c>
      <c r="Y56" s="114">
        <f t="shared" si="4"/>
        <v>0</v>
      </c>
      <c r="Z56" s="114">
        <v>182</v>
      </c>
      <c r="AA56" s="114">
        <f t="shared" si="5"/>
        <v>0</v>
      </c>
      <c r="AB56" s="114">
        <v>182</v>
      </c>
      <c r="AC56" s="114">
        <f t="shared" si="6"/>
        <v>0</v>
      </c>
      <c r="AD56" s="114">
        <v>182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4967</v>
      </c>
      <c r="R57" s="104">
        <v>1179</v>
      </c>
      <c r="S57" s="104">
        <f t="shared" si="1"/>
        <v>563</v>
      </c>
      <c r="T57" s="104">
        <v>2305</v>
      </c>
      <c r="U57" s="104">
        <f t="shared" si="2"/>
        <v>235</v>
      </c>
      <c r="V57" s="104">
        <v>2775</v>
      </c>
      <c r="W57" s="104">
        <f t="shared" si="3"/>
        <v>0</v>
      </c>
      <c r="X57" s="104">
        <v>2775</v>
      </c>
      <c r="Y57" s="104">
        <f t="shared" si="4"/>
        <v>-267</v>
      </c>
      <c r="Z57" s="104">
        <v>2241</v>
      </c>
      <c r="AA57" s="104">
        <f t="shared" si="5"/>
        <v>0</v>
      </c>
      <c r="AB57" s="104">
        <v>2241</v>
      </c>
      <c r="AC57" s="104">
        <f t="shared" si="6"/>
        <v>0</v>
      </c>
      <c r="AD57" s="104">
        <v>2241</v>
      </c>
      <c r="AE57" s="105">
        <f t="shared" si="7"/>
        <v>-2726</v>
      </c>
    </row>
    <row r="58" spans="14:31" ht="15.6" customHeight="1" x14ac:dyDescent="0.3">
      <c r="N58" s="212"/>
      <c r="O58" s="95" t="s">
        <v>66</v>
      </c>
      <c r="P58" s="106"/>
      <c r="Q58" s="106">
        <v>4502</v>
      </c>
      <c r="R58" s="106">
        <v>1086</v>
      </c>
      <c r="S58" s="106">
        <f t="shared" si="1"/>
        <v>449.5</v>
      </c>
      <c r="T58" s="106">
        <v>1985</v>
      </c>
      <c r="U58" s="106">
        <f t="shared" si="2"/>
        <v>317.5</v>
      </c>
      <c r="V58" s="106">
        <v>2620</v>
      </c>
      <c r="W58" s="106">
        <f t="shared" si="3"/>
        <v>502.5</v>
      </c>
      <c r="X58" s="106">
        <v>3625</v>
      </c>
      <c r="Y58" s="106">
        <f t="shared" si="4"/>
        <v>-553</v>
      </c>
      <c r="Z58" s="106">
        <v>2519</v>
      </c>
      <c r="AA58" s="106">
        <f t="shared" si="5"/>
        <v>0</v>
      </c>
      <c r="AB58" s="106">
        <v>2519</v>
      </c>
      <c r="AC58" s="106">
        <f t="shared" si="6"/>
        <v>0</v>
      </c>
      <c r="AD58" s="106">
        <v>2519</v>
      </c>
      <c r="AE58" s="107">
        <f t="shared" si="7"/>
        <v>-1983</v>
      </c>
    </row>
    <row r="59" spans="14:31" ht="15.6" customHeight="1" x14ac:dyDescent="0.3">
      <c r="N59" s="212"/>
      <c r="O59" s="94" t="s">
        <v>67</v>
      </c>
      <c r="P59" s="108"/>
      <c r="Q59" s="108">
        <v>5100</v>
      </c>
      <c r="R59" s="108">
        <v>67</v>
      </c>
      <c r="S59" s="108">
        <f t="shared" si="1"/>
        <v>347.5</v>
      </c>
      <c r="T59" s="108">
        <v>762</v>
      </c>
      <c r="U59" s="108">
        <f t="shared" si="2"/>
        <v>0</v>
      </c>
      <c r="V59" s="108">
        <v>762</v>
      </c>
      <c r="W59" s="108">
        <f t="shared" si="3"/>
        <v>378</v>
      </c>
      <c r="X59" s="108">
        <v>1518</v>
      </c>
      <c r="Y59" s="108">
        <f t="shared" si="4"/>
        <v>571.5</v>
      </c>
      <c r="Z59" s="108">
        <v>2661</v>
      </c>
      <c r="AA59" s="108">
        <f t="shared" si="5"/>
        <v>0</v>
      </c>
      <c r="AB59" s="108">
        <v>2661</v>
      </c>
      <c r="AC59" s="108">
        <f t="shared" si="6"/>
        <v>0</v>
      </c>
      <c r="AD59" s="108">
        <v>2661</v>
      </c>
      <c r="AE59" s="109">
        <f t="shared" si="7"/>
        <v>-2439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5996</v>
      </c>
      <c r="R61" s="104">
        <v>1234</v>
      </c>
      <c r="S61" s="104">
        <f t="shared" si="1"/>
        <v>276.5</v>
      </c>
      <c r="T61" s="104">
        <v>1787</v>
      </c>
      <c r="U61" s="104">
        <f t="shared" si="2"/>
        <v>285</v>
      </c>
      <c r="V61" s="104">
        <v>2357</v>
      </c>
      <c r="W61" s="104">
        <f t="shared" si="3"/>
        <v>168</v>
      </c>
      <c r="X61" s="104">
        <v>2693</v>
      </c>
      <c r="Y61" s="104">
        <f t="shared" si="4"/>
        <v>106.5</v>
      </c>
      <c r="Z61" s="104">
        <v>2906</v>
      </c>
      <c r="AA61" s="104">
        <f t="shared" si="5"/>
        <v>289</v>
      </c>
      <c r="AB61" s="104">
        <v>3484</v>
      </c>
      <c r="AC61" s="104">
        <f t="shared" si="6"/>
        <v>0</v>
      </c>
      <c r="AD61" s="104">
        <v>3484</v>
      </c>
      <c r="AE61" s="105">
        <f t="shared" si="7"/>
        <v>-2512</v>
      </c>
    </row>
    <row r="62" spans="14:31" ht="15.6" customHeight="1" x14ac:dyDescent="0.3">
      <c r="N62" s="212"/>
      <c r="O62" s="95" t="s">
        <v>66</v>
      </c>
      <c r="P62" s="106"/>
      <c r="Q62" s="106">
        <v>9238</v>
      </c>
      <c r="R62" s="106">
        <v>2135</v>
      </c>
      <c r="S62" s="106">
        <f t="shared" si="1"/>
        <v>815.5</v>
      </c>
      <c r="T62" s="106">
        <v>3766</v>
      </c>
      <c r="U62" s="106">
        <f t="shared" si="2"/>
        <v>406</v>
      </c>
      <c r="V62" s="106">
        <v>4578</v>
      </c>
      <c r="W62" s="106">
        <f t="shared" si="3"/>
        <v>161.5</v>
      </c>
      <c r="X62" s="106">
        <v>4901</v>
      </c>
      <c r="Y62" s="106">
        <f t="shared" si="4"/>
        <v>181.5</v>
      </c>
      <c r="Z62" s="106">
        <v>5264</v>
      </c>
      <c r="AA62" s="106">
        <f t="shared" si="5"/>
        <v>130.5</v>
      </c>
      <c r="AB62" s="106">
        <v>5525</v>
      </c>
      <c r="AC62" s="106">
        <f t="shared" si="6"/>
        <v>0</v>
      </c>
      <c r="AD62" s="106">
        <v>5525</v>
      </c>
      <c r="AE62" s="107">
        <f t="shared" si="7"/>
        <v>-3713</v>
      </c>
    </row>
    <row r="63" spans="14:31" ht="15.6" customHeight="1" x14ac:dyDescent="0.3">
      <c r="N63" s="212"/>
      <c r="O63" s="94" t="s">
        <v>67</v>
      </c>
      <c r="P63" s="108"/>
      <c r="Q63" s="108">
        <v>6476</v>
      </c>
      <c r="R63" s="108">
        <v>1033</v>
      </c>
      <c r="S63" s="108">
        <f t="shared" si="1"/>
        <v>285</v>
      </c>
      <c r="T63" s="108">
        <v>1603</v>
      </c>
      <c r="U63" s="108">
        <f t="shared" si="2"/>
        <v>40</v>
      </c>
      <c r="V63" s="108">
        <v>1683</v>
      </c>
      <c r="W63" s="108">
        <f t="shared" si="3"/>
        <v>546</v>
      </c>
      <c r="X63" s="108">
        <v>2775</v>
      </c>
      <c r="Y63" s="108">
        <f t="shared" si="4"/>
        <v>443.5</v>
      </c>
      <c r="Z63" s="108">
        <v>3662</v>
      </c>
      <c r="AA63" s="108">
        <f t="shared" si="5"/>
        <v>0.5</v>
      </c>
      <c r="AB63" s="108">
        <v>3663</v>
      </c>
      <c r="AC63" s="108">
        <f t="shared" si="6"/>
        <v>0</v>
      </c>
      <c r="AD63" s="108">
        <v>3663</v>
      </c>
      <c r="AE63" s="109">
        <f t="shared" si="7"/>
        <v>-2813</v>
      </c>
    </row>
    <row r="64" spans="14:31" ht="15.6" customHeight="1" thickBot="1" x14ac:dyDescent="0.35">
      <c r="N64" s="213"/>
      <c r="O64" s="99" t="s">
        <v>68</v>
      </c>
      <c r="P64" s="114"/>
      <c r="Q64" s="114">
        <v>1904</v>
      </c>
      <c r="R64" s="114">
        <v>96</v>
      </c>
      <c r="S64" s="114">
        <f t="shared" si="1"/>
        <v>172</v>
      </c>
      <c r="T64" s="114">
        <v>440</v>
      </c>
      <c r="U64" s="114">
        <f t="shared" si="2"/>
        <v>96.5</v>
      </c>
      <c r="V64" s="114">
        <v>633</v>
      </c>
      <c r="W64" s="114">
        <f t="shared" si="3"/>
        <v>0</v>
      </c>
      <c r="X64" s="114">
        <v>633</v>
      </c>
      <c r="Y64" s="114">
        <f t="shared" si="4"/>
        <v>98</v>
      </c>
      <c r="Z64" s="114">
        <v>829</v>
      </c>
      <c r="AA64" s="114">
        <f t="shared" si="5"/>
        <v>63</v>
      </c>
      <c r="AB64" s="114">
        <v>955</v>
      </c>
      <c r="AC64" s="114">
        <f t="shared" si="6"/>
        <v>0</v>
      </c>
      <c r="AD64" s="114">
        <v>955</v>
      </c>
      <c r="AE64" s="115">
        <f t="shared" si="7"/>
        <v>-949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59" priority="11" operator="lessThan">
      <formula>0</formula>
    </cfRule>
    <cfRule type="cellIs" dxfId="1558" priority="12" operator="greaterThan">
      <formula>0</formula>
    </cfRule>
  </conditionalFormatting>
  <conditionalFormatting sqref="R25:AC25">
    <cfRule type="cellIs" dxfId="1557" priority="9" operator="lessThan">
      <formula>0</formula>
    </cfRule>
    <cfRule type="cellIs" dxfId="1556" priority="10" operator="greaterThan">
      <formula>0</formula>
    </cfRule>
  </conditionalFormatting>
  <conditionalFormatting sqref="R26 T26 V26 X26 Z26 AB26">
    <cfRule type="cellIs" dxfId="1555" priority="7" operator="lessThan">
      <formula>0</formula>
    </cfRule>
    <cfRule type="cellIs" dxfId="1554" priority="8" operator="greaterThan">
      <formula>0</formula>
    </cfRule>
  </conditionalFormatting>
  <conditionalFormatting sqref="AD24:AE24">
    <cfRule type="cellIs" dxfId="1553" priority="5" operator="lessThan">
      <formula>0</formula>
    </cfRule>
    <cfRule type="cellIs" dxfId="1552" priority="6" operator="greaterThan">
      <formula>0</formula>
    </cfRule>
  </conditionalFormatting>
  <conditionalFormatting sqref="AD25:AE25">
    <cfRule type="cellIs" dxfId="1551" priority="3" operator="lessThan">
      <formula>0</formula>
    </cfRule>
    <cfRule type="cellIs" dxfId="1550" priority="4" operator="greaterThan">
      <formula>0</formula>
    </cfRule>
  </conditionalFormatting>
  <conditionalFormatting sqref="AD26">
    <cfRule type="cellIs" dxfId="1549" priority="1" operator="lessThan">
      <formula>0</formula>
    </cfRule>
    <cfRule type="cellIs" dxfId="154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tabColor theme="1"/>
    <pageSetUpPr fitToPage="1"/>
  </sheetPr>
  <dimension ref="B1:AQ64"/>
  <sheetViews>
    <sheetView topLeftCell="G1" zoomScale="70" zoomScaleNormal="7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44389</v>
      </c>
    </row>
    <row r="3" spans="2:42" ht="18.75" customHeight="1" thickBot="1" x14ac:dyDescent="0.35">
      <c r="B3" t="s">
        <v>1</v>
      </c>
      <c r="C3" s="3">
        <f>C2+1</f>
        <v>44390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2660</v>
      </c>
      <c r="E6" s="18" t="s">
        <v>22</v>
      </c>
      <c r="F6" s="119">
        <v>18383</v>
      </c>
      <c r="G6" s="117">
        <v>14923.460125</v>
      </c>
      <c r="H6" s="117">
        <v>11326.24532518</v>
      </c>
      <c r="I6" s="19">
        <f>G6+H6</f>
        <v>26249.705450180001</v>
      </c>
      <c r="J6" s="119">
        <v>19630</v>
      </c>
      <c r="K6" s="117">
        <v>15182.476124999999</v>
      </c>
      <c r="L6" s="117">
        <v>11987.690145240011</v>
      </c>
      <c r="M6" s="19">
        <f>K6+L6</f>
        <v>27170.16627024001</v>
      </c>
      <c r="N6" s="85">
        <v>63</v>
      </c>
      <c r="O6" s="85">
        <v>47</v>
      </c>
      <c r="P6" s="92"/>
      <c r="Q6" s="20">
        <f>J6-P6</f>
        <v>19630</v>
      </c>
      <c r="R6" s="21">
        <v>2574</v>
      </c>
      <c r="S6" s="20">
        <f>IF(R6&gt;0,(R6-R7-$Q6),"")</f>
        <v>-17185</v>
      </c>
      <c r="T6" s="21">
        <v>5900</v>
      </c>
      <c r="U6" s="20">
        <f>IF(T6&gt;0,(T6-T7-$Q6),"")</f>
        <v>-15054</v>
      </c>
      <c r="V6" s="21">
        <v>7816</v>
      </c>
      <c r="W6" s="20">
        <f>IF(V6&gt;0,(V6-V7-$Q6),"")</f>
        <v>-11815</v>
      </c>
      <c r="X6" s="21">
        <v>12129</v>
      </c>
      <c r="Y6" s="20">
        <f>IF(X6&gt;0,(X6-X7-$Q6),"")</f>
        <v>-7733</v>
      </c>
      <c r="Z6" s="21">
        <v>12194</v>
      </c>
      <c r="AA6" s="20">
        <f>IF(Z6&gt;0,(Z6-Z7-$Q6),"")</f>
        <v>-7437</v>
      </c>
      <c r="AB6" s="21">
        <v>12194</v>
      </c>
      <c r="AC6" s="22">
        <f>IF(AB6&gt;0,(AB6-AB7-$Q6),"")</f>
        <v>-7437</v>
      </c>
      <c r="AD6" s="21">
        <v>12194</v>
      </c>
      <c r="AE6" s="22">
        <f>IF(AD6&gt;0,(AD6-AD7-$Q6),"")</f>
        <v>-7437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129</v>
      </c>
      <c r="S7" s="24"/>
      <c r="T7" s="25">
        <v>1324</v>
      </c>
      <c r="U7" s="24"/>
      <c r="V7" s="25">
        <v>1</v>
      </c>
      <c r="W7" s="24"/>
      <c r="X7" s="25">
        <v>232</v>
      </c>
      <c r="Y7" s="24"/>
      <c r="Z7" s="25">
        <v>1</v>
      </c>
      <c r="AA7" s="24"/>
      <c r="AB7" s="25">
        <v>1</v>
      </c>
      <c r="AC7" s="26"/>
      <c r="AD7" s="25">
        <v>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2848</v>
      </c>
      <c r="E8" s="29" t="s">
        <v>27</v>
      </c>
      <c r="F8" s="119">
        <v>15085</v>
      </c>
      <c r="G8" s="117">
        <v>6440.8374999999996</v>
      </c>
      <c r="H8" s="117">
        <v>1427.188762</v>
      </c>
      <c r="I8" s="19">
        <f>G8+H8</f>
        <v>7868.0262619999994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25</v>
      </c>
      <c r="O8" s="87">
        <v>19</v>
      </c>
      <c r="P8" s="92"/>
      <c r="Q8" s="20">
        <f>J8-P8</f>
        <v>0</v>
      </c>
      <c r="R8" s="21">
        <v>1919</v>
      </c>
      <c r="S8" s="20">
        <f>IF(R8&gt;0,(R8-R9-$Q8),"")</f>
        <v>1898</v>
      </c>
      <c r="T8" s="21">
        <v>2804</v>
      </c>
      <c r="U8" s="20">
        <f>IF(T8&gt;0,(T8-T9-$Q8),"")</f>
        <v>2759</v>
      </c>
      <c r="V8" s="21">
        <v>4261</v>
      </c>
      <c r="W8" s="20">
        <f>IF(V8&gt;0,(V8-V9-$Q8),"")</f>
        <v>4216</v>
      </c>
      <c r="X8" s="21">
        <v>6638</v>
      </c>
      <c r="Y8" s="20">
        <f>IF(X8&gt;0,(X8-X9-$Q8),"")</f>
        <v>6593</v>
      </c>
      <c r="Z8" s="21">
        <v>11452</v>
      </c>
      <c r="AA8" s="20">
        <f>IF(Z8&gt;0,(Z8-Z9-$Q8),"")</f>
        <v>11407</v>
      </c>
      <c r="AB8" s="21">
        <v>14771</v>
      </c>
      <c r="AC8" s="22">
        <f>IF(AB8&gt;0,(AB8-AB9-$Q8),"")</f>
        <v>14726</v>
      </c>
      <c r="AD8" s="21">
        <v>14771</v>
      </c>
      <c r="AE8" s="22">
        <f>IF(AD8&gt;0,(AD8-AD9-$Q8),"")</f>
        <v>14726</v>
      </c>
    </row>
    <row r="9" spans="2:42" x14ac:dyDescent="0.3">
      <c r="B9" s="28" t="s">
        <v>28</v>
      </c>
      <c r="C9" s="17">
        <v>1745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21</v>
      </c>
      <c r="S9" s="24"/>
      <c r="T9" s="30">
        <v>45</v>
      </c>
      <c r="U9" s="24"/>
      <c r="V9" s="30">
        <v>45</v>
      </c>
      <c r="W9" s="24"/>
      <c r="X9" s="30">
        <v>45</v>
      </c>
      <c r="Y9" s="24"/>
      <c r="Z9" s="30">
        <v>45</v>
      </c>
      <c r="AA9" s="24"/>
      <c r="AB9" s="30">
        <v>45</v>
      </c>
      <c r="AC9" s="26"/>
      <c r="AD9" s="30">
        <v>45</v>
      </c>
      <c r="AE9" s="26"/>
    </row>
    <row r="10" spans="2:42" x14ac:dyDescent="0.3">
      <c r="B10" s="16" t="s">
        <v>30</v>
      </c>
      <c r="C10" s="17">
        <v>3828</v>
      </c>
      <c r="E10" s="18" t="s">
        <v>31</v>
      </c>
      <c r="F10" s="119">
        <v>9806</v>
      </c>
      <c r="G10" s="117">
        <v>7194.4442499999996</v>
      </c>
      <c r="H10" s="117">
        <v>1697.9511</v>
      </c>
      <c r="I10" s="19">
        <f>G10+H10</f>
        <v>8892.3953499999989</v>
      </c>
      <c r="J10" s="119">
        <v>9701</v>
      </c>
      <c r="K10" s="117">
        <v>7077.3827500000016</v>
      </c>
      <c r="L10" s="117">
        <v>1710.2925949999999</v>
      </c>
      <c r="M10" s="19">
        <f>K10+L10</f>
        <v>8787.6753450000015</v>
      </c>
      <c r="N10" s="88">
        <v>40</v>
      </c>
      <c r="O10" s="88">
        <v>34</v>
      </c>
      <c r="P10" s="92"/>
      <c r="Q10" s="20">
        <f>J10-P10</f>
        <v>9701</v>
      </c>
      <c r="R10" s="21">
        <v>597</v>
      </c>
      <c r="S10" s="20">
        <f>IF(R10&gt;0,(R10-R11-$Q10),"")</f>
        <v>-9430</v>
      </c>
      <c r="T10" s="21">
        <v>776</v>
      </c>
      <c r="U10" s="20">
        <f>IF(T10&gt;0,(T10-T11-$Q10),"")</f>
        <v>-9430</v>
      </c>
      <c r="V10" s="21">
        <v>2334</v>
      </c>
      <c r="W10" s="20">
        <f>IF(V10&gt;0,(V10-V11-$Q10),"")</f>
        <v>-7851</v>
      </c>
      <c r="X10" s="21">
        <v>4192</v>
      </c>
      <c r="Y10" s="20">
        <f>IF(X10&gt;0,(X10-X11-$Q10),"")</f>
        <v>-6761</v>
      </c>
      <c r="Z10" s="21">
        <v>4192</v>
      </c>
      <c r="AA10" s="20">
        <f>IF(Z10&gt;0,(Z10-Z11-$Q10),"")</f>
        <v>-6761</v>
      </c>
      <c r="AB10" s="21">
        <v>4192</v>
      </c>
      <c r="AC10" s="22">
        <f>IF(AB10&gt;0,(AB10-AB11-$Q10),"")</f>
        <v>-6761</v>
      </c>
      <c r="AD10" s="21">
        <v>4192</v>
      </c>
      <c r="AE10" s="22">
        <f>IF(AD10&gt;0,(AD10-AD11-$Q10),"")</f>
        <v>-6761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326</v>
      </c>
      <c r="S11" s="24"/>
      <c r="T11" s="30">
        <v>505</v>
      </c>
      <c r="U11" s="24"/>
      <c r="V11" s="30">
        <v>484</v>
      </c>
      <c r="W11" s="24"/>
      <c r="X11" s="30">
        <v>1252</v>
      </c>
      <c r="Y11" s="24"/>
      <c r="Z11" s="30">
        <v>1252</v>
      </c>
      <c r="AA11" s="24"/>
      <c r="AB11" s="30">
        <v>1252</v>
      </c>
      <c r="AC11" s="26"/>
      <c r="AD11" s="30">
        <v>1252</v>
      </c>
      <c r="AE11" s="26"/>
    </row>
    <row r="12" spans="2:42" x14ac:dyDescent="0.3">
      <c r="B12" s="16" t="s">
        <v>34</v>
      </c>
      <c r="C12" s="17">
        <v>1723</v>
      </c>
      <c r="E12" s="29" t="s">
        <v>35</v>
      </c>
      <c r="F12" s="119">
        <v>12387</v>
      </c>
      <c r="G12" s="117">
        <v>12587.373250000001</v>
      </c>
      <c r="H12" s="117">
        <v>15539.11614885999</v>
      </c>
      <c r="I12" s="19">
        <f>G12+H12</f>
        <v>28126.489398859991</v>
      </c>
      <c r="J12" s="119">
        <v>10906</v>
      </c>
      <c r="K12" s="117">
        <v>10398.49375</v>
      </c>
      <c r="L12" s="117">
        <v>12406.830024860001</v>
      </c>
      <c r="M12" s="19">
        <f>K12+L12</f>
        <v>22805.32377486</v>
      </c>
      <c r="N12" s="88">
        <v>49</v>
      </c>
      <c r="O12" s="88">
        <v>39</v>
      </c>
      <c r="P12" s="92"/>
      <c r="Q12" s="20">
        <f>J12-P12</f>
        <v>10906</v>
      </c>
      <c r="R12" s="21">
        <v>1334</v>
      </c>
      <c r="S12" s="20">
        <f>IF(R12&gt;0,(R12-R13-$Q12),"")</f>
        <v>-9949</v>
      </c>
      <c r="T12" s="21">
        <v>3513</v>
      </c>
      <c r="U12" s="20">
        <f>IF(T12&gt;0,(T12-T13-$Q12),"")</f>
        <v>-7770</v>
      </c>
      <c r="V12" s="21">
        <v>5575</v>
      </c>
      <c r="W12" s="20">
        <f>IF(V12&gt;0,(V12-V13-$Q12),"")</f>
        <v>-6176</v>
      </c>
      <c r="X12" s="21">
        <v>8007</v>
      </c>
      <c r="Y12" s="20">
        <f>IF(X12&gt;0,(X12-X13-$Q12),"")</f>
        <v>-3744</v>
      </c>
      <c r="Z12" s="21">
        <v>8259</v>
      </c>
      <c r="AA12" s="20">
        <f>IF(Z12&gt;0,(Z12-Z13-$Q12),"")</f>
        <v>-3492</v>
      </c>
      <c r="AB12" s="21">
        <v>8259</v>
      </c>
      <c r="AC12" s="22">
        <f>IF(AB12&gt;0,(AB12-AB13-$Q12),"")</f>
        <v>-3492</v>
      </c>
      <c r="AD12" s="21">
        <v>8259</v>
      </c>
      <c r="AE12" s="22">
        <f>IF(AD12&gt;0,(AD12-AD13-$Q12),"")</f>
        <v>-3492</v>
      </c>
    </row>
    <row r="13" spans="2:42" x14ac:dyDescent="0.3">
      <c r="B13" s="16" t="s">
        <v>36</v>
      </c>
      <c r="C13" s="17">
        <v>5113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377</v>
      </c>
      <c r="S13" s="24"/>
      <c r="T13" s="30">
        <v>377</v>
      </c>
      <c r="U13" s="24"/>
      <c r="V13" s="30">
        <v>845</v>
      </c>
      <c r="W13" s="24"/>
      <c r="X13" s="30">
        <v>845</v>
      </c>
      <c r="Y13" s="24"/>
      <c r="Z13" s="30">
        <v>845</v>
      </c>
      <c r="AA13" s="24"/>
      <c r="AB13" s="30">
        <v>845</v>
      </c>
      <c r="AC13" s="26"/>
      <c r="AD13" s="30">
        <v>845</v>
      </c>
      <c r="AE13" s="26"/>
    </row>
    <row r="14" spans="2:42" x14ac:dyDescent="0.3">
      <c r="B14" s="16" t="s">
        <v>38</v>
      </c>
      <c r="C14" s="17">
        <v>10117</v>
      </c>
      <c r="E14" s="18" t="s">
        <v>39</v>
      </c>
      <c r="F14" s="119">
        <v>19249</v>
      </c>
      <c r="G14" s="117">
        <v>18759.5</v>
      </c>
      <c r="H14" s="117">
        <v>20969.84889780001</v>
      </c>
      <c r="I14" s="19">
        <f>G14+H14</f>
        <v>39729.34889780001</v>
      </c>
      <c r="J14" s="119">
        <v>19249</v>
      </c>
      <c r="K14" s="117">
        <v>18759.5</v>
      </c>
      <c r="L14" s="117">
        <v>20946.848897799999</v>
      </c>
      <c r="M14" s="19">
        <f>K14+L14</f>
        <v>39706.348897799995</v>
      </c>
      <c r="N14" s="88">
        <v>62</v>
      </c>
      <c r="O14" s="88">
        <v>40</v>
      </c>
      <c r="P14" s="92"/>
      <c r="Q14" s="20">
        <f>J14-P14</f>
        <v>19249</v>
      </c>
      <c r="R14" s="21">
        <v>3755</v>
      </c>
      <c r="S14" s="20">
        <f>IF(R14&gt;0,(R14-R15-$Q14),"")</f>
        <v>-19038</v>
      </c>
      <c r="T14" s="21">
        <v>6913</v>
      </c>
      <c r="U14" s="20">
        <f>IF(T14&gt;0,(T14-T15-$Q14),"")</f>
        <v>-18555</v>
      </c>
      <c r="V14" s="21">
        <v>8114</v>
      </c>
      <c r="W14" s="20">
        <f>IF(V14&gt;0,(V14-V15-$Q14),"")</f>
        <v>-18313</v>
      </c>
      <c r="X14" s="21">
        <v>11532</v>
      </c>
      <c r="Y14" s="20">
        <f>IF(X14&gt;0,(X14-X15-$Q14),"")</f>
        <v>-17629</v>
      </c>
      <c r="Z14" s="21">
        <v>13243</v>
      </c>
      <c r="AA14" s="20">
        <f>IF(Z14&gt;0,(Z14-Z15-$Q14),"")</f>
        <v>-16350</v>
      </c>
      <c r="AB14" s="21">
        <v>13520</v>
      </c>
      <c r="AC14" s="22">
        <f>IF(AB14&gt;0,(AB14-AB15-$Q14),"")</f>
        <v>-16183</v>
      </c>
      <c r="AD14" s="21">
        <v>13520</v>
      </c>
      <c r="AE14" s="22">
        <f>IF(AD14&gt;0,(AD14-AD15-$Q14),"")</f>
        <v>-16183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3544</v>
      </c>
      <c r="S15" s="24"/>
      <c r="T15" s="25">
        <v>6219</v>
      </c>
      <c r="U15" s="24"/>
      <c r="V15" s="25">
        <v>7178</v>
      </c>
      <c r="W15" s="24"/>
      <c r="X15" s="25">
        <v>9912</v>
      </c>
      <c r="Y15" s="24"/>
      <c r="Z15" s="25">
        <v>10344</v>
      </c>
      <c r="AA15" s="24"/>
      <c r="AB15" s="25">
        <v>10454</v>
      </c>
      <c r="AC15" s="26"/>
      <c r="AD15" s="25">
        <v>10454</v>
      </c>
      <c r="AE15" s="26"/>
    </row>
    <row r="16" spans="2:42" ht="15" customHeight="1" thickBot="1" x14ac:dyDescent="0.35">
      <c r="B16" s="28" t="s">
        <v>42</v>
      </c>
      <c r="C16" s="17">
        <v>9855</v>
      </c>
      <c r="E16" s="84"/>
      <c r="F16" s="31">
        <f t="shared" ref="F16:M16" si="0">SUM(F6:F15)</f>
        <v>74910</v>
      </c>
      <c r="G16" s="31">
        <f t="shared" si="0"/>
        <v>59905.615124999997</v>
      </c>
      <c r="H16" s="31">
        <f t="shared" si="0"/>
        <v>50960.350233839999</v>
      </c>
      <c r="I16" s="32">
        <f t="shared" si="0"/>
        <v>110865.96535884</v>
      </c>
      <c r="J16" s="33">
        <f t="shared" si="0"/>
        <v>59486</v>
      </c>
      <c r="K16" s="33">
        <f t="shared" si="0"/>
        <v>51417.852625</v>
      </c>
      <c r="L16" s="33">
        <f t="shared" si="0"/>
        <v>47051.661662900005</v>
      </c>
      <c r="M16" s="33">
        <f t="shared" si="0"/>
        <v>98469.514287900005</v>
      </c>
      <c r="N16" s="31">
        <f>SUM(N14,N12,N10,N8,N6)</f>
        <v>239</v>
      </c>
      <c r="O16" s="31">
        <f>SUM(O14,O12,O10,O8,O6)</f>
        <v>179</v>
      </c>
      <c r="P16" s="34">
        <f>SUM(P6:P15)</f>
        <v>0</v>
      </c>
      <c r="Q16" s="34">
        <f>SUM(Q6:Q15)</f>
        <v>59486</v>
      </c>
      <c r="R16" s="35">
        <f>R6+R8+R10+R12+R14-R7-R9-R11-R13-R15</f>
        <v>5782</v>
      </c>
      <c r="S16" s="36">
        <f>IF(R16&gt;1,(R16-$Q16),"")</f>
        <v>-53704</v>
      </c>
      <c r="T16" s="35">
        <f>T6+T8+T10+T12+T14-T7-T9-T11-T13-T15</f>
        <v>11436</v>
      </c>
      <c r="U16" s="36">
        <f>IF(T16&gt;1,(T16-$Q16),"")</f>
        <v>-48050</v>
      </c>
      <c r="V16" s="35">
        <f>V6+V8+V10+V12+V14-V7-V9-V11-V13-V15</f>
        <v>19547</v>
      </c>
      <c r="W16" s="36">
        <f>IF(V16&gt;1,(V16-$Q16),"")</f>
        <v>-39939</v>
      </c>
      <c r="X16" s="35">
        <f>X6+X8+X10+X12+X14-X7-X9-X11-X13-X15</f>
        <v>30212</v>
      </c>
      <c r="Y16" s="36">
        <f>IF(X16&gt;1,(X16-$Q16),"")</f>
        <v>-29274</v>
      </c>
      <c r="Z16" s="35">
        <f>Z6+Z8+Z10+Z12+Z14-Z7-Z9-Z11-Z13-Z15</f>
        <v>36853</v>
      </c>
      <c r="AA16" s="36">
        <f>IF(Z16&gt;1,(Z16-$Q16),"")</f>
        <v>-22633</v>
      </c>
      <c r="AB16" s="35">
        <f>AB6+AB8+AB10+AB12+AB14-AB7-AB9-AB11-AB13-AB15</f>
        <v>40339</v>
      </c>
      <c r="AC16" s="37">
        <f>IF(AB16&gt;1,(AB16-$Q16),"")</f>
        <v>-19147</v>
      </c>
      <c r="AD16" s="35">
        <f>AD6+AD8+AD10+AD12+AD14-AD7-AD9-AD11-AD13-AD15</f>
        <v>40339</v>
      </c>
      <c r="AE16" s="37">
        <f>IF(AD16&gt;1,(AD16-$Q16),"")</f>
        <v>-19147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4397</v>
      </c>
      <c r="S17" s="41"/>
      <c r="T17" s="40">
        <f>T15+T13+T11+T9+T7</f>
        <v>8470</v>
      </c>
      <c r="U17" s="41"/>
      <c r="V17" s="40">
        <f>V15+V13+V11+V9+V7</f>
        <v>8553</v>
      </c>
      <c r="W17" s="41"/>
      <c r="X17" s="40">
        <f>X15+X13+X11+X9+X7</f>
        <v>12286</v>
      </c>
      <c r="Y17" s="41"/>
      <c r="Z17" s="40">
        <f>Z15+Z13+Z11+Z9+Z7</f>
        <v>12487</v>
      </c>
      <c r="AA17" s="41"/>
      <c r="AB17" s="40">
        <f>AB15+AB13+AB11+AB9+AB7</f>
        <v>12597</v>
      </c>
      <c r="AC17" s="42"/>
      <c r="AD17" s="40">
        <f>AD15+AD13+AD11+AD9+AD7</f>
        <v>12597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2891</v>
      </c>
      <c r="S18" s="46"/>
      <c r="T18" s="47">
        <f>IF(T16&gt;0,(T16-R16)/2,"")</f>
        <v>2827</v>
      </c>
      <c r="U18" s="46"/>
      <c r="V18" s="47">
        <f>IF(V16&gt;0,(V16-T16)/2,"")</f>
        <v>4055.5</v>
      </c>
      <c r="W18" s="46"/>
      <c r="X18" s="47">
        <f>IF(X16&gt;0,(X16-V16)/2,"")</f>
        <v>5332.5</v>
      </c>
      <c r="Y18" s="46"/>
      <c r="Z18" s="47">
        <f>IF(Z16&gt;0,(Z16-X16)/2,"")</f>
        <v>3320.5</v>
      </c>
      <c r="AA18" s="46"/>
      <c r="AB18" s="47">
        <f>IF(AB16&gt;0,(AB16-Z16)/2,"")</f>
        <v>1743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7712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2144</v>
      </c>
      <c r="L20" s="4"/>
      <c r="M20" s="4"/>
      <c r="Q20" s="51" t="s">
        <v>49</v>
      </c>
      <c r="R20" s="35">
        <v>7908</v>
      </c>
      <c r="S20" s="36"/>
      <c r="T20" s="35">
        <v>14460</v>
      </c>
      <c r="U20" s="36"/>
      <c r="V20" s="35">
        <v>27034</v>
      </c>
      <c r="W20" s="36"/>
      <c r="X20" s="35">
        <v>40673</v>
      </c>
      <c r="Y20" s="36"/>
      <c r="Z20" s="35">
        <v>44082</v>
      </c>
      <c r="AA20" s="36"/>
      <c r="AB20" s="35">
        <v>45048</v>
      </c>
      <c r="AC20" s="37"/>
      <c r="AD20" s="35">
        <v>45048</v>
      </c>
      <c r="AE20" s="37"/>
    </row>
    <row r="21" spans="2:43" ht="15" customHeight="1" thickBot="1" x14ac:dyDescent="0.35">
      <c r="B21" s="57" t="s">
        <v>52</v>
      </c>
      <c r="C21" s="58">
        <v>4332</v>
      </c>
      <c r="L21" s="4"/>
      <c r="M21" s="4"/>
      <c r="Q21" s="52"/>
      <c r="R21" s="40">
        <v>4934</v>
      </c>
      <c r="S21" s="41"/>
      <c r="T21" s="40">
        <v>8416</v>
      </c>
      <c r="U21" s="41"/>
      <c r="V21" s="40">
        <v>10195</v>
      </c>
      <c r="W21" s="41"/>
      <c r="X21" s="40">
        <v>11724</v>
      </c>
      <c r="Y21" s="41"/>
      <c r="Z21" s="40">
        <v>13398</v>
      </c>
      <c r="AA21" s="41"/>
      <c r="AB21" s="40">
        <v>13398</v>
      </c>
      <c r="AC21" s="42"/>
      <c r="AD21" s="40">
        <v>13398</v>
      </c>
      <c r="AE21" s="42"/>
    </row>
    <row r="22" spans="2:43" ht="15" customHeight="1" thickBot="1" x14ac:dyDescent="0.35">
      <c r="L22" s="4"/>
      <c r="M22" s="4"/>
      <c r="Q22" s="54"/>
      <c r="R22" s="55">
        <v>3145.5</v>
      </c>
      <c r="S22" s="55"/>
      <c r="T22" s="55">
        <v>3658.5</v>
      </c>
      <c r="U22" s="55"/>
      <c r="V22" s="55">
        <v>6713.5</v>
      </c>
      <c r="W22" s="55"/>
      <c r="X22" s="55">
        <v>5031.5</v>
      </c>
      <c r="Y22" s="55"/>
      <c r="Z22" s="55">
        <v>980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-2126</v>
      </c>
      <c r="S24" s="60"/>
      <c r="T24" s="60">
        <f>IF(T16&gt;0,T16-T20,"")</f>
        <v>-3024</v>
      </c>
      <c r="U24" s="60"/>
      <c r="V24" s="60">
        <f>IF(V16&gt;0,V16-V20,"")</f>
        <v>-7487</v>
      </c>
      <c r="W24" s="60"/>
      <c r="X24" s="60">
        <f>IF(X16&gt;0,X16-X20,"")</f>
        <v>-10461</v>
      </c>
      <c r="Y24" s="60"/>
      <c r="Z24" s="60">
        <f>IF(Z16&gt;0,Z16-Z20,"")</f>
        <v>-7229</v>
      </c>
      <c r="AA24" s="60"/>
      <c r="AB24" s="60">
        <f>IF(AB16&gt;0,AB16-AB20,"")</f>
        <v>-4709</v>
      </c>
      <c r="AC24" s="61"/>
      <c r="AD24" s="60">
        <f>IF(AD16&gt;0,AD16-AD20,"")</f>
        <v>-4709</v>
      </c>
      <c r="AE24" s="61"/>
    </row>
    <row r="25" spans="2:43" x14ac:dyDescent="0.3">
      <c r="L25" s="4"/>
      <c r="M25" s="4"/>
      <c r="Q25" s="62"/>
      <c r="R25" s="63">
        <f>IF(R17&gt;=0,R17-R21,"")</f>
        <v>-537</v>
      </c>
      <c r="S25" s="64"/>
      <c r="T25" s="63">
        <f>IF(T17&gt;=0,T17-T21,"")</f>
        <v>54</v>
      </c>
      <c r="U25" s="64"/>
      <c r="V25" s="63">
        <f>IF(V17&gt;=0,V17-V21,"")</f>
        <v>-1642</v>
      </c>
      <c r="W25" s="64"/>
      <c r="X25" s="63">
        <f>IF(X17&gt;=0,X17-X21,"")</f>
        <v>562</v>
      </c>
      <c r="Y25" s="64"/>
      <c r="Z25" s="63">
        <f>IF(Z17&gt;=0,Z17-Z21,"")</f>
        <v>-911</v>
      </c>
      <c r="AA25" s="64"/>
      <c r="AB25" s="63">
        <f>IF(AB17&gt;=0,AB17-AB21,"")</f>
        <v>-801</v>
      </c>
      <c r="AC25" s="65"/>
      <c r="AD25" s="63">
        <f>IF(AD17&gt;=0,AD17-AD21,"")</f>
        <v>-801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-254.5</v>
      </c>
      <c r="S26" s="55"/>
      <c r="T26" s="67">
        <f>IFERROR(IF(T18&gt;0,T18-T22,""),"")</f>
        <v>-831.5</v>
      </c>
      <c r="U26" s="55"/>
      <c r="V26" s="67">
        <f>IFERROR(IF(V18&gt;0,V18-V22,""),"")</f>
        <v>-2658</v>
      </c>
      <c r="W26" s="55"/>
      <c r="X26" s="67">
        <f>IFERROR(IF(X18&gt;0,X18-X22,""),"")</f>
        <v>301</v>
      </c>
      <c r="Y26" s="55"/>
      <c r="Z26" s="67">
        <f>IFERROR(IF(Z18&gt;0,Z18-Z22,""),"")</f>
        <v>2340.5</v>
      </c>
      <c r="AA26" s="55"/>
      <c r="AB26" s="67">
        <f>IFERROR(IF(AB18&gt;0,AB18-AB22,""),"")</f>
        <v>1743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75">
        <v>8538</v>
      </c>
      <c r="D29" s="76">
        <f>C14</f>
        <v>10117</v>
      </c>
      <c r="E29" s="77">
        <f>D29-C29</f>
        <v>1579</v>
      </c>
      <c r="M29" s="4"/>
      <c r="O29" s="4"/>
    </row>
    <row r="30" spans="2:43" x14ac:dyDescent="0.3">
      <c r="B30" s="74" t="s">
        <v>56</v>
      </c>
      <c r="C30" s="75">
        <v>27019</v>
      </c>
      <c r="D30" s="76">
        <f>C7+C15+C16+C17+C18</f>
        <v>9855</v>
      </c>
      <c r="E30" s="77">
        <f>D30-C30</f>
        <v>-17164</v>
      </c>
      <c r="J30" s="53"/>
      <c r="L30" s="53"/>
      <c r="M30" s="4"/>
      <c r="O30" s="4"/>
    </row>
    <row r="31" spans="2:43" x14ac:dyDescent="0.3">
      <c r="B31" s="74" t="s">
        <v>21</v>
      </c>
      <c r="C31" s="75">
        <v>2660</v>
      </c>
      <c r="D31" s="76">
        <f>C6</f>
        <v>2660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75">
        <v>12753</v>
      </c>
      <c r="D32" s="76">
        <f>C10+C11+C12+C13</f>
        <v>12753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75">
        <v>14620</v>
      </c>
      <c r="D33" s="76">
        <f>C19+C20+C21</f>
        <v>14188</v>
      </c>
      <c r="E33" s="77">
        <f>D33-C33</f>
        <v>-432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79">
        <v>4593</v>
      </c>
      <c r="D34" s="80">
        <f>SUM(C8+C9)</f>
        <v>4593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2433</v>
      </c>
      <c r="R35" s="104">
        <v>110</v>
      </c>
      <c r="S35" s="104">
        <f t="shared" ref="S35:S64" si="1">IF(T35&gt;0,(T35-R35)/2,"")</f>
        <v>6</v>
      </c>
      <c r="T35" s="104">
        <v>122</v>
      </c>
      <c r="U35" s="104">
        <f t="shared" ref="U35:U64" si="2">IF(V35&gt;0,(V35-T35)/2,"")</f>
        <v>3.5</v>
      </c>
      <c r="V35" s="104">
        <v>129</v>
      </c>
      <c r="W35" s="104">
        <f t="shared" ref="W35:W64" si="3">IF(X35&gt;0,(X35-V35)/2,"")</f>
        <v>12.5</v>
      </c>
      <c r="X35" s="104">
        <v>154</v>
      </c>
      <c r="Y35" s="104">
        <f t="shared" ref="Y35:Y64" si="4">IF(Z35&gt;0,(Z35-X35)/2,"")</f>
        <v>0</v>
      </c>
      <c r="Z35" s="104">
        <v>154</v>
      </c>
      <c r="AA35" s="104">
        <f t="shared" ref="AA35:AA64" si="5">IF(AB35&gt;0,(AB35-Z35)/2,"")</f>
        <v>0</v>
      </c>
      <c r="AB35" s="104">
        <v>154</v>
      </c>
      <c r="AC35" s="104">
        <f t="shared" ref="AC35:AC64" si="6">IF(AD35&gt;0,(AD35-AB35)/2,"")</f>
        <v>0</v>
      </c>
      <c r="AD35" s="104">
        <v>154</v>
      </c>
      <c r="AE35" s="105">
        <f t="shared" ref="AE35:AE64" si="7">AD35-Q35</f>
        <v>-2279</v>
      </c>
    </row>
    <row r="36" spans="2:31" ht="15.6" customHeight="1" x14ac:dyDescent="0.3">
      <c r="N36" s="212"/>
      <c r="O36" s="95" t="s">
        <v>66</v>
      </c>
      <c r="P36" s="106"/>
      <c r="Q36" s="106">
        <v>1281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370</v>
      </c>
      <c r="V36" s="106">
        <v>740</v>
      </c>
      <c r="W36" s="106">
        <f t="shared" si="3"/>
        <v>265</v>
      </c>
      <c r="X36" s="106">
        <v>1270</v>
      </c>
      <c r="Y36" s="106">
        <f t="shared" si="4"/>
        <v>0</v>
      </c>
      <c r="Z36" s="106">
        <v>1270</v>
      </c>
      <c r="AA36" s="106">
        <f t="shared" si="5"/>
        <v>0</v>
      </c>
      <c r="AB36" s="106">
        <v>1270</v>
      </c>
      <c r="AC36" s="106">
        <f t="shared" si="6"/>
        <v>0</v>
      </c>
      <c r="AD36" s="106">
        <v>1270</v>
      </c>
      <c r="AE36" s="107">
        <f t="shared" si="7"/>
        <v>-11</v>
      </c>
    </row>
    <row r="37" spans="2:31" ht="15.6" customHeight="1" x14ac:dyDescent="0.3">
      <c r="N37" s="212"/>
      <c r="O37" s="94" t="s">
        <v>67</v>
      </c>
      <c r="P37" s="108"/>
      <c r="Q37" s="108">
        <v>2427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104.5</v>
      </c>
      <c r="V37" s="108">
        <v>209</v>
      </c>
      <c r="W37" s="108">
        <f t="shared" si="3"/>
        <v>181.5</v>
      </c>
      <c r="X37" s="108">
        <v>572</v>
      </c>
      <c r="Y37" s="108">
        <f t="shared" si="4"/>
        <v>0</v>
      </c>
      <c r="Z37" s="108">
        <v>572</v>
      </c>
      <c r="AA37" s="108">
        <f t="shared" si="5"/>
        <v>0</v>
      </c>
      <c r="AB37" s="108">
        <v>572</v>
      </c>
      <c r="AC37" s="108">
        <f t="shared" si="6"/>
        <v>0</v>
      </c>
      <c r="AD37" s="108">
        <v>572</v>
      </c>
      <c r="AE37" s="109">
        <f t="shared" si="7"/>
        <v>-1855</v>
      </c>
    </row>
    <row r="38" spans="2:31" ht="15.6" customHeight="1" x14ac:dyDescent="0.3">
      <c r="N38" s="212"/>
      <c r="O38" s="95" t="s">
        <v>68</v>
      </c>
      <c r="P38" s="106"/>
      <c r="Q38" s="106">
        <v>3453</v>
      </c>
      <c r="R38" s="106">
        <v>854</v>
      </c>
      <c r="S38" s="106">
        <f t="shared" si="1"/>
        <v>355.5</v>
      </c>
      <c r="T38" s="106">
        <v>1565</v>
      </c>
      <c r="U38" s="106">
        <f t="shared" si="2"/>
        <v>372</v>
      </c>
      <c r="V38" s="106">
        <v>2309</v>
      </c>
      <c r="W38" s="106">
        <f t="shared" si="3"/>
        <v>268</v>
      </c>
      <c r="X38" s="106">
        <v>2845</v>
      </c>
      <c r="Y38" s="106">
        <f t="shared" si="4"/>
        <v>0</v>
      </c>
      <c r="Z38" s="106">
        <v>2845</v>
      </c>
      <c r="AA38" s="106">
        <f t="shared" si="5"/>
        <v>0</v>
      </c>
      <c r="AB38" s="106">
        <v>2845</v>
      </c>
      <c r="AC38" s="106">
        <f t="shared" si="6"/>
        <v>0</v>
      </c>
      <c r="AD38" s="106">
        <v>2845</v>
      </c>
      <c r="AE38" s="107">
        <f t="shared" si="7"/>
        <v>-608</v>
      </c>
    </row>
    <row r="39" spans="2:31" ht="15.6" customHeight="1" x14ac:dyDescent="0.3">
      <c r="N39" s="212"/>
      <c r="O39" s="94" t="s">
        <v>69</v>
      </c>
      <c r="P39" s="108"/>
      <c r="Q39" s="108">
        <v>2336</v>
      </c>
      <c r="R39" s="108">
        <v>564</v>
      </c>
      <c r="S39" s="108">
        <f t="shared" si="1"/>
        <v>1004.5</v>
      </c>
      <c r="T39" s="108">
        <v>2573</v>
      </c>
      <c r="U39" s="108">
        <f t="shared" si="2"/>
        <v>-460.5</v>
      </c>
      <c r="V39" s="108">
        <v>1652</v>
      </c>
      <c r="W39" s="108">
        <f t="shared" si="3"/>
        <v>0.5</v>
      </c>
      <c r="X39" s="108">
        <v>1653</v>
      </c>
      <c r="Y39" s="108">
        <f t="shared" si="4"/>
        <v>0</v>
      </c>
      <c r="Z39" s="108">
        <v>1653</v>
      </c>
      <c r="AA39" s="108">
        <f t="shared" si="5"/>
        <v>0</v>
      </c>
      <c r="AB39" s="108">
        <v>1653</v>
      </c>
      <c r="AC39" s="108">
        <f t="shared" si="6"/>
        <v>0</v>
      </c>
      <c r="AD39" s="108">
        <v>1653</v>
      </c>
      <c r="AE39" s="109">
        <f t="shared" si="7"/>
        <v>-683</v>
      </c>
    </row>
    <row r="40" spans="2:31" ht="15.6" customHeight="1" x14ac:dyDescent="0.3">
      <c r="N40" s="212"/>
      <c r="O40" s="95" t="s">
        <v>70</v>
      </c>
      <c r="P40" s="106"/>
      <c r="Q40" s="106">
        <v>3438</v>
      </c>
      <c r="R40" s="106">
        <v>624</v>
      </c>
      <c r="S40" s="106">
        <f t="shared" si="1"/>
        <v>24</v>
      </c>
      <c r="T40" s="106">
        <v>672</v>
      </c>
      <c r="U40" s="106">
        <f t="shared" si="2"/>
        <v>384.5</v>
      </c>
      <c r="V40" s="106">
        <v>1441</v>
      </c>
      <c r="W40" s="106">
        <f t="shared" si="3"/>
        <v>528</v>
      </c>
      <c r="X40" s="106">
        <v>2497</v>
      </c>
      <c r="Y40" s="106">
        <f t="shared" si="4"/>
        <v>0</v>
      </c>
      <c r="Z40" s="106">
        <v>2497</v>
      </c>
      <c r="AA40" s="106">
        <f t="shared" si="5"/>
        <v>0</v>
      </c>
      <c r="AB40" s="106">
        <v>2497</v>
      </c>
      <c r="AC40" s="106">
        <f t="shared" si="6"/>
        <v>0</v>
      </c>
      <c r="AD40" s="106">
        <v>2497</v>
      </c>
      <c r="AE40" s="107">
        <f t="shared" si="7"/>
        <v>-941</v>
      </c>
    </row>
    <row r="41" spans="2:31" ht="15.6" customHeight="1" x14ac:dyDescent="0.3">
      <c r="N41" s="212"/>
      <c r="O41" s="94" t="s">
        <v>71</v>
      </c>
      <c r="P41" s="108"/>
      <c r="Q41" s="108">
        <v>1166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231</v>
      </c>
      <c r="X41" s="108">
        <v>462</v>
      </c>
      <c r="Y41" s="108">
        <f t="shared" si="4"/>
        <v>3</v>
      </c>
      <c r="Z41" s="108">
        <v>468</v>
      </c>
      <c r="AA41" s="108">
        <f t="shared" si="5"/>
        <v>0</v>
      </c>
      <c r="AB41" s="108">
        <v>468</v>
      </c>
      <c r="AC41" s="108">
        <f t="shared" si="6"/>
        <v>0</v>
      </c>
      <c r="AD41" s="108">
        <v>468</v>
      </c>
      <c r="AE41" s="109">
        <f t="shared" si="7"/>
        <v>-698</v>
      </c>
    </row>
    <row r="42" spans="2:31" ht="15.6" customHeight="1" x14ac:dyDescent="0.3">
      <c r="N42" s="212"/>
      <c r="O42" s="95" t="s">
        <v>72</v>
      </c>
      <c r="P42" s="106"/>
      <c r="Q42" s="106">
        <v>1660</v>
      </c>
      <c r="R42" s="106">
        <v>0</v>
      </c>
      <c r="S42" s="106">
        <f t="shared" si="1"/>
        <v>273</v>
      </c>
      <c r="T42" s="106">
        <v>546</v>
      </c>
      <c r="U42" s="106">
        <f t="shared" si="2"/>
        <v>0</v>
      </c>
      <c r="V42" s="106">
        <v>546</v>
      </c>
      <c r="W42" s="106">
        <f t="shared" si="3"/>
        <v>557</v>
      </c>
      <c r="X42" s="106">
        <v>1660</v>
      </c>
      <c r="Y42" s="106">
        <f t="shared" si="4"/>
        <v>0</v>
      </c>
      <c r="Z42" s="106">
        <v>1660</v>
      </c>
      <c r="AA42" s="106">
        <f t="shared" si="5"/>
        <v>0</v>
      </c>
      <c r="AB42" s="106">
        <v>1660</v>
      </c>
      <c r="AC42" s="106">
        <f t="shared" si="6"/>
        <v>0</v>
      </c>
      <c r="AD42" s="106">
        <v>1660</v>
      </c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>
        <v>1434</v>
      </c>
      <c r="R43" s="110">
        <v>422</v>
      </c>
      <c r="S43" s="110">
        <f t="shared" si="1"/>
        <v>0</v>
      </c>
      <c r="T43" s="110">
        <v>422</v>
      </c>
      <c r="U43" s="110">
        <f t="shared" si="2"/>
        <v>184</v>
      </c>
      <c r="V43" s="110">
        <v>790</v>
      </c>
      <c r="W43" s="110">
        <f t="shared" si="3"/>
        <v>113</v>
      </c>
      <c r="X43" s="110">
        <v>1016</v>
      </c>
      <c r="Y43" s="110">
        <f t="shared" si="4"/>
        <v>29.5</v>
      </c>
      <c r="Z43" s="110">
        <v>1075</v>
      </c>
      <c r="AA43" s="110">
        <f t="shared" si="5"/>
        <v>0</v>
      </c>
      <c r="AB43" s="110">
        <v>1075</v>
      </c>
      <c r="AC43" s="110">
        <f t="shared" si="6"/>
        <v>0</v>
      </c>
      <c r="AD43" s="110">
        <v>1075</v>
      </c>
      <c r="AE43" s="111">
        <f t="shared" si="7"/>
        <v>-359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4791</v>
      </c>
      <c r="R44" s="112">
        <v>1000</v>
      </c>
      <c r="S44" s="112">
        <f t="shared" si="1"/>
        <v>442.5</v>
      </c>
      <c r="T44" s="112">
        <v>1885</v>
      </c>
      <c r="U44" s="112">
        <f t="shared" si="2"/>
        <v>0</v>
      </c>
      <c r="V44" s="112">
        <v>1885</v>
      </c>
      <c r="W44" s="112">
        <f t="shared" si="3"/>
        <v>0</v>
      </c>
      <c r="X44" s="112">
        <v>1885</v>
      </c>
      <c r="Y44" s="112">
        <f t="shared" si="4"/>
        <v>932.5</v>
      </c>
      <c r="Z44" s="112">
        <v>3750</v>
      </c>
      <c r="AA44" s="112">
        <f t="shared" si="5"/>
        <v>532.5</v>
      </c>
      <c r="AB44" s="112">
        <v>4815</v>
      </c>
      <c r="AC44" s="112">
        <f t="shared" si="6"/>
        <v>0</v>
      </c>
      <c r="AD44" s="112">
        <v>4815</v>
      </c>
      <c r="AE44" s="113">
        <f t="shared" si="7"/>
        <v>24</v>
      </c>
    </row>
    <row r="45" spans="2:31" ht="15.6" customHeight="1" x14ac:dyDescent="0.3">
      <c r="N45" s="212"/>
      <c r="O45" s="94" t="s">
        <v>66</v>
      </c>
      <c r="P45" s="108"/>
      <c r="Q45" s="108">
        <v>3855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728.5</v>
      </c>
      <c r="V45" s="108">
        <v>1457</v>
      </c>
      <c r="W45" s="108">
        <f t="shared" si="3"/>
        <v>0</v>
      </c>
      <c r="X45" s="108">
        <v>1457</v>
      </c>
      <c r="Y45" s="108">
        <f t="shared" si="4"/>
        <v>528.5</v>
      </c>
      <c r="Z45" s="108">
        <v>2514</v>
      </c>
      <c r="AA45" s="108">
        <f t="shared" si="5"/>
        <v>670.5</v>
      </c>
      <c r="AB45" s="108">
        <v>3855</v>
      </c>
      <c r="AC45" s="108">
        <f t="shared" si="6"/>
        <v>0</v>
      </c>
      <c r="AD45" s="108">
        <v>3855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2517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104.5</v>
      </c>
      <c r="X46" s="106">
        <v>209</v>
      </c>
      <c r="Y46" s="106">
        <f t="shared" si="4"/>
        <v>404.5</v>
      </c>
      <c r="Z46" s="106">
        <v>1018</v>
      </c>
      <c r="AA46" s="106">
        <f t="shared" si="5"/>
        <v>456.5</v>
      </c>
      <c r="AB46" s="106">
        <v>1931</v>
      </c>
      <c r="AC46" s="106">
        <f t="shared" si="6"/>
        <v>0</v>
      </c>
      <c r="AD46" s="106">
        <v>1931</v>
      </c>
      <c r="AE46" s="107">
        <f t="shared" si="7"/>
        <v>-586</v>
      </c>
    </row>
    <row r="47" spans="2:31" ht="15.6" customHeight="1" thickBot="1" x14ac:dyDescent="0.35">
      <c r="N47" s="213"/>
      <c r="O47" s="97" t="s">
        <v>68</v>
      </c>
      <c r="P47" s="110"/>
      <c r="Q47" s="110">
        <v>4149</v>
      </c>
      <c r="R47" s="110">
        <v>919</v>
      </c>
      <c r="S47" s="110">
        <f t="shared" si="1"/>
        <v>0</v>
      </c>
      <c r="T47" s="110">
        <v>919</v>
      </c>
      <c r="U47" s="110">
        <f t="shared" si="2"/>
        <v>0</v>
      </c>
      <c r="V47" s="110">
        <v>919</v>
      </c>
      <c r="W47" s="110">
        <f t="shared" si="3"/>
        <v>1084</v>
      </c>
      <c r="X47" s="110">
        <v>3087</v>
      </c>
      <c r="Y47" s="110">
        <f t="shared" si="4"/>
        <v>541.5</v>
      </c>
      <c r="Z47" s="110">
        <v>4170</v>
      </c>
      <c r="AA47" s="110">
        <f t="shared" si="5"/>
        <v>0</v>
      </c>
      <c r="AB47" s="110">
        <v>4170</v>
      </c>
      <c r="AC47" s="110">
        <f t="shared" si="6"/>
        <v>0</v>
      </c>
      <c r="AD47" s="110">
        <v>4170</v>
      </c>
      <c r="AE47" s="111">
        <f t="shared" si="7"/>
        <v>21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215</v>
      </c>
      <c r="R48" s="112">
        <v>7</v>
      </c>
      <c r="S48" s="112">
        <f t="shared" si="1"/>
        <v>0</v>
      </c>
      <c r="T48" s="112">
        <v>7</v>
      </c>
      <c r="U48" s="112">
        <f t="shared" si="2"/>
        <v>3.5</v>
      </c>
      <c r="V48" s="112">
        <v>14</v>
      </c>
      <c r="W48" s="112">
        <f t="shared" si="3"/>
        <v>0</v>
      </c>
      <c r="X48" s="112">
        <v>14</v>
      </c>
      <c r="Y48" s="112">
        <f t="shared" si="4"/>
        <v>0</v>
      </c>
      <c r="Z48" s="112">
        <v>14</v>
      </c>
      <c r="AA48" s="112">
        <f t="shared" si="5"/>
        <v>0</v>
      </c>
      <c r="AB48" s="112">
        <v>14</v>
      </c>
      <c r="AC48" s="112">
        <f t="shared" si="6"/>
        <v>0</v>
      </c>
      <c r="AD48" s="112">
        <v>14</v>
      </c>
      <c r="AE48" s="113">
        <f t="shared" si="7"/>
        <v>-201</v>
      </c>
    </row>
    <row r="49" spans="14:31" ht="15.6" customHeight="1" x14ac:dyDescent="0.3">
      <c r="N49" s="212"/>
      <c r="O49" s="94" t="s">
        <v>66</v>
      </c>
      <c r="P49" s="108"/>
      <c r="Q49" s="108">
        <v>317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115.5</v>
      </c>
      <c r="V49" s="108">
        <v>231</v>
      </c>
      <c r="W49" s="108">
        <f t="shared" si="3"/>
        <v>2.5</v>
      </c>
      <c r="X49" s="108">
        <v>236</v>
      </c>
      <c r="Y49" s="108">
        <f t="shared" si="4"/>
        <v>0</v>
      </c>
      <c r="Z49" s="108">
        <v>236</v>
      </c>
      <c r="AA49" s="108">
        <f t="shared" si="5"/>
        <v>0</v>
      </c>
      <c r="AB49" s="108">
        <v>236</v>
      </c>
      <c r="AC49" s="108">
        <f t="shared" si="6"/>
        <v>0</v>
      </c>
      <c r="AD49" s="108">
        <v>236</v>
      </c>
      <c r="AE49" s="109">
        <f t="shared" si="7"/>
        <v>-81</v>
      </c>
    </row>
    <row r="50" spans="14:31" ht="15.6" customHeight="1" x14ac:dyDescent="0.3">
      <c r="N50" s="212"/>
      <c r="O50" s="95" t="s">
        <v>67</v>
      </c>
      <c r="P50" s="106"/>
      <c r="Q50" s="106">
        <v>1875</v>
      </c>
      <c r="R50" s="106">
        <v>218</v>
      </c>
      <c r="S50" s="106">
        <f t="shared" si="1"/>
        <v>89.5</v>
      </c>
      <c r="T50" s="106">
        <v>397</v>
      </c>
      <c r="U50" s="106">
        <f t="shared" si="2"/>
        <v>83.5</v>
      </c>
      <c r="V50" s="106">
        <v>564</v>
      </c>
      <c r="W50" s="106">
        <f t="shared" si="3"/>
        <v>45.5</v>
      </c>
      <c r="X50" s="106">
        <v>655</v>
      </c>
      <c r="Y50" s="106">
        <f t="shared" si="4"/>
        <v>0</v>
      </c>
      <c r="Z50" s="106">
        <v>655</v>
      </c>
      <c r="AA50" s="106">
        <f t="shared" si="5"/>
        <v>0</v>
      </c>
      <c r="AB50" s="106">
        <v>655</v>
      </c>
      <c r="AC50" s="106">
        <f t="shared" si="6"/>
        <v>0</v>
      </c>
      <c r="AD50" s="106">
        <v>655</v>
      </c>
      <c r="AE50" s="107">
        <f t="shared" si="7"/>
        <v>-1220</v>
      </c>
    </row>
    <row r="51" spans="14:31" ht="15.6" customHeight="1" x14ac:dyDescent="0.3">
      <c r="N51" s="212"/>
      <c r="O51" s="94" t="s">
        <v>68</v>
      </c>
      <c r="P51" s="108"/>
      <c r="Q51" s="108">
        <v>1530</v>
      </c>
      <c r="R51" s="108">
        <v>3</v>
      </c>
      <c r="S51" s="108">
        <f t="shared" si="1"/>
        <v>0</v>
      </c>
      <c r="T51" s="108">
        <v>3</v>
      </c>
      <c r="U51" s="108">
        <f t="shared" si="2"/>
        <v>290.5</v>
      </c>
      <c r="V51" s="108">
        <v>584</v>
      </c>
      <c r="W51" s="108">
        <f t="shared" si="3"/>
        <v>8.5</v>
      </c>
      <c r="X51" s="108">
        <v>601</v>
      </c>
      <c r="Y51" s="108">
        <f t="shared" si="4"/>
        <v>0</v>
      </c>
      <c r="Z51" s="108">
        <v>601</v>
      </c>
      <c r="AA51" s="108">
        <f t="shared" si="5"/>
        <v>0</v>
      </c>
      <c r="AB51" s="108">
        <v>601</v>
      </c>
      <c r="AC51" s="108">
        <f t="shared" si="6"/>
        <v>0</v>
      </c>
      <c r="AD51" s="108">
        <v>601</v>
      </c>
      <c r="AE51" s="109">
        <f t="shared" si="7"/>
        <v>-929</v>
      </c>
    </row>
    <row r="52" spans="14:31" ht="15.6" customHeight="1" x14ac:dyDescent="0.3">
      <c r="N52" s="212"/>
      <c r="O52" s="95" t="s">
        <v>69</v>
      </c>
      <c r="P52" s="106"/>
      <c r="Q52" s="106">
        <v>2673</v>
      </c>
      <c r="R52" s="106">
        <v>112</v>
      </c>
      <c r="S52" s="106">
        <f t="shared" si="1"/>
        <v>0</v>
      </c>
      <c r="T52" s="106">
        <v>112</v>
      </c>
      <c r="U52" s="106">
        <f t="shared" si="2"/>
        <v>190.5</v>
      </c>
      <c r="V52" s="106">
        <v>493</v>
      </c>
      <c r="W52" s="106">
        <f t="shared" si="3"/>
        <v>457.5</v>
      </c>
      <c r="X52" s="106">
        <v>1408</v>
      </c>
      <c r="Y52" s="106">
        <f t="shared" si="4"/>
        <v>0</v>
      </c>
      <c r="Z52" s="106">
        <v>1408</v>
      </c>
      <c r="AA52" s="106">
        <f t="shared" si="5"/>
        <v>0</v>
      </c>
      <c r="AB52" s="106">
        <v>1408</v>
      </c>
      <c r="AC52" s="106">
        <f t="shared" si="6"/>
        <v>0</v>
      </c>
      <c r="AD52" s="106">
        <v>1408</v>
      </c>
      <c r="AE52" s="107">
        <f t="shared" si="7"/>
        <v>-1265</v>
      </c>
    </row>
    <row r="53" spans="14:31" ht="15.6" customHeight="1" x14ac:dyDescent="0.3">
      <c r="N53" s="212"/>
      <c r="O53" s="94" t="s">
        <v>70</v>
      </c>
      <c r="P53" s="108"/>
      <c r="Q53" s="108">
        <v>1536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389</v>
      </c>
      <c r="X53" s="108">
        <v>778</v>
      </c>
      <c r="Y53" s="108">
        <f t="shared" si="4"/>
        <v>0</v>
      </c>
      <c r="Z53" s="108">
        <v>778</v>
      </c>
      <c r="AA53" s="108">
        <f t="shared" si="5"/>
        <v>0</v>
      </c>
      <c r="AB53" s="108">
        <v>778</v>
      </c>
      <c r="AC53" s="108">
        <f t="shared" si="6"/>
        <v>0</v>
      </c>
      <c r="AD53" s="108">
        <v>778</v>
      </c>
      <c r="AE53" s="109">
        <f t="shared" si="7"/>
        <v>-758</v>
      </c>
    </row>
    <row r="54" spans="14:31" ht="15.6" customHeight="1" x14ac:dyDescent="0.3">
      <c r="N54" s="212"/>
      <c r="O54" s="95" t="s">
        <v>71</v>
      </c>
      <c r="P54" s="106"/>
      <c r="Q54" s="106">
        <v>987</v>
      </c>
      <c r="R54" s="106">
        <v>238</v>
      </c>
      <c r="S54" s="106">
        <f t="shared" si="1"/>
        <v>0</v>
      </c>
      <c r="T54" s="106">
        <v>238</v>
      </c>
      <c r="U54" s="106">
        <f t="shared" si="2"/>
        <v>0</v>
      </c>
      <c r="V54" s="106">
        <v>238</v>
      </c>
      <c r="W54" s="106">
        <f t="shared" si="3"/>
        <v>-65.5</v>
      </c>
      <c r="X54" s="106">
        <v>107</v>
      </c>
      <c r="Y54" s="106">
        <f t="shared" si="4"/>
        <v>0</v>
      </c>
      <c r="Z54" s="106">
        <v>107</v>
      </c>
      <c r="AA54" s="106">
        <f t="shared" si="5"/>
        <v>0</v>
      </c>
      <c r="AB54" s="106">
        <v>107</v>
      </c>
      <c r="AC54" s="106">
        <f t="shared" si="6"/>
        <v>0</v>
      </c>
      <c r="AD54" s="106">
        <v>107</v>
      </c>
      <c r="AE54" s="107">
        <f t="shared" si="7"/>
        <v>-880</v>
      </c>
    </row>
    <row r="55" spans="14:31" ht="15.6" customHeight="1" x14ac:dyDescent="0.3">
      <c r="N55" s="212"/>
      <c r="O55" s="94" t="s">
        <v>72</v>
      </c>
      <c r="P55" s="108"/>
      <c r="Q55" s="108">
        <v>396</v>
      </c>
      <c r="R55" s="108">
        <v>19</v>
      </c>
      <c r="S55" s="108">
        <f t="shared" si="1"/>
        <v>0</v>
      </c>
      <c r="T55" s="108">
        <v>19</v>
      </c>
      <c r="U55" s="108">
        <f t="shared" si="2"/>
        <v>9.5</v>
      </c>
      <c r="V55" s="108">
        <v>38</v>
      </c>
      <c r="W55" s="108">
        <f t="shared" si="3"/>
        <v>91.5</v>
      </c>
      <c r="X55" s="108">
        <v>221</v>
      </c>
      <c r="Y55" s="108">
        <f t="shared" si="4"/>
        <v>0</v>
      </c>
      <c r="Z55" s="108">
        <v>221</v>
      </c>
      <c r="AA55" s="108">
        <f t="shared" si="5"/>
        <v>0</v>
      </c>
      <c r="AB55" s="108">
        <v>221</v>
      </c>
      <c r="AC55" s="108">
        <f t="shared" si="6"/>
        <v>0</v>
      </c>
      <c r="AD55" s="108">
        <v>221</v>
      </c>
      <c r="AE55" s="109">
        <f t="shared" si="7"/>
        <v>-175</v>
      </c>
    </row>
    <row r="56" spans="14:31" ht="15.6" customHeight="1" thickBot="1" x14ac:dyDescent="0.35">
      <c r="N56" s="213"/>
      <c r="O56" s="99" t="s">
        <v>73</v>
      </c>
      <c r="P56" s="114"/>
      <c r="Q56" s="114">
        <v>172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86</v>
      </c>
      <c r="V56" s="114">
        <v>172</v>
      </c>
      <c r="W56" s="114">
        <f t="shared" si="3"/>
        <v>0</v>
      </c>
      <c r="X56" s="114">
        <v>172</v>
      </c>
      <c r="Y56" s="114">
        <f t="shared" si="4"/>
        <v>0</v>
      </c>
      <c r="Z56" s="114">
        <v>172</v>
      </c>
      <c r="AA56" s="114">
        <f t="shared" si="5"/>
        <v>0</v>
      </c>
      <c r="AB56" s="114">
        <v>172</v>
      </c>
      <c r="AC56" s="114">
        <f t="shared" si="6"/>
        <v>0</v>
      </c>
      <c r="AD56" s="114">
        <v>172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4105</v>
      </c>
      <c r="R57" s="104">
        <v>573</v>
      </c>
      <c r="S57" s="104">
        <f t="shared" si="1"/>
        <v>493</v>
      </c>
      <c r="T57" s="104">
        <v>1559</v>
      </c>
      <c r="U57" s="104">
        <f t="shared" si="2"/>
        <v>424.5</v>
      </c>
      <c r="V57" s="104">
        <v>2408</v>
      </c>
      <c r="W57" s="104">
        <f t="shared" si="3"/>
        <v>461</v>
      </c>
      <c r="X57" s="104">
        <v>3330</v>
      </c>
      <c r="Y57" s="104">
        <f t="shared" si="4"/>
        <v>0</v>
      </c>
      <c r="Z57" s="104">
        <v>3330</v>
      </c>
      <c r="AA57" s="104">
        <f t="shared" si="5"/>
        <v>0</v>
      </c>
      <c r="AB57" s="104">
        <v>3330</v>
      </c>
      <c r="AC57" s="104">
        <f t="shared" si="6"/>
        <v>0</v>
      </c>
      <c r="AD57" s="104">
        <v>3330</v>
      </c>
      <c r="AE57" s="105">
        <f t="shared" si="7"/>
        <v>-775</v>
      </c>
    </row>
    <row r="58" spans="14:31" ht="15.6" customHeight="1" x14ac:dyDescent="0.3">
      <c r="N58" s="212"/>
      <c r="O58" s="95" t="s">
        <v>66</v>
      </c>
      <c r="P58" s="106"/>
      <c r="Q58" s="106">
        <v>4145</v>
      </c>
      <c r="R58" s="106">
        <v>675</v>
      </c>
      <c r="S58" s="106">
        <f t="shared" si="1"/>
        <v>596.5</v>
      </c>
      <c r="T58" s="106">
        <v>1868</v>
      </c>
      <c r="U58" s="106">
        <f t="shared" si="2"/>
        <v>303.5</v>
      </c>
      <c r="V58" s="106">
        <v>2475</v>
      </c>
      <c r="W58" s="106">
        <f t="shared" si="3"/>
        <v>391.5</v>
      </c>
      <c r="X58" s="106">
        <v>3258</v>
      </c>
      <c r="Y58" s="106">
        <f t="shared" si="4"/>
        <v>126</v>
      </c>
      <c r="Z58" s="106">
        <v>3510</v>
      </c>
      <c r="AA58" s="106">
        <f t="shared" si="5"/>
        <v>0</v>
      </c>
      <c r="AB58" s="106">
        <v>3510</v>
      </c>
      <c r="AC58" s="106">
        <f t="shared" si="6"/>
        <v>0</v>
      </c>
      <c r="AD58" s="106">
        <v>3510</v>
      </c>
      <c r="AE58" s="107">
        <f t="shared" si="7"/>
        <v>-635</v>
      </c>
    </row>
    <row r="59" spans="14:31" ht="15.6" customHeight="1" x14ac:dyDescent="0.3">
      <c r="N59" s="212"/>
      <c r="O59" s="94" t="s">
        <v>67</v>
      </c>
      <c r="P59" s="108"/>
      <c r="Q59" s="108">
        <v>2654</v>
      </c>
      <c r="R59" s="108">
        <v>86</v>
      </c>
      <c r="S59" s="108">
        <f t="shared" si="1"/>
        <v>0</v>
      </c>
      <c r="T59" s="108">
        <v>86</v>
      </c>
      <c r="U59" s="108">
        <f t="shared" si="2"/>
        <v>303</v>
      </c>
      <c r="V59" s="108">
        <v>692</v>
      </c>
      <c r="W59" s="108">
        <f t="shared" si="3"/>
        <v>363.5</v>
      </c>
      <c r="X59" s="108">
        <v>1419</v>
      </c>
      <c r="Y59" s="108">
        <f t="shared" si="4"/>
        <v>0</v>
      </c>
      <c r="Z59" s="108">
        <v>1419</v>
      </c>
      <c r="AA59" s="108">
        <f t="shared" si="5"/>
        <v>0</v>
      </c>
      <c r="AB59" s="108">
        <v>1419</v>
      </c>
      <c r="AC59" s="108">
        <f t="shared" si="6"/>
        <v>0</v>
      </c>
      <c r="AD59" s="108">
        <v>1419</v>
      </c>
      <c r="AE59" s="109">
        <f t="shared" si="7"/>
        <v>-1235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6511</v>
      </c>
      <c r="R61" s="104">
        <v>1397</v>
      </c>
      <c r="S61" s="104">
        <f t="shared" si="1"/>
        <v>379</v>
      </c>
      <c r="T61" s="104">
        <v>2155</v>
      </c>
      <c r="U61" s="104">
        <f t="shared" si="2"/>
        <v>135</v>
      </c>
      <c r="V61" s="104">
        <v>2425</v>
      </c>
      <c r="W61" s="104">
        <f t="shared" si="3"/>
        <v>378</v>
      </c>
      <c r="X61" s="104">
        <v>3181</v>
      </c>
      <c r="Y61" s="104">
        <f t="shared" si="4"/>
        <v>177.5</v>
      </c>
      <c r="Z61" s="104">
        <v>3536</v>
      </c>
      <c r="AA61" s="104">
        <f t="shared" si="5"/>
        <v>81.5</v>
      </c>
      <c r="AB61" s="104">
        <v>3699</v>
      </c>
      <c r="AC61" s="104">
        <f t="shared" si="6"/>
        <v>0</v>
      </c>
      <c r="AD61" s="104">
        <v>3699</v>
      </c>
      <c r="AE61" s="105">
        <f t="shared" si="7"/>
        <v>-2812</v>
      </c>
    </row>
    <row r="62" spans="14:31" ht="15.6" customHeight="1" x14ac:dyDescent="0.3">
      <c r="N62" s="212"/>
      <c r="O62" s="95" t="s">
        <v>66</v>
      </c>
      <c r="P62" s="106"/>
      <c r="Q62" s="106">
        <v>5511</v>
      </c>
      <c r="R62" s="106">
        <v>1178</v>
      </c>
      <c r="S62" s="106">
        <f t="shared" si="1"/>
        <v>918</v>
      </c>
      <c r="T62" s="106">
        <v>3014</v>
      </c>
      <c r="U62" s="106">
        <f t="shared" si="2"/>
        <v>216.5</v>
      </c>
      <c r="V62" s="106">
        <v>3447</v>
      </c>
      <c r="W62" s="106">
        <f t="shared" si="3"/>
        <v>569.5</v>
      </c>
      <c r="X62" s="106">
        <v>4586</v>
      </c>
      <c r="Y62" s="106">
        <f t="shared" si="4"/>
        <v>139</v>
      </c>
      <c r="Z62" s="106">
        <v>4864</v>
      </c>
      <c r="AA62" s="106">
        <f t="shared" si="5"/>
        <v>0</v>
      </c>
      <c r="AB62" s="106">
        <v>4864</v>
      </c>
      <c r="AC62" s="106">
        <f t="shared" si="6"/>
        <v>0</v>
      </c>
      <c r="AD62" s="106">
        <v>4864</v>
      </c>
      <c r="AE62" s="107">
        <f t="shared" si="7"/>
        <v>-647</v>
      </c>
    </row>
    <row r="63" spans="14:31" ht="15.6" customHeight="1" x14ac:dyDescent="0.3">
      <c r="N63" s="212"/>
      <c r="O63" s="94" t="s">
        <v>67</v>
      </c>
      <c r="P63" s="108"/>
      <c r="Q63" s="108">
        <v>4770</v>
      </c>
      <c r="R63" s="108">
        <v>537</v>
      </c>
      <c r="S63" s="108">
        <f t="shared" si="1"/>
        <v>208</v>
      </c>
      <c r="T63" s="108">
        <v>953</v>
      </c>
      <c r="U63" s="108">
        <f t="shared" si="2"/>
        <v>214.5</v>
      </c>
      <c r="V63" s="108">
        <v>1382</v>
      </c>
      <c r="W63" s="108">
        <f t="shared" si="3"/>
        <v>670.5</v>
      </c>
      <c r="X63" s="108">
        <v>2723</v>
      </c>
      <c r="Y63" s="108">
        <f t="shared" si="4"/>
        <v>378</v>
      </c>
      <c r="Z63" s="108">
        <v>3479</v>
      </c>
      <c r="AA63" s="108">
        <f t="shared" si="5"/>
        <v>3</v>
      </c>
      <c r="AB63" s="108">
        <v>3485</v>
      </c>
      <c r="AC63" s="108">
        <f t="shared" si="6"/>
        <v>0</v>
      </c>
      <c r="AD63" s="108">
        <v>3485</v>
      </c>
      <c r="AE63" s="109">
        <f t="shared" si="7"/>
        <v>-1285</v>
      </c>
    </row>
    <row r="64" spans="14:31" ht="15.6" customHeight="1" thickBot="1" x14ac:dyDescent="0.35">
      <c r="N64" s="213"/>
      <c r="O64" s="99" t="s">
        <v>68</v>
      </c>
      <c r="P64" s="114"/>
      <c r="Q64" s="114">
        <v>1997</v>
      </c>
      <c r="R64" s="114">
        <v>643</v>
      </c>
      <c r="S64" s="114">
        <f t="shared" si="1"/>
        <v>1.5</v>
      </c>
      <c r="T64" s="114">
        <v>646</v>
      </c>
      <c r="U64" s="114">
        <f t="shared" si="2"/>
        <v>0</v>
      </c>
      <c r="V64" s="114">
        <v>646</v>
      </c>
      <c r="W64" s="114">
        <f t="shared" si="3"/>
        <v>30</v>
      </c>
      <c r="X64" s="114">
        <v>706</v>
      </c>
      <c r="Y64" s="114">
        <f t="shared" si="4"/>
        <v>104</v>
      </c>
      <c r="Z64" s="114">
        <v>914</v>
      </c>
      <c r="AA64" s="114">
        <f t="shared" si="5"/>
        <v>0</v>
      </c>
      <c r="AB64" s="114">
        <v>914</v>
      </c>
      <c r="AC64" s="114">
        <f t="shared" si="6"/>
        <v>0</v>
      </c>
      <c r="AD64" s="114">
        <v>914</v>
      </c>
      <c r="AE64" s="115">
        <f t="shared" si="7"/>
        <v>-1083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47" priority="11" operator="lessThan">
      <formula>0</formula>
    </cfRule>
    <cfRule type="cellIs" dxfId="1546" priority="12" operator="greaterThan">
      <formula>0</formula>
    </cfRule>
  </conditionalFormatting>
  <conditionalFormatting sqref="R25:AC25">
    <cfRule type="cellIs" dxfId="1545" priority="9" operator="lessThan">
      <formula>0</formula>
    </cfRule>
    <cfRule type="cellIs" dxfId="1544" priority="10" operator="greaterThan">
      <formula>0</formula>
    </cfRule>
  </conditionalFormatting>
  <conditionalFormatting sqref="R26 T26 V26 X26 Z26 AB26">
    <cfRule type="cellIs" dxfId="1543" priority="7" operator="lessThan">
      <formula>0</formula>
    </cfRule>
    <cfRule type="cellIs" dxfId="1542" priority="8" operator="greaterThan">
      <formula>0</formula>
    </cfRule>
  </conditionalFormatting>
  <conditionalFormatting sqref="AD24:AE24">
    <cfRule type="cellIs" dxfId="1541" priority="5" operator="lessThan">
      <formula>0</formula>
    </cfRule>
    <cfRule type="cellIs" dxfId="1540" priority="6" operator="greaterThan">
      <formula>0</formula>
    </cfRule>
  </conditionalFormatting>
  <conditionalFormatting sqref="AD25:AE25">
    <cfRule type="cellIs" dxfId="1539" priority="3" operator="lessThan">
      <formula>0</formula>
    </cfRule>
    <cfRule type="cellIs" dxfId="1538" priority="4" operator="greaterThan">
      <formula>0</formula>
    </cfRule>
  </conditionalFormatting>
  <conditionalFormatting sqref="AD26">
    <cfRule type="cellIs" dxfId="1537" priority="1" operator="lessThan">
      <formula>0</formula>
    </cfRule>
    <cfRule type="cellIs" dxfId="153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tabColor theme="1"/>
    <pageSetUpPr fitToPage="1"/>
  </sheetPr>
  <dimension ref="B1:AQ64"/>
  <sheetViews>
    <sheetView topLeftCell="A2" zoomScaleNormal="100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44390</v>
      </c>
    </row>
    <row r="3" spans="2:42" ht="18.75" customHeight="1" thickBot="1" x14ac:dyDescent="0.35">
      <c r="B3" t="s">
        <v>1</v>
      </c>
      <c r="C3" s="3">
        <f>C2+1</f>
        <v>44391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3254</v>
      </c>
      <c r="E6" s="18" t="s">
        <v>22</v>
      </c>
      <c r="F6" s="119">
        <v>20196</v>
      </c>
      <c r="G6" s="117">
        <v>17228.62912500001</v>
      </c>
      <c r="H6" s="117">
        <v>13271.58680642</v>
      </c>
      <c r="I6" s="19">
        <f>G6+H6</f>
        <v>30500.215931420011</v>
      </c>
      <c r="J6" s="119">
        <v>20471</v>
      </c>
      <c r="K6" s="117">
        <v>16699.460999999999</v>
      </c>
      <c r="L6" s="117">
        <v>13106.873999400001</v>
      </c>
      <c r="M6" s="19">
        <f>K6+L6</f>
        <v>29806.334999400002</v>
      </c>
      <c r="N6" s="85">
        <v>66</v>
      </c>
      <c r="O6" s="85">
        <v>54</v>
      </c>
      <c r="P6" s="92"/>
      <c r="Q6" s="20">
        <f>J6-P6</f>
        <v>20471</v>
      </c>
      <c r="R6" s="21">
        <v>2573</v>
      </c>
      <c r="S6" s="20">
        <f>IF(R6&gt;0,(R6-R7-$Q6),"")</f>
        <v>-17899</v>
      </c>
      <c r="T6" s="21">
        <v>6066</v>
      </c>
      <c r="U6" s="20">
        <f>IF(T6&gt;0,(T6-T7-$Q6),"")</f>
        <v>-14409</v>
      </c>
      <c r="V6" s="21">
        <v>7727</v>
      </c>
      <c r="W6" s="20">
        <f>IF(V6&gt;0,(V6-V7-$Q6),"")</f>
        <v>-12749</v>
      </c>
      <c r="X6" s="21">
        <v>11304</v>
      </c>
      <c r="Y6" s="20">
        <f>IF(X6&gt;0,(X6-X7-$Q6),"")</f>
        <v>-9181</v>
      </c>
      <c r="Z6" s="21">
        <v>13017</v>
      </c>
      <c r="AA6" s="20">
        <f>IF(Z6&gt;0,(Z6-Z7-$Q6),"")</f>
        <v>-7490</v>
      </c>
      <c r="AB6" s="21">
        <v>13017</v>
      </c>
      <c r="AC6" s="22">
        <f>IF(AB6&gt;0,(AB6-AB7-$Q6),"")</f>
        <v>-7490</v>
      </c>
      <c r="AD6" s="21">
        <v>13017</v>
      </c>
      <c r="AE6" s="22">
        <f>IF(AD6&gt;0,(AD6-AD7-$Q6),"")</f>
        <v>-7490</v>
      </c>
    </row>
    <row r="7" spans="2:42" x14ac:dyDescent="0.3">
      <c r="B7" s="16" t="s">
        <v>23</v>
      </c>
      <c r="C7" s="17">
        <v>2729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</v>
      </c>
      <c r="S7" s="24"/>
      <c r="T7" s="25">
        <v>4</v>
      </c>
      <c r="U7" s="24"/>
      <c r="V7" s="25">
        <v>5</v>
      </c>
      <c r="W7" s="24"/>
      <c r="X7" s="25">
        <v>14</v>
      </c>
      <c r="Y7" s="24"/>
      <c r="Z7" s="25">
        <v>36</v>
      </c>
      <c r="AA7" s="24"/>
      <c r="AB7" s="25">
        <v>36</v>
      </c>
      <c r="AC7" s="26"/>
      <c r="AD7" s="25">
        <v>36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2394</v>
      </c>
      <c r="E8" s="29" t="s">
        <v>27</v>
      </c>
      <c r="F8" s="119">
        <v>14670</v>
      </c>
      <c r="G8" s="117">
        <v>6273.9775</v>
      </c>
      <c r="H8" s="117">
        <v>1380.6691049999999</v>
      </c>
      <c r="I8" s="19">
        <f>G8+H8</f>
        <v>7654.6466049999999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27</v>
      </c>
      <c r="O8" s="87">
        <v>23</v>
      </c>
      <c r="P8" s="92"/>
      <c r="Q8" s="20">
        <f>J8-P8</f>
        <v>0</v>
      </c>
      <c r="R8" s="21">
        <v>1020</v>
      </c>
      <c r="S8" s="20">
        <f>IF(R8&gt;0,(R8-R9-$Q8),"")</f>
        <v>1020</v>
      </c>
      <c r="T8" s="21">
        <v>1870</v>
      </c>
      <c r="U8" s="20">
        <f>IF(T8&gt;0,(T8-T9-$Q8),"")</f>
        <v>1870</v>
      </c>
      <c r="V8" s="21">
        <v>1870</v>
      </c>
      <c r="W8" s="20">
        <f>IF(V8&gt;0,(V8-V9-$Q8),"")</f>
        <v>1870</v>
      </c>
      <c r="X8" s="21">
        <v>4639</v>
      </c>
      <c r="Y8" s="20">
        <f>IF(X8&gt;0,(X8-X9-$Q8),"")</f>
        <v>4639</v>
      </c>
      <c r="Z8" s="21">
        <v>10341</v>
      </c>
      <c r="AA8" s="20">
        <f>IF(Z8&gt;0,(Z8-Z9-$Q8),"")</f>
        <v>10341</v>
      </c>
      <c r="AB8" s="21">
        <v>10341</v>
      </c>
      <c r="AC8" s="22">
        <f>IF(AB8&gt;0,(AB8-AB9-$Q8),"")</f>
        <v>10341</v>
      </c>
      <c r="AD8" s="21">
        <v>10341</v>
      </c>
      <c r="AE8" s="22">
        <f>IF(AD8&gt;0,(AD8-AD9-$Q8),"")</f>
        <v>10341</v>
      </c>
    </row>
    <row r="9" spans="2:42" x14ac:dyDescent="0.3">
      <c r="B9" s="28" t="s">
        <v>28</v>
      </c>
      <c r="C9" s="17">
        <v>1909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7013</v>
      </c>
      <c r="E10" s="18" t="s">
        <v>31</v>
      </c>
      <c r="F10" s="119">
        <v>18090</v>
      </c>
      <c r="G10" s="117">
        <v>14271.936125</v>
      </c>
      <c r="H10" s="117">
        <v>1913.2475125000001</v>
      </c>
      <c r="I10" s="19">
        <f>G10+H10</f>
        <v>16185.1836375</v>
      </c>
      <c r="J10" s="119">
        <v>18647</v>
      </c>
      <c r="K10" s="117">
        <v>14615.813375000011</v>
      </c>
      <c r="L10" s="117">
        <v>1933.15499</v>
      </c>
      <c r="M10" s="19">
        <f>K10+L10</f>
        <v>16548.968365000012</v>
      </c>
      <c r="N10" s="88">
        <v>42</v>
      </c>
      <c r="O10" s="88">
        <v>35</v>
      </c>
      <c r="P10" s="92"/>
      <c r="Q10" s="20">
        <f>J10-P10</f>
        <v>18647</v>
      </c>
      <c r="R10" s="21">
        <v>1431</v>
      </c>
      <c r="S10" s="20">
        <f>IF(R10&gt;0,(R10-R11-$Q10),"")</f>
        <v>-17294</v>
      </c>
      <c r="T10" s="21">
        <v>3647</v>
      </c>
      <c r="U10" s="20">
        <f>IF(T10&gt;0,(T10-T11-$Q10),"")</f>
        <v>-15111</v>
      </c>
      <c r="V10" s="21">
        <v>8253</v>
      </c>
      <c r="W10" s="20">
        <f>IF(V10&gt;0,(V10-V11-$Q10),"")</f>
        <v>-11674</v>
      </c>
      <c r="X10" s="21">
        <v>9802</v>
      </c>
      <c r="Y10" s="20">
        <f>IF(X10&gt;0,(X10-X11-$Q10),"")</f>
        <v>-10519</v>
      </c>
      <c r="Z10" s="21">
        <v>13440</v>
      </c>
      <c r="AA10" s="20">
        <f>IF(Z10&gt;0,(Z10-Z11-$Q10),"")</f>
        <v>-7332</v>
      </c>
      <c r="AB10" s="21">
        <v>13815</v>
      </c>
      <c r="AC10" s="22">
        <f>IF(AB10&gt;0,(AB10-AB11-$Q10),"")</f>
        <v>-6957</v>
      </c>
      <c r="AD10" s="21">
        <v>13815</v>
      </c>
      <c r="AE10" s="22">
        <f>IF(AD10&gt;0,(AD10-AD11-$Q10),"")</f>
        <v>-6957</v>
      </c>
    </row>
    <row r="11" spans="2:42" x14ac:dyDescent="0.3">
      <c r="B11" s="16" t="s">
        <v>32</v>
      </c>
      <c r="C11" s="17">
        <v>2362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78</v>
      </c>
      <c r="S11" s="24"/>
      <c r="T11" s="30">
        <v>111</v>
      </c>
      <c r="U11" s="24"/>
      <c r="V11" s="30">
        <v>1280</v>
      </c>
      <c r="W11" s="24"/>
      <c r="X11" s="30">
        <v>1674</v>
      </c>
      <c r="Y11" s="24"/>
      <c r="Z11" s="30">
        <v>2125</v>
      </c>
      <c r="AA11" s="24"/>
      <c r="AB11" s="30">
        <v>2125</v>
      </c>
      <c r="AC11" s="26"/>
      <c r="AD11" s="30">
        <v>2125</v>
      </c>
      <c r="AE11" s="26"/>
    </row>
    <row r="12" spans="2:42" x14ac:dyDescent="0.3">
      <c r="B12" s="16" t="s">
        <v>34</v>
      </c>
      <c r="C12" s="17">
        <v>1689</v>
      </c>
      <c r="E12" s="29" t="s">
        <v>35</v>
      </c>
      <c r="F12" s="119">
        <v>16560</v>
      </c>
      <c r="G12" s="117">
        <v>11895.51475</v>
      </c>
      <c r="H12" s="117">
        <v>16791.33201731999</v>
      </c>
      <c r="I12" s="19">
        <f>G12+H12</f>
        <v>28686.846767319992</v>
      </c>
      <c r="J12" s="119">
        <v>16052</v>
      </c>
      <c r="K12" s="117">
        <v>11003.762500000001</v>
      </c>
      <c r="L12" s="117">
        <v>15108.5206268</v>
      </c>
      <c r="M12" s="19">
        <f>K12+L12</f>
        <v>26112.283126800001</v>
      </c>
      <c r="N12" s="88">
        <v>49</v>
      </c>
      <c r="O12" s="88">
        <v>40</v>
      </c>
      <c r="P12" s="92"/>
      <c r="Q12" s="20">
        <f>J12-P12</f>
        <v>16052</v>
      </c>
      <c r="R12" s="21">
        <v>1383</v>
      </c>
      <c r="S12" s="20">
        <f>IF(R12&gt;0,(R12-R13-$Q12),"")</f>
        <v>-14997</v>
      </c>
      <c r="T12" s="21">
        <v>4217</v>
      </c>
      <c r="U12" s="20">
        <f>IF(T12&gt;0,(T12-T13-$Q12),"")</f>
        <v>-12163</v>
      </c>
      <c r="V12" s="21">
        <v>6579</v>
      </c>
      <c r="W12" s="20">
        <f>IF(V12&gt;0,(V12-V13-$Q12),"")</f>
        <v>-10119</v>
      </c>
      <c r="X12" s="21">
        <v>7361</v>
      </c>
      <c r="Y12" s="20">
        <f>IF(X12&gt;0,(X12-X13-$Q12),"")</f>
        <v>-9488</v>
      </c>
      <c r="Z12" s="21">
        <v>7361</v>
      </c>
      <c r="AA12" s="20">
        <f>IF(Z12&gt;0,(Z12-Z13-$Q12),"")</f>
        <v>-9492</v>
      </c>
      <c r="AB12" s="21">
        <v>7361</v>
      </c>
      <c r="AC12" s="22">
        <f>IF(AB12&gt;0,(AB12-AB13-$Q12),"")</f>
        <v>-9492</v>
      </c>
      <c r="AD12" s="21">
        <v>7361</v>
      </c>
      <c r="AE12" s="22">
        <f>IF(AD12&gt;0,(AD12-AD13-$Q12),"")</f>
        <v>-9492</v>
      </c>
    </row>
    <row r="13" spans="2:42" x14ac:dyDescent="0.3">
      <c r="B13" s="16" t="s">
        <v>36</v>
      </c>
      <c r="C13" s="17">
        <v>5229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328</v>
      </c>
      <c r="S13" s="24"/>
      <c r="T13" s="30">
        <v>328</v>
      </c>
      <c r="U13" s="24"/>
      <c r="V13" s="30">
        <v>646</v>
      </c>
      <c r="W13" s="24"/>
      <c r="X13" s="30">
        <v>797</v>
      </c>
      <c r="Y13" s="24"/>
      <c r="Z13" s="30">
        <v>801</v>
      </c>
      <c r="AA13" s="24"/>
      <c r="AB13" s="30">
        <v>801</v>
      </c>
      <c r="AC13" s="26"/>
      <c r="AD13" s="30">
        <v>801</v>
      </c>
      <c r="AE13" s="26"/>
    </row>
    <row r="14" spans="2:42" x14ac:dyDescent="0.3">
      <c r="B14" s="16" t="s">
        <v>38</v>
      </c>
      <c r="C14" s="17">
        <v>10037</v>
      </c>
      <c r="E14" s="18" t="s">
        <v>39</v>
      </c>
      <c r="F14" s="119">
        <v>24443</v>
      </c>
      <c r="G14" s="117">
        <v>18849.15625</v>
      </c>
      <c r="H14" s="117">
        <v>23378.967207360001</v>
      </c>
      <c r="I14" s="19">
        <f>G14+H14</f>
        <v>42228.123457360001</v>
      </c>
      <c r="J14" s="119">
        <v>24723</v>
      </c>
      <c r="K14" s="117">
        <v>19200.65625</v>
      </c>
      <c r="L14" s="117">
        <v>23698.411640559989</v>
      </c>
      <c r="M14" s="19">
        <f>K14+L14</f>
        <v>42899.067890559993</v>
      </c>
      <c r="N14" s="88">
        <v>63</v>
      </c>
      <c r="O14" s="88">
        <v>41</v>
      </c>
      <c r="P14" s="92"/>
      <c r="Q14" s="20">
        <f>J14-P14</f>
        <v>24723</v>
      </c>
      <c r="R14" s="21">
        <v>4805</v>
      </c>
      <c r="S14" s="20">
        <f>IF(R14&gt;0,(R14-R15-$Q14),"")</f>
        <v>-23671</v>
      </c>
      <c r="T14" s="21">
        <v>8030</v>
      </c>
      <c r="U14" s="20">
        <f>IF(T14&gt;0,(T14-T15-$Q14),"")</f>
        <v>-23098</v>
      </c>
      <c r="V14" s="21">
        <v>10082</v>
      </c>
      <c r="W14" s="20">
        <f>IF(V14&gt;0,(V14-V15-$Q14),"")</f>
        <v>-22830</v>
      </c>
      <c r="X14" s="21">
        <v>11675</v>
      </c>
      <c r="Y14" s="20">
        <f>IF(X14&gt;0,(X14-X15-$Q14),"")</f>
        <v>-22043</v>
      </c>
      <c r="Z14" s="21">
        <v>13100</v>
      </c>
      <c r="AA14" s="20">
        <f>IF(Z14&gt;0,(Z14-Z15-$Q14),"")</f>
        <v>-20932</v>
      </c>
      <c r="AB14" s="21">
        <v>13613</v>
      </c>
      <c r="AC14" s="22">
        <f>IF(AB14&gt;0,(AB14-AB15-$Q14),"")</f>
        <v>-20419</v>
      </c>
      <c r="AD14" s="21">
        <v>13613</v>
      </c>
      <c r="AE14" s="22">
        <f>IF(AD14&gt;0,(AD14-AD15-$Q14),"")</f>
        <v>-20419</v>
      </c>
    </row>
    <row r="15" spans="2:42" ht="15" customHeight="1" thickBot="1" x14ac:dyDescent="0.35">
      <c r="B15" s="16" t="s">
        <v>40</v>
      </c>
      <c r="C15" s="17">
        <v>2603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3753</v>
      </c>
      <c r="S15" s="24"/>
      <c r="T15" s="25">
        <v>6405</v>
      </c>
      <c r="U15" s="24"/>
      <c r="V15" s="25">
        <v>8189</v>
      </c>
      <c r="W15" s="24"/>
      <c r="X15" s="25">
        <v>8995</v>
      </c>
      <c r="Y15" s="24"/>
      <c r="Z15" s="25">
        <v>9309</v>
      </c>
      <c r="AA15" s="24"/>
      <c r="AB15" s="25">
        <v>9309</v>
      </c>
      <c r="AC15" s="26"/>
      <c r="AD15" s="25">
        <v>9309</v>
      </c>
      <c r="AE15" s="26"/>
    </row>
    <row r="16" spans="2:42" ht="15" customHeight="1" thickBot="1" x14ac:dyDescent="0.35">
      <c r="B16" s="28" t="s">
        <v>42</v>
      </c>
      <c r="C16" s="17">
        <v>12247</v>
      </c>
      <c r="E16" s="84"/>
      <c r="F16" s="31">
        <f t="shared" ref="F16:M16" si="0">SUM(F6:F15)</f>
        <v>93959</v>
      </c>
      <c r="G16" s="31">
        <f t="shared" si="0"/>
        <v>68519.21375000001</v>
      </c>
      <c r="H16" s="31">
        <f t="shared" si="0"/>
        <v>56735.802648599994</v>
      </c>
      <c r="I16" s="32">
        <f t="shared" si="0"/>
        <v>125255.01639860001</v>
      </c>
      <c r="J16" s="33">
        <f t="shared" si="0"/>
        <v>79893</v>
      </c>
      <c r="K16" s="33">
        <f t="shared" si="0"/>
        <v>61519.693125000005</v>
      </c>
      <c r="L16" s="33">
        <f t="shared" si="0"/>
        <v>53846.961256759991</v>
      </c>
      <c r="M16" s="33">
        <f t="shared" si="0"/>
        <v>115366.65438176</v>
      </c>
      <c r="N16" s="31">
        <f>SUM(N14,N12,N10,N8,N6)</f>
        <v>247</v>
      </c>
      <c r="O16" s="31">
        <f>SUM(O14,O12,O10,O8,O6)</f>
        <v>193</v>
      </c>
      <c r="P16" s="34">
        <f>SUM(P6:P15)</f>
        <v>0</v>
      </c>
      <c r="Q16" s="34">
        <f>SUM(Q6:Q15)</f>
        <v>79893</v>
      </c>
      <c r="R16" s="35">
        <f>R6+R8+R10+R12+R14-R7-R9-R11-R13-R15</f>
        <v>7052</v>
      </c>
      <c r="S16" s="36">
        <f>IF(R16&gt;1,(R16-$Q16),"")</f>
        <v>-72841</v>
      </c>
      <c r="T16" s="35">
        <f>T6+T8+T10+T12+T14-T7-T9-T11-T13-T15</f>
        <v>16982</v>
      </c>
      <c r="U16" s="36">
        <f>IF(T16&gt;1,(T16-$Q16),"")</f>
        <v>-62911</v>
      </c>
      <c r="V16" s="35">
        <f>V6+V8+V10+V12+V14-V7-V9-V11-V13-V15</f>
        <v>24391</v>
      </c>
      <c r="W16" s="36">
        <f>IF(V16&gt;1,(V16-$Q16),"")</f>
        <v>-55502</v>
      </c>
      <c r="X16" s="35">
        <f>X6+X8+X10+X12+X14-X7-X9-X11-X13-X15</f>
        <v>33301</v>
      </c>
      <c r="Y16" s="36">
        <f>IF(X16&gt;1,(X16-$Q16),"")</f>
        <v>-46592</v>
      </c>
      <c r="Z16" s="35">
        <f>Z6+Z8+Z10+Z12+Z14-Z7-Z9-Z11-Z13-Z15</f>
        <v>44988</v>
      </c>
      <c r="AA16" s="36">
        <f>IF(Z16&gt;1,(Z16-$Q16),"")</f>
        <v>-34905</v>
      </c>
      <c r="AB16" s="35">
        <f>AB6+AB8+AB10+AB12+AB14-AB7-AB9-AB11-AB13-AB15</f>
        <v>45876</v>
      </c>
      <c r="AC16" s="37">
        <f>IF(AB16&gt;1,(AB16-$Q16),"")</f>
        <v>-34017</v>
      </c>
      <c r="AD16" s="35">
        <f>AD6+AD8+AD10+AD12+AD14-AD7-AD9-AD11-AD13-AD15</f>
        <v>45876</v>
      </c>
      <c r="AE16" s="37">
        <f>IF(AD16&gt;1,(AD16-$Q16),"")</f>
        <v>-34017</v>
      </c>
    </row>
    <row r="17" spans="2:43" s="4" customFormat="1" ht="15" customHeight="1" thickBot="1" x14ac:dyDescent="0.35">
      <c r="B17" s="43" t="s">
        <v>47</v>
      </c>
      <c r="C17" s="17">
        <v>1177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4160</v>
      </c>
      <c r="S17" s="41"/>
      <c r="T17" s="40">
        <f>T15+T13+T11+T9+T7</f>
        <v>6848</v>
      </c>
      <c r="U17" s="41"/>
      <c r="V17" s="40">
        <f>V15+V13+V11+V9+V7</f>
        <v>10120</v>
      </c>
      <c r="W17" s="41"/>
      <c r="X17" s="40">
        <f>X15+X13+X11+X9+X7</f>
        <v>11480</v>
      </c>
      <c r="Y17" s="41"/>
      <c r="Z17" s="40">
        <f>Z15+Z13+Z11+Z9+Z7</f>
        <v>12271</v>
      </c>
      <c r="AA17" s="41"/>
      <c r="AB17" s="40">
        <f>AB15+AB13+AB11+AB9+AB7</f>
        <v>12271</v>
      </c>
      <c r="AC17" s="42"/>
      <c r="AD17" s="40">
        <f>AD15+AD13+AD11+AD9+AD7</f>
        <v>12271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559</v>
      </c>
      <c r="P18" s="45" t="s">
        <v>46</v>
      </c>
      <c r="Q18" s="46"/>
      <c r="R18" s="47">
        <f>IF(R16&gt;0,(R16)/2,"")</f>
        <v>3526</v>
      </c>
      <c r="S18" s="46"/>
      <c r="T18" s="47">
        <f>IF(T16&gt;0,(T16-R16)/2,"")</f>
        <v>4965</v>
      </c>
      <c r="U18" s="46"/>
      <c r="V18" s="47">
        <f>IF(V16&gt;0,(V16-T16)/2,"")</f>
        <v>3704.5</v>
      </c>
      <c r="W18" s="46"/>
      <c r="X18" s="47">
        <f>IF(X16&gt;0,(X16-V16)/2,"")</f>
        <v>4455</v>
      </c>
      <c r="Y18" s="46"/>
      <c r="Z18" s="47">
        <f>IF(Z16&gt;0,(Z16-X16)/2,"")</f>
        <v>5843.5</v>
      </c>
      <c r="AA18" s="46"/>
      <c r="AB18" s="47">
        <f>IF(AB16&gt;0,(AB16-Z16)/2,"")</f>
        <v>444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8601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1399</v>
      </c>
      <c r="L20" s="4"/>
      <c r="M20" s="4"/>
      <c r="Q20" s="51" t="s">
        <v>49</v>
      </c>
      <c r="R20" s="35">
        <v>5782</v>
      </c>
      <c r="S20" s="36"/>
      <c r="T20" s="35">
        <v>11436</v>
      </c>
      <c r="U20" s="36"/>
      <c r="V20" s="35">
        <v>19547</v>
      </c>
      <c r="W20" s="36"/>
      <c r="X20" s="35">
        <v>30212</v>
      </c>
      <c r="Y20" s="36"/>
      <c r="Z20" s="35">
        <v>36853</v>
      </c>
      <c r="AA20" s="36"/>
      <c r="AB20" s="35">
        <v>40339</v>
      </c>
      <c r="AC20" s="37">
        <v>-19147</v>
      </c>
      <c r="AD20" s="35">
        <v>40339</v>
      </c>
      <c r="AE20" s="37">
        <v>-19147</v>
      </c>
    </row>
    <row r="21" spans="2:43" ht="15" customHeight="1" thickBot="1" x14ac:dyDescent="0.35">
      <c r="B21" s="57" t="s">
        <v>52</v>
      </c>
      <c r="C21" s="58">
        <v>4611</v>
      </c>
      <c r="L21" s="4"/>
      <c r="M21" s="4"/>
      <c r="Q21" s="52"/>
      <c r="R21" s="40">
        <v>4397</v>
      </c>
      <c r="S21" s="41"/>
      <c r="T21" s="40">
        <v>8470</v>
      </c>
      <c r="U21" s="41"/>
      <c r="V21" s="40">
        <v>8553</v>
      </c>
      <c r="W21" s="41"/>
      <c r="X21" s="40">
        <v>12286</v>
      </c>
      <c r="Y21" s="41"/>
      <c r="Z21" s="40">
        <v>12487</v>
      </c>
      <c r="AA21" s="41"/>
      <c r="AB21" s="40">
        <v>12597</v>
      </c>
      <c r="AC21" s="42"/>
      <c r="AD21" s="40">
        <v>12597</v>
      </c>
      <c r="AE21" s="42"/>
    </row>
    <row r="22" spans="2:43" ht="15" customHeight="1" thickBot="1" x14ac:dyDescent="0.35">
      <c r="L22" s="4"/>
      <c r="M22" s="4"/>
      <c r="Q22" s="54"/>
      <c r="R22" s="55">
        <v>2891</v>
      </c>
      <c r="S22" s="55"/>
      <c r="T22" s="55">
        <v>2827</v>
      </c>
      <c r="U22" s="55"/>
      <c r="V22" s="55">
        <v>4055.5</v>
      </c>
      <c r="W22" s="55"/>
      <c r="X22" s="55">
        <v>5332.5</v>
      </c>
      <c r="Y22" s="55"/>
      <c r="Z22" s="55">
        <v>3320.5</v>
      </c>
      <c r="AA22" s="55"/>
      <c r="AB22" s="55">
        <v>1743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1270</v>
      </c>
      <c r="S24" s="60"/>
      <c r="T24" s="60">
        <f>IF(T16&gt;0,T16-T20,"")</f>
        <v>5546</v>
      </c>
      <c r="U24" s="60"/>
      <c r="V24" s="60">
        <f>IF(V16&gt;0,V16-V20,"")</f>
        <v>4844</v>
      </c>
      <c r="W24" s="60"/>
      <c r="X24" s="60">
        <f>IF(X16&gt;0,X16-X20,"")</f>
        <v>3089</v>
      </c>
      <c r="Y24" s="60"/>
      <c r="Z24" s="60">
        <f>IF(Z16&gt;0,Z16-Z20,"")</f>
        <v>8135</v>
      </c>
      <c r="AA24" s="60"/>
      <c r="AB24" s="60">
        <f>IF(AB16&gt;0,AB16-AB20,"")</f>
        <v>5537</v>
      </c>
      <c r="AC24" s="61"/>
      <c r="AD24" s="60">
        <f>IF(AD16&gt;0,AD16-AD20,"")</f>
        <v>5537</v>
      </c>
      <c r="AE24" s="61"/>
    </row>
    <row r="25" spans="2:43" x14ac:dyDescent="0.3">
      <c r="L25" s="4"/>
      <c r="M25" s="4"/>
      <c r="Q25" s="62"/>
      <c r="R25" s="63">
        <f>IF(R17&gt;=0,R17-R21,"")</f>
        <v>-237</v>
      </c>
      <c r="S25" s="64"/>
      <c r="T25" s="63">
        <f>IF(T17&gt;=0,T17-T21,"")</f>
        <v>-1622</v>
      </c>
      <c r="U25" s="64"/>
      <c r="V25" s="63">
        <f>IF(V17&gt;=0,V17-V21,"")</f>
        <v>1567</v>
      </c>
      <c r="W25" s="64"/>
      <c r="X25" s="63">
        <f>IF(X17&gt;=0,X17-X21,"")</f>
        <v>-806</v>
      </c>
      <c r="Y25" s="64"/>
      <c r="Z25" s="63">
        <f>IF(Z17&gt;=0,Z17-Z21,"")</f>
        <v>-216</v>
      </c>
      <c r="AA25" s="64"/>
      <c r="AB25" s="63">
        <f>IF(AB17&gt;=0,AB17-AB21,"")</f>
        <v>-326</v>
      </c>
      <c r="AC25" s="65"/>
      <c r="AD25" s="63">
        <f>IF(AD17&gt;=0,AD17-AD21,"")</f>
        <v>-326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635</v>
      </c>
      <c r="S26" s="55"/>
      <c r="T26" s="67">
        <f>IFERROR(IF(T18&gt;0,T18-T22,""),"")</f>
        <v>2138</v>
      </c>
      <c r="U26" s="55"/>
      <c r="V26" s="67">
        <f>IFERROR(IF(V18&gt;0,V18-V22,""),"")</f>
        <v>-351</v>
      </c>
      <c r="W26" s="55"/>
      <c r="X26" s="67">
        <f>IFERROR(IF(X18&gt;0,X18-X22,""),"")</f>
        <v>-877.5</v>
      </c>
      <c r="Y26" s="55"/>
      <c r="Z26" s="67">
        <f>IFERROR(IF(Z18&gt;0,Z18-Z22,""),"")</f>
        <v>2523</v>
      </c>
      <c r="AA26" s="55"/>
      <c r="AB26" s="67">
        <f>IFERROR(IF(AB18&gt;0,AB18-AB22,""),"")</f>
        <v>-1299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9345</v>
      </c>
      <c r="D29" s="76">
        <f>C14</f>
        <v>10037</v>
      </c>
      <c r="E29" s="77">
        <f>D29-C29</f>
        <v>692</v>
      </c>
      <c r="M29" s="4"/>
      <c r="O29" s="4"/>
    </row>
    <row r="30" spans="2:43" x14ac:dyDescent="0.3">
      <c r="B30" s="74" t="s">
        <v>56</v>
      </c>
      <c r="C30" s="122">
        <v>34014</v>
      </c>
      <c r="D30" s="76">
        <f>C7+C15+C16+C17+C18</f>
        <v>19315</v>
      </c>
      <c r="E30" s="77">
        <f>D30-C30</f>
        <v>-14699</v>
      </c>
      <c r="J30" s="53"/>
      <c r="L30" s="53"/>
      <c r="M30" s="4"/>
      <c r="O30" s="4"/>
    </row>
    <row r="31" spans="2:43" x14ac:dyDescent="0.3">
      <c r="B31" s="74" t="s">
        <v>21</v>
      </c>
      <c r="C31" s="122">
        <v>3254</v>
      </c>
      <c r="D31" s="76">
        <f>C6</f>
        <v>3254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16293</v>
      </c>
      <c r="D32" s="76">
        <f>C10+C11+C12+C13</f>
        <v>16293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14245</v>
      </c>
      <c r="D33" s="76">
        <f>C19+C20+C21</f>
        <v>14611</v>
      </c>
      <c r="E33" s="77">
        <f>D33-C33</f>
        <v>366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4303</v>
      </c>
      <c r="D34" s="80">
        <f>SUM(C8+C9)</f>
        <v>4303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2960</v>
      </c>
      <c r="R35" s="104">
        <v>612</v>
      </c>
      <c r="S35" s="104">
        <f t="shared" ref="S35:S64" si="1">IF(T35&gt;0,(T35-R35)/2,"")</f>
        <v>235.5</v>
      </c>
      <c r="T35" s="104">
        <v>1083</v>
      </c>
      <c r="U35" s="104">
        <f t="shared" ref="U35:U64" si="2">IF(V35&gt;0,(V35-T35)/2,"")</f>
        <v>0</v>
      </c>
      <c r="V35" s="104">
        <v>1083</v>
      </c>
      <c r="W35" s="104">
        <f t="shared" ref="W35:W64" si="3">IF(X35&gt;0,(X35-V35)/2,"")</f>
        <v>12</v>
      </c>
      <c r="X35" s="104">
        <v>1107</v>
      </c>
      <c r="Y35" s="104">
        <f t="shared" ref="Y35:Y64" si="4">IF(Z35&gt;0,(Z35-X35)/2,"")</f>
        <v>8.5</v>
      </c>
      <c r="Z35" s="104">
        <v>1124</v>
      </c>
      <c r="AA35" s="104">
        <f t="shared" ref="AA35:AA64" si="5">IF(AB35&gt;0,(AB35-Z35)/2,"")</f>
        <v>0</v>
      </c>
      <c r="AB35" s="104">
        <v>1124</v>
      </c>
      <c r="AC35" s="104">
        <f t="shared" ref="AC35:AC64" si="6">IF(AD35&gt;0,(AD35-AB35)/2,"")</f>
        <v>0</v>
      </c>
      <c r="AD35" s="104">
        <v>1124</v>
      </c>
      <c r="AE35" s="105">
        <f t="shared" ref="AE35:AE64" si="7">AD35-Q35</f>
        <v>-1836</v>
      </c>
    </row>
    <row r="36" spans="2:31" ht="15.6" customHeight="1" x14ac:dyDescent="0.3">
      <c r="N36" s="212"/>
      <c r="O36" s="95" t="s">
        <v>66</v>
      </c>
      <c r="P36" s="106"/>
      <c r="Q36" s="106">
        <v>1429</v>
      </c>
      <c r="R36" s="106">
        <v>0</v>
      </c>
      <c r="S36" s="106">
        <f t="shared" si="1"/>
        <v>304.5</v>
      </c>
      <c r="T36" s="106">
        <v>609</v>
      </c>
      <c r="U36" s="106">
        <f t="shared" si="2"/>
        <v>82</v>
      </c>
      <c r="V36" s="106">
        <v>773</v>
      </c>
      <c r="W36" s="106">
        <f t="shared" si="3"/>
        <v>321.5</v>
      </c>
      <c r="X36" s="106">
        <v>1416</v>
      </c>
      <c r="Y36" s="106">
        <f t="shared" si="4"/>
        <v>5</v>
      </c>
      <c r="Z36" s="106">
        <v>1426</v>
      </c>
      <c r="AA36" s="106">
        <f t="shared" si="5"/>
        <v>0</v>
      </c>
      <c r="AB36" s="106">
        <v>1426</v>
      </c>
      <c r="AC36" s="106">
        <f t="shared" si="6"/>
        <v>0</v>
      </c>
      <c r="AD36" s="106">
        <v>1426</v>
      </c>
      <c r="AE36" s="107">
        <f t="shared" si="7"/>
        <v>-3</v>
      </c>
    </row>
    <row r="37" spans="2:31" ht="15.6" customHeight="1" x14ac:dyDescent="0.3">
      <c r="N37" s="212"/>
      <c r="O37" s="94" t="s">
        <v>67</v>
      </c>
      <c r="P37" s="108"/>
      <c r="Q37" s="108">
        <v>2723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420</v>
      </c>
      <c r="V37" s="108">
        <v>840</v>
      </c>
      <c r="W37" s="108">
        <f t="shared" si="3"/>
        <v>248</v>
      </c>
      <c r="X37" s="108">
        <v>1336</v>
      </c>
      <c r="Y37" s="108">
        <f t="shared" si="4"/>
        <v>0</v>
      </c>
      <c r="Z37" s="108">
        <v>1336</v>
      </c>
      <c r="AA37" s="108">
        <f t="shared" si="5"/>
        <v>0</v>
      </c>
      <c r="AB37" s="108">
        <v>1336</v>
      </c>
      <c r="AC37" s="108">
        <f t="shared" si="6"/>
        <v>0</v>
      </c>
      <c r="AD37" s="108">
        <v>1336</v>
      </c>
      <c r="AE37" s="109">
        <f t="shared" si="7"/>
        <v>-1387</v>
      </c>
    </row>
    <row r="38" spans="2:31" ht="15.6" customHeight="1" x14ac:dyDescent="0.3">
      <c r="N38" s="212"/>
      <c r="O38" s="95" t="s">
        <v>68</v>
      </c>
      <c r="P38" s="106"/>
      <c r="Q38" s="106">
        <v>3072</v>
      </c>
      <c r="R38" s="106">
        <v>754</v>
      </c>
      <c r="S38" s="106">
        <f t="shared" si="1"/>
        <v>247.5</v>
      </c>
      <c r="T38" s="106">
        <v>1249</v>
      </c>
      <c r="U38" s="106">
        <f t="shared" si="2"/>
        <v>0</v>
      </c>
      <c r="V38" s="106">
        <v>1249</v>
      </c>
      <c r="W38" s="106">
        <f t="shared" si="3"/>
        <v>238.5</v>
      </c>
      <c r="X38" s="106">
        <v>1726</v>
      </c>
      <c r="Y38" s="106">
        <f t="shared" si="4"/>
        <v>0</v>
      </c>
      <c r="Z38" s="106">
        <v>1726</v>
      </c>
      <c r="AA38" s="106">
        <f t="shared" si="5"/>
        <v>0</v>
      </c>
      <c r="AB38" s="106">
        <v>1726</v>
      </c>
      <c r="AC38" s="106">
        <f t="shared" si="6"/>
        <v>0</v>
      </c>
      <c r="AD38" s="106">
        <v>1726</v>
      </c>
      <c r="AE38" s="107">
        <f t="shared" si="7"/>
        <v>-1346</v>
      </c>
    </row>
    <row r="39" spans="2:31" ht="15.6" customHeight="1" x14ac:dyDescent="0.3">
      <c r="N39" s="212"/>
      <c r="O39" s="94" t="s">
        <v>69</v>
      </c>
      <c r="P39" s="108"/>
      <c r="Q39" s="108">
        <v>2755</v>
      </c>
      <c r="R39" s="108">
        <v>330</v>
      </c>
      <c r="S39" s="108">
        <f t="shared" si="1"/>
        <v>0</v>
      </c>
      <c r="T39" s="108">
        <v>330</v>
      </c>
      <c r="U39" s="108">
        <f t="shared" si="2"/>
        <v>0</v>
      </c>
      <c r="V39" s="108">
        <v>330</v>
      </c>
      <c r="W39" s="108">
        <f t="shared" si="3"/>
        <v>181</v>
      </c>
      <c r="X39" s="108">
        <v>692</v>
      </c>
      <c r="Y39" s="108">
        <f t="shared" si="4"/>
        <v>519</v>
      </c>
      <c r="Z39" s="108">
        <v>1730</v>
      </c>
      <c r="AA39" s="108">
        <f t="shared" si="5"/>
        <v>0</v>
      </c>
      <c r="AB39" s="108">
        <v>1730</v>
      </c>
      <c r="AC39" s="108">
        <f t="shared" si="6"/>
        <v>0</v>
      </c>
      <c r="AD39" s="108">
        <v>1730</v>
      </c>
      <c r="AE39" s="109">
        <f t="shared" si="7"/>
        <v>-1025</v>
      </c>
    </row>
    <row r="40" spans="2:31" ht="15.6" customHeight="1" x14ac:dyDescent="0.3">
      <c r="N40" s="212"/>
      <c r="O40" s="95" t="s">
        <v>70</v>
      </c>
      <c r="P40" s="106"/>
      <c r="Q40" s="106">
        <v>2855</v>
      </c>
      <c r="R40" s="106">
        <v>373</v>
      </c>
      <c r="S40" s="106">
        <f t="shared" si="1"/>
        <v>192</v>
      </c>
      <c r="T40" s="106">
        <v>757</v>
      </c>
      <c r="U40" s="106">
        <f t="shared" si="2"/>
        <v>0</v>
      </c>
      <c r="V40" s="106">
        <v>757</v>
      </c>
      <c r="W40" s="106">
        <f t="shared" si="3"/>
        <v>269</v>
      </c>
      <c r="X40" s="106">
        <v>1295</v>
      </c>
      <c r="Y40" s="106">
        <f t="shared" si="4"/>
        <v>88.5</v>
      </c>
      <c r="Z40" s="106">
        <v>1472</v>
      </c>
      <c r="AA40" s="106">
        <f t="shared" si="5"/>
        <v>0</v>
      </c>
      <c r="AB40" s="106">
        <v>1472</v>
      </c>
      <c r="AC40" s="106">
        <f t="shared" si="6"/>
        <v>0</v>
      </c>
      <c r="AD40" s="106">
        <v>1472</v>
      </c>
      <c r="AE40" s="107">
        <f t="shared" si="7"/>
        <v>-1383</v>
      </c>
    </row>
    <row r="41" spans="2:31" ht="15.6" customHeight="1" x14ac:dyDescent="0.3">
      <c r="N41" s="212"/>
      <c r="O41" s="94" t="s">
        <v>71</v>
      </c>
      <c r="P41" s="108"/>
      <c r="Q41" s="108">
        <v>1262</v>
      </c>
      <c r="R41" s="108">
        <v>0</v>
      </c>
      <c r="S41" s="108">
        <f t="shared" si="1"/>
        <v>263</v>
      </c>
      <c r="T41" s="108">
        <v>526</v>
      </c>
      <c r="U41" s="108">
        <f t="shared" si="2"/>
        <v>139</v>
      </c>
      <c r="V41" s="108">
        <v>804</v>
      </c>
      <c r="W41" s="108">
        <f t="shared" si="3"/>
        <v>230.5</v>
      </c>
      <c r="X41" s="108">
        <v>1265</v>
      </c>
      <c r="Y41" s="108">
        <f t="shared" si="4"/>
        <v>0</v>
      </c>
      <c r="Z41" s="108">
        <v>1265</v>
      </c>
      <c r="AA41" s="108">
        <f t="shared" si="5"/>
        <v>0</v>
      </c>
      <c r="AB41" s="108">
        <v>1265</v>
      </c>
      <c r="AC41" s="108">
        <f t="shared" si="6"/>
        <v>0</v>
      </c>
      <c r="AD41" s="108">
        <v>1265</v>
      </c>
      <c r="AE41" s="109">
        <f t="shared" si="7"/>
        <v>3</v>
      </c>
    </row>
    <row r="42" spans="2:31" ht="15.6" customHeight="1" x14ac:dyDescent="0.3">
      <c r="N42" s="212"/>
      <c r="O42" s="95" t="s">
        <v>72</v>
      </c>
      <c r="P42" s="106"/>
      <c r="Q42" s="106">
        <v>1716</v>
      </c>
      <c r="R42" s="106">
        <v>0</v>
      </c>
      <c r="S42" s="106">
        <f t="shared" si="1"/>
        <v>276</v>
      </c>
      <c r="T42" s="106">
        <v>552</v>
      </c>
      <c r="U42" s="106">
        <f t="shared" si="2"/>
        <v>189.5</v>
      </c>
      <c r="V42" s="106">
        <v>931</v>
      </c>
      <c r="W42" s="106">
        <f t="shared" si="3"/>
        <v>197.5</v>
      </c>
      <c r="X42" s="106">
        <v>1326</v>
      </c>
      <c r="Y42" s="106">
        <f t="shared" si="4"/>
        <v>195.5</v>
      </c>
      <c r="Z42" s="106">
        <v>1717</v>
      </c>
      <c r="AA42" s="106">
        <f t="shared" si="5"/>
        <v>0</v>
      </c>
      <c r="AB42" s="106">
        <v>1717</v>
      </c>
      <c r="AC42" s="106">
        <f t="shared" si="6"/>
        <v>0</v>
      </c>
      <c r="AD42" s="106">
        <v>1717</v>
      </c>
      <c r="AE42" s="107">
        <f t="shared" si="7"/>
        <v>1</v>
      </c>
    </row>
    <row r="43" spans="2:31" ht="15.6" customHeight="1" thickBot="1" x14ac:dyDescent="0.35">
      <c r="N43" s="213"/>
      <c r="O43" s="97" t="s">
        <v>73</v>
      </c>
      <c r="P43" s="110"/>
      <c r="Q43" s="110">
        <v>1716</v>
      </c>
      <c r="R43" s="110">
        <v>504</v>
      </c>
      <c r="S43" s="110">
        <f t="shared" si="1"/>
        <v>228</v>
      </c>
      <c r="T43" s="110">
        <v>960</v>
      </c>
      <c r="U43" s="110">
        <f t="shared" si="2"/>
        <v>0</v>
      </c>
      <c r="V43" s="110">
        <v>960</v>
      </c>
      <c r="W43" s="110">
        <f t="shared" si="3"/>
        <v>90.5</v>
      </c>
      <c r="X43" s="110">
        <v>1141</v>
      </c>
      <c r="Y43" s="110">
        <f t="shared" si="4"/>
        <v>40</v>
      </c>
      <c r="Z43" s="110">
        <v>1221</v>
      </c>
      <c r="AA43" s="110">
        <f t="shared" si="5"/>
        <v>0</v>
      </c>
      <c r="AB43" s="110">
        <v>1221</v>
      </c>
      <c r="AC43" s="110">
        <f t="shared" si="6"/>
        <v>0</v>
      </c>
      <c r="AD43" s="110">
        <v>1221</v>
      </c>
      <c r="AE43" s="111">
        <f t="shared" si="7"/>
        <v>-495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4781</v>
      </c>
      <c r="R44" s="112">
        <v>1005</v>
      </c>
      <c r="S44" s="112">
        <f t="shared" si="1"/>
        <v>425</v>
      </c>
      <c r="T44" s="112">
        <v>1855</v>
      </c>
      <c r="U44" s="112">
        <f t="shared" si="2"/>
        <v>0</v>
      </c>
      <c r="V44" s="112">
        <v>1855</v>
      </c>
      <c r="W44" s="112">
        <f t="shared" si="3"/>
        <v>0</v>
      </c>
      <c r="X44" s="112">
        <v>1855</v>
      </c>
      <c r="Y44" s="112">
        <f t="shared" si="4"/>
        <v>516</v>
      </c>
      <c r="Z44" s="112">
        <v>2887</v>
      </c>
      <c r="AA44" s="112">
        <f t="shared" si="5"/>
        <v>0</v>
      </c>
      <c r="AB44" s="112">
        <v>2887</v>
      </c>
      <c r="AC44" s="112">
        <f t="shared" si="6"/>
        <v>0</v>
      </c>
      <c r="AD44" s="112">
        <v>2887</v>
      </c>
      <c r="AE44" s="113">
        <f t="shared" si="7"/>
        <v>-1894</v>
      </c>
    </row>
    <row r="45" spans="2:31" ht="15.6" customHeight="1" x14ac:dyDescent="0.3">
      <c r="N45" s="212"/>
      <c r="O45" s="94" t="s">
        <v>66</v>
      </c>
      <c r="P45" s="108"/>
      <c r="Q45" s="108">
        <v>3775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1221.5</v>
      </c>
      <c r="X45" s="108">
        <v>2443</v>
      </c>
      <c r="Y45" s="108">
        <f t="shared" si="4"/>
        <v>666</v>
      </c>
      <c r="Z45" s="108">
        <v>3775</v>
      </c>
      <c r="AA45" s="108">
        <f t="shared" si="5"/>
        <v>0</v>
      </c>
      <c r="AB45" s="108">
        <v>3775</v>
      </c>
      <c r="AC45" s="108">
        <f t="shared" si="6"/>
        <v>0</v>
      </c>
      <c r="AD45" s="108">
        <v>3775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2388</v>
      </c>
      <c r="R46" s="106">
        <v>7</v>
      </c>
      <c r="S46" s="106">
        <f t="shared" si="1"/>
        <v>0</v>
      </c>
      <c r="T46" s="106">
        <v>7</v>
      </c>
      <c r="U46" s="106">
        <f t="shared" si="2"/>
        <v>0</v>
      </c>
      <c r="V46" s="106">
        <v>7</v>
      </c>
      <c r="W46" s="106">
        <f t="shared" si="3"/>
        <v>163</v>
      </c>
      <c r="X46" s="106">
        <v>333</v>
      </c>
      <c r="Y46" s="106">
        <f t="shared" si="4"/>
        <v>376</v>
      </c>
      <c r="Z46" s="106">
        <v>1085</v>
      </c>
      <c r="AA46" s="106">
        <f t="shared" si="5"/>
        <v>0</v>
      </c>
      <c r="AB46" s="106">
        <v>1085</v>
      </c>
      <c r="AC46" s="106">
        <f t="shared" si="6"/>
        <v>0</v>
      </c>
      <c r="AD46" s="106">
        <v>1085</v>
      </c>
      <c r="AE46" s="107">
        <f t="shared" si="7"/>
        <v>-1303</v>
      </c>
    </row>
    <row r="47" spans="2:31" ht="15.6" customHeight="1" thickBot="1" x14ac:dyDescent="0.35">
      <c r="N47" s="213"/>
      <c r="O47" s="97" t="s">
        <v>68</v>
      </c>
      <c r="P47" s="110"/>
      <c r="Q47" s="110">
        <v>4100</v>
      </c>
      <c r="R47" s="110">
        <v>8</v>
      </c>
      <c r="S47" s="110">
        <f t="shared" si="1"/>
        <v>0</v>
      </c>
      <c r="T47" s="110">
        <v>8</v>
      </c>
      <c r="U47" s="110">
        <f t="shared" si="2"/>
        <v>0</v>
      </c>
      <c r="V47" s="110">
        <v>8</v>
      </c>
      <c r="W47" s="110">
        <f t="shared" si="3"/>
        <v>0</v>
      </c>
      <c r="X47" s="110">
        <v>8</v>
      </c>
      <c r="Y47" s="110">
        <f t="shared" si="4"/>
        <v>1293</v>
      </c>
      <c r="Z47" s="110">
        <v>2594</v>
      </c>
      <c r="AA47" s="110">
        <f t="shared" si="5"/>
        <v>0</v>
      </c>
      <c r="AB47" s="110">
        <v>2594</v>
      </c>
      <c r="AC47" s="110">
        <f t="shared" si="6"/>
        <v>0</v>
      </c>
      <c r="AD47" s="110">
        <v>2594</v>
      </c>
      <c r="AE47" s="111">
        <f t="shared" si="7"/>
        <v>-1506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2076</v>
      </c>
      <c r="R48" s="112">
        <v>0</v>
      </c>
      <c r="S48" s="112">
        <f t="shared" si="1"/>
        <v>480.5</v>
      </c>
      <c r="T48" s="112">
        <v>961</v>
      </c>
      <c r="U48" s="112">
        <f t="shared" si="2"/>
        <v>414</v>
      </c>
      <c r="V48" s="112">
        <v>1789</v>
      </c>
      <c r="W48" s="112">
        <f t="shared" si="3"/>
        <v>0</v>
      </c>
      <c r="X48" s="112">
        <v>1789</v>
      </c>
      <c r="Y48" s="112">
        <f t="shared" si="4"/>
        <v>40</v>
      </c>
      <c r="Z48" s="112">
        <v>1869</v>
      </c>
      <c r="AA48" s="112">
        <f t="shared" si="5"/>
        <v>61</v>
      </c>
      <c r="AB48" s="112">
        <v>1991</v>
      </c>
      <c r="AC48" s="112">
        <f t="shared" si="6"/>
        <v>0</v>
      </c>
      <c r="AD48" s="112">
        <v>1991</v>
      </c>
      <c r="AE48" s="113">
        <f t="shared" si="7"/>
        <v>-85</v>
      </c>
    </row>
    <row r="49" spans="14:31" ht="15.6" customHeight="1" x14ac:dyDescent="0.3">
      <c r="N49" s="212"/>
      <c r="O49" s="94" t="s">
        <v>66</v>
      </c>
      <c r="P49" s="108"/>
      <c r="Q49" s="108">
        <v>3598</v>
      </c>
      <c r="R49" s="108">
        <v>981</v>
      </c>
      <c r="S49" s="108">
        <f t="shared" si="1"/>
        <v>0</v>
      </c>
      <c r="T49" s="108">
        <v>981</v>
      </c>
      <c r="U49" s="108">
        <f t="shared" si="2"/>
        <v>203</v>
      </c>
      <c r="V49" s="108">
        <v>1387</v>
      </c>
      <c r="W49" s="108">
        <f t="shared" si="3"/>
        <v>483</v>
      </c>
      <c r="X49" s="108">
        <v>2353</v>
      </c>
      <c r="Y49" s="108">
        <f t="shared" si="4"/>
        <v>574</v>
      </c>
      <c r="Z49" s="108">
        <v>3501</v>
      </c>
      <c r="AA49" s="108">
        <f t="shared" si="5"/>
        <v>0</v>
      </c>
      <c r="AB49" s="108">
        <v>3501</v>
      </c>
      <c r="AC49" s="108">
        <f t="shared" si="6"/>
        <v>0</v>
      </c>
      <c r="AD49" s="108">
        <v>3501</v>
      </c>
      <c r="AE49" s="109">
        <f t="shared" si="7"/>
        <v>-97</v>
      </c>
    </row>
    <row r="50" spans="14:31" ht="15.6" customHeight="1" x14ac:dyDescent="0.3">
      <c r="N50" s="212"/>
      <c r="O50" s="95" t="s">
        <v>67</v>
      </c>
      <c r="P50" s="106"/>
      <c r="Q50" s="106">
        <v>1999</v>
      </c>
      <c r="R50" s="106">
        <v>93</v>
      </c>
      <c r="S50" s="106">
        <f t="shared" si="1"/>
        <v>24</v>
      </c>
      <c r="T50" s="106">
        <v>141</v>
      </c>
      <c r="U50" s="106">
        <f t="shared" si="2"/>
        <v>265.5</v>
      </c>
      <c r="V50" s="106">
        <v>672</v>
      </c>
      <c r="W50" s="106">
        <f t="shared" si="3"/>
        <v>189.5</v>
      </c>
      <c r="X50" s="106">
        <v>1051</v>
      </c>
      <c r="Y50" s="106">
        <f t="shared" si="4"/>
        <v>-51.5</v>
      </c>
      <c r="Z50" s="106">
        <v>948</v>
      </c>
      <c r="AA50" s="106">
        <f t="shared" si="5"/>
        <v>0</v>
      </c>
      <c r="AB50" s="106">
        <v>948</v>
      </c>
      <c r="AC50" s="106">
        <f t="shared" si="6"/>
        <v>0</v>
      </c>
      <c r="AD50" s="106">
        <v>948</v>
      </c>
      <c r="AE50" s="107">
        <f t="shared" si="7"/>
        <v>-1051</v>
      </c>
    </row>
    <row r="51" spans="14:31" ht="15.6" customHeight="1" x14ac:dyDescent="0.3">
      <c r="N51" s="212"/>
      <c r="O51" s="94" t="s">
        <v>68</v>
      </c>
      <c r="P51" s="108"/>
      <c r="Q51" s="108">
        <v>1460</v>
      </c>
      <c r="R51" s="108">
        <v>31</v>
      </c>
      <c r="S51" s="108">
        <f t="shared" si="1"/>
        <v>0</v>
      </c>
      <c r="T51" s="108">
        <v>31</v>
      </c>
      <c r="U51" s="108">
        <f t="shared" si="2"/>
        <v>245</v>
      </c>
      <c r="V51" s="108">
        <v>521</v>
      </c>
      <c r="W51" s="108">
        <f t="shared" si="3"/>
        <v>0</v>
      </c>
      <c r="X51" s="108">
        <v>521</v>
      </c>
      <c r="Y51" s="108">
        <f t="shared" si="4"/>
        <v>0</v>
      </c>
      <c r="Z51" s="108">
        <v>521</v>
      </c>
      <c r="AA51" s="108">
        <f t="shared" si="5"/>
        <v>6</v>
      </c>
      <c r="AB51" s="108">
        <v>533</v>
      </c>
      <c r="AC51" s="108">
        <f t="shared" si="6"/>
        <v>0</v>
      </c>
      <c r="AD51" s="108">
        <v>533</v>
      </c>
      <c r="AE51" s="109">
        <f t="shared" si="7"/>
        <v>-927</v>
      </c>
    </row>
    <row r="52" spans="14:31" ht="15.6" customHeight="1" x14ac:dyDescent="0.3">
      <c r="N52" s="212"/>
      <c r="O52" s="95" t="s">
        <v>69</v>
      </c>
      <c r="P52" s="106"/>
      <c r="Q52" s="106">
        <v>2640</v>
      </c>
      <c r="R52" s="106">
        <v>0</v>
      </c>
      <c r="S52" s="106">
        <f t="shared" si="1"/>
        <v>3.5</v>
      </c>
      <c r="T52" s="106">
        <v>7</v>
      </c>
      <c r="U52" s="106">
        <f t="shared" si="2"/>
        <v>589</v>
      </c>
      <c r="V52" s="106">
        <v>1185</v>
      </c>
      <c r="W52" s="106">
        <f t="shared" si="3"/>
        <v>95.5</v>
      </c>
      <c r="X52" s="106">
        <v>1376</v>
      </c>
      <c r="Y52" s="106">
        <f t="shared" si="4"/>
        <v>349</v>
      </c>
      <c r="Z52" s="106">
        <v>2074</v>
      </c>
      <c r="AA52" s="106">
        <f t="shared" si="5"/>
        <v>0</v>
      </c>
      <c r="AB52" s="106">
        <v>2074</v>
      </c>
      <c r="AC52" s="106">
        <f t="shared" si="6"/>
        <v>0</v>
      </c>
      <c r="AD52" s="106">
        <v>2074</v>
      </c>
      <c r="AE52" s="107">
        <f t="shared" si="7"/>
        <v>-566</v>
      </c>
    </row>
    <row r="53" spans="14:31" ht="15.6" customHeight="1" x14ac:dyDescent="0.3">
      <c r="N53" s="212"/>
      <c r="O53" s="94" t="s">
        <v>70</v>
      </c>
      <c r="P53" s="108"/>
      <c r="Q53" s="108">
        <v>1821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6.5</v>
      </c>
      <c r="X53" s="108">
        <v>13</v>
      </c>
      <c r="Y53" s="108">
        <f t="shared" si="4"/>
        <v>325.5</v>
      </c>
      <c r="Z53" s="108">
        <v>664</v>
      </c>
      <c r="AA53" s="108">
        <f t="shared" si="5"/>
        <v>0</v>
      </c>
      <c r="AB53" s="108">
        <v>664</v>
      </c>
      <c r="AC53" s="108">
        <f t="shared" si="6"/>
        <v>0</v>
      </c>
      <c r="AD53" s="108">
        <v>664</v>
      </c>
      <c r="AE53" s="109">
        <f t="shared" si="7"/>
        <v>-1157</v>
      </c>
    </row>
    <row r="54" spans="14:31" ht="15.6" customHeight="1" x14ac:dyDescent="0.3">
      <c r="N54" s="212"/>
      <c r="O54" s="95" t="s">
        <v>71</v>
      </c>
      <c r="P54" s="106"/>
      <c r="Q54" s="106">
        <v>2030</v>
      </c>
      <c r="R54" s="106">
        <v>315</v>
      </c>
      <c r="S54" s="106">
        <f t="shared" si="1"/>
        <v>0</v>
      </c>
      <c r="T54" s="106">
        <v>315</v>
      </c>
      <c r="U54" s="106">
        <f t="shared" si="2"/>
        <v>0</v>
      </c>
      <c r="V54" s="106">
        <v>315</v>
      </c>
      <c r="W54" s="106">
        <f t="shared" si="3"/>
        <v>0</v>
      </c>
      <c r="X54" s="106">
        <v>315</v>
      </c>
      <c r="Y54" s="106">
        <f t="shared" si="4"/>
        <v>465</v>
      </c>
      <c r="Z54" s="106">
        <v>1245</v>
      </c>
      <c r="AA54" s="106">
        <f t="shared" si="5"/>
        <v>20.5</v>
      </c>
      <c r="AB54" s="106">
        <v>1286</v>
      </c>
      <c r="AC54" s="106">
        <f t="shared" si="6"/>
        <v>0</v>
      </c>
      <c r="AD54" s="106">
        <v>1286</v>
      </c>
      <c r="AE54" s="107">
        <f t="shared" si="7"/>
        <v>-744</v>
      </c>
    </row>
    <row r="55" spans="14:31" ht="15.6" customHeight="1" x14ac:dyDescent="0.3">
      <c r="N55" s="212"/>
      <c r="O55" s="94" t="s">
        <v>72</v>
      </c>
      <c r="P55" s="108"/>
      <c r="Q55" s="108">
        <v>2789</v>
      </c>
      <c r="R55" s="108">
        <v>11</v>
      </c>
      <c r="S55" s="108">
        <f t="shared" si="1"/>
        <v>600</v>
      </c>
      <c r="T55" s="108">
        <v>1211</v>
      </c>
      <c r="U55" s="108">
        <f t="shared" si="2"/>
        <v>586.5</v>
      </c>
      <c r="V55" s="108">
        <v>2384</v>
      </c>
      <c r="W55" s="108">
        <f t="shared" si="3"/>
        <v>0</v>
      </c>
      <c r="X55" s="108">
        <v>2384</v>
      </c>
      <c r="Y55" s="108">
        <f t="shared" si="4"/>
        <v>0</v>
      </c>
      <c r="Z55" s="108">
        <v>2384</v>
      </c>
      <c r="AA55" s="108">
        <f t="shared" si="5"/>
        <v>100</v>
      </c>
      <c r="AB55" s="108">
        <v>2584</v>
      </c>
      <c r="AC55" s="108">
        <f t="shared" si="6"/>
        <v>0</v>
      </c>
      <c r="AD55" s="108">
        <v>2584</v>
      </c>
      <c r="AE55" s="109">
        <f t="shared" si="7"/>
        <v>-205</v>
      </c>
    </row>
    <row r="56" spans="14:31" ht="15.6" customHeight="1" thickBot="1" x14ac:dyDescent="0.35">
      <c r="N56" s="213"/>
      <c r="O56" s="99" t="s">
        <v>73</v>
      </c>
      <c r="P56" s="114"/>
      <c r="Q56" s="114">
        <v>234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>
        <f t="shared" si="4"/>
        <v>117</v>
      </c>
      <c r="Z56" s="114">
        <v>234</v>
      </c>
      <c r="AA56" s="114">
        <f t="shared" si="5"/>
        <v>0</v>
      </c>
      <c r="AB56" s="114">
        <v>234</v>
      </c>
      <c r="AC56" s="114">
        <f t="shared" si="6"/>
        <v>0</v>
      </c>
      <c r="AD56" s="114">
        <v>234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6456</v>
      </c>
      <c r="R57" s="104">
        <v>602</v>
      </c>
      <c r="S57" s="104">
        <f t="shared" si="1"/>
        <v>882.5</v>
      </c>
      <c r="T57" s="104">
        <v>2367</v>
      </c>
      <c r="U57" s="104">
        <f t="shared" si="2"/>
        <v>282.5</v>
      </c>
      <c r="V57" s="104">
        <v>2932</v>
      </c>
      <c r="W57" s="104">
        <f t="shared" si="3"/>
        <v>-245.5</v>
      </c>
      <c r="X57" s="104">
        <v>2441</v>
      </c>
      <c r="Y57" s="104">
        <f t="shared" si="4"/>
        <v>10</v>
      </c>
      <c r="Z57" s="104">
        <v>2461</v>
      </c>
      <c r="AA57" s="104">
        <f t="shared" si="5"/>
        <v>0</v>
      </c>
      <c r="AB57" s="104">
        <v>2461</v>
      </c>
      <c r="AC57" s="104">
        <f t="shared" si="6"/>
        <v>0</v>
      </c>
      <c r="AD57" s="104">
        <v>2461</v>
      </c>
      <c r="AE57" s="105">
        <f t="shared" si="7"/>
        <v>-3995</v>
      </c>
    </row>
    <row r="58" spans="14:31" ht="15.6" customHeight="1" x14ac:dyDescent="0.3">
      <c r="N58" s="212"/>
      <c r="O58" s="95" t="s">
        <v>66</v>
      </c>
      <c r="P58" s="106"/>
      <c r="Q58" s="106">
        <v>4563</v>
      </c>
      <c r="R58" s="106">
        <v>781</v>
      </c>
      <c r="S58" s="106">
        <f t="shared" si="1"/>
        <v>428</v>
      </c>
      <c r="T58" s="106">
        <v>1637</v>
      </c>
      <c r="U58" s="106">
        <f t="shared" si="2"/>
        <v>604.5</v>
      </c>
      <c r="V58" s="106">
        <v>2846</v>
      </c>
      <c r="W58" s="106">
        <f t="shared" si="3"/>
        <v>51</v>
      </c>
      <c r="X58" s="106">
        <v>2948</v>
      </c>
      <c r="Y58" s="106">
        <f t="shared" si="4"/>
        <v>-10</v>
      </c>
      <c r="Z58" s="106">
        <v>2928</v>
      </c>
      <c r="AA58" s="106">
        <f t="shared" si="5"/>
        <v>0</v>
      </c>
      <c r="AB58" s="106">
        <v>2928</v>
      </c>
      <c r="AC58" s="106">
        <f t="shared" si="6"/>
        <v>0</v>
      </c>
      <c r="AD58" s="106">
        <v>2928</v>
      </c>
      <c r="AE58" s="107">
        <f t="shared" si="7"/>
        <v>-1635</v>
      </c>
    </row>
    <row r="59" spans="14:31" ht="15.6" customHeight="1" x14ac:dyDescent="0.3">
      <c r="N59" s="212"/>
      <c r="O59" s="94" t="s">
        <v>67</v>
      </c>
      <c r="P59" s="108"/>
      <c r="Q59" s="108">
        <v>5033</v>
      </c>
      <c r="R59" s="108">
        <v>0</v>
      </c>
      <c r="S59" s="108">
        <f t="shared" si="1"/>
        <v>106.5</v>
      </c>
      <c r="T59" s="108">
        <v>213</v>
      </c>
      <c r="U59" s="108">
        <f t="shared" si="2"/>
        <v>294</v>
      </c>
      <c r="V59" s="108">
        <v>801</v>
      </c>
      <c r="W59" s="108">
        <f t="shared" si="3"/>
        <v>585.5</v>
      </c>
      <c r="X59" s="108">
        <v>1972</v>
      </c>
      <c r="Y59" s="108">
        <f t="shared" si="4"/>
        <v>0</v>
      </c>
      <c r="Z59" s="108">
        <v>1972</v>
      </c>
      <c r="AA59" s="108">
        <f t="shared" si="5"/>
        <v>0</v>
      </c>
      <c r="AB59" s="108">
        <v>1972</v>
      </c>
      <c r="AC59" s="108">
        <f t="shared" si="6"/>
        <v>0</v>
      </c>
      <c r="AD59" s="108">
        <v>1972</v>
      </c>
      <c r="AE59" s="109">
        <f t="shared" si="7"/>
        <v>-3061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6787</v>
      </c>
      <c r="R61" s="104">
        <v>1523</v>
      </c>
      <c r="S61" s="104">
        <f t="shared" si="1"/>
        <v>320</v>
      </c>
      <c r="T61" s="104">
        <v>2163</v>
      </c>
      <c r="U61" s="104">
        <f t="shared" si="2"/>
        <v>465</v>
      </c>
      <c r="V61" s="104">
        <v>3093</v>
      </c>
      <c r="W61" s="104">
        <f t="shared" si="3"/>
        <v>113.5</v>
      </c>
      <c r="X61" s="104">
        <v>3320</v>
      </c>
      <c r="Y61" s="104">
        <f t="shared" si="4"/>
        <v>263.5</v>
      </c>
      <c r="Z61" s="104">
        <v>3847</v>
      </c>
      <c r="AA61" s="104">
        <f t="shared" si="5"/>
        <v>0</v>
      </c>
      <c r="AB61" s="104">
        <v>3847</v>
      </c>
      <c r="AC61" s="104">
        <f t="shared" si="6"/>
        <v>0</v>
      </c>
      <c r="AD61" s="104">
        <v>3847</v>
      </c>
      <c r="AE61" s="105">
        <f t="shared" si="7"/>
        <v>-2940</v>
      </c>
    </row>
    <row r="62" spans="14:31" ht="15.6" customHeight="1" x14ac:dyDescent="0.3">
      <c r="N62" s="212"/>
      <c r="O62" s="95" t="s">
        <v>66</v>
      </c>
      <c r="P62" s="106"/>
      <c r="Q62" s="106">
        <v>5631</v>
      </c>
      <c r="R62" s="106">
        <v>1699</v>
      </c>
      <c r="S62" s="106">
        <f t="shared" si="1"/>
        <v>789.5</v>
      </c>
      <c r="T62" s="106">
        <v>3278</v>
      </c>
      <c r="U62" s="106">
        <f t="shared" si="2"/>
        <v>220</v>
      </c>
      <c r="V62" s="106">
        <v>3718</v>
      </c>
      <c r="W62" s="106">
        <f t="shared" si="3"/>
        <v>202.5</v>
      </c>
      <c r="X62" s="106">
        <v>4123</v>
      </c>
      <c r="Y62" s="106">
        <f t="shared" si="4"/>
        <v>2</v>
      </c>
      <c r="Z62" s="106">
        <v>4127</v>
      </c>
      <c r="AA62" s="106">
        <f t="shared" si="5"/>
        <v>0</v>
      </c>
      <c r="AB62" s="106">
        <v>4127</v>
      </c>
      <c r="AC62" s="106">
        <f t="shared" si="6"/>
        <v>0</v>
      </c>
      <c r="AD62" s="106">
        <v>4127</v>
      </c>
      <c r="AE62" s="107">
        <f t="shared" si="7"/>
        <v>-1504</v>
      </c>
    </row>
    <row r="63" spans="14:31" ht="15.6" customHeight="1" x14ac:dyDescent="0.3">
      <c r="N63" s="212"/>
      <c r="O63" s="94" t="s">
        <v>67</v>
      </c>
      <c r="P63" s="108"/>
      <c r="Q63" s="108">
        <v>8410</v>
      </c>
      <c r="R63" s="108">
        <v>866</v>
      </c>
      <c r="S63" s="108">
        <f t="shared" si="1"/>
        <v>409</v>
      </c>
      <c r="T63" s="108">
        <v>1684</v>
      </c>
      <c r="U63" s="108">
        <f t="shared" si="2"/>
        <v>232</v>
      </c>
      <c r="V63" s="108">
        <v>2148</v>
      </c>
      <c r="W63" s="108">
        <f t="shared" si="3"/>
        <v>459.5</v>
      </c>
      <c r="X63" s="108">
        <v>3067</v>
      </c>
      <c r="Y63" s="108">
        <f t="shared" si="4"/>
        <v>447</v>
      </c>
      <c r="Z63" s="108">
        <v>3961</v>
      </c>
      <c r="AA63" s="108">
        <f t="shared" si="5"/>
        <v>256.5</v>
      </c>
      <c r="AB63" s="108">
        <v>4474</v>
      </c>
      <c r="AC63" s="108">
        <f t="shared" si="6"/>
        <v>0</v>
      </c>
      <c r="AD63" s="108">
        <v>4474</v>
      </c>
      <c r="AE63" s="109">
        <f t="shared" si="7"/>
        <v>-3936</v>
      </c>
    </row>
    <row r="64" spans="14:31" ht="15.6" customHeight="1" thickBot="1" x14ac:dyDescent="0.35">
      <c r="N64" s="213"/>
      <c r="O64" s="99" t="s">
        <v>68</v>
      </c>
      <c r="P64" s="114"/>
      <c r="Q64" s="114">
        <v>3446</v>
      </c>
      <c r="R64" s="114">
        <v>711</v>
      </c>
      <c r="S64" s="114">
        <f t="shared" si="1"/>
        <v>41</v>
      </c>
      <c r="T64" s="114">
        <v>793</v>
      </c>
      <c r="U64" s="114">
        <f t="shared" si="2"/>
        <v>49</v>
      </c>
      <c r="V64" s="114">
        <v>891</v>
      </c>
      <c r="W64" s="114">
        <f t="shared" si="3"/>
        <v>21</v>
      </c>
      <c r="X64" s="114">
        <v>933</v>
      </c>
      <c r="Y64" s="114">
        <f t="shared" si="4"/>
        <v>0</v>
      </c>
      <c r="Z64" s="114">
        <v>933</v>
      </c>
      <c r="AA64" s="114">
        <f t="shared" si="5"/>
        <v>0</v>
      </c>
      <c r="AB64" s="114">
        <v>933</v>
      </c>
      <c r="AC64" s="114">
        <f t="shared" si="6"/>
        <v>0</v>
      </c>
      <c r="AD64" s="114">
        <v>933</v>
      </c>
      <c r="AE64" s="115">
        <f t="shared" si="7"/>
        <v>-2513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35" priority="11" operator="lessThan">
      <formula>0</formula>
    </cfRule>
    <cfRule type="cellIs" dxfId="1534" priority="12" operator="greaterThan">
      <formula>0</formula>
    </cfRule>
  </conditionalFormatting>
  <conditionalFormatting sqref="R25:AC25">
    <cfRule type="cellIs" dxfId="1533" priority="9" operator="lessThan">
      <formula>0</formula>
    </cfRule>
    <cfRule type="cellIs" dxfId="1532" priority="10" operator="greaterThan">
      <formula>0</formula>
    </cfRule>
  </conditionalFormatting>
  <conditionalFormatting sqref="R26 T26 V26 X26 Z26 AB26">
    <cfRule type="cellIs" dxfId="1531" priority="7" operator="lessThan">
      <formula>0</formula>
    </cfRule>
    <cfRule type="cellIs" dxfId="1530" priority="8" operator="greaterThan">
      <formula>0</formula>
    </cfRule>
  </conditionalFormatting>
  <conditionalFormatting sqref="AD24:AE24">
    <cfRule type="cellIs" dxfId="1529" priority="5" operator="lessThan">
      <formula>0</formula>
    </cfRule>
    <cfRule type="cellIs" dxfId="1528" priority="6" operator="greaterThan">
      <formula>0</formula>
    </cfRule>
  </conditionalFormatting>
  <conditionalFormatting sqref="AD25:AE25">
    <cfRule type="cellIs" dxfId="1527" priority="3" operator="lessThan">
      <formula>0</formula>
    </cfRule>
    <cfRule type="cellIs" dxfId="1526" priority="4" operator="greaterThan">
      <formula>0</formula>
    </cfRule>
  </conditionalFormatting>
  <conditionalFormatting sqref="AD26">
    <cfRule type="cellIs" dxfId="1525" priority="1" operator="lessThan">
      <formula>0</formula>
    </cfRule>
    <cfRule type="cellIs" dxfId="152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tabColor theme="1"/>
    <pageSetUpPr fitToPage="1"/>
  </sheetPr>
  <dimension ref="B1:AQ64"/>
  <sheetViews>
    <sheetView topLeftCell="I1" zoomScale="85" zoomScaleNormal="85" zoomScaleSheetLayoutView="70" workbookViewId="0">
      <selection activeCell="S36" sqref="S36:S65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44391</v>
      </c>
    </row>
    <row r="3" spans="2:42" ht="18.75" customHeight="1" thickBot="1" x14ac:dyDescent="0.35">
      <c r="B3" t="s">
        <v>1</v>
      </c>
      <c r="C3" s="3">
        <f>C2+1</f>
        <v>44392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19470</v>
      </c>
      <c r="G6" s="117">
        <v>16482.508125</v>
      </c>
      <c r="H6" s="117">
        <v>12832.03721588</v>
      </c>
      <c r="I6" s="19">
        <f>G6+H6</f>
        <v>29314.545340880002</v>
      </c>
      <c r="J6" s="119">
        <v>21776</v>
      </c>
      <c r="K6" s="117">
        <v>17580.637624999999</v>
      </c>
      <c r="L6" s="117">
        <v>15003.926529980001</v>
      </c>
      <c r="M6" s="19">
        <f>K6+L6</f>
        <v>32584.564154979998</v>
      </c>
      <c r="N6" s="85">
        <v>64</v>
      </c>
      <c r="O6" s="85">
        <v>49</v>
      </c>
      <c r="P6" s="92"/>
      <c r="Q6" s="20">
        <f>J6-P6</f>
        <v>21776</v>
      </c>
      <c r="R6" s="21">
        <v>1772</v>
      </c>
      <c r="S6" s="20">
        <f>IF(R6&gt;0,(R6-R7-$Q6),"")</f>
        <v>-20004</v>
      </c>
      <c r="T6" s="21">
        <v>5517</v>
      </c>
      <c r="U6" s="20">
        <f>IF(T6&gt;0,(T6-T7-$Q6),"")</f>
        <v>-16259</v>
      </c>
      <c r="V6" s="21">
        <v>6508</v>
      </c>
      <c r="W6" s="20">
        <f>IF(V6&gt;0,(V6-V7-$Q6),"")</f>
        <v>-15269</v>
      </c>
      <c r="X6" s="21">
        <v>11987</v>
      </c>
      <c r="Y6" s="20">
        <f>IF(X6&gt;0,(X6-X7-$Q6),"")</f>
        <v>-9922</v>
      </c>
      <c r="Z6" s="21">
        <v>15136</v>
      </c>
      <c r="AA6" s="20">
        <f>IF(Z6&gt;0,(Z6-Z7-$Q6),"")</f>
        <v>-6797</v>
      </c>
      <c r="AB6" s="21">
        <v>15136</v>
      </c>
      <c r="AC6" s="22">
        <f>IF(AB6&gt;0,(AB6-AB7-$Q6),"")</f>
        <v>-6797</v>
      </c>
      <c r="AD6" s="21">
        <v>15136</v>
      </c>
      <c r="AE6" s="22">
        <f>IF(AD6&gt;0,(AD6-AD7-$Q6),"")</f>
        <v>-6797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1</v>
      </c>
      <c r="W7" s="24"/>
      <c r="X7" s="25">
        <v>133</v>
      </c>
      <c r="Y7" s="24"/>
      <c r="Z7" s="25">
        <v>157</v>
      </c>
      <c r="AA7" s="24"/>
      <c r="AB7" s="25">
        <v>157</v>
      </c>
      <c r="AC7" s="26"/>
      <c r="AD7" s="25">
        <v>157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2422</v>
      </c>
      <c r="E8" s="29" t="s">
        <v>27</v>
      </c>
      <c r="F8" s="119">
        <v>16450</v>
      </c>
      <c r="G8" s="117">
        <v>6994.8449999999993</v>
      </c>
      <c r="H8" s="117">
        <v>1544.801023</v>
      </c>
      <c r="I8" s="19">
        <f>G8+H8</f>
        <v>8539.6460229999993</v>
      </c>
      <c r="J8" s="119">
        <v>15929</v>
      </c>
      <c r="K8" s="117">
        <v>6775.0805</v>
      </c>
      <c r="L8" s="117">
        <v>1492.2604940000001</v>
      </c>
      <c r="M8" s="19">
        <f>K8+L8</f>
        <v>8267.3409940000001</v>
      </c>
      <c r="N8" s="87">
        <v>28</v>
      </c>
      <c r="O8" s="87">
        <v>23</v>
      </c>
      <c r="P8" s="92"/>
      <c r="Q8" s="20">
        <f>J8-P8</f>
        <v>15929</v>
      </c>
      <c r="R8" s="21">
        <v>2068</v>
      </c>
      <c r="S8" s="20">
        <f>IF(R8&gt;0,(R8-R9-$Q8),"")</f>
        <v>-13953</v>
      </c>
      <c r="T8" s="21">
        <v>3043</v>
      </c>
      <c r="U8" s="20">
        <f>IF(T8&gt;0,(T8-T9-$Q8),"")</f>
        <v>-13022</v>
      </c>
      <c r="V8" s="21">
        <v>6129</v>
      </c>
      <c r="W8" s="20">
        <f>IF(V8&gt;0,(V8-V9-$Q8),"")</f>
        <v>-9956</v>
      </c>
      <c r="X8" s="21">
        <v>8924</v>
      </c>
      <c r="Y8" s="20">
        <f>IF(X8&gt;0,(X8-X9-$Q8),"")</f>
        <v>-7161</v>
      </c>
      <c r="Z8" s="21">
        <v>15173</v>
      </c>
      <c r="AA8" s="20">
        <f>IF(Z8&gt;0,(Z8-Z9-$Q8),"")</f>
        <v>-912</v>
      </c>
      <c r="AB8" s="21">
        <v>15173</v>
      </c>
      <c r="AC8" s="22">
        <f>IF(AB8&gt;0,(AB8-AB9-$Q8),"")</f>
        <v>-912</v>
      </c>
      <c r="AD8" s="21">
        <v>15173</v>
      </c>
      <c r="AE8" s="22">
        <f>IF(AD8&gt;0,(AD8-AD9-$Q8),"")</f>
        <v>-912</v>
      </c>
    </row>
    <row r="9" spans="2:42" x14ac:dyDescent="0.3">
      <c r="B9" s="28" t="s">
        <v>28</v>
      </c>
      <c r="C9" s="17">
        <v>2011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92</v>
      </c>
      <c r="S9" s="24"/>
      <c r="T9" s="30">
        <v>136</v>
      </c>
      <c r="U9" s="24"/>
      <c r="V9" s="30">
        <v>156</v>
      </c>
      <c r="W9" s="24"/>
      <c r="X9" s="30">
        <v>156</v>
      </c>
      <c r="Y9" s="24"/>
      <c r="Z9" s="30">
        <v>156</v>
      </c>
      <c r="AA9" s="24"/>
      <c r="AB9" s="30">
        <v>156</v>
      </c>
      <c r="AC9" s="26"/>
      <c r="AD9" s="30">
        <v>156</v>
      </c>
      <c r="AE9" s="26"/>
    </row>
    <row r="10" spans="2:42" x14ac:dyDescent="0.3">
      <c r="B10" s="16" t="s">
        <v>30</v>
      </c>
      <c r="C10" s="17">
        <v>6637</v>
      </c>
      <c r="E10" s="18" t="s">
        <v>31</v>
      </c>
      <c r="F10" s="119">
        <v>8948</v>
      </c>
      <c r="G10" s="117">
        <v>7124.616750000001</v>
      </c>
      <c r="H10" s="117">
        <v>1733.871075</v>
      </c>
      <c r="I10" s="19">
        <f>G10+H10</f>
        <v>8858.4878250000002</v>
      </c>
      <c r="J10" s="119">
        <v>9820</v>
      </c>
      <c r="K10" s="117">
        <v>7816.9772499999999</v>
      </c>
      <c r="L10" s="117">
        <v>1868.1964125</v>
      </c>
      <c r="M10" s="19">
        <f>K10+L10</f>
        <v>9685.1736624999994</v>
      </c>
      <c r="N10" s="88">
        <v>41</v>
      </c>
      <c r="O10" s="88">
        <v>34</v>
      </c>
      <c r="P10" s="92"/>
      <c r="Q10" s="20">
        <f>J10-P10</f>
        <v>9820</v>
      </c>
      <c r="R10" s="21">
        <v>609</v>
      </c>
      <c r="S10" s="20">
        <f>IF(R10&gt;0,(R10-R11-$Q10),"")</f>
        <v>-9418</v>
      </c>
      <c r="T10" s="21">
        <v>1423</v>
      </c>
      <c r="U10" s="20">
        <f>IF(T10&gt;0,(T10-T11-$Q10),"")</f>
        <v>-9124</v>
      </c>
      <c r="V10" s="21">
        <v>4244</v>
      </c>
      <c r="W10" s="20">
        <f>IF(V10&gt;0,(V10-V11-$Q10),"")</f>
        <v>-6993</v>
      </c>
      <c r="X10" s="21">
        <v>6660</v>
      </c>
      <c r="Y10" s="20">
        <f>IF(X10&gt;0,(X10-X11-$Q10),"")</f>
        <v>-4637</v>
      </c>
      <c r="Z10" s="21">
        <v>6701</v>
      </c>
      <c r="AA10" s="20">
        <f>IF(Z10&gt;0,(Z10-Z11-$Q10),"")</f>
        <v>-4596</v>
      </c>
      <c r="AB10" s="21">
        <v>6701</v>
      </c>
      <c r="AC10" s="22">
        <f>IF(AB10&gt;0,(AB10-AB11-$Q10),"")</f>
        <v>-4596</v>
      </c>
      <c r="AD10" s="21">
        <v>6701</v>
      </c>
      <c r="AE10" s="22">
        <f>IF(AD10&gt;0,(AD10-AD11-$Q10),"")</f>
        <v>-4596</v>
      </c>
    </row>
    <row r="11" spans="2:42" x14ac:dyDescent="0.3">
      <c r="B11" s="16" t="s">
        <v>32</v>
      </c>
      <c r="C11" s="17">
        <v>2096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207</v>
      </c>
      <c r="S11" s="24"/>
      <c r="T11" s="30">
        <v>727</v>
      </c>
      <c r="U11" s="24"/>
      <c r="V11" s="30">
        <v>1417</v>
      </c>
      <c r="W11" s="24"/>
      <c r="X11" s="30">
        <v>1477</v>
      </c>
      <c r="Y11" s="24"/>
      <c r="Z11" s="30">
        <v>1477</v>
      </c>
      <c r="AA11" s="24"/>
      <c r="AB11" s="30">
        <v>1477</v>
      </c>
      <c r="AC11" s="26"/>
      <c r="AD11" s="30">
        <v>1477</v>
      </c>
      <c r="AE11" s="26"/>
    </row>
    <row r="12" spans="2:42" x14ac:dyDescent="0.3">
      <c r="B12" s="16" t="s">
        <v>34</v>
      </c>
      <c r="C12" s="17">
        <v>1696</v>
      </c>
      <c r="E12" s="29" t="s">
        <v>35</v>
      </c>
      <c r="F12" s="119">
        <v>12153</v>
      </c>
      <c r="G12" s="117">
        <v>10798.095625</v>
      </c>
      <c r="H12" s="117">
        <v>14809.10508948001</v>
      </c>
      <c r="I12" s="19">
        <f>G12+H12</f>
        <v>25607.200714480008</v>
      </c>
      <c r="J12" s="119">
        <v>12501</v>
      </c>
      <c r="K12" s="117">
        <v>11177.127375</v>
      </c>
      <c r="L12" s="117">
        <v>15075.55123804</v>
      </c>
      <c r="M12" s="19">
        <f>K12+L12</f>
        <v>26252.67861304</v>
      </c>
      <c r="N12" s="88">
        <v>50</v>
      </c>
      <c r="O12" s="88">
        <v>37</v>
      </c>
      <c r="P12" s="92"/>
      <c r="Q12" s="20">
        <f>J12-P12</f>
        <v>12501</v>
      </c>
      <c r="R12" s="21">
        <v>1169</v>
      </c>
      <c r="S12" s="20">
        <f>IF(R12&gt;0,(R12-R13-$Q12),"")</f>
        <v>-11629</v>
      </c>
      <c r="T12" s="21">
        <v>2336</v>
      </c>
      <c r="U12" s="20">
        <f>IF(T12&gt;0,(T12-T13-$Q12),"")</f>
        <v>-10462</v>
      </c>
      <c r="V12" s="21">
        <v>4529</v>
      </c>
      <c r="W12" s="20">
        <f>IF(V12&gt;0,(V12-V13-$Q12),"")</f>
        <v>-9401</v>
      </c>
      <c r="X12" s="21">
        <v>7007</v>
      </c>
      <c r="Y12" s="20">
        <f>IF(X12&gt;0,(X12-X13-$Q12),"")</f>
        <v>-7216</v>
      </c>
      <c r="Z12" s="21">
        <v>7007</v>
      </c>
      <c r="AA12" s="20">
        <f>IF(Z12&gt;0,(Z12-Z13-$Q12),"")</f>
        <v>-7216</v>
      </c>
      <c r="AB12" s="21">
        <v>7007</v>
      </c>
      <c r="AC12" s="22">
        <f>IF(AB12&gt;0,(AB12-AB13-$Q12),"")</f>
        <v>-7216</v>
      </c>
      <c r="AD12" s="21">
        <v>7007</v>
      </c>
      <c r="AE12" s="22">
        <f>IF(AD12&gt;0,(AD12-AD13-$Q12),"")</f>
        <v>-7216</v>
      </c>
    </row>
    <row r="13" spans="2:42" x14ac:dyDescent="0.3">
      <c r="B13" s="16" t="s">
        <v>36</v>
      </c>
      <c r="C13" s="17">
        <v>5241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297</v>
      </c>
      <c r="S13" s="24"/>
      <c r="T13" s="30">
        <v>297</v>
      </c>
      <c r="U13" s="24"/>
      <c r="V13" s="30">
        <v>1429</v>
      </c>
      <c r="W13" s="24"/>
      <c r="X13" s="30">
        <v>1722</v>
      </c>
      <c r="Y13" s="24"/>
      <c r="Z13" s="30">
        <v>1722</v>
      </c>
      <c r="AA13" s="24"/>
      <c r="AB13" s="30">
        <v>1722</v>
      </c>
      <c r="AC13" s="26"/>
      <c r="AD13" s="30">
        <v>1722</v>
      </c>
      <c r="AE13" s="26"/>
    </row>
    <row r="14" spans="2:42" x14ac:dyDescent="0.3">
      <c r="B14" s="16" t="s">
        <v>38</v>
      </c>
      <c r="C14" s="17">
        <v>12485</v>
      </c>
      <c r="E14" s="18" t="s">
        <v>39</v>
      </c>
      <c r="F14" s="119">
        <v>27524</v>
      </c>
      <c r="G14" s="117">
        <v>18240.8125</v>
      </c>
      <c r="H14" s="117">
        <v>22313.836320660012</v>
      </c>
      <c r="I14" s="19">
        <f>G14+H14</f>
        <v>40554.648820660012</v>
      </c>
      <c r="J14" s="119">
        <v>27524</v>
      </c>
      <c r="K14" s="117">
        <v>18240.8125</v>
      </c>
      <c r="L14" s="117">
        <v>22296.836320660001</v>
      </c>
      <c r="M14" s="19">
        <f>K14+L14</f>
        <v>40537.648820660004</v>
      </c>
      <c r="N14" s="88">
        <v>72</v>
      </c>
      <c r="O14" s="88">
        <v>55</v>
      </c>
      <c r="P14" s="92"/>
      <c r="Q14" s="20">
        <f>J14-P14</f>
        <v>27524</v>
      </c>
      <c r="R14" s="21">
        <v>4062</v>
      </c>
      <c r="S14" s="20">
        <f>IF(R14&gt;0,(R14-R15-$Q14),"")</f>
        <v>-26828</v>
      </c>
      <c r="T14" s="21">
        <v>7932</v>
      </c>
      <c r="U14" s="20">
        <f>IF(T14&gt;0,(T14-T15-$Q14),"")</f>
        <v>-25651</v>
      </c>
      <c r="V14" s="21">
        <v>9952</v>
      </c>
      <c r="W14" s="20">
        <f>IF(V14&gt;0,(V14-V15-$Q14),"")</f>
        <v>-24497</v>
      </c>
      <c r="X14" s="21">
        <v>12378</v>
      </c>
      <c r="Y14" s="20">
        <f>IF(X14&gt;0,(X14-X15-$Q14),"")</f>
        <v>-23410</v>
      </c>
      <c r="Z14" s="21">
        <v>14014</v>
      </c>
      <c r="AA14" s="20">
        <f>IF(Z14&gt;0,(Z14-Z15-$Q14),"")</f>
        <v>-21858</v>
      </c>
      <c r="AB14" s="21">
        <v>14084</v>
      </c>
      <c r="AC14" s="22">
        <f>IF(AB14&gt;0,(AB14-AB15-$Q14),"")</f>
        <v>-21788</v>
      </c>
      <c r="AD14" s="21">
        <v>14084</v>
      </c>
      <c r="AE14" s="22">
        <f>IF(AD14&gt;0,(AD14-AD15-$Q14),"")</f>
        <v>-21788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3366</v>
      </c>
      <c r="S15" s="24"/>
      <c r="T15" s="25">
        <v>6059</v>
      </c>
      <c r="U15" s="24"/>
      <c r="V15" s="25">
        <v>6925</v>
      </c>
      <c r="W15" s="24"/>
      <c r="X15" s="25">
        <v>8264</v>
      </c>
      <c r="Y15" s="24"/>
      <c r="Z15" s="25">
        <v>8348</v>
      </c>
      <c r="AA15" s="24"/>
      <c r="AB15" s="25">
        <v>8348</v>
      </c>
      <c r="AC15" s="26"/>
      <c r="AD15" s="25">
        <v>8348</v>
      </c>
      <c r="AE15" s="26"/>
    </row>
    <row r="16" spans="2:42" ht="15" customHeight="1" thickBot="1" x14ac:dyDescent="0.35">
      <c r="B16" s="28" t="s">
        <v>42</v>
      </c>
      <c r="C16" s="17">
        <v>25515</v>
      </c>
      <c r="E16" s="84"/>
      <c r="F16" s="31">
        <f t="shared" ref="F16:M16" si="0">SUM(F6:F15)</f>
        <v>84545</v>
      </c>
      <c r="G16" s="31">
        <f t="shared" si="0"/>
        <v>59640.878000000004</v>
      </c>
      <c r="H16" s="31">
        <f t="shared" si="0"/>
        <v>53233.650724020023</v>
      </c>
      <c r="I16" s="32">
        <f t="shared" si="0"/>
        <v>112874.52872402003</v>
      </c>
      <c r="J16" s="33">
        <f t="shared" si="0"/>
        <v>87550</v>
      </c>
      <c r="K16" s="33">
        <f t="shared" si="0"/>
        <v>61590.635249999999</v>
      </c>
      <c r="L16" s="33">
        <f t="shared" si="0"/>
        <v>55736.770995180006</v>
      </c>
      <c r="M16" s="33">
        <f t="shared" si="0"/>
        <v>117327.40624518</v>
      </c>
      <c r="N16" s="31">
        <f>SUM(N14,N12,N10,N8,N6)</f>
        <v>255</v>
      </c>
      <c r="O16" s="31">
        <f>SUM(O14,O12,O10,O8,O6)</f>
        <v>198</v>
      </c>
      <c r="P16" s="34">
        <f>SUM(P6:P15)</f>
        <v>0</v>
      </c>
      <c r="Q16" s="34">
        <f>SUM(Q6:Q15)</f>
        <v>87550</v>
      </c>
      <c r="R16" s="35">
        <f>R6+R8+R10+R12+R14-R7-R9-R11-R13-R15</f>
        <v>5718</v>
      </c>
      <c r="S16" s="36">
        <f>IF(R16&gt;1,(R16-$Q16),"")</f>
        <v>-81832</v>
      </c>
      <c r="T16" s="35">
        <f>T6+T8+T10+T12+T14-T7-T9-T11-T13-T15</f>
        <v>13032</v>
      </c>
      <c r="U16" s="36">
        <f>IF(T16&gt;1,(T16-$Q16),"")</f>
        <v>-74518</v>
      </c>
      <c r="V16" s="35">
        <f>V6+V8+V10+V12+V14-V7-V9-V11-V13-V15</f>
        <v>21434</v>
      </c>
      <c r="W16" s="36">
        <f>IF(V16&gt;1,(V16-$Q16),"")</f>
        <v>-66116</v>
      </c>
      <c r="X16" s="35">
        <f>X6+X8+X10+X12+X14-X7-X9-X11-X13-X15</f>
        <v>35204</v>
      </c>
      <c r="Y16" s="36">
        <f>IF(X16&gt;1,(X16-$Q16),"")</f>
        <v>-52346</v>
      </c>
      <c r="Z16" s="35">
        <f>Z6+Z8+Z10+Z12+Z14-Z7-Z9-Z11-Z13-Z15</f>
        <v>46171</v>
      </c>
      <c r="AA16" s="36">
        <f>IF(Z16&gt;1,(Z16-$Q16),"")</f>
        <v>-41379</v>
      </c>
      <c r="AB16" s="35">
        <f>AB6+AB8+AB10+AB12+AB14-AB7-AB9-AB11-AB13-AB15</f>
        <v>46241</v>
      </c>
      <c r="AC16" s="37">
        <f>IF(AB16&gt;1,(AB16-$Q16),"")</f>
        <v>-41309</v>
      </c>
      <c r="AD16" s="35">
        <f>AD6+AD8+AD10+AD12+AD14-AD7-AD9-AD11-AD13-AD15</f>
        <v>46241</v>
      </c>
      <c r="AE16" s="37">
        <f>IF(AD16&gt;1,(AD16-$Q16),"")</f>
        <v>-41309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3962</v>
      </c>
      <c r="S17" s="41"/>
      <c r="T17" s="40">
        <f>T15+T13+T11+T9+T7</f>
        <v>7219</v>
      </c>
      <c r="U17" s="41"/>
      <c r="V17" s="40">
        <f>V15+V13+V11+V9+V7</f>
        <v>9928</v>
      </c>
      <c r="W17" s="41"/>
      <c r="X17" s="40">
        <f>X15+X13+X11+X9+X7</f>
        <v>11752</v>
      </c>
      <c r="Y17" s="41"/>
      <c r="Z17" s="40">
        <f>Z15+Z13+Z11+Z9+Z7</f>
        <v>11860</v>
      </c>
      <c r="AA17" s="41"/>
      <c r="AB17" s="40">
        <f>AB15+AB13+AB11+AB9+AB7</f>
        <v>11860</v>
      </c>
      <c r="AC17" s="42"/>
      <c r="AD17" s="40">
        <f>AD15+AD13+AD11+AD9+AD7</f>
        <v>11860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2859</v>
      </c>
      <c r="S18" s="46"/>
      <c r="T18" s="47">
        <f>IF(T16&gt;0,(T16-R16)/2,"")</f>
        <v>3657</v>
      </c>
      <c r="U18" s="46"/>
      <c r="V18" s="47">
        <f>IF(V16&gt;0,(V16-T16)/2,"")</f>
        <v>4201</v>
      </c>
      <c r="W18" s="46"/>
      <c r="X18" s="47">
        <f>IF(X16&gt;0,(X16-V16)/2,"")</f>
        <v>6885</v>
      </c>
      <c r="Y18" s="46"/>
      <c r="Z18" s="47">
        <f>IF(Z16&gt;0,(Z16-X16)/2,"")</f>
        <v>5483.5</v>
      </c>
      <c r="AA18" s="46"/>
      <c r="AB18" s="47">
        <f>IF(AB16&gt;0,(AB16-Z16)/2,"")</f>
        <v>35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7993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2564</v>
      </c>
      <c r="L20" s="4"/>
      <c r="M20" s="4"/>
      <c r="Q20" s="51" t="s">
        <v>49</v>
      </c>
      <c r="R20" s="35">
        <v>7052</v>
      </c>
      <c r="S20" s="36"/>
      <c r="T20" s="35">
        <v>16982</v>
      </c>
      <c r="U20" s="36"/>
      <c r="V20" s="35">
        <v>24391</v>
      </c>
      <c r="W20" s="36"/>
      <c r="X20" s="35">
        <v>33301</v>
      </c>
      <c r="Y20" s="36"/>
      <c r="Z20" s="35">
        <v>44988</v>
      </c>
      <c r="AA20" s="36"/>
      <c r="AB20" s="35">
        <v>45876</v>
      </c>
      <c r="AC20" s="37"/>
      <c r="AD20" s="35">
        <v>45876</v>
      </c>
      <c r="AE20" s="37">
        <v>-34017</v>
      </c>
    </row>
    <row r="21" spans="2:43" ht="15" customHeight="1" thickBot="1" x14ac:dyDescent="0.35">
      <c r="B21" s="57" t="s">
        <v>52</v>
      </c>
      <c r="C21" s="58">
        <v>4829</v>
      </c>
      <c r="L21" s="4"/>
      <c r="M21" s="4"/>
      <c r="Q21" s="52"/>
      <c r="R21" s="40">
        <v>4160</v>
      </c>
      <c r="S21" s="41"/>
      <c r="T21" s="40">
        <v>6848</v>
      </c>
      <c r="U21" s="41"/>
      <c r="V21" s="40">
        <v>10120</v>
      </c>
      <c r="W21" s="41"/>
      <c r="X21" s="40">
        <v>11480</v>
      </c>
      <c r="Y21" s="41"/>
      <c r="Z21" s="40">
        <v>12271</v>
      </c>
      <c r="AA21" s="41"/>
      <c r="AB21" s="40">
        <v>12271</v>
      </c>
      <c r="AC21" s="42"/>
      <c r="AD21" s="40">
        <v>12271</v>
      </c>
      <c r="AE21" s="42"/>
    </row>
    <row r="22" spans="2:43" ht="15" customHeight="1" thickBot="1" x14ac:dyDescent="0.35">
      <c r="L22" s="4"/>
      <c r="M22" s="4"/>
      <c r="Q22" s="54"/>
      <c r="R22" s="55">
        <v>3526</v>
      </c>
      <c r="S22" s="55"/>
      <c r="T22" s="55">
        <v>4965</v>
      </c>
      <c r="U22" s="55"/>
      <c r="V22" s="55">
        <v>3704.5</v>
      </c>
      <c r="W22" s="55"/>
      <c r="X22" s="55">
        <v>4455</v>
      </c>
      <c r="Y22" s="55"/>
      <c r="Z22" s="55">
        <v>5843.5</v>
      </c>
      <c r="AA22" s="55"/>
      <c r="AB22" s="55">
        <v>444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-1334</v>
      </c>
      <c r="S24" s="60"/>
      <c r="T24" s="60">
        <f>IF(T16&gt;0,T16-T20,"")</f>
        <v>-3950</v>
      </c>
      <c r="U24" s="60"/>
      <c r="V24" s="60">
        <f>IF(V16&gt;0,V16-V20,"")</f>
        <v>-2957</v>
      </c>
      <c r="W24" s="60"/>
      <c r="X24" s="60">
        <f>IF(X16&gt;0,X16-X20,"")</f>
        <v>1903</v>
      </c>
      <c r="Y24" s="60"/>
      <c r="Z24" s="60">
        <f>IF(Z16&gt;0,Z16-Z20,"")</f>
        <v>1183</v>
      </c>
      <c r="AA24" s="60"/>
      <c r="AB24" s="60">
        <f>IF(AB16&gt;0,AB16-AB20,"")</f>
        <v>365</v>
      </c>
      <c r="AC24" s="61"/>
      <c r="AD24" s="60">
        <f>IF(AD16&gt;0,AD16-AD20,"")</f>
        <v>365</v>
      </c>
      <c r="AE24" s="61"/>
    </row>
    <row r="25" spans="2:43" x14ac:dyDescent="0.3">
      <c r="L25" s="4"/>
      <c r="M25" s="4"/>
      <c r="Q25" s="62"/>
      <c r="R25" s="63">
        <f>IF(R17&gt;=0,R17-R21,"")</f>
        <v>-198</v>
      </c>
      <c r="S25" s="64"/>
      <c r="T25" s="63">
        <f>IF(T17&gt;=0,T17-T21,"")</f>
        <v>371</v>
      </c>
      <c r="U25" s="64"/>
      <c r="V25" s="63">
        <f>IF(V17&gt;=0,V17-V21,"")</f>
        <v>-192</v>
      </c>
      <c r="W25" s="64"/>
      <c r="X25" s="63">
        <f>IF(X17&gt;=0,X17-X21,"")</f>
        <v>272</v>
      </c>
      <c r="Y25" s="64"/>
      <c r="Z25" s="63">
        <f>IF(Z17&gt;=0,Z17-Z21,"")</f>
        <v>-411</v>
      </c>
      <c r="AA25" s="64"/>
      <c r="AB25" s="63">
        <f>IF(AB17&gt;=0,AB17-AB21,"")</f>
        <v>-411</v>
      </c>
      <c r="AC25" s="65"/>
      <c r="AD25" s="63">
        <f>IF(AD17&gt;=0,AD17-AD21,"")</f>
        <v>-411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-667</v>
      </c>
      <c r="S26" s="55"/>
      <c r="T26" s="67">
        <f>IFERROR(IF(T18&gt;0,T18-T22,""),"")</f>
        <v>-1308</v>
      </c>
      <c r="U26" s="55"/>
      <c r="V26" s="67">
        <f>IFERROR(IF(V18&gt;0,V18-V22,""),"")</f>
        <v>496.5</v>
      </c>
      <c r="W26" s="55"/>
      <c r="X26" s="67">
        <f>IFERROR(IF(X18&gt;0,X18-X22,""),"")</f>
        <v>2430</v>
      </c>
      <c r="Y26" s="55"/>
      <c r="Z26" s="67">
        <f>IFERROR(IF(Z18&gt;0,Z18-Z22,""),"")</f>
        <v>-360</v>
      </c>
      <c r="AA26" s="55"/>
      <c r="AB26" s="67">
        <f>IFERROR(IF(AB18&gt;0,AB18-AB22,""),"")</f>
        <v>-409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9978</v>
      </c>
      <c r="D29" s="76">
        <f>C14</f>
        <v>12485</v>
      </c>
      <c r="E29" s="77">
        <f>D29-C29</f>
        <v>2507</v>
      </c>
      <c r="M29" s="4"/>
      <c r="O29" s="4"/>
    </row>
    <row r="30" spans="2:43" x14ac:dyDescent="0.3">
      <c r="B30" s="74" t="s">
        <v>56</v>
      </c>
      <c r="C30" s="122">
        <v>25187</v>
      </c>
      <c r="D30" s="76">
        <f>C7+C15+C16+C17+C18</f>
        <v>25515</v>
      </c>
      <c r="E30" s="77">
        <f>D30-C30</f>
        <v>328</v>
      </c>
      <c r="J30" s="53"/>
      <c r="L30" s="53"/>
      <c r="M30" s="4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15670</v>
      </c>
      <c r="D32" s="76">
        <f>C10+C11+C12+C13</f>
        <v>15670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15900</v>
      </c>
      <c r="D33" s="76">
        <f>C19+C20+C21</f>
        <v>15386</v>
      </c>
      <c r="E33" s="77">
        <f>D33-C33</f>
        <v>-514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4433</v>
      </c>
      <c r="D34" s="80">
        <f>SUM(C8+C9)</f>
        <v>4433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2218</v>
      </c>
      <c r="R35" s="104">
        <v>189</v>
      </c>
      <c r="S35" s="104">
        <f t="shared" ref="S35:S64" si="1">IF(T35&gt;0,(T35-R35)/2,"")</f>
        <v>299</v>
      </c>
      <c r="T35" s="104">
        <v>787</v>
      </c>
      <c r="U35" s="104">
        <f t="shared" ref="U35:U64" si="2">IF(V35&gt;0,(V35-T35)/2,"")</f>
        <v>-93</v>
      </c>
      <c r="V35" s="104">
        <v>601</v>
      </c>
      <c r="W35" s="104">
        <f t="shared" ref="W35:W64" si="3">IF(X35&gt;0,(X35-V35)/2,"")</f>
        <v>291</v>
      </c>
      <c r="X35" s="104">
        <v>1183</v>
      </c>
      <c r="Y35" s="104">
        <f t="shared" ref="Y35:Y64" si="4">IF(Z35&gt;0,(Z35-X35)/2,"")</f>
        <v>0</v>
      </c>
      <c r="Z35" s="104">
        <v>1183</v>
      </c>
      <c r="AA35" s="104">
        <f t="shared" ref="AA35:AA64" si="5">IF(AB35&gt;0,(AB35-Z35)/2,"")</f>
        <v>0</v>
      </c>
      <c r="AB35" s="104">
        <v>1183</v>
      </c>
      <c r="AC35" s="104">
        <f t="shared" ref="AC35:AC64" si="6">IF(AD35&gt;0,(AD35-AB35)/2,"")</f>
        <v>0</v>
      </c>
      <c r="AD35" s="104">
        <v>1183</v>
      </c>
      <c r="AE35" s="105">
        <f t="shared" ref="AE35:AE64" si="7">AD35-Q35</f>
        <v>-1035</v>
      </c>
    </row>
    <row r="36" spans="2:31" ht="15.6" customHeight="1" x14ac:dyDescent="0.3">
      <c r="N36" s="212"/>
      <c r="O36" s="95" t="s">
        <v>66</v>
      </c>
      <c r="P36" s="106"/>
      <c r="Q36" s="106">
        <v>1444</v>
      </c>
      <c r="R36" s="106">
        <v>0</v>
      </c>
      <c r="S36" s="106">
        <f t="shared" si="1"/>
        <v>260.5</v>
      </c>
      <c r="T36" s="106">
        <v>521</v>
      </c>
      <c r="U36" s="106">
        <f t="shared" si="2"/>
        <v>2.5</v>
      </c>
      <c r="V36" s="106">
        <v>526</v>
      </c>
      <c r="W36" s="106">
        <f t="shared" si="3"/>
        <v>311</v>
      </c>
      <c r="X36" s="106">
        <v>1148</v>
      </c>
      <c r="Y36" s="106">
        <f t="shared" si="4"/>
        <v>0</v>
      </c>
      <c r="Z36" s="106">
        <v>1148</v>
      </c>
      <c r="AA36" s="106">
        <f t="shared" si="5"/>
        <v>0</v>
      </c>
      <c r="AB36" s="106">
        <v>1148</v>
      </c>
      <c r="AC36" s="106">
        <f t="shared" si="6"/>
        <v>0</v>
      </c>
      <c r="AD36" s="106">
        <v>1148</v>
      </c>
      <c r="AE36" s="107">
        <f t="shared" si="7"/>
        <v>-296</v>
      </c>
    </row>
    <row r="37" spans="2:31" ht="15.6" customHeight="1" x14ac:dyDescent="0.3">
      <c r="N37" s="212"/>
      <c r="O37" s="94" t="s">
        <v>67</v>
      </c>
      <c r="P37" s="108"/>
      <c r="Q37" s="108">
        <v>2539</v>
      </c>
      <c r="R37" s="108">
        <v>0</v>
      </c>
      <c r="S37" s="108" t="str">
        <f t="shared" si="1"/>
        <v/>
      </c>
      <c r="T37" s="108">
        <v>0</v>
      </c>
      <c r="U37" s="108" t="str">
        <f t="shared" si="2"/>
        <v/>
      </c>
      <c r="V37" s="108">
        <v>0</v>
      </c>
      <c r="W37" s="108">
        <f t="shared" si="3"/>
        <v>0.5</v>
      </c>
      <c r="X37" s="108">
        <v>1</v>
      </c>
      <c r="Y37" s="108">
        <f t="shared" si="4"/>
        <v>249</v>
      </c>
      <c r="Z37" s="108">
        <v>499</v>
      </c>
      <c r="AA37" s="108">
        <f t="shared" si="5"/>
        <v>0</v>
      </c>
      <c r="AB37" s="108">
        <v>499</v>
      </c>
      <c r="AC37" s="108">
        <f t="shared" si="6"/>
        <v>0</v>
      </c>
      <c r="AD37" s="108">
        <v>499</v>
      </c>
      <c r="AE37" s="109">
        <f t="shared" si="7"/>
        <v>-2040</v>
      </c>
    </row>
    <row r="38" spans="2:31" ht="15.6" customHeight="1" x14ac:dyDescent="0.3">
      <c r="N38" s="212"/>
      <c r="O38" s="95" t="s">
        <v>68</v>
      </c>
      <c r="P38" s="106"/>
      <c r="Q38" s="106">
        <v>3763</v>
      </c>
      <c r="R38" s="106">
        <v>0</v>
      </c>
      <c r="S38" s="106">
        <f t="shared" si="1"/>
        <v>372.5</v>
      </c>
      <c r="T38" s="106">
        <v>745</v>
      </c>
      <c r="U38" s="106">
        <f t="shared" si="2"/>
        <v>169</v>
      </c>
      <c r="V38" s="106">
        <v>1083</v>
      </c>
      <c r="W38" s="106">
        <f t="shared" si="3"/>
        <v>378</v>
      </c>
      <c r="X38" s="106">
        <v>1839</v>
      </c>
      <c r="Y38" s="106">
        <f t="shared" si="4"/>
        <v>-2.5</v>
      </c>
      <c r="Z38" s="106">
        <v>1834</v>
      </c>
      <c r="AA38" s="106">
        <f t="shared" si="5"/>
        <v>0</v>
      </c>
      <c r="AB38" s="106">
        <v>1834</v>
      </c>
      <c r="AC38" s="106">
        <f t="shared" si="6"/>
        <v>0</v>
      </c>
      <c r="AD38" s="106">
        <v>1834</v>
      </c>
      <c r="AE38" s="107">
        <f t="shared" si="7"/>
        <v>-1929</v>
      </c>
    </row>
    <row r="39" spans="2:31" ht="15.6" customHeight="1" x14ac:dyDescent="0.3">
      <c r="N39" s="212"/>
      <c r="O39" s="94" t="s">
        <v>69</v>
      </c>
      <c r="P39" s="108"/>
      <c r="Q39" s="108">
        <v>2892</v>
      </c>
      <c r="R39" s="108">
        <v>16</v>
      </c>
      <c r="S39" s="108">
        <f t="shared" si="1"/>
        <v>416.5</v>
      </c>
      <c r="T39" s="108">
        <v>849</v>
      </c>
      <c r="U39" s="108">
        <f t="shared" si="2"/>
        <v>0</v>
      </c>
      <c r="V39" s="108">
        <v>849</v>
      </c>
      <c r="W39" s="108">
        <f t="shared" si="3"/>
        <v>474.5</v>
      </c>
      <c r="X39" s="108">
        <v>1798</v>
      </c>
      <c r="Y39" s="108">
        <f t="shared" si="4"/>
        <v>458</v>
      </c>
      <c r="Z39" s="108">
        <v>2714</v>
      </c>
      <c r="AA39" s="108">
        <f t="shared" si="5"/>
        <v>0</v>
      </c>
      <c r="AB39" s="108">
        <v>2714</v>
      </c>
      <c r="AC39" s="108">
        <f t="shared" si="6"/>
        <v>0</v>
      </c>
      <c r="AD39" s="108">
        <v>2714</v>
      </c>
      <c r="AE39" s="109">
        <f t="shared" si="7"/>
        <v>-178</v>
      </c>
    </row>
    <row r="40" spans="2:31" ht="15.6" customHeight="1" x14ac:dyDescent="0.3">
      <c r="N40" s="212"/>
      <c r="O40" s="95" t="s">
        <v>70</v>
      </c>
      <c r="P40" s="106"/>
      <c r="Q40" s="106">
        <v>4284</v>
      </c>
      <c r="R40" s="106">
        <v>1114</v>
      </c>
      <c r="S40" s="106">
        <f t="shared" si="1"/>
        <v>252.5</v>
      </c>
      <c r="T40" s="106">
        <v>1619</v>
      </c>
      <c r="U40" s="106">
        <f t="shared" si="2"/>
        <v>0</v>
      </c>
      <c r="V40" s="106">
        <v>1619</v>
      </c>
      <c r="W40" s="106">
        <f t="shared" si="3"/>
        <v>435.5</v>
      </c>
      <c r="X40" s="106">
        <v>2490</v>
      </c>
      <c r="Y40" s="106">
        <f t="shared" si="4"/>
        <v>481</v>
      </c>
      <c r="Z40" s="106">
        <v>3452</v>
      </c>
      <c r="AA40" s="106">
        <f t="shared" si="5"/>
        <v>0</v>
      </c>
      <c r="AB40" s="106">
        <v>3452</v>
      </c>
      <c r="AC40" s="106">
        <f t="shared" si="6"/>
        <v>0</v>
      </c>
      <c r="AD40" s="106">
        <v>3452</v>
      </c>
      <c r="AE40" s="107">
        <f t="shared" si="7"/>
        <v>-832</v>
      </c>
    </row>
    <row r="41" spans="2:31" ht="15.6" customHeight="1" x14ac:dyDescent="0.3">
      <c r="N41" s="212"/>
      <c r="O41" s="94" t="s">
        <v>71</v>
      </c>
      <c r="P41" s="108"/>
      <c r="Q41" s="108">
        <v>1192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1</v>
      </c>
      <c r="V41" s="108">
        <v>2</v>
      </c>
      <c r="W41" s="108">
        <f t="shared" si="3"/>
        <v>468.5</v>
      </c>
      <c r="X41" s="108">
        <v>939</v>
      </c>
      <c r="Y41" s="108">
        <f t="shared" si="4"/>
        <v>0</v>
      </c>
      <c r="Z41" s="108">
        <v>939</v>
      </c>
      <c r="AA41" s="108">
        <f t="shared" si="5"/>
        <v>0</v>
      </c>
      <c r="AB41" s="108">
        <v>939</v>
      </c>
      <c r="AC41" s="108">
        <f t="shared" si="6"/>
        <v>0</v>
      </c>
      <c r="AD41" s="108">
        <v>939</v>
      </c>
      <c r="AE41" s="109">
        <f t="shared" si="7"/>
        <v>-253</v>
      </c>
    </row>
    <row r="42" spans="2:31" ht="15.6" customHeight="1" x14ac:dyDescent="0.3">
      <c r="N42" s="212"/>
      <c r="O42" s="95" t="s">
        <v>72</v>
      </c>
      <c r="P42" s="106"/>
      <c r="Q42" s="106">
        <v>1676</v>
      </c>
      <c r="R42" s="106">
        <v>0</v>
      </c>
      <c r="S42" s="106">
        <f t="shared" si="1"/>
        <v>271.5</v>
      </c>
      <c r="T42" s="106">
        <v>543</v>
      </c>
      <c r="U42" s="106">
        <f t="shared" si="2"/>
        <v>177</v>
      </c>
      <c r="V42" s="106">
        <v>897</v>
      </c>
      <c r="W42" s="106">
        <f t="shared" si="3"/>
        <v>0</v>
      </c>
      <c r="X42" s="106">
        <v>897</v>
      </c>
      <c r="Y42" s="106">
        <f t="shared" si="4"/>
        <v>389</v>
      </c>
      <c r="Z42" s="106">
        <v>1675</v>
      </c>
      <c r="AA42" s="106">
        <f t="shared" si="5"/>
        <v>0</v>
      </c>
      <c r="AB42" s="106">
        <v>1675</v>
      </c>
      <c r="AC42" s="106">
        <f t="shared" si="6"/>
        <v>0</v>
      </c>
      <c r="AD42" s="106">
        <v>1675</v>
      </c>
      <c r="AE42" s="107">
        <f t="shared" si="7"/>
        <v>-1</v>
      </c>
    </row>
    <row r="43" spans="2:31" ht="15.6" customHeight="1" thickBot="1" x14ac:dyDescent="0.35">
      <c r="N43" s="213"/>
      <c r="O43" s="97" t="s">
        <v>73</v>
      </c>
      <c r="P43" s="110"/>
      <c r="Q43" s="110">
        <v>1768</v>
      </c>
      <c r="R43" s="110">
        <v>453</v>
      </c>
      <c r="S43" s="110">
        <f t="shared" si="1"/>
        <v>0</v>
      </c>
      <c r="T43" s="110">
        <v>453</v>
      </c>
      <c r="U43" s="110">
        <f t="shared" si="2"/>
        <v>239</v>
      </c>
      <c r="V43" s="110">
        <v>931</v>
      </c>
      <c r="W43" s="110">
        <f t="shared" si="3"/>
        <v>380.5</v>
      </c>
      <c r="X43" s="110">
        <v>1692</v>
      </c>
      <c r="Y43" s="110">
        <f t="shared" si="4"/>
        <v>0</v>
      </c>
      <c r="Z43" s="110">
        <v>1692</v>
      </c>
      <c r="AA43" s="110">
        <f t="shared" si="5"/>
        <v>0</v>
      </c>
      <c r="AB43" s="110">
        <v>1692</v>
      </c>
      <c r="AC43" s="110">
        <f t="shared" si="6"/>
        <v>0</v>
      </c>
      <c r="AD43" s="110">
        <v>1692</v>
      </c>
      <c r="AE43" s="111">
        <f t="shared" si="7"/>
        <v>-76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4923</v>
      </c>
      <c r="R44" s="112">
        <v>1000</v>
      </c>
      <c r="S44" s="112">
        <f t="shared" si="1"/>
        <v>487.5</v>
      </c>
      <c r="T44" s="112">
        <v>1975</v>
      </c>
      <c r="U44" s="112">
        <f t="shared" si="2"/>
        <v>0</v>
      </c>
      <c r="V44" s="112">
        <v>1975</v>
      </c>
      <c r="W44" s="112">
        <f t="shared" si="3"/>
        <v>961</v>
      </c>
      <c r="X44" s="112">
        <v>3897</v>
      </c>
      <c r="Y44" s="112">
        <f t="shared" si="4"/>
        <v>535</v>
      </c>
      <c r="Z44" s="112">
        <v>4967</v>
      </c>
      <c r="AA44" s="112">
        <f t="shared" si="5"/>
        <v>0</v>
      </c>
      <c r="AB44" s="112">
        <v>4967</v>
      </c>
      <c r="AC44" s="112">
        <f t="shared" si="6"/>
        <v>0</v>
      </c>
      <c r="AD44" s="112">
        <v>4967</v>
      </c>
      <c r="AE44" s="113">
        <f t="shared" si="7"/>
        <v>44</v>
      </c>
    </row>
    <row r="45" spans="2:31" ht="15.6" customHeight="1" x14ac:dyDescent="0.3">
      <c r="N45" s="212"/>
      <c r="O45" s="94" t="s">
        <v>66</v>
      </c>
      <c r="P45" s="108"/>
      <c r="Q45" s="108">
        <v>4007</v>
      </c>
      <c r="R45" s="108">
        <v>15</v>
      </c>
      <c r="S45" s="108">
        <f t="shared" si="1"/>
        <v>0</v>
      </c>
      <c r="T45" s="108">
        <v>15</v>
      </c>
      <c r="U45" s="108">
        <f t="shared" si="2"/>
        <v>749</v>
      </c>
      <c r="V45" s="108">
        <v>1513</v>
      </c>
      <c r="W45" s="108">
        <f t="shared" si="3"/>
        <v>0</v>
      </c>
      <c r="X45" s="108">
        <v>1513</v>
      </c>
      <c r="Y45" s="108">
        <f t="shared" si="4"/>
        <v>1254.5</v>
      </c>
      <c r="Z45" s="108">
        <v>4022</v>
      </c>
      <c r="AA45" s="108">
        <f t="shared" si="5"/>
        <v>0</v>
      </c>
      <c r="AB45" s="108">
        <v>4022</v>
      </c>
      <c r="AC45" s="108">
        <f t="shared" si="6"/>
        <v>0</v>
      </c>
      <c r="AD45" s="108">
        <v>4022</v>
      </c>
      <c r="AE45" s="109">
        <f t="shared" si="7"/>
        <v>15</v>
      </c>
    </row>
    <row r="46" spans="2:31" ht="15.6" customHeight="1" x14ac:dyDescent="0.3">
      <c r="N46" s="212"/>
      <c r="O46" s="95" t="s">
        <v>67</v>
      </c>
      <c r="P46" s="106"/>
      <c r="Q46" s="106">
        <v>2731</v>
      </c>
      <c r="R46" s="106">
        <v>1</v>
      </c>
      <c r="S46" s="106">
        <f t="shared" si="1"/>
        <v>0</v>
      </c>
      <c r="T46" s="106">
        <v>1</v>
      </c>
      <c r="U46" s="106">
        <f t="shared" si="2"/>
        <v>0</v>
      </c>
      <c r="V46" s="106">
        <v>1</v>
      </c>
      <c r="W46" s="106">
        <f t="shared" si="3"/>
        <v>436.5</v>
      </c>
      <c r="X46" s="106">
        <v>874</v>
      </c>
      <c r="Y46" s="106">
        <f t="shared" si="4"/>
        <v>472.5</v>
      </c>
      <c r="Z46" s="106">
        <v>1819</v>
      </c>
      <c r="AA46" s="106">
        <f t="shared" si="5"/>
        <v>0</v>
      </c>
      <c r="AB46" s="106">
        <v>1819</v>
      </c>
      <c r="AC46" s="106">
        <f t="shared" si="6"/>
        <v>0</v>
      </c>
      <c r="AD46" s="106">
        <v>1819</v>
      </c>
      <c r="AE46" s="107">
        <f t="shared" si="7"/>
        <v>-912</v>
      </c>
    </row>
    <row r="47" spans="2:31" ht="15.6" customHeight="1" thickBot="1" x14ac:dyDescent="0.35">
      <c r="N47" s="213"/>
      <c r="O47" s="97" t="s">
        <v>68</v>
      </c>
      <c r="P47" s="110"/>
      <c r="Q47" s="110">
        <v>4268</v>
      </c>
      <c r="R47" s="110">
        <v>1052</v>
      </c>
      <c r="S47" s="110">
        <f t="shared" si="1"/>
        <v>0</v>
      </c>
      <c r="T47" s="110">
        <v>1052</v>
      </c>
      <c r="U47" s="110">
        <f t="shared" si="2"/>
        <v>794</v>
      </c>
      <c r="V47" s="110">
        <v>2640</v>
      </c>
      <c r="W47" s="110">
        <f t="shared" si="3"/>
        <v>0</v>
      </c>
      <c r="X47" s="110">
        <v>2640</v>
      </c>
      <c r="Y47" s="110">
        <f t="shared" si="4"/>
        <v>862.5</v>
      </c>
      <c r="Z47" s="110">
        <v>4365</v>
      </c>
      <c r="AA47" s="110">
        <f t="shared" si="5"/>
        <v>0</v>
      </c>
      <c r="AB47" s="110">
        <v>4365</v>
      </c>
      <c r="AC47" s="110">
        <f t="shared" si="6"/>
        <v>0</v>
      </c>
      <c r="AD47" s="110">
        <v>4365</v>
      </c>
      <c r="AE47" s="111">
        <f t="shared" si="7"/>
        <v>97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272</v>
      </c>
      <c r="R48" s="112">
        <v>0</v>
      </c>
      <c r="S48" s="112">
        <f t="shared" si="1"/>
        <v>41.5</v>
      </c>
      <c r="T48" s="112">
        <v>83</v>
      </c>
      <c r="U48" s="112">
        <f t="shared" si="2"/>
        <v>75.5</v>
      </c>
      <c r="V48" s="112">
        <v>234</v>
      </c>
      <c r="W48" s="112">
        <f t="shared" si="3"/>
        <v>15.5</v>
      </c>
      <c r="X48" s="112">
        <v>265</v>
      </c>
      <c r="Y48" s="112">
        <f t="shared" si="4"/>
        <v>0</v>
      </c>
      <c r="Z48" s="112">
        <v>265</v>
      </c>
      <c r="AA48" s="112">
        <f t="shared" si="5"/>
        <v>0</v>
      </c>
      <c r="AB48" s="112">
        <v>265</v>
      </c>
      <c r="AC48" s="112">
        <f t="shared" si="6"/>
        <v>0</v>
      </c>
      <c r="AD48" s="112">
        <v>265</v>
      </c>
      <c r="AE48" s="113">
        <f t="shared" si="7"/>
        <v>-7</v>
      </c>
    </row>
    <row r="49" spans="14:31" ht="15.6" customHeight="1" x14ac:dyDescent="0.3">
      <c r="N49" s="212"/>
      <c r="O49" s="94" t="s">
        <v>66</v>
      </c>
      <c r="P49" s="108"/>
      <c r="Q49" s="108">
        <v>380</v>
      </c>
      <c r="R49" s="108">
        <v>10</v>
      </c>
      <c r="S49" s="108">
        <f t="shared" si="1"/>
        <v>0</v>
      </c>
      <c r="T49" s="108">
        <v>10</v>
      </c>
      <c r="U49" s="108">
        <f t="shared" si="2"/>
        <v>1</v>
      </c>
      <c r="V49" s="108">
        <v>12</v>
      </c>
      <c r="W49" s="108">
        <f t="shared" si="3"/>
        <v>0</v>
      </c>
      <c r="X49" s="108">
        <v>12</v>
      </c>
      <c r="Y49" s="108">
        <f t="shared" si="4"/>
        <v>0</v>
      </c>
      <c r="Z49" s="108">
        <v>12</v>
      </c>
      <c r="AA49" s="108">
        <f t="shared" si="5"/>
        <v>0</v>
      </c>
      <c r="AB49" s="108">
        <v>12</v>
      </c>
      <c r="AC49" s="108">
        <f t="shared" si="6"/>
        <v>0</v>
      </c>
      <c r="AD49" s="108">
        <v>12</v>
      </c>
      <c r="AE49" s="109">
        <f t="shared" si="7"/>
        <v>-368</v>
      </c>
    </row>
    <row r="50" spans="14:31" ht="15.6" customHeight="1" x14ac:dyDescent="0.3">
      <c r="N50" s="212"/>
      <c r="O50" s="95" t="s">
        <v>67</v>
      </c>
      <c r="P50" s="106"/>
      <c r="Q50" s="106">
        <v>1723</v>
      </c>
      <c r="R50" s="106">
        <v>116</v>
      </c>
      <c r="S50" s="106">
        <f t="shared" si="1"/>
        <v>212</v>
      </c>
      <c r="T50" s="106">
        <v>540</v>
      </c>
      <c r="U50" s="106">
        <f t="shared" si="2"/>
        <v>131</v>
      </c>
      <c r="V50" s="106">
        <v>802</v>
      </c>
      <c r="W50" s="106">
        <f t="shared" si="3"/>
        <v>59</v>
      </c>
      <c r="X50" s="106">
        <v>920</v>
      </c>
      <c r="Y50" s="106">
        <f t="shared" si="4"/>
        <v>0</v>
      </c>
      <c r="Z50" s="106">
        <v>920</v>
      </c>
      <c r="AA50" s="106">
        <f t="shared" si="5"/>
        <v>0</v>
      </c>
      <c r="AB50" s="106">
        <v>920</v>
      </c>
      <c r="AC50" s="106">
        <f t="shared" si="6"/>
        <v>0</v>
      </c>
      <c r="AD50" s="106">
        <v>920</v>
      </c>
      <c r="AE50" s="107">
        <f t="shared" si="7"/>
        <v>-803</v>
      </c>
    </row>
    <row r="51" spans="14:31" ht="15.6" customHeight="1" x14ac:dyDescent="0.3">
      <c r="N51" s="212"/>
      <c r="O51" s="94" t="s">
        <v>68</v>
      </c>
      <c r="P51" s="108"/>
      <c r="Q51" s="108">
        <v>846</v>
      </c>
      <c r="R51" s="108">
        <v>10</v>
      </c>
      <c r="S51" s="108">
        <f t="shared" si="1"/>
        <v>0</v>
      </c>
      <c r="T51" s="108">
        <v>10</v>
      </c>
      <c r="U51" s="108">
        <f t="shared" si="2"/>
        <v>286.5</v>
      </c>
      <c r="V51" s="108">
        <v>583</v>
      </c>
      <c r="W51" s="108">
        <f t="shared" si="3"/>
        <v>50.5</v>
      </c>
      <c r="X51" s="108">
        <v>684</v>
      </c>
      <c r="Y51" s="108">
        <f t="shared" si="4"/>
        <v>0</v>
      </c>
      <c r="Z51" s="108">
        <v>684</v>
      </c>
      <c r="AA51" s="108">
        <f t="shared" si="5"/>
        <v>0</v>
      </c>
      <c r="AB51" s="108">
        <v>684</v>
      </c>
      <c r="AC51" s="108">
        <f t="shared" si="6"/>
        <v>0</v>
      </c>
      <c r="AD51" s="108">
        <v>684</v>
      </c>
      <c r="AE51" s="109">
        <f t="shared" si="7"/>
        <v>-162</v>
      </c>
    </row>
    <row r="52" spans="14:31" ht="15.6" customHeight="1" x14ac:dyDescent="0.3">
      <c r="N52" s="212"/>
      <c r="O52" s="95" t="s">
        <v>69</v>
      </c>
      <c r="P52" s="106"/>
      <c r="Q52" s="106">
        <v>2554</v>
      </c>
      <c r="R52" s="106">
        <v>91</v>
      </c>
      <c r="S52" s="106">
        <f t="shared" si="1"/>
        <v>6.5</v>
      </c>
      <c r="T52" s="106">
        <v>104</v>
      </c>
      <c r="U52" s="106">
        <f t="shared" si="2"/>
        <v>568</v>
      </c>
      <c r="V52" s="106">
        <v>1240</v>
      </c>
      <c r="W52" s="106">
        <f t="shared" si="3"/>
        <v>93.5</v>
      </c>
      <c r="X52" s="106">
        <v>1427</v>
      </c>
      <c r="Y52" s="106">
        <f t="shared" si="4"/>
        <v>0</v>
      </c>
      <c r="Z52" s="106">
        <v>1427</v>
      </c>
      <c r="AA52" s="106">
        <f t="shared" si="5"/>
        <v>0</v>
      </c>
      <c r="AB52" s="106">
        <v>1427</v>
      </c>
      <c r="AC52" s="106">
        <f t="shared" si="6"/>
        <v>0</v>
      </c>
      <c r="AD52" s="106">
        <v>1427</v>
      </c>
      <c r="AE52" s="107">
        <f t="shared" si="7"/>
        <v>-1127</v>
      </c>
    </row>
    <row r="53" spans="14:31" ht="15.6" customHeight="1" x14ac:dyDescent="0.3">
      <c r="N53" s="212"/>
      <c r="O53" s="94" t="s">
        <v>70</v>
      </c>
      <c r="P53" s="108"/>
      <c r="Q53" s="108">
        <v>1961</v>
      </c>
      <c r="R53" s="108">
        <v>0</v>
      </c>
      <c r="S53" s="108" t="str">
        <f t="shared" si="1"/>
        <v/>
      </c>
      <c r="T53" s="108">
        <v>0</v>
      </c>
      <c r="U53" s="108">
        <f t="shared" si="2"/>
        <v>129.5</v>
      </c>
      <c r="V53" s="108">
        <v>259</v>
      </c>
      <c r="W53" s="108">
        <f t="shared" si="3"/>
        <v>830.5</v>
      </c>
      <c r="X53" s="108">
        <v>1920</v>
      </c>
      <c r="Y53" s="108">
        <f t="shared" si="4"/>
        <v>20.5</v>
      </c>
      <c r="Z53" s="108">
        <v>1961</v>
      </c>
      <c r="AA53" s="108">
        <f t="shared" si="5"/>
        <v>0</v>
      </c>
      <c r="AB53" s="108">
        <v>1961</v>
      </c>
      <c r="AC53" s="108">
        <f t="shared" si="6"/>
        <v>0</v>
      </c>
      <c r="AD53" s="108">
        <v>1961</v>
      </c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>
        <v>1081</v>
      </c>
      <c r="R54" s="106">
        <v>366</v>
      </c>
      <c r="S54" s="106">
        <f t="shared" si="1"/>
        <v>147</v>
      </c>
      <c r="T54" s="106">
        <v>660</v>
      </c>
      <c r="U54" s="106">
        <f t="shared" si="2"/>
        <v>96</v>
      </c>
      <c r="V54" s="106">
        <v>852</v>
      </c>
      <c r="W54" s="106">
        <f t="shared" si="3"/>
        <v>16</v>
      </c>
      <c r="X54" s="106">
        <v>884</v>
      </c>
      <c r="Y54" s="106">
        <f t="shared" si="4"/>
        <v>0</v>
      </c>
      <c r="Z54" s="106">
        <v>884</v>
      </c>
      <c r="AA54" s="106">
        <f t="shared" si="5"/>
        <v>0</v>
      </c>
      <c r="AB54" s="106">
        <v>884</v>
      </c>
      <c r="AC54" s="106">
        <f t="shared" si="6"/>
        <v>0</v>
      </c>
      <c r="AD54" s="106">
        <v>884</v>
      </c>
      <c r="AE54" s="107">
        <f t="shared" si="7"/>
        <v>-197</v>
      </c>
    </row>
    <row r="55" spans="14:31" ht="15.6" customHeight="1" x14ac:dyDescent="0.3">
      <c r="N55" s="212"/>
      <c r="O55" s="94" t="s">
        <v>72</v>
      </c>
      <c r="P55" s="108"/>
      <c r="Q55" s="108">
        <v>464</v>
      </c>
      <c r="R55" s="108">
        <v>16</v>
      </c>
      <c r="S55" s="108">
        <f t="shared" si="1"/>
        <v>0</v>
      </c>
      <c r="T55" s="108">
        <v>16</v>
      </c>
      <c r="U55" s="108">
        <f t="shared" si="2"/>
        <v>0.5</v>
      </c>
      <c r="V55" s="108">
        <v>17</v>
      </c>
      <c r="W55" s="108">
        <f t="shared" si="3"/>
        <v>0</v>
      </c>
      <c r="X55" s="108">
        <v>17</v>
      </c>
      <c r="Y55" s="108">
        <f t="shared" si="4"/>
        <v>0</v>
      </c>
      <c r="Z55" s="108">
        <v>17</v>
      </c>
      <c r="AA55" s="108">
        <f t="shared" si="5"/>
        <v>0</v>
      </c>
      <c r="AB55" s="108">
        <v>17</v>
      </c>
      <c r="AC55" s="108">
        <f t="shared" si="6"/>
        <v>0</v>
      </c>
      <c r="AD55" s="108">
        <v>17</v>
      </c>
      <c r="AE55" s="109">
        <f t="shared" si="7"/>
        <v>-447</v>
      </c>
    </row>
    <row r="56" spans="14:31" ht="15.6" customHeight="1" thickBot="1" x14ac:dyDescent="0.35">
      <c r="N56" s="213"/>
      <c r="O56" s="99" t="s">
        <v>73</v>
      </c>
      <c r="P56" s="114"/>
      <c r="Q56" s="114">
        <v>539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122.5</v>
      </c>
      <c r="V56" s="114">
        <v>245</v>
      </c>
      <c r="W56" s="114">
        <f t="shared" si="3"/>
        <v>143</v>
      </c>
      <c r="X56" s="114">
        <v>531</v>
      </c>
      <c r="Y56" s="114">
        <f t="shared" si="4"/>
        <v>0</v>
      </c>
      <c r="Z56" s="114">
        <v>531</v>
      </c>
      <c r="AA56" s="114">
        <f t="shared" si="5"/>
        <v>0</v>
      </c>
      <c r="AB56" s="114">
        <v>531</v>
      </c>
      <c r="AC56" s="114">
        <f t="shared" si="6"/>
        <v>0</v>
      </c>
      <c r="AD56" s="114">
        <v>531</v>
      </c>
      <c r="AE56" s="115">
        <f t="shared" si="7"/>
        <v>-8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4558</v>
      </c>
      <c r="R57" s="104">
        <v>404</v>
      </c>
      <c r="S57" s="104">
        <f t="shared" si="1"/>
        <v>192</v>
      </c>
      <c r="T57" s="104">
        <v>788</v>
      </c>
      <c r="U57" s="104">
        <f t="shared" si="2"/>
        <v>658</v>
      </c>
      <c r="V57" s="104">
        <v>2104</v>
      </c>
      <c r="W57" s="104">
        <f t="shared" si="3"/>
        <v>161.5</v>
      </c>
      <c r="X57" s="104">
        <v>2427</v>
      </c>
      <c r="Y57" s="104">
        <f t="shared" si="4"/>
        <v>0</v>
      </c>
      <c r="Z57" s="104">
        <v>2427</v>
      </c>
      <c r="AA57" s="104">
        <f t="shared" si="5"/>
        <v>0</v>
      </c>
      <c r="AB57" s="104">
        <v>2427</v>
      </c>
      <c r="AC57" s="104">
        <f t="shared" si="6"/>
        <v>0</v>
      </c>
      <c r="AD57" s="104">
        <v>2427</v>
      </c>
      <c r="AE57" s="105">
        <f t="shared" si="7"/>
        <v>-2131</v>
      </c>
    </row>
    <row r="58" spans="14:31" ht="15.6" customHeight="1" x14ac:dyDescent="0.3">
      <c r="N58" s="212"/>
      <c r="O58" s="95" t="s">
        <v>66</v>
      </c>
      <c r="P58" s="106"/>
      <c r="Q58" s="106">
        <v>4827</v>
      </c>
      <c r="R58" s="106">
        <v>465</v>
      </c>
      <c r="S58" s="106">
        <f t="shared" si="1"/>
        <v>391.5</v>
      </c>
      <c r="T58" s="106">
        <v>1248</v>
      </c>
      <c r="U58" s="106">
        <f t="shared" si="2"/>
        <v>-31.5</v>
      </c>
      <c r="V58" s="106">
        <v>1185</v>
      </c>
      <c r="W58" s="106">
        <f t="shared" si="3"/>
        <v>297.5</v>
      </c>
      <c r="X58" s="106">
        <v>1780</v>
      </c>
      <c r="Y58" s="106">
        <f t="shared" si="4"/>
        <v>0</v>
      </c>
      <c r="Z58" s="106">
        <v>1780</v>
      </c>
      <c r="AA58" s="106">
        <f t="shared" si="5"/>
        <v>0</v>
      </c>
      <c r="AB58" s="106">
        <v>1780</v>
      </c>
      <c r="AC58" s="106">
        <f t="shared" si="6"/>
        <v>0</v>
      </c>
      <c r="AD58" s="106">
        <v>1780</v>
      </c>
      <c r="AE58" s="107">
        <f t="shared" si="7"/>
        <v>-3047</v>
      </c>
    </row>
    <row r="59" spans="14:31" ht="15.6" customHeight="1" x14ac:dyDescent="0.3">
      <c r="N59" s="212"/>
      <c r="O59" s="94" t="s">
        <v>67</v>
      </c>
      <c r="P59" s="108"/>
      <c r="Q59" s="108">
        <v>3116</v>
      </c>
      <c r="R59" s="108">
        <v>300</v>
      </c>
      <c r="S59" s="108">
        <f t="shared" si="1"/>
        <v>0</v>
      </c>
      <c r="T59" s="108">
        <v>300</v>
      </c>
      <c r="U59" s="108">
        <f t="shared" si="2"/>
        <v>470</v>
      </c>
      <c r="V59" s="108">
        <v>1240</v>
      </c>
      <c r="W59" s="108">
        <f t="shared" si="3"/>
        <v>780</v>
      </c>
      <c r="X59" s="108">
        <v>2800</v>
      </c>
      <c r="Y59" s="108">
        <f t="shared" si="4"/>
        <v>0</v>
      </c>
      <c r="Z59" s="108">
        <v>2800</v>
      </c>
      <c r="AA59" s="108">
        <f t="shared" si="5"/>
        <v>0</v>
      </c>
      <c r="AB59" s="108">
        <v>2800</v>
      </c>
      <c r="AC59" s="108">
        <f t="shared" si="6"/>
        <v>0</v>
      </c>
      <c r="AD59" s="108">
        <v>2800</v>
      </c>
      <c r="AE59" s="109">
        <f t="shared" si="7"/>
        <v>-316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7626</v>
      </c>
      <c r="R61" s="104">
        <v>1230</v>
      </c>
      <c r="S61" s="104">
        <f t="shared" si="1"/>
        <v>282</v>
      </c>
      <c r="T61" s="104">
        <v>1794</v>
      </c>
      <c r="U61" s="104">
        <f t="shared" si="2"/>
        <v>498</v>
      </c>
      <c r="V61" s="104">
        <v>2790</v>
      </c>
      <c r="W61" s="104">
        <f t="shared" si="3"/>
        <v>264</v>
      </c>
      <c r="X61" s="104">
        <v>3318</v>
      </c>
      <c r="Y61" s="104">
        <f t="shared" si="4"/>
        <v>205</v>
      </c>
      <c r="Z61" s="104">
        <v>3728</v>
      </c>
      <c r="AA61" s="104">
        <f t="shared" si="5"/>
        <v>0</v>
      </c>
      <c r="AB61" s="104">
        <v>3728</v>
      </c>
      <c r="AC61" s="104">
        <f t="shared" si="6"/>
        <v>0</v>
      </c>
      <c r="AD61" s="104">
        <v>3728</v>
      </c>
      <c r="AE61" s="105">
        <f t="shared" si="7"/>
        <v>-3898</v>
      </c>
    </row>
    <row r="62" spans="14:31" ht="15.6" customHeight="1" x14ac:dyDescent="0.3">
      <c r="N62" s="212"/>
      <c r="O62" s="95" t="s">
        <v>66</v>
      </c>
      <c r="P62" s="106"/>
      <c r="Q62" s="106">
        <v>11029</v>
      </c>
      <c r="R62" s="106">
        <v>1285</v>
      </c>
      <c r="S62" s="106">
        <f t="shared" si="1"/>
        <v>1147.5</v>
      </c>
      <c r="T62" s="106">
        <v>3580</v>
      </c>
      <c r="U62" s="106">
        <f t="shared" si="2"/>
        <v>236</v>
      </c>
      <c r="V62" s="106">
        <v>4052</v>
      </c>
      <c r="W62" s="106">
        <f t="shared" si="3"/>
        <v>181</v>
      </c>
      <c r="X62" s="106">
        <v>4414</v>
      </c>
      <c r="Y62" s="106">
        <f t="shared" si="4"/>
        <v>513.5</v>
      </c>
      <c r="Z62" s="106">
        <v>5441</v>
      </c>
      <c r="AA62" s="106">
        <f t="shared" si="5"/>
        <v>35</v>
      </c>
      <c r="AB62" s="106">
        <v>5511</v>
      </c>
      <c r="AC62" s="106">
        <f t="shared" si="6"/>
        <v>0</v>
      </c>
      <c r="AD62" s="106">
        <v>5511</v>
      </c>
      <c r="AE62" s="107">
        <f t="shared" si="7"/>
        <v>-5518</v>
      </c>
    </row>
    <row r="63" spans="14:31" ht="15.6" customHeight="1" x14ac:dyDescent="0.3">
      <c r="N63" s="212"/>
      <c r="O63" s="94" t="s">
        <v>67</v>
      </c>
      <c r="P63" s="108"/>
      <c r="Q63" s="108">
        <v>5141</v>
      </c>
      <c r="R63" s="108">
        <v>666</v>
      </c>
      <c r="S63" s="108">
        <f t="shared" si="1"/>
        <v>250</v>
      </c>
      <c r="T63" s="108">
        <v>1166</v>
      </c>
      <c r="U63" s="108">
        <f t="shared" si="2"/>
        <v>167.5</v>
      </c>
      <c r="V63" s="108">
        <v>1501</v>
      </c>
      <c r="W63" s="108">
        <f t="shared" si="3"/>
        <v>710</v>
      </c>
      <c r="X63" s="108">
        <v>2921</v>
      </c>
      <c r="Y63" s="108">
        <f t="shared" si="4"/>
        <v>92.5</v>
      </c>
      <c r="Z63" s="108">
        <v>3106</v>
      </c>
      <c r="AA63" s="108">
        <f t="shared" si="5"/>
        <v>0</v>
      </c>
      <c r="AB63" s="108">
        <v>3106</v>
      </c>
      <c r="AC63" s="108">
        <f t="shared" si="6"/>
        <v>0</v>
      </c>
      <c r="AD63" s="108">
        <v>3106</v>
      </c>
      <c r="AE63" s="109">
        <f t="shared" si="7"/>
        <v>-2035</v>
      </c>
    </row>
    <row r="64" spans="14:31" ht="15.6" customHeight="1" thickBot="1" x14ac:dyDescent="0.35">
      <c r="N64" s="213"/>
      <c r="O64" s="99" t="s">
        <v>68</v>
      </c>
      <c r="P64" s="114"/>
      <c r="Q64" s="114">
        <v>3363</v>
      </c>
      <c r="R64" s="114">
        <v>811</v>
      </c>
      <c r="S64" s="114">
        <f t="shared" si="1"/>
        <v>196.5</v>
      </c>
      <c r="T64" s="114">
        <v>1204</v>
      </c>
      <c r="U64" s="114">
        <f t="shared" si="2"/>
        <v>108.5</v>
      </c>
      <c r="V64" s="114">
        <v>1421</v>
      </c>
      <c r="W64" s="114">
        <f t="shared" si="3"/>
        <v>0</v>
      </c>
      <c r="X64" s="114">
        <v>1421</v>
      </c>
      <c r="Y64" s="114">
        <f t="shared" si="4"/>
        <v>7</v>
      </c>
      <c r="Z64" s="114">
        <v>1435</v>
      </c>
      <c r="AA64" s="114">
        <f t="shared" si="5"/>
        <v>0</v>
      </c>
      <c r="AB64" s="114">
        <v>1435</v>
      </c>
      <c r="AC64" s="114">
        <f t="shared" si="6"/>
        <v>0</v>
      </c>
      <c r="AD64" s="114">
        <v>1435</v>
      </c>
      <c r="AE64" s="115">
        <f t="shared" si="7"/>
        <v>-1928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23" priority="11" operator="lessThan">
      <formula>0</formula>
    </cfRule>
    <cfRule type="cellIs" dxfId="1522" priority="12" operator="greaterThan">
      <formula>0</formula>
    </cfRule>
  </conditionalFormatting>
  <conditionalFormatting sqref="R25:AC25">
    <cfRule type="cellIs" dxfId="1521" priority="9" operator="lessThan">
      <formula>0</formula>
    </cfRule>
    <cfRule type="cellIs" dxfId="1520" priority="10" operator="greaterThan">
      <formula>0</formula>
    </cfRule>
  </conditionalFormatting>
  <conditionalFormatting sqref="R26 T26 V26 X26 Z26 AB26">
    <cfRule type="cellIs" dxfId="1519" priority="7" operator="lessThan">
      <formula>0</formula>
    </cfRule>
    <cfRule type="cellIs" dxfId="1518" priority="8" operator="greaterThan">
      <formula>0</formula>
    </cfRule>
  </conditionalFormatting>
  <conditionalFormatting sqref="AD24:AE24">
    <cfRule type="cellIs" dxfId="1517" priority="5" operator="lessThan">
      <formula>0</formula>
    </cfRule>
    <cfRule type="cellIs" dxfId="1516" priority="6" operator="greaterThan">
      <formula>0</formula>
    </cfRule>
  </conditionalFormatting>
  <conditionalFormatting sqref="AD25:AE25">
    <cfRule type="cellIs" dxfId="1515" priority="3" operator="lessThan">
      <formula>0</formula>
    </cfRule>
    <cfRule type="cellIs" dxfId="1514" priority="4" operator="greaterThan">
      <formula>0</formula>
    </cfRule>
  </conditionalFormatting>
  <conditionalFormatting sqref="AD26">
    <cfRule type="cellIs" dxfId="1513" priority="1" operator="lessThan">
      <formula>0</formula>
    </cfRule>
    <cfRule type="cellIs" dxfId="1512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tabColor theme="1"/>
    <pageSetUpPr fitToPage="1"/>
  </sheetPr>
  <dimension ref="B1:AQ64"/>
  <sheetViews>
    <sheetView topLeftCell="H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44392</v>
      </c>
    </row>
    <row r="3" spans="2:42" ht="18.75" customHeight="1" thickBot="1" x14ac:dyDescent="0.35">
      <c r="B3" t="s">
        <v>1</v>
      </c>
      <c r="C3" s="3">
        <f>C2+1</f>
        <v>44393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5246</v>
      </c>
      <c r="E6" s="18" t="s">
        <v>22</v>
      </c>
      <c r="F6" s="119">
        <v>21202</v>
      </c>
      <c r="G6" s="117">
        <v>17460.56187500001</v>
      </c>
      <c r="H6" s="117">
        <v>15148.09016331999</v>
      </c>
      <c r="I6" s="19">
        <f>G6+H6</f>
        <v>32608.65203832</v>
      </c>
      <c r="J6" s="119">
        <v>22822</v>
      </c>
      <c r="K6" s="117">
        <v>18232.2925</v>
      </c>
      <c r="L6" s="117">
        <v>16512.545063699999</v>
      </c>
      <c r="M6" s="19">
        <f>K6+L6</f>
        <v>34744.837563699999</v>
      </c>
      <c r="N6" s="85">
        <v>62</v>
      </c>
      <c r="O6" s="85">
        <v>53</v>
      </c>
      <c r="P6" s="92"/>
      <c r="Q6" s="20">
        <f>J6-P6</f>
        <v>22822</v>
      </c>
      <c r="R6" s="21">
        <v>132</v>
      </c>
      <c r="S6" s="20">
        <f>IF(R6&gt;0,(R6-R7-$Q6),"")</f>
        <v>-22690</v>
      </c>
      <c r="T6" s="21">
        <v>7045</v>
      </c>
      <c r="U6" s="20">
        <f>IF(T6&gt;0,(T6-T7-$Q6),"")</f>
        <v>-15778</v>
      </c>
      <c r="V6" s="21">
        <v>9422</v>
      </c>
      <c r="W6" s="20">
        <f>IF(V6&gt;0,(V6-V7-$Q6),"")</f>
        <v>-13401</v>
      </c>
      <c r="X6" s="21">
        <v>12365</v>
      </c>
      <c r="Y6" s="20">
        <f>IF(X6&gt;0,(X6-X7-$Q6),"")</f>
        <v>-10459</v>
      </c>
      <c r="Z6" s="21">
        <v>14895</v>
      </c>
      <c r="AA6" s="20">
        <f>IF(Z6&gt;0,(Z6-Z7-$Q6),"")</f>
        <v>-7932</v>
      </c>
      <c r="AB6" s="21">
        <v>14895</v>
      </c>
      <c r="AC6" s="22">
        <f>IF(AB6&gt;0,(AB6-AB7-$Q6),"")</f>
        <v>-7932</v>
      </c>
      <c r="AD6" s="21">
        <v>14895</v>
      </c>
      <c r="AE6" s="22">
        <f>IF(AD6&gt;0,(AD6-AD7-$Q6),"")</f>
        <v>-7932</v>
      </c>
    </row>
    <row r="7" spans="2:42" x14ac:dyDescent="0.3">
      <c r="B7" s="16" t="s">
        <v>23</v>
      </c>
      <c r="C7" s="17">
        <v>2519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0</v>
      </c>
      <c r="S7" s="24"/>
      <c r="T7" s="25">
        <v>1</v>
      </c>
      <c r="U7" s="24"/>
      <c r="V7" s="25">
        <v>1</v>
      </c>
      <c r="W7" s="24"/>
      <c r="X7" s="25">
        <v>2</v>
      </c>
      <c r="Y7" s="24"/>
      <c r="Z7" s="25">
        <v>5</v>
      </c>
      <c r="AA7" s="24"/>
      <c r="AB7" s="25">
        <v>5</v>
      </c>
      <c r="AC7" s="26"/>
      <c r="AD7" s="25">
        <v>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2903</v>
      </c>
      <c r="E8" s="29" t="s">
        <v>27</v>
      </c>
      <c r="F8" s="119">
        <v>15567</v>
      </c>
      <c r="G8" s="117">
        <v>6598.5605000000014</v>
      </c>
      <c r="H8" s="117">
        <v>1441.8272701999999</v>
      </c>
      <c r="I8" s="19">
        <f>G8+H8</f>
        <v>8040.3877702000009</v>
      </c>
      <c r="J8" s="119">
        <v>15184</v>
      </c>
      <c r="K8" s="117">
        <v>6423.1954999999998</v>
      </c>
      <c r="L8" s="117">
        <v>1401.6805799000001</v>
      </c>
      <c r="M8" s="19">
        <f>K8+L8</f>
        <v>7824.8760799000001</v>
      </c>
      <c r="N8" s="87">
        <v>28</v>
      </c>
      <c r="O8" s="87">
        <v>20</v>
      </c>
      <c r="P8" s="92"/>
      <c r="Q8" s="20">
        <f>J8-P8</f>
        <v>15184</v>
      </c>
      <c r="R8" s="21">
        <v>1925</v>
      </c>
      <c r="S8" s="20">
        <f>IF(R8&gt;0,(R8-R9-$Q8),"")</f>
        <v>-13350</v>
      </c>
      <c r="T8" s="21">
        <v>2710</v>
      </c>
      <c r="U8" s="20">
        <f>IF(T8&gt;0,(T8-T9-$Q8),"")</f>
        <v>-12565</v>
      </c>
      <c r="V8" s="21">
        <v>2710</v>
      </c>
      <c r="W8" s="20">
        <f>IF(V8&gt;0,(V8-V9-$Q8),"")</f>
        <v>-12565</v>
      </c>
      <c r="X8" s="21">
        <v>9516</v>
      </c>
      <c r="Y8" s="20">
        <f>IF(X8&gt;0,(X8-X9-$Q8),"")</f>
        <v>-5759</v>
      </c>
      <c r="Z8" s="21">
        <v>14778</v>
      </c>
      <c r="AA8" s="20">
        <f>IF(Z8&gt;0,(Z8-Z9-$Q8),"")</f>
        <v>-497</v>
      </c>
      <c r="AB8" s="21">
        <v>14778</v>
      </c>
      <c r="AC8" s="22">
        <f>IF(AB8&gt;0,(AB8-AB9-$Q8),"")</f>
        <v>-497</v>
      </c>
      <c r="AD8" s="21">
        <v>14778</v>
      </c>
      <c r="AE8" s="22">
        <f>IF(AD8&gt;0,(AD8-AD9-$Q8),"")</f>
        <v>-497</v>
      </c>
    </row>
    <row r="9" spans="2:42" x14ac:dyDescent="0.3">
      <c r="B9" s="28" t="s">
        <v>28</v>
      </c>
      <c r="C9" s="17">
        <v>1902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91</v>
      </c>
      <c r="S9" s="24"/>
      <c r="T9" s="30">
        <v>91</v>
      </c>
      <c r="U9" s="24"/>
      <c r="V9" s="30">
        <v>91</v>
      </c>
      <c r="W9" s="24"/>
      <c r="X9" s="30">
        <v>91</v>
      </c>
      <c r="Y9" s="24"/>
      <c r="Z9" s="30">
        <v>91</v>
      </c>
      <c r="AA9" s="24"/>
      <c r="AB9" s="30">
        <v>91</v>
      </c>
      <c r="AC9" s="26"/>
      <c r="AD9" s="30">
        <v>91</v>
      </c>
      <c r="AE9" s="26"/>
    </row>
    <row r="10" spans="2:42" x14ac:dyDescent="0.3">
      <c r="B10" s="16" t="s">
        <v>30</v>
      </c>
      <c r="C10" s="17">
        <v>4651</v>
      </c>
      <c r="E10" s="18" t="s">
        <v>31</v>
      </c>
      <c r="F10" s="119">
        <v>19585</v>
      </c>
      <c r="G10" s="117">
        <v>15259.337625</v>
      </c>
      <c r="H10" s="117">
        <v>1926.9445900000001</v>
      </c>
      <c r="I10" s="19">
        <f>G10+H10</f>
        <v>17186.282214999999</v>
      </c>
      <c r="J10" s="119">
        <v>19610</v>
      </c>
      <c r="K10" s="117">
        <v>15184.275125</v>
      </c>
      <c r="L10" s="117">
        <v>1904.3924850000001</v>
      </c>
      <c r="M10" s="19">
        <f>K10+L10</f>
        <v>17088.66761</v>
      </c>
      <c r="N10" s="88">
        <v>44</v>
      </c>
      <c r="O10" s="88">
        <v>37</v>
      </c>
      <c r="P10" s="92"/>
      <c r="Q10" s="20">
        <f>J10-P10</f>
        <v>19610</v>
      </c>
      <c r="R10" s="21">
        <v>4056</v>
      </c>
      <c r="S10" s="20">
        <f>IF(R10&gt;0,(R10-R11-$Q10),"")</f>
        <v>-16047</v>
      </c>
      <c r="T10" s="21">
        <v>4648</v>
      </c>
      <c r="U10" s="20">
        <f>IF(T10&gt;0,(T10-T11-$Q10),"")</f>
        <v>-16030</v>
      </c>
      <c r="V10" s="21">
        <v>7565</v>
      </c>
      <c r="W10" s="20">
        <f>IF(V10&gt;0,(V10-V11-$Q10),"")</f>
        <v>-13284</v>
      </c>
      <c r="X10" s="21">
        <v>11704</v>
      </c>
      <c r="Y10" s="20">
        <f>IF(X10&gt;0,(X10-X11-$Q10),"")</f>
        <v>-9434</v>
      </c>
      <c r="Z10" s="21">
        <v>14254</v>
      </c>
      <c r="AA10" s="20">
        <f>IF(Z10&gt;0,(Z10-Z11-$Q10),"")</f>
        <v>-6997</v>
      </c>
      <c r="AB10" s="21">
        <v>15721</v>
      </c>
      <c r="AC10" s="22">
        <f>IF(AB10&gt;0,(AB10-AB11-$Q10),"")</f>
        <v>-5644</v>
      </c>
      <c r="AD10" s="21">
        <v>15721</v>
      </c>
      <c r="AE10" s="22">
        <f>IF(AD10&gt;0,(AD10-AD11-$Q10),"")</f>
        <v>-5644</v>
      </c>
    </row>
    <row r="11" spans="2:42" x14ac:dyDescent="0.3">
      <c r="B11" s="16" t="s">
        <v>32</v>
      </c>
      <c r="C11" s="17">
        <v>2279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493</v>
      </c>
      <c r="S11" s="24"/>
      <c r="T11" s="30">
        <v>1068</v>
      </c>
      <c r="U11" s="24"/>
      <c r="V11" s="30">
        <v>1239</v>
      </c>
      <c r="W11" s="24"/>
      <c r="X11" s="30">
        <v>1528</v>
      </c>
      <c r="Y11" s="24"/>
      <c r="Z11" s="30">
        <v>1641</v>
      </c>
      <c r="AA11" s="24"/>
      <c r="AB11" s="30">
        <v>1755</v>
      </c>
      <c r="AC11" s="26"/>
      <c r="AD11" s="30">
        <v>1755</v>
      </c>
      <c r="AE11" s="26"/>
    </row>
    <row r="12" spans="2:42" x14ac:dyDescent="0.3">
      <c r="B12" s="16" t="s">
        <v>34</v>
      </c>
      <c r="C12" s="17">
        <v>1841</v>
      </c>
      <c r="E12" s="29" t="s">
        <v>35</v>
      </c>
      <c r="F12" s="119">
        <v>15754</v>
      </c>
      <c r="G12" s="117">
        <v>12866.662625000001</v>
      </c>
      <c r="H12" s="117">
        <v>17614.05995852</v>
      </c>
      <c r="I12" s="19">
        <f>G12+H12</f>
        <v>30480.722583520001</v>
      </c>
      <c r="J12" s="119">
        <v>16150</v>
      </c>
      <c r="K12" s="117">
        <v>12782.301125</v>
      </c>
      <c r="L12" s="117">
        <v>16713.41698224</v>
      </c>
      <c r="M12" s="19">
        <f>K12+L12</f>
        <v>29495.718107239998</v>
      </c>
      <c r="N12" s="88">
        <v>47</v>
      </c>
      <c r="O12" s="88">
        <v>36</v>
      </c>
      <c r="P12" s="92"/>
      <c r="Q12" s="20">
        <f>J12-P12</f>
        <v>16150</v>
      </c>
      <c r="R12" s="21">
        <v>2424</v>
      </c>
      <c r="S12" s="20">
        <f>IF(R12&gt;0,(R12-R13-$Q12),"")</f>
        <v>-14871</v>
      </c>
      <c r="T12" s="21">
        <v>5506</v>
      </c>
      <c r="U12" s="20">
        <f>IF(T12&gt;0,(T12-T13-$Q12),"")</f>
        <v>-11973</v>
      </c>
      <c r="V12" s="21">
        <v>6802</v>
      </c>
      <c r="W12" s="20">
        <f>IF(V12&gt;0,(V12-V13-$Q12),"")</f>
        <v>-10799</v>
      </c>
      <c r="X12" s="21">
        <v>8078</v>
      </c>
      <c r="Y12" s="20">
        <f>IF(X12&gt;0,(X12-X13-$Q12),"")</f>
        <v>-9523</v>
      </c>
      <c r="Z12" s="21">
        <v>8212</v>
      </c>
      <c r="AA12" s="20">
        <f>IF(Z12&gt;0,(Z12-Z13-$Q12),"")</f>
        <v>-9446</v>
      </c>
      <c r="AB12" s="21">
        <v>8212</v>
      </c>
      <c r="AC12" s="22">
        <f>IF(AB12&gt;0,(AB12-AB13-$Q12),"")</f>
        <v>-9446</v>
      </c>
      <c r="AD12" s="21">
        <v>8212</v>
      </c>
      <c r="AE12" s="22">
        <f>IF(AD12&gt;0,(AD12-AD13-$Q12),"")</f>
        <v>-9446</v>
      </c>
    </row>
    <row r="13" spans="2:42" x14ac:dyDescent="0.3">
      <c r="B13" s="16" t="s">
        <v>36</v>
      </c>
      <c r="C13" s="17">
        <v>5070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1145</v>
      </c>
      <c r="S13" s="24"/>
      <c r="T13" s="30">
        <v>1329</v>
      </c>
      <c r="U13" s="24"/>
      <c r="V13" s="30">
        <v>1451</v>
      </c>
      <c r="W13" s="24"/>
      <c r="X13" s="30">
        <v>1451</v>
      </c>
      <c r="Y13" s="24"/>
      <c r="Z13" s="30">
        <v>1508</v>
      </c>
      <c r="AA13" s="24"/>
      <c r="AB13" s="30">
        <v>1508</v>
      </c>
      <c r="AC13" s="26"/>
      <c r="AD13" s="30">
        <v>1508</v>
      </c>
      <c r="AE13" s="26"/>
    </row>
    <row r="14" spans="2:42" x14ac:dyDescent="0.3">
      <c r="B14" s="16" t="s">
        <v>38</v>
      </c>
      <c r="C14" s="17">
        <v>11940</v>
      </c>
      <c r="E14" s="18" t="s">
        <v>39</v>
      </c>
      <c r="F14" s="119">
        <v>21151</v>
      </c>
      <c r="G14" s="117">
        <v>20542.53125</v>
      </c>
      <c r="H14" s="117">
        <v>23378.078802425021</v>
      </c>
      <c r="I14" s="19">
        <f>G14+H14</f>
        <v>43920.610052425021</v>
      </c>
      <c r="J14" s="119">
        <v>21266</v>
      </c>
      <c r="K14" s="117">
        <v>20709.6875</v>
      </c>
      <c r="L14" s="117">
        <v>23527.67269182501</v>
      </c>
      <c r="M14" s="19">
        <f>K14+L14</f>
        <v>44237.360191825006</v>
      </c>
      <c r="N14" s="88">
        <v>62</v>
      </c>
      <c r="O14" s="88">
        <v>52</v>
      </c>
      <c r="P14" s="92"/>
      <c r="Q14" s="20">
        <f>J14-P14</f>
        <v>21266</v>
      </c>
      <c r="R14" s="21">
        <v>5473</v>
      </c>
      <c r="S14" s="20">
        <f>IF(R14&gt;0,(R14-R15-$Q14),"")</f>
        <v>-20317</v>
      </c>
      <c r="T14" s="21">
        <v>9197</v>
      </c>
      <c r="U14" s="20">
        <f>IF(T14&gt;0,(T14-T15-$Q14),"")</f>
        <v>-19287</v>
      </c>
      <c r="V14" s="21">
        <v>10482</v>
      </c>
      <c r="W14" s="20">
        <f>IF(V14&gt;0,(V14-V15-$Q14),"")</f>
        <v>-18557</v>
      </c>
      <c r="X14" s="21">
        <v>12570</v>
      </c>
      <c r="Y14" s="20">
        <f>IF(X14&gt;0,(X14-X15-$Q14),"")</f>
        <v>-17552</v>
      </c>
      <c r="Z14" s="21">
        <v>12570</v>
      </c>
      <c r="AA14" s="20">
        <f>IF(Z14&gt;0,(Z14-Z15-$Q14),"")</f>
        <v>-17552</v>
      </c>
      <c r="AB14" s="21">
        <v>12570</v>
      </c>
      <c r="AC14" s="22">
        <f>IF(AB14&gt;0,(AB14-AB15-$Q14),"")</f>
        <v>-17552</v>
      </c>
      <c r="AD14" s="21">
        <v>12570</v>
      </c>
      <c r="AE14" s="22">
        <f>IF(AD14&gt;0,(AD14-AD15-$Q14),"")</f>
        <v>-17552</v>
      </c>
    </row>
    <row r="15" spans="2:42" ht="15" customHeight="1" thickBot="1" x14ac:dyDescent="0.35">
      <c r="B15" s="16" t="s">
        <v>40</v>
      </c>
      <c r="C15" s="17">
        <v>2749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4524</v>
      </c>
      <c r="S15" s="24"/>
      <c r="T15" s="25">
        <v>7218</v>
      </c>
      <c r="U15" s="24"/>
      <c r="V15" s="25">
        <v>7773</v>
      </c>
      <c r="W15" s="24"/>
      <c r="X15" s="25">
        <v>8856</v>
      </c>
      <c r="Y15" s="24"/>
      <c r="Z15" s="25">
        <v>8856</v>
      </c>
      <c r="AA15" s="24"/>
      <c r="AB15" s="25">
        <v>8856</v>
      </c>
      <c r="AC15" s="26"/>
      <c r="AD15" s="25">
        <v>8856</v>
      </c>
      <c r="AE15" s="26"/>
    </row>
    <row r="16" spans="2:42" ht="15" customHeight="1" thickBot="1" x14ac:dyDescent="0.35">
      <c r="B16" s="28" t="s">
        <v>42</v>
      </c>
      <c r="C16" s="17">
        <v>13405</v>
      </c>
      <c r="E16" s="84"/>
      <c r="F16" s="31">
        <f t="shared" ref="F16:M16" si="0">SUM(F6:F15)</f>
        <v>93259</v>
      </c>
      <c r="G16" s="31">
        <f t="shared" si="0"/>
        <v>72727.653875000018</v>
      </c>
      <c r="H16" s="31">
        <f t="shared" si="0"/>
        <v>59509.00078446501</v>
      </c>
      <c r="I16" s="32">
        <f t="shared" si="0"/>
        <v>132236.65465946501</v>
      </c>
      <c r="J16" s="33">
        <f t="shared" si="0"/>
        <v>95032</v>
      </c>
      <c r="K16" s="33">
        <f t="shared" si="0"/>
        <v>73331.751749999996</v>
      </c>
      <c r="L16" s="33">
        <f t="shared" si="0"/>
        <v>60059.707802665012</v>
      </c>
      <c r="M16" s="33">
        <f t="shared" si="0"/>
        <v>133391.45955266501</v>
      </c>
      <c r="N16" s="31">
        <f>SUM(N14,N12,N10,N8,N6)</f>
        <v>243</v>
      </c>
      <c r="O16" s="31">
        <f>SUM(O14,O12,O10,O8,O6)</f>
        <v>198</v>
      </c>
      <c r="P16" s="34">
        <f>SUM(P6:P15)</f>
        <v>0</v>
      </c>
      <c r="Q16" s="34">
        <f>SUM(Q6:Q15)</f>
        <v>95032</v>
      </c>
      <c r="R16" s="35">
        <f>R6+R8+R10+R12+R14-R7-R9-R11-R13-R15</f>
        <v>7757</v>
      </c>
      <c r="S16" s="36">
        <f>IF(R16&gt;1,(R16-$Q16),"")</f>
        <v>-87275</v>
      </c>
      <c r="T16" s="35">
        <f>T6+T8+T10+T12+T14-T7-T9-T11-T13-T15</f>
        <v>19399</v>
      </c>
      <c r="U16" s="36">
        <f>IF(T16&gt;1,(T16-$Q16),"")</f>
        <v>-75633</v>
      </c>
      <c r="V16" s="35">
        <f>V6+V8+V10+V12+V14-V7-V9-V11-V13-V15</f>
        <v>26426</v>
      </c>
      <c r="W16" s="36">
        <f>IF(V16&gt;1,(V16-$Q16),"")</f>
        <v>-68606</v>
      </c>
      <c r="X16" s="35">
        <f>X6+X8+X10+X12+X14-X7-X9-X11-X13-X15</f>
        <v>42305</v>
      </c>
      <c r="Y16" s="36">
        <f>IF(X16&gt;1,(X16-$Q16),"")</f>
        <v>-52727</v>
      </c>
      <c r="Z16" s="35">
        <f>Z6+Z8+Z10+Z12+Z14-Z7-Z9-Z11-Z13-Z15</f>
        <v>52608</v>
      </c>
      <c r="AA16" s="36">
        <f>IF(Z16&gt;1,(Z16-$Q16),"")</f>
        <v>-42424</v>
      </c>
      <c r="AB16" s="35">
        <f>AB6+AB8+AB10+AB12+AB14-AB7-AB9-AB11-AB13-AB15</f>
        <v>53961</v>
      </c>
      <c r="AC16" s="37">
        <f>IF(AB16&gt;1,(AB16-$Q16),"")</f>
        <v>-41071</v>
      </c>
      <c r="AD16" s="35">
        <f>AD6+AD8+AD10+AD12+AD14-AD7-AD9-AD11-AD13-AD15</f>
        <v>53961</v>
      </c>
      <c r="AE16" s="37">
        <f>IF(AD16&gt;1,(AD16-$Q16),"")</f>
        <v>-41071</v>
      </c>
    </row>
    <row r="17" spans="2:43" s="4" customFormat="1" ht="15" customHeight="1" thickBot="1" x14ac:dyDescent="0.35">
      <c r="B17" s="43" t="s">
        <v>47</v>
      </c>
      <c r="C17" s="17">
        <v>1167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45</v>
      </c>
      <c r="P17" s="38" t="s">
        <v>44</v>
      </c>
      <c r="Q17" s="39"/>
      <c r="R17" s="40">
        <f>R15+R13+R11+R9+R7</f>
        <v>6253</v>
      </c>
      <c r="S17" s="41"/>
      <c r="T17" s="40">
        <f>T15+T13+T11+T9+T7</f>
        <v>9707</v>
      </c>
      <c r="U17" s="41"/>
      <c r="V17" s="40">
        <f>V15+V13+V11+V9+V7</f>
        <v>10555</v>
      </c>
      <c r="W17" s="41"/>
      <c r="X17" s="40">
        <f>X15+X13+X11+X9+X7</f>
        <v>11928</v>
      </c>
      <c r="Y17" s="41"/>
      <c r="Z17" s="40">
        <f>Z15+Z13+Z11+Z9+Z7</f>
        <v>12101</v>
      </c>
      <c r="AA17" s="41"/>
      <c r="AB17" s="40">
        <f>AB15+AB13+AB11+AB9+AB7</f>
        <v>12215</v>
      </c>
      <c r="AC17" s="42"/>
      <c r="AD17" s="40">
        <f>AD15+AD13+AD11+AD9+AD7</f>
        <v>12215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555</v>
      </c>
      <c r="P18" s="45" t="s">
        <v>46</v>
      </c>
      <c r="Q18" s="46"/>
      <c r="R18" s="47">
        <f>IF(R16&gt;0,(R16)/2,"")</f>
        <v>3878.5</v>
      </c>
      <c r="S18" s="46"/>
      <c r="T18" s="47">
        <f>IF(T16&gt;0,(T16-R16)/2,"")</f>
        <v>5821</v>
      </c>
      <c r="U18" s="46"/>
      <c r="V18" s="47">
        <f>IF(V16&gt;0,(V16-T16)/2,"")</f>
        <v>3513.5</v>
      </c>
      <c r="W18" s="46"/>
      <c r="X18" s="47">
        <f>IF(X16&gt;0,(X16-V16)/2,"")</f>
        <v>7939.5</v>
      </c>
      <c r="Y18" s="46"/>
      <c r="Z18" s="47">
        <f>IF(Z16&gt;0,(Z16-X16)/2,"")</f>
        <v>5151.5</v>
      </c>
      <c r="AA18" s="46"/>
      <c r="AB18" s="47">
        <f>IF(AB16&gt;0,(AB16-Z16)/2,"")</f>
        <v>676.5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7768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2759</v>
      </c>
      <c r="L20" s="4"/>
      <c r="M20" s="4"/>
      <c r="Q20" s="51" t="s">
        <v>49</v>
      </c>
      <c r="R20" s="35">
        <v>5718</v>
      </c>
      <c r="S20" s="36"/>
      <c r="T20" s="35">
        <v>13032</v>
      </c>
      <c r="U20" s="36"/>
      <c r="V20" s="35">
        <v>21434</v>
      </c>
      <c r="W20" s="36"/>
      <c r="X20" s="35">
        <v>35204</v>
      </c>
      <c r="Y20" s="36"/>
      <c r="Z20" s="35">
        <v>46171</v>
      </c>
      <c r="AA20" s="36"/>
      <c r="AB20" s="35">
        <v>46241</v>
      </c>
      <c r="AC20" s="37"/>
      <c r="AD20" s="35">
        <v>46241</v>
      </c>
      <c r="AE20" s="37">
        <v>-41309</v>
      </c>
    </row>
    <row r="21" spans="2:43" ht="15" customHeight="1" thickBot="1" x14ac:dyDescent="0.35">
      <c r="B21" s="57" t="s">
        <v>52</v>
      </c>
      <c r="C21" s="58">
        <v>4160</v>
      </c>
      <c r="L21" s="4"/>
      <c r="M21" s="4"/>
      <c r="Q21" s="52"/>
      <c r="R21" s="40">
        <v>3962</v>
      </c>
      <c r="S21" s="41"/>
      <c r="T21" s="40">
        <v>7219</v>
      </c>
      <c r="U21" s="41"/>
      <c r="V21" s="40">
        <v>9928</v>
      </c>
      <c r="W21" s="41"/>
      <c r="X21" s="40">
        <v>11752</v>
      </c>
      <c r="Y21" s="41"/>
      <c r="Z21" s="40">
        <v>11860</v>
      </c>
      <c r="AA21" s="41"/>
      <c r="AB21" s="40">
        <v>11860</v>
      </c>
      <c r="AC21" s="42"/>
      <c r="AD21" s="40">
        <v>11860</v>
      </c>
      <c r="AE21" s="42"/>
    </row>
    <row r="22" spans="2:43" ht="15" customHeight="1" thickBot="1" x14ac:dyDescent="0.35">
      <c r="L22" s="4"/>
      <c r="M22" s="4"/>
      <c r="Q22" s="54"/>
      <c r="R22" s="55">
        <v>2859</v>
      </c>
      <c r="S22" s="55"/>
      <c r="T22" s="55">
        <v>3657</v>
      </c>
      <c r="U22" s="55"/>
      <c r="V22" s="55">
        <v>4201</v>
      </c>
      <c r="W22" s="55"/>
      <c r="X22" s="55">
        <v>6885</v>
      </c>
      <c r="Y22" s="55"/>
      <c r="Z22" s="55">
        <v>5483.5</v>
      </c>
      <c r="AA22" s="55"/>
      <c r="AB22" s="55">
        <v>35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2039</v>
      </c>
      <c r="S24" s="60"/>
      <c r="T24" s="60">
        <f>IF(T16&gt;0,T16-T20,"")</f>
        <v>6367</v>
      </c>
      <c r="U24" s="60"/>
      <c r="V24" s="60">
        <f>IF(V16&gt;0,V16-V20,"")</f>
        <v>4992</v>
      </c>
      <c r="W24" s="60"/>
      <c r="X24" s="60">
        <f>IF(X16&gt;0,X16-X20,"")</f>
        <v>7101</v>
      </c>
      <c r="Y24" s="60"/>
      <c r="Z24" s="60">
        <f>IF(Z16&gt;0,Z16-Z20,"")</f>
        <v>6437</v>
      </c>
      <c r="AA24" s="60"/>
      <c r="AB24" s="60">
        <f>IF(AB16&gt;0,AB16-AB20,"")</f>
        <v>7720</v>
      </c>
      <c r="AC24" s="61"/>
      <c r="AD24" s="60">
        <f>IF(AD16&gt;0,AD16-AD20,"")</f>
        <v>7720</v>
      </c>
      <c r="AE24" s="61"/>
    </row>
    <row r="25" spans="2:43" x14ac:dyDescent="0.3">
      <c r="L25" s="4"/>
      <c r="M25" s="4"/>
      <c r="Q25" s="62"/>
      <c r="R25" s="63">
        <f>IF(R17&gt;=0,R17-R21,"")</f>
        <v>2291</v>
      </c>
      <c r="S25" s="64"/>
      <c r="T25" s="63">
        <f>IF(T17&gt;=0,T17-T21,"")</f>
        <v>2488</v>
      </c>
      <c r="U25" s="64"/>
      <c r="V25" s="63">
        <f>IF(V17&gt;=0,V17-V21,"")</f>
        <v>627</v>
      </c>
      <c r="W25" s="64"/>
      <c r="X25" s="63">
        <f>IF(X17&gt;=0,X17-X21,"")</f>
        <v>176</v>
      </c>
      <c r="Y25" s="64"/>
      <c r="Z25" s="63">
        <f>IF(Z17&gt;=0,Z17-Z21,"")</f>
        <v>241</v>
      </c>
      <c r="AA25" s="64"/>
      <c r="AB25" s="63">
        <f>IF(AB17&gt;=0,AB17-AB21,"")</f>
        <v>355</v>
      </c>
      <c r="AC25" s="65"/>
      <c r="AD25" s="63">
        <f>IF(AD17&gt;=0,AD17-AD21,"")</f>
        <v>355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1019.5</v>
      </c>
      <c r="S26" s="55"/>
      <c r="T26" s="67">
        <f>IFERROR(IF(T18&gt;0,T18-T22,""),"")</f>
        <v>2164</v>
      </c>
      <c r="U26" s="55"/>
      <c r="V26" s="67">
        <f>IFERROR(IF(V18&gt;0,V18-V22,""),"")</f>
        <v>-687.5</v>
      </c>
      <c r="W26" s="55"/>
      <c r="X26" s="67">
        <f>IFERROR(IF(X18&gt;0,X18-X22,""),"")</f>
        <v>1054.5</v>
      </c>
      <c r="Y26" s="55"/>
      <c r="Z26" s="67">
        <f>IFERROR(IF(Z18&gt;0,Z18-Z22,""),"")</f>
        <v>-332</v>
      </c>
      <c r="AA26" s="55"/>
      <c r="AB26" s="67">
        <f>IFERROR(IF(AB18&gt;0,AB18-AB22,""),"")</f>
        <v>641.5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10635</v>
      </c>
      <c r="D29" s="76">
        <f>C14</f>
        <v>11940</v>
      </c>
      <c r="E29" s="77">
        <f>D29-C29</f>
        <v>1305</v>
      </c>
      <c r="M29" s="4"/>
      <c r="O29" s="4"/>
    </row>
    <row r="30" spans="2:43" x14ac:dyDescent="0.3">
      <c r="B30" s="74" t="s">
        <v>56</v>
      </c>
      <c r="C30" s="122">
        <v>36232</v>
      </c>
      <c r="D30" s="76">
        <f>C7+C15+C16+C17+C18</f>
        <v>20395</v>
      </c>
      <c r="E30" s="77">
        <f>D30-C30</f>
        <v>-15837</v>
      </c>
      <c r="J30" s="53"/>
      <c r="L30" s="53"/>
      <c r="M30" s="4"/>
      <c r="O30" s="4"/>
    </row>
    <row r="31" spans="2:43" x14ac:dyDescent="0.3">
      <c r="B31" s="74" t="s">
        <v>21</v>
      </c>
      <c r="C31" s="122">
        <v>5246</v>
      </c>
      <c r="D31" s="76">
        <f>C6</f>
        <v>5246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13841</v>
      </c>
      <c r="D32" s="76">
        <f>C10+C11+C12+C13</f>
        <v>13841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15032</v>
      </c>
      <c r="D33" s="76">
        <f>C19+C20+C21</f>
        <v>14687</v>
      </c>
      <c r="E33" s="77">
        <f>D33-C33</f>
        <v>-345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4805</v>
      </c>
      <c r="D34" s="80">
        <f>SUM(C8+C9)</f>
        <v>4805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3216</v>
      </c>
      <c r="R35" s="104">
        <v>0</v>
      </c>
      <c r="S35" s="104">
        <f t="shared" ref="S35:S64" si="1">IF(T35&gt;0,(T35-R35)/2,"")</f>
        <v>410</v>
      </c>
      <c r="T35" s="104">
        <v>820</v>
      </c>
      <c r="U35" s="104">
        <f t="shared" ref="U35:U64" si="2">IF(V35&gt;0,(V35-T35)/2,"")</f>
        <v>0</v>
      </c>
      <c r="V35" s="104">
        <v>820</v>
      </c>
      <c r="W35" s="104">
        <f t="shared" ref="W35:W64" si="3">IF(X35&gt;0,(X35-V35)/2,"")</f>
        <v>196.5</v>
      </c>
      <c r="X35" s="104">
        <v>1213</v>
      </c>
      <c r="Y35" s="104">
        <f t="shared" ref="Y35:Y64" si="4">IF(Z35&gt;0,(Z35-X35)/2,"")</f>
        <v>226.5</v>
      </c>
      <c r="Z35" s="104">
        <v>1666</v>
      </c>
      <c r="AA35" s="104">
        <f t="shared" ref="AA35:AA64" si="5">IF(AB35&gt;0,(AB35-Z35)/2,"")</f>
        <v>0</v>
      </c>
      <c r="AB35" s="104">
        <v>1666</v>
      </c>
      <c r="AC35" s="104">
        <f t="shared" ref="AC35:AC64" si="6">IF(AD35&gt;0,(AD35-AB35)/2,"")</f>
        <v>0</v>
      </c>
      <c r="AD35" s="104">
        <v>1666</v>
      </c>
      <c r="AE35" s="105">
        <f t="shared" ref="AE35:AE64" si="7">AD35-Q35</f>
        <v>-1550</v>
      </c>
    </row>
    <row r="36" spans="2:31" ht="15.6" customHeight="1" x14ac:dyDescent="0.3">
      <c r="N36" s="212"/>
      <c r="O36" s="95" t="s">
        <v>66</v>
      </c>
      <c r="P36" s="106"/>
      <c r="Q36" s="106">
        <v>1444</v>
      </c>
      <c r="R36" s="106">
        <v>0</v>
      </c>
      <c r="S36" s="106">
        <f t="shared" si="1"/>
        <v>314.5</v>
      </c>
      <c r="T36" s="106">
        <v>629</v>
      </c>
      <c r="U36" s="106">
        <f t="shared" si="2"/>
        <v>60</v>
      </c>
      <c r="V36" s="106">
        <v>749</v>
      </c>
      <c r="W36" s="106">
        <f t="shared" si="3"/>
        <v>90.5</v>
      </c>
      <c r="X36" s="106">
        <v>930</v>
      </c>
      <c r="Y36" s="106">
        <f t="shared" si="4"/>
        <v>0</v>
      </c>
      <c r="Z36" s="106">
        <v>930</v>
      </c>
      <c r="AA36" s="106">
        <f t="shared" si="5"/>
        <v>0</v>
      </c>
      <c r="AB36" s="106">
        <v>930</v>
      </c>
      <c r="AC36" s="106">
        <f t="shared" si="6"/>
        <v>0</v>
      </c>
      <c r="AD36" s="106">
        <v>930</v>
      </c>
      <c r="AE36" s="107">
        <f t="shared" si="7"/>
        <v>-514</v>
      </c>
    </row>
    <row r="37" spans="2:31" ht="15.6" customHeight="1" x14ac:dyDescent="0.3">
      <c r="N37" s="212"/>
      <c r="O37" s="94" t="s">
        <v>67</v>
      </c>
      <c r="P37" s="108"/>
      <c r="Q37" s="108">
        <v>2610</v>
      </c>
      <c r="R37" s="108">
        <v>0</v>
      </c>
      <c r="S37" s="108">
        <f t="shared" si="1"/>
        <v>420</v>
      </c>
      <c r="T37" s="108">
        <v>840</v>
      </c>
      <c r="U37" s="108">
        <f t="shared" si="2"/>
        <v>328.5</v>
      </c>
      <c r="V37" s="108">
        <v>1497</v>
      </c>
      <c r="W37" s="108">
        <f t="shared" si="3"/>
        <v>186.5</v>
      </c>
      <c r="X37" s="108">
        <v>1870</v>
      </c>
      <c r="Y37" s="108">
        <f t="shared" si="4"/>
        <v>116.5</v>
      </c>
      <c r="Z37" s="108">
        <v>2103</v>
      </c>
      <c r="AA37" s="108">
        <f t="shared" si="5"/>
        <v>0</v>
      </c>
      <c r="AB37" s="108">
        <v>2103</v>
      </c>
      <c r="AC37" s="108">
        <f t="shared" si="6"/>
        <v>0</v>
      </c>
      <c r="AD37" s="108">
        <v>2103</v>
      </c>
      <c r="AE37" s="109">
        <f t="shared" si="7"/>
        <v>-507</v>
      </c>
    </row>
    <row r="38" spans="2:31" ht="15.6" customHeight="1" x14ac:dyDescent="0.3">
      <c r="N38" s="212"/>
      <c r="O38" s="95" t="s">
        <v>68</v>
      </c>
      <c r="P38" s="106"/>
      <c r="Q38" s="106">
        <v>3788</v>
      </c>
      <c r="R38" s="106">
        <v>0</v>
      </c>
      <c r="S38" s="106">
        <f t="shared" si="1"/>
        <v>629.5</v>
      </c>
      <c r="T38" s="106">
        <v>1259</v>
      </c>
      <c r="U38" s="106">
        <f t="shared" si="2"/>
        <v>247</v>
      </c>
      <c r="V38" s="106">
        <v>1753</v>
      </c>
      <c r="W38" s="106">
        <f t="shared" si="3"/>
        <v>109.5</v>
      </c>
      <c r="X38" s="106">
        <v>1972</v>
      </c>
      <c r="Y38" s="106">
        <f t="shared" si="4"/>
        <v>0</v>
      </c>
      <c r="Z38" s="106">
        <v>1972</v>
      </c>
      <c r="AA38" s="106">
        <f t="shared" si="5"/>
        <v>0</v>
      </c>
      <c r="AB38" s="106">
        <v>1972</v>
      </c>
      <c r="AC38" s="106">
        <f t="shared" si="6"/>
        <v>0</v>
      </c>
      <c r="AD38" s="106">
        <v>1972</v>
      </c>
      <c r="AE38" s="107">
        <f t="shared" si="7"/>
        <v>-1816</v>
      </c>
    </row>
    <row r="39" spans="2:31" ht="15.6" customHeight="1" x14ac:dyDescent="0.3">
      <c r="N39" s="212"/>
      <c r="O39" s="94" t="s">
        <v>69</v>
      </c>
      <c r="P39" s="108"/>
      <c r="Q39" s="108">
        <v>2733</v>
      </c>
      <c r="R39" s="108">
        <v>6</v>
      </c>
      <c r="S39" s="108">
        <f t="shared" si="1"/>
        <v>448.5</v>
      </c>
      <c r="T39" s="108">
        <v>903</v>
      </c>
      <c r="U39" s="108">
        <f t="shared" si="2"/>
        <v>0</v>
      </c>
      <c r="V39" s="108">
        <v>903</v>
      </c>
      <c r="W39" s="108">
        <f t="shared" si="3"/>
        <v>473.5</v>
      </c>
      <c r="X39" s="108">
        <v>1850</v>
      </c>
      <c r="Y39" s="108">
        <f t="shared" si="4"/>
        <v>207.5</v>
      </c>
      <c r="Z39" s="108">
        <v>2265</v>
      </c>
      <c r="AA39" s="108">
        <f t="shared" si="5"/>
        <v>0</v>
      </c>
      <c r="AB39" s="108">
        <v>2265</v>
      </c>
      <c r="AC39" s="108">
        <f t="shared" si="6"/>
        <v>0</v>
      </c>
      <c r="AD39" s="108">
        <v>2265</v>
      </c>
      <c r="AE39" s="109">
        <f t="shared" si="7"/>
        <v>-468</v>
      </c>
    </row>
    <row r="40" spans="2:31" ht="15.6" customHeight="1" x14ac:dyDescent="0.3">
      <c r="N40" s="212"/>
      <c r="O40" s="95" t="s">
        <v>70</v>
      </c>
      <c r="P40" s="106"/>
      <c r="Q40" s="106">
        <v>4179</v>
      </c>
      <c r="R40" s="106">
        <v>126</v>
      </c>
      <c r="S40" s="106">
        <f t="shared" si="1"/>
        <v>360</v>
      </c>
      <c r="T40" s="106">
        <v>846</v>
      </c>
      <c r="U40" s="106">
        <f t="shared" si="2"/>
        <v>0</v>
      </c>
      <c r="V40" s="106">
        <v>846</v>
      </c>
      <c r="W40" s="106">
        <f t="shared" si="3"/>
        <v>306</v>
      </c>
      <c r="X40" s="106">
        <v>1458</v>
      </c>
      <c r="Y40" s="106">
        <f t="shared" si="4"/>
        <v>246.5</v>
      </c>
      <c r="Z40" s="106">
        <v>1951</v>
      </c>
      <c r="AA40" s="106">
        <f t="shared" si="5"/>
        <v>0</v>
      </c>
      <c r="AB40" s="106">
        <v>1951</v>
      </c>
      <c r="AC40" s="106">
        <f t="shared" si="6"/>
        <v>0</v>
      </c>
      <c r="AD40" s="106">
        <v>1951</v>
      </c>
      <c r="AE40" s="107">
        <f t="shared" si="7"/>
        <v>-2228</v>
      </c>
    </row>
    <row r="41" spans="2:31" ht="15.6" customHeight="1" x14ac:dyDescent="0.3">
      <c r="N41" s="212"/>
      <c r="O41" s="94" t="s">
        <v>71</v>
      </c>
      <c r="P41" s="108"/>
      <c r="Q41" s="108">
        <v>1249</v>
      </c>
      <c r="R41" s="108">
        <v>0</v>
      </c>
      <c r="S41" s="108">
        <f t="shared" si="1"/>
        <v>367.5</v>
      </c>
      <c r="T41" s="108">
        <v>735</v>
      </c>
      <c r="U41" s="108">
        <f t="shared" si="2"/>
        <v>0</v>
      </c>
      <c r="V41" s="108">
        <v>735</v>
      </c>
      <c r="W41" s="108">
        <f t="shared" si="3"/>
        <v>109.5</v>
      </c>
      <c r="X41" s="108">
        <v>954</v>
      </c>
      <c r="Y41" s="108">
        <f t="shared" si="4"/>
        <v>0</v>
      </c>
      <c r="Z41" s="108">
        <v>954</v>
      </c>
      <c r="AA41" s="108">
        <f t="shared" si="5"/>
        <v>0</v>
      </c>
      <c r="AB41" s="108">
        <v>954</v>
      </c>
      <c r="AC41" s="108">
        <f t="shared" si="6"/>
        <v>0</v>
      </c>
      <c r="AD41" s="108">
        <v>954</v>
      </c>
      <c r="AE41" s="109">
        <f t="shared" si="7"/>
        <v>-295</v>
      </c>
    </row>
    <row r="42" spans="2:31" ht="15.6" customHeight="1" x14ac:dyDescent="0.3">
      <c r="N42" s="212"/>
      <c r="O42" s="95" t="s">
        <v>72</v>
      </c>
      <c r="P42" s="106"/>
      <c r="Q42" s="106">
        <v>1757</v>
      </c>
      <c r="R42" s="106">
        <v>0</v>
      </c>
      <c r="S42" s="106">
        <f t="shared" si="1"/>
        <v>275.5</v>
      </c>
      <c r="T42" s="106">
        <v>551</v>
      </c>
      <c r="U42" s="106">
        <f t="shared" si="2"/>
        <v>190.5</v>
      </c>
      <c r="V42" s="106">
        <v>932</v>
      </c>
      <c r="W42" s="106">
        <f t="shared" si="3"/>
        <v>-272.5</v>
      </c>
      <c r="X42" s="106">
        <v>387</v>
      </c>
      <c r="Y42" s="106">
        <f t="shared" si="4"/>
        <v>409.5</v>
      </c>
      <c r="Z42" s="106">
        <v>1206</v>
      </c>
      <c r="AA42" s="106">
        <f t="shared" si="5"/>
        <v>0</v>
      </c>
      <c r="AB42" s="106">
        <v>1206</v>
      </c>
      <c r="AC42" s="106">
        <f t="shared" si="6"/>
        <v>0</v>
      </c>
      <c r="AD42" s="106">
        <v>1206</v>
      </c>
      <c r="AE42" s="107">
        <f t="shared" si="7"/>
        <v>-551</v>
      </c>
    </row>
    <row r="43" spans="2:31" ht="15.6" customHeight="1" thickBot="1" x14ac:dyDescent="0.35">
      <c r="N43" s="213"/>
      <c r="O43" s="97" t="s">
        <v>73</v>
      </c>
      <c r="P43" s="110"/>
      <c r="Q43" s="110">
        <v>1846</v>
      </c>
      <c r="R43" s="110">
        <v>0</v>
      </c>
      <c r="S43" s="110">
        <f t="shared" si="1"/>
        <v>231</v>
      </c>
      <c r="T43" s="110">
        <v>462</v>
      </c>
      <c r="U43" s="110">
        <f t="shared" si="2"/>
        <v>362.5</v>
      </c>
      <c r="V43" s="110">
        <v>1187</v>
      </c>
      <c r="W43" s="110">
        <f t="shared" si="3"/>
        <v>272</v>
      </c>
      <c r="X43" s="110">
        <v>1731</v>
      </c>
      <c r="Y43" s="110">
        <f t="shared" si="4"/>
        <v>58.5</v>
      </c>
      <c r="Z43" s="110">
        <v>1848</v>
      </c>
      <c r="AA43" s="110">
        <f t="shared" si="5"/>
        <v>0</v>
      </c>
      <c r="AB43" s="110">
        <v>1848</v>
      </c>
      <c r="AC43" s="110">
        <f t="shared" si="6"/>
        <v>0</v>
      </c>
      <c r="AD43" s="110">
        <v>1848</v>
      </c>
      <c r="AE43" s="111">
        <f t="shared" si="7"/>
        <v>2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4765</v>
      </c>
      <c r="R44" s="112">
        <v>1000</v>
      </c>
      <c r="S44" s="112">
        <f t="shared" si="1"/>
        <v>392.5</v>
      </c>
      <c r="T44" s="112">
        <v>1785</v>
      </c>
      <c r="U44" s="112">
        <f t="shared" si="2"/>
        <v>0</v>
      </c>
      <c r="V44" s="112">
        <v>1785</v>
      </c>
      <c r="W44" s="112">
        <f t="shared" si="3"/>
        <v>952.5</v>
      </c>
      <c r="X44" s="112">
        <v>3690</v>
      </c>
      <c r="Y44" s="112">
        <f t="shared" si="4"/>
        <v>537.5</v>
      </c>
      <c r="Z44" s="112">
        <v>4765</v>
      </c>
      <c r="AA44" s="112">
        <f t="shared" si="5"/>
        <v>0</v>
      </c>
      <c r="AB44" s="112">
        <v>4765</v>
      </c>
      <c r="AC44" s="112">
        <f t="shared" si="6"/>
        <v>0</v>
      </c>
      <c r="AD44" s="112">
        <v>4765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3905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1274</v>
      </c>
      <c r="X45" s="108">
        <v>2548</v>
      </c>
      <c r="Y45" s="108">
        <f t="shared" si="4"/>
        <v>678.5</v>
      </c>
      <c r="Z45" s="108">
        <v>3905</v>
      </c>
      <c r="AA45" s="108">
        <f t="shared" si="5"/>
        <v>0</v>
      </c>
      <c r="AB45" s="108">
        <v>3905</v>
      </c>
      <c r="AC45" s="108">
        <f t="shared" si="6"/>
        <v>0</v>
      </c>
      <c r="AD45" s="108">
        <v>3905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2624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155</v>
      </c>
      <c r="X46" s="106">
        <v>310</v>
      </c>
      <c r="Y46" s="106">
        <f t="shared" si="4"/>
        <v>908.5</v>
      </c>
      <c r="Z46" s="106">
        <v>2127</v>
      </c>
      <c r="AA46" s="106">
        <f t="shared" si="5"/>
        <v>0</v>
      </c>
      <c r="AB46" s="106">
        <v>2127</v>
      </c>
      <c r="AC46" s="106">
        <f t="shared" si="6"/>
        <v>0</v>
      </c>
      <c r="AD46" s="106">
        <v>2127</v>
      </c>
      <c r="AE46" s="107">
        <f t="shared" si="7"/>
        <v>-497</v>
      </c>
    </row>
    <row r="47" spans="2:31" ht="15.6" customHeight="1" thickBot="1" x14ac:dyDescent="0.35">
      <c r="N47" s="213"/>
      <c r="O47" s="97" t="s">
        <v>68</v>
      </c>
      <c r="P47" s="110"/>
      <c r="Q47" s="110">
        <v>3890</v>
      </c>
      <c r="R47" s="110">
        <v>925</v>
      </c>
      <c r="S47" s="110">
        <f t="shared" si="1"/>
        <v>0</v>
      </c>
      <c r="T47" s="110">
        <v>925</v>
      </c>
      <c r="U47" s="110">
        <f t="shared" si="2"/>
        <v>0</v>
      </c>
      <c r="V47" s="110">
        <v>925</v>
      </c>
      <c r="W47" s="110">
        <f t="shared" si="3"/>
        <v>1021.5</v>
      </c>
      <c r="X47" s="110">
        <v>2968</v>
      </c>
      <c r="Y47" s="110">
        <f t="shared" si="4"/>
        <v>506.5</v>
      </c>
      <c r="Z47" s="110">
        <v>3981</v>
      </c>
      <c r="AA47" s="110">
        <f t="shared" si="5"/>
        <v>0</v>
      </c>
      <c r="AB47" s="110">
        <v>3981</v>
      </c>
      <c r="AC47" s="110">
        <f t="shared" si="6"/>
        <v>0</v>
      </c>
      <c r="AD47" s="110">
        <v>3981</v>
      </c>
      <c r="AE47" s="111">
        <f t="shared" si="7"/>
        <v>91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2120</v>
      </c>
      <c r="R48" s="112">
        <v>960</v>
      </c>
      <c r="S48" s="112">
        <f t="shared" si="1"/>
        <v>0</v>
      </c>
      <c r="T48" s="112">
        <v>960</v>
      </c>
      <c r="U48" s="112">
        <f t="shared" si="2"/>
        <v>373.5</v>
      </c>
      <c r="V48" s="112">
        <v>1707</v>
      </c>
      <c r="W48" s="112">
        <f t="shared" si="3"/>
        <v>49.5</v>
      </c>
      <c r="X48" s="112">
        <v>1806</v>
      </c>
      <c r="Y48" s="112">
        <f t="shared" si="4"/>
        <v>63</v>
      </c>
      <c r="Z48" s="112">
        <v>1932</v>
      </c>
      <c r="AA48" s="112">
        <f t="shared" si="5"/>
        <v>77</v>
      </c>
      <c r="AB48" s="112">
        <v>2086</v>
      </c>
      <c r="AC48" s="112">
        <f t="shared" si="6"/>
        <v>0</v>
      </c>
      <c r="AD48" s="112">
        <v>2086</v>
      </c>
      <c r="AE48" s="113">
        <f t="shared" si="7"/>
        <v>-34</v>
      </c>
    </row>
    <row r="49" spans="14:31" ht="15.6" customHeight="1" x14ac:dyDescent="0.3">
      <c r="N49" s="212"/>
      <c r="O49" s="94" t="s">
        <v>66</v>
      </c>
      <c r="P49" s="108"/>
      <c r="Q49" s="108">
        <v>3725</v>
      </c>
      <c r="R49" s="108">
        <v>902</v>
      </c>
      <c r="S49" s="108">
        <f t="shared" si="1"/>
        <v>0</v>
      </c>
      <c r="T49" s="108">
        <v>902</v>
      </c>
      <c r="U49" s="108">
        <f t="shared" si="2"/>
        <v>230</v>
      </c>
      <c r="V49" s="108">
        <v>1362</v>
      </c>
      <c r="W49" s="108">
        <f t="shared" si="3"/>
        <v>770</v>
      </c>
      <c r="X49" s="108">
        <v>2902</v>
      </c>
      <c r="Y49" s="108">
        <f t="shared" si="4"/>
        <v>335.5</v>
      </c>
      <c r="Z49" s="108">
        <v>3573</v>
      </c>
      <c r="AA49" s="108">
        <f t="shared" si="5"/>
        <v>0</v>
      </c>
      <c r="AB49" s="108">
        <v>3573</v>
      </c>
      <c r="AC49" s="108">
        <f t="shared" si="6"/>
        <v>0</v>
      </c>
      <c r="AD49" s="108">
        <v>3573</v>
      </c>
      <c r="AE49" s="109">
        <f t="shared" si="7"/>
        <v>-152</v>
      </c>
    </row>
    <row r="50" spans="14:31" ht="15.6" customHeight="1" x14ac:dyDescent="0.3">
      <c r="N50" s="212"/>
      <c r="O50" s="95" t="s">
        <v>67</v>
      </c>
      <c r="P50" s="106"/>
      <c r="Q50" s="106">
        <v>1801</v>
      </c>
      <c r="R50" s="106">
        <v>495</v>
      </c>
      <c r="S50" s="106">
        <f t="shared" si="1"/>
        <v>-110.5</v>
      </c>
      <c r="T50" s="106">
        <v>274</v>
      </c>
      <c r="U50" s="106">
        <f t="shared" si="2"/>
        <v>87.5</v>
      </c>
      <c r="V50" s="106">
        <v>449</v>
      </c>
      <c r="W50" s="106">
        <f t="shared" si="3"/>
        <v>142.5</v>
      </c>
      <c r="X50" s="106">
        <v>734</v>
      </c>
      <c r="Y50" s="106">
        <f t="shared" si="4"/>
        <v>77</v>
      </c>
      <c r="Z50" s="106">
        <v>888</v>
      </c>
      <c r="AA50" s="106">
        <f t="shared" si="5"/>
        <v>57</v>
      </c>
      <c r="AB50" s="106">
        <v>1002</v>
      </c>
      <c r="AC50" s="106">
        <f t="shared" si="6"/>
        <v>0</v>
      </c>
      <c r="AD50" s="106">
        <v>1002</v>
      </c>
      <c r="AE50" s="107">
        <f t="shared" si="7"/>
        <v>-799</v>
      </c>
    </row>
    <row r="51" spans="14:31" ht="15.6" customHeight="1" x14ac:dyDescent="0.3">
      <c r="N51" s="212"/>
      <c r="O51" s="94" t="s">
        <v>68</v>
      </c>
      <c r="P51" s="108"/>
      <c r="Q51" s="108">
        <v>1954</v>
      </c>
      <c r="R51" s="108">
        <v>3</v>
      </c>
      <c r="S51" s="108">
        <f t="shared" si="1"/>
        <v>0</v>
      </c>
      <c r="T51" s="108">
        <v>3</v>
      </c>
      <c r="U51" s="108">
        <f t="shared" si="2"/>
        <v>138</v>
      </c>
      <c r="V51" s="108">
        <v>279</v>
      </c>
      <c r="W51" s="108">
        <f t="shared" si="3"/>
        <v>73</v>
      </c>
      <c r="X51" s="108">
        <v>425</v>
      </c>
      <c r="Y51" s="108">
        <f t="shared" si="4"/>
        <v>67</v>
      </c>
      <c r="Z51" s="108">
        <v>559</v>
      </c>
      <c r="AA51" s="108">
        <f t="shared" si="5"/>
        <v>0</v>
      </c>
      <c r="AB51" s="108">
        <v>559</v>
      </c>
      <c r="AC51" s="108">
        <f t="shared" si="6"/>
        <v>0</v>
      </c>
      <c r="AD51" s="108">
        <v>559</v>
      </c>
      <c r="AE51" s="109">
        <f t="shared" si="7"/>
        <v>-1395</v>
      </c>
    </row>
    <row r="52" spans="14:31" ht="15.6" customHeight="1" x14ac:dyDescent="0.3">
      <c r="N52" s="212"/>
      <c r="O52" s="95" t="s">
        <v>69</v>
      </c>
      <c r="P52" s="106"/>
      <c r="Q52" s="106">
        <v>2900</v>
      </c>
      <c r="R52" s="106">
        <v>0</v>
      </c>
      <c r="S52" s="106">
        <f t="shared" si="1"/>
        <v>405</v>
      </c>
      <c r="T52" s="106">
        <v>810</v>
      </c>
      <c r="U52" s="106">
        <f t="shared" si="2"/>
        <v>352</v>
      </c>
      <c r="V52" s="106">
        <v>1514</v>
      </c>
      <c r="W52" s="106">
        <f t="shared" si="3"/>
        <v>21.5</v>
      </c>
      <c r="X52" s="106">
        <v>1557</v>
      </c>
      <c r="Y52" s="106">
        <f t="shared" si="4"/>
        <v>159.5</v>
      </c>
      <c r="Z52" s="106">
        <v>1876</v>
      </c>
      <c r="AA52" s="106">
        <f t="shared" si="5"/>
        <v>0</v>
      </c>
      <c r="AB52" s="106">
        <v>1876</v>
      </c>
      <c r="AC52" s="106">
        <f t="shared" si="6"/>
        <v>0</v>
      </c>
      <c r="AD52" s="106">
        <v>1876</v>
      </c>
      <c r="AE52" s="107">
        <f t="shared" si="7"/>
        <v>-1024</v>
      </c>
    </row>
    <row r="53" spans="14:31" ht="15.6" customHeight="1" x14ac:dyDescent="0.3">
      <c r="N53" s="212"/>
      <c r="O53" s="94" t="s">
        <v>70</v>
      </c>
      <c r="P53" s="108"/>
      <c r="Q53" s="108">
        <v>1952</v>
      </c>
      <c r="R53" s="108">
        <v>0</v>
      </c>
      <c r="S53" s="108">
        <f t="shared" si="1"/>
        <v>1</v>
      </c>
      <c r="T53" s="108">
        <v>2</v>
      </c>
      <c r="U53" s="108">
        <f t="shared" si="2"/>
        <v>100</v>
      </c>
      <c r="V53" s="108">
        <v>202</v>
      </c>
      <c r="W53" s="108">
        <f t="shared" si="3"/>
        <v>140.5</v>
      </c>
      <c r="X53" s="108">
        <v>483</v>
      </c>
      <c r="Y53" s="108">
        <f t="shared" si="4"/>
        <v>175.5</v>
      </c>
      <c r="Z53" s="108">
        <v>834</v>
      </c>
      <c r="AA53" s="108">
        <f t="shared" si="5"/>
        <v>405</v>
      </c>
      <c r="AB53" s="108">
        <v>1644</v>
      </c>
      <c r="AC53" s="108">
        <f t="shared" si="6"/>
        <v>0</v>
      </c>
      <c r="AD53" s="108">
        <v>1644</v>
      </c>
      <c r="AE53" s="109">
        <f t="shared" si="7"/>
        <v>-308</v>
      </c>
    </row>
    <row r="54" spans="14:31" ht="15.6" customHeight="1" x14ac:dyDescent="0.3">
      <c r="N54" s="212"/>
      <c r="O54" s="95" t="s">
        <v>71</v>
      </c>
      <c r="P54" s="106"/>
      <c r="Q54" s="106">
        <v>1967</v>
      </c>
      <c r="R54" s="106">
        <v>322</v>
      </c>
      <c r="S54" s="106">
        <f t="shared" si="1"/>
        <v>0</v>
      </c>
      <c r="T54" s="106">
        <v>322</v>
      </c>
      <c r="U54" s="106">
        <f t="shared" si="2"/>
        <v>177.5</v>
      </c>
      <c r="V54" s="106">
        <v>677</v>
      </c>
      <c r="W54" s="106">
        <f t="shared" si="3"/>
        <v>272.5</v>
      </c>
      <c r="X54" s="106">
        <v>1222</v>
      </c>
      <c r="Y54" s="106">
        <f t="shared" si="4"/>
        <v>304.5</v>
      </c>
      <c r="Z54" s="106">
        <v>1831</v>
      </c>
      <c r="AA54" s="106">
        <f t="shared" si="5"/>
        <v>0</v>
      </c>
      <c r="AB54" s="106">
        <v>1831</v>
      </c>
      <c r="AC54" s="106">
        <f t="shared" si="6"/>
        <v>0</v>
      </c>
      <c r="AD54" s="106">
        <v>1831</v>
      </c>
      <c r="AE54" s="107">
        <f t="shared" si="7"/>
        <v>-136</v>
      </c>
    </row>
    <row r="55" spans="14:31" ht="15.6" customHeight="1" x14ac:dyDescent="0.3">
      <c r="N55" s="212"/>
      <c r="O55" s="94" t="s">
        <v>72</v>
      </c>
      <c r="P55" s="108"/>
      <c r="Q55" s="108">
        <v>2906</v>
      </c>
      <c r="R55" s="108">
        <v>1206</v>
      </c>
      <c r="S55" s="108">
        <f t="shared" si="1"/>
        <v>0</v>
      </c>
      <c r="T55" s="108">
        <v>1206</v>
      </c>
      <c r="U55" s="108">
        <f t="shared" si="2"/>
        <v>0</v>
      </c>
      <c r="V55" s="108">
        <v>1206</v>
      </c>
      <c r="W55" s="108">
        <f t="shared" si="3"/>
        <v>600</v>
      </c>
      <c r="X55" s="108">
        <v>2406</v>
      </c>
      <c r="Y55" s="108">
        <f t="shared" si="4"/>
        <v>45.5</v>
      </c>
      <c r="Z55" s="108">
        <v>2497</v>
      </c>
      <c r="AA55" s="108">
        <f t="shared" si="5"/>
        <v>194.5</v>
      </c>
      <c r="AB55" s="108">
        <v>2886</v>
      </c>
      <c r="AC55" s="108">
        <f t="shared" si="6"/>
        <v>0</v>
      </c>
      <c r="AD55" s="108">
        <v>2886</v>
      </c>
      <c r="AE55" s="109">
        <f t="shared" si="7"/>
        <v>-20</v>
      </c>
    </row>
    <row r="56" spans="14:31" ht="15.6" customHeight="1" thickBot="1" x14ac:dyDescent="0.35">
      <c r="N56" s="213"/>
      <c r="O56" s="99" t="s">
        <v>73</v>
      </c>
      <c r="P56" s="114"/>
      <c r="Q56" s="114">
        <v>285</v>
      </c>
      <c r="R56" s="114">
        <v>168</v>
      </c>
      <c r="S56" s="114">
        <f t="shared" si="1"/>
        <v>0.5</v>
      </c>
      <c r="T56" s="114">
        <v>169</v>
      </c>
      <c r="U56" s="114">
        <f t="shared" si="2"/>
        <v>0</v>
      </c>
      <c r="V56" s="114">
        <v>169</v>
      </c>
      <c r="W56" s="114">
        <f t="shared" si="3"/>
        <v>0</v>
      </c>
      <c r="X56" s="114">
        <v>169</v>
      </c>
      <c r="Y56" s="114">
        <f t="shared" si="4"/>
        <v>47.5</v>
      </c>
      <c r="Z56" s="114">
        <v>264</v>
      </c>
      <c r="AA56" s="114">
        <f t="shared" si="5"/>
        <v>0</v>
      </c>
      <c r="AB56" s="114">
        <v>264</v>
      </c>
      <c r="AC56" s="114">
        <f t="shared" si="6"/>
        <v>0</v>
      </c>
      <c r="AD56" s="114">
        <v>264</v>
      </c>
      <c r="AE56" s="115">
        <f t="shared" si="7"/>
        <v>-21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5965</v>
      </c>
      <c r="R57" s="104">
        <v>535</v>
      </c>
      <c r="S57" s="104">
        <f t="shared" si="1"/>
        <v>874</v>
      </c>
      <c r="T57" s="104">
        <v>2283</v>
      </c>
      <c r="U57" s="104">
        <f t="shared" si="2"/>
        <v>-59</v>
      </c>
      <c r="V57" s="104">
        <v>2165</v>
      </c>
      <c r="W57" s="104">
        <f t="shared" si="3"/>
        <v>228</v>
      </c>
      <c r="X57" s="104">
        <v>2621</v>
      </c>
      <c r="Y57" s="104">
        <f t="shared" si="4"/>
        <v>13.5</v>
      </c>
      <c r="Z57" s="104">
        <v>2648</v>
      </c>
      <c r="AA57" s="104">
        <f t="shared" si="5"/>
        <v>0</v>
      </c>
      <c r="AB57" s="104">
        <v>2648</v>
      </c>
      <c r="AC57" s="104">
        <f t="shared" si="6"/>
        <v>0</v>
      </c>
      <c r="AD57" s="104">
        <v>2648</v>
      </c>
      <c r="AE57" s="105">
        <f t="shared" si="7"/>
        <v>-3317</v>
      </c>
    </row>
    <row r="58" spans="14:31" ht="15.6" customHeight="1" x14ac:dyDescent="0.3">
      <c r="N58" s="212"/>
      <c r="O58" s="95" t="s">
        <v>66</v>
      </c>
      <c r="P58" s="106"/>
      <c r="Q58" s="106">
        <v>4762</v>
      </c>
      <c r="R58" s="106">
        <v>834</v>
      </c>
      <c r="S58" s="106">
        <f t="shared" si="1"/>
        <v>575</v>
      </c>
      <c r="T58" s="106">
        <v>1984</v>
      </c>
      <c r="U58" s="106">
        <f t="shared" si="2"/>
        <v>510</v>
      </c>
      <c r="V58" s="106">
        <v>3004</v>
      </c>
      <c r="W58" s="106">
        <f t="shared" si="3"/>
        <v>81.5</v>
      </c>
      <c r="X58" s="106">
        <v>3167</v>
      </c>
      <c r="Y58" s="106">
        <f t="shared" si="4"/>
        <v>0</v>
      </c>
      <c r="Z58" s="106">
        <v>3167</v>
      </c>
      <c r="AA58" s="106">
        <f t="shared" si="5"/>
        <v>0</v>
      </c>
      <c r="AB58" s="106">
        <v>3167</v>
      </c>
      <c r="AC58" s="106">
        <f t="shared" si="6"/>
        <v>0</v>
      </c>
      <c r="AD58" s="106">
        <v>3167</v>
      </c>
      <c r="AE58" s="107">
        <f t="shared" si="7"/>
        <v>-1595</v>
      </c>
    </row>
    <row r="59" spans="14:31" ht="15.6" customHeight="1" x14ac:dyDescent="0.3">
      <c r="N59" s="212"/>
      <c r="O59" s="94" t="s">
        <v>67</v>
      </c>
      <c r="P59" s="108"/>
      <c r="Q59" s="108">
        <v>5423</v>
      </c>
      <c r="R59" s="108">
        <v>1055</v>
      </c>
      <c r="S59" s="108">
        <f t="shared" si="1"/>
        <v>92</v>
      </c>
      <c r="T59" s="108">
        <v>1239</v>
      </c>
      <c r="U59" s="108">
        <f t="shared" si="2"/>
        <v>197</v>
      </c>
      <c r="V59" s="108">
        <v>1633</v>
      </c>
      <c r="W59" s="108">
        <f t="shared" si="3"/>
        <v>328.5</v>
      </c>
      <c r="X59" s="108">
        <v>2290</v>
      </c>
      <c r="Y59" s="108">
        <f t="shared" si="4"/>
        <v>53.5</v>
      </c>
      <c r="Z59" s="108">
        <v>2397</v>
      </c>
      <c r="AA59" s="108">
        <f t="shared" si="5"/>
        <v>0</v>
      </c>
      <c r="AB59" s="108">
        <v>2397</v>
      </c>
      <c r="AC59" s="108">
        <f t="shared" si="6"/>
        <v>0</v>
      </c>
      <c r="AD59" s="108">
        <v>2397</v>
      </c>
      <c r="AE59" s="109">
        <f t="shared" si="7"/>
        <v>-3026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6118</v>
      </c>
      <c r="R61" s="104">
        <v>1332</v>
      </c>
      <c r="S61" s="104">
        <f t="shared" si="1"/>
        <v>615</v>
      </c>
      <c r="T61" s="104">
        <v>2562</v>
      </c>
      <c r="U61" s="104">
        <f t="shared" si="2"/>
        <v>245.5</v>
      </c>
      <c r="V61" s="104">
        <v>3053</v>
      </c>
      <c r="W61" s="104">
        <f t="shared" si="3"/>
        <v>403</v>
      </c>
      <c r="X61" s="104">
        <v>3859</v>
      </c>
      <c r="Y61" s="104">
        <f t="shared" si="4"/>
        <v>0</v>
      </c>
      <c r="Z61" s="104">
        <v>3859</v>
      </c>
      <c r="AA61" s="104">
        <f t="shared" si="5"/>
        <v>0</v>
      </c>
      <c r="AB61" s="104">
        <v>3859</v>
      </c>
      <c r="AC61" s="104">
        <f t="shared" si="6"/>
        <v>0</v>
      </c>
      <c r="AD61" s="104">
        <v>3859</v>
      </c>
      <c r="AE61" s="105">
        <f t="shared" si="7"/>
        <v>-2259</v>
      </c>
    </row>
    <row r="62" spans="14:31" ht="15.6" customHeight="1" x14ac:dyDescent="0.3">
      <c r="N62" s="212"/>
      <c r="O62" s="95" t="s">
        <v>66</v>
      </c>
      <c r="P62" s="106"/>
      <c r="Q62" s="106">
        <v>7268</v>
      </c>
      <c r="R62" s="106">
        <v>2865</v>
      </c>
      <c r="S62" s="106">
        <f t="shared" si="1"/>
        <v>401</v>
      </c>
      <c r="T62" s="106">
        <v>3667</v>
      </c>
      <c r="U62" s="106">
        <f t="shared" si="2"/>
        <v>90</v>
      </c>
      <c r="V62" s="106">
        <v>3847</v>
      </c>
      <c r="W62" s="106">
        <f t="shared" si="3"/>
        <v>290.5</v>
      </c>
      <c r="X62" s="106">
        <v>4428</v>
      </c>
      <c r="Y62" s="106">
        <f t="shared" si="4"/>
        <v>0</v>
      </c>
      <c r="Z62" s="106">
        <v>4428</v>
      </c>
      <c r="AA62" s="106">
        <f t="shared" si="5"/>
        <v>0</v>
      </c>
      <c r="AB62" s="106">
        <v>4428</v>
      </c>
      <c r="AC62" s="106">
        <f t="shared" si="6"/>
        <v>0</v>
      </c>
      <c r="AD62" s="106">
        <v>4428</v>
      </c>
      <c r="AE62" s="107">
        <f t="shared" si="7"/>
        <v>-2840</v>
      </c>
    </row>
    <row r="63" spans="14:31" ht="15.6" customHeight="1" x14ac:dyDescent="0.3">
      <c r="N63" s="212"/>
      <c r="O63" s="94" t="s">
        <v>67</v>
      </c>
      <c r="P63" s="108"/>
      <c r="Q63" s="108">
        <v>5277</v>
      </c>
      <c r="R63" s="108">
        <v>970</v>
      </c>
      <c r="S63" s="108">
        <f t="shared" si="1"/>
        <v>549</v>
      </c>
      <c r="T63" s="108">
        <v>2068</v>
      </c>
      <c r="U63" s="108">
        <f t="shared" si="2"/>
        <v>223.5</v>
      </c>
      <c r="V63" s="108">
        <v>2515</v>
      </c>
      <c r="W63" s="108">
        <f t="shared" si="3"/>
        <v>228</v>
      </c>
      <c r="X63" s="108">
        <v>2971</v>
      </c>
      <c r="Y63" s="108">
        <f t="shared" si="4"/>
        <v>0</v>
      </c>
      <c r="Z63" s="108">
        <v>2971</v>
      </c>
      <c r="AA63" s="108">
        <f t="shared" si="5"/>
        <v>0</v>
      </c>
      <c r="AB63" s="108">
        <v>2971</v>
      </c>
      <c r="AC63" s="108">
        <f t="shared" si="6"/>
        <v>0</v>
      </c>
      <c r="AD63" s="108">
        <v>2971</v>
      </c>
      <c r="AE63" s="109">
        <f t="shared" si="7"/>
        <v>-2306</v>
      </c>
    </row>
    <row r="64" spans="14:31" ht="15.6" customHeight="1" thickBot="1" x14ac:dyDescent="0.35">
      <c r="N64" s="213"/>
      <c r="O64" s="99" t="s">
        <v>68</v>
      </c>
      <c r="P64" s="114"/>
      <c r="Q64" s="114">
        <v>2201</v>
      </c>
      <c r="R64" s="114">
        <v>306</v>
      </c>
      <c r="S64" s="114">
        <f t="shared" si="1"/>
        <v>258.5</v>
      </c>
      <c r="T64" s="114">
        <v>823</v>
      </c>
      <c r="U64" s="114">
        <f t="shared" si="2"/>
        <v>37.5</v>
      </c>
      <c r="V64" s="114">
        <v>898</v>
      </c>
      <c r="W64" s="114">
        <f t="shared" si="3"/>
        <v>0</v>
      </c>
      <c r="X64" s="114">
        <v>898</v>
      </c>
      <c r="Y64" s="114">
        <f t="shared" si="4"/>
        <v>0</v>
      </c>
      <c r="Z64" s="114">
        <v>898</v>
      </c>
      <c r="AA64" s="114">
        <f t="shared" si="5"/>
        <v>0</v>
      </c>
      <c r="AB64" s="114">
        <v>898</v>
      </c>
      <c r="AC64" s="114">
        <f t="shared" si="6"/>
        <v>0</v>
      </c>
      <c r="AD64" s="114">
        <v>898</v>
      </c>
      <c r="AE64" s="115">
        <f t="shared" si="7"/>
        <v>-1303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11" priority="11" operator="lessThan">
      <formula>0</formula>
    </cfRule>
    <cfRule type="cellIs" dxfId="1510" priority="12" operator="greaterThan">
      <formula>0</formula>
    </cfRule>
  </conditionalFormatting>
  <conditionalFormatting sqref="R25:AC25">
    <cfRule type="cellIs" dxfId="1509" priority="9" operator="lessThan">
      <formula>0</formula>
    </cfRule>
    <cfRule type="cellIs" dxfId="1508" priority="10" operator="greaterThan">
      <formula>0</formula>
    </cfRule>
  </conditionalFormatting>
  <conditionalFormatting sqref="R26 T26 V26 X26 Z26 AB26">
    <cfRule type="cellIs" dxfId="1507" priority="7" operator="lessThan">
      <formula>0</formula>
    </cfRule>
    <cfRule type="cellIs" dxfId="1506" priority="8" operator="greaterThan">
      <formula>0</formula>
    </cfRule>
  </conditionalFormatting>
  <conditionalFormatting sqref="AD24:AE24">
    <cfRule type="cellIs" dxfId="1505" priority="5" operator="lessThan">
      <formula>0</formula>
    </cfRule>
    <cfRule type="cellIs" dxfId="1504" priority="6" operator="greaterThan">
      <formula>0</formula>
    </cfRule>
  </conditionalFormatting>
  <conditionalFormatting sqref="AD25:AE25">
    <cfRule type="cellIs" dxfId="1503" priority="3" operator="lessThan">
      <formula>0</formula>
    </cfRule>
    <cfRule type="cellIs" dxfId="1502" priority="4" operator="greaterThan">
      <formula>0</formula>
    </cfRule>
  </conditionalFormatting>
  <conditionalFormatting sqref="AD26">
    <cfRule type="cellIs" dxfId="1501" priority="1" operator="lessThan">
      <formula>0</formula>
    </cfRule>
    <cfRule type="cellIs" dxfId="150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44393</v>
      </c>
    </row>
    <row r="3" spans="2:42" ht="18.75" customHeight="1" thickBot="1" x14ac:dyDescent="0.35">
      <c r="B3" t="s">
        <v>1</v>
      </c>
      <c r="C3" s="3">
        <f>C2+1</f>
        <v>44394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19469</v>
      </c>
      <c r="G6" s="117">
        <v>15910.4665</v>
      </c>
      <c r="H6" s="117">
        <v>12517.07427140001</v>
      </c>
      <c r="I6" s="19">
        <f>G6+H6</f>
        <v>28427.54077140001</v>
      </c>
      <c r="J6" s="119">
        <v>21643</v>
      </c>
      <c r="K6" s="117">
        <v>17177.990249999999</v>
      </c>
      <c r="L6" s="117">
        <v>14128.82984410001</v>
      </c>
      <c r="M6" s="19">
        <f>K6+L6</f>
        <v>31306.82009410001</v>
      </c>
      <c r="N6" s="85">
        <v>63</v>
      </c>
      <c r="O6" s="85">
        <v>52</v>
      </c>
      <c r="P6" s="92"/>
      <c r="Q6" s="20">
        <f>J6-P6</f>
        <v>21643</v>
      </c>
      <c r="R6" s="21">
        <v>1603</v>
      </c>
      <c r="S6" s="20">
        <f>IF(R6&gt;0,(R6-R7-$Q6),"")</f>
        <v>-20040</v>
      </c>
      <c r="T6" s="21">
        <v>5609</v>
      </c>
      <c r="U6" s="20">
        <f>IF(T6&gt;0,(T6-T7-$Q6),"")</f>
        <v>-16034</v>
      </c>
      <c r="V6" s="21">
        <v>7378</v>
      </c>
      <c r="W6" s="20">
        <f>IF(V6&gt;0,(V6-V7-$Q6),"")</f>
        <v>-14268</v>
      </c>
      <c r="X6" s="21">
        <v>11856</v>
      </c>
      <c r="Y6" s="20">
        <f>IF(X6&gt;0,(X6-X7-$Q6),"")</f>
        <v>-9790</v>
      </c>
      <c r="Z6" s="21">
        <v>11856</v>
      </c>
      <c r="AA6" s="20">
        <f>IF(Z6&gt;0,(Z6-Z7-$Q6),"")</f>
        <v>-9790</v>
      </c>
      <c r="AB6" s="21">
        <v>11856</v>
      </c>
      <c r="AC6" s="22">
        <f>IF(AB6&gt;0,(AB6-AB7-$Q6),"")</f>
        <v>-9790</v>
      </c>
      <c r="AD6" s="21">
        <v>11856</v>
      </c>
      <c r="AE6" s="22">
        <f>IF(AD6&gt;0,(AD6-AD7-$Q6),"")</f>
        <v>-9790</v>
      </c>
    </row>
    <row r="7" spans="2:42" x14ac:dyDescent="0.3">
      <c r="B7" s="16" t="s">
        <v>23</v>
      </c>
      <c r="C7" s="17">
        <v>264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3</v>
      </c>
      <c r="W7" s="24"/>
      <c r="X7" s="25">
        <v>3</v>
      </c>
      <c r="Y7" s="24"/>
      <c r="Z7" s="25">
        <v>3</v>
      </c>
      <c r="AA7" s="24"/>
      <c r="AB7" s="25">
        <v>3</v>
      </c>
      <c r="AC7" s="26"/>
      <c r="AD7" s="25">
        <v>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2805</v>
      </c>
      <c r="E8" s="29" t="s">
        <v>27</v>
      </c>
      <c r="F8" s="119">
        <v>12124</v>
      </c>
      <c r="G8" s="117">
        <v>5143.7934999999998</v>
      </c>
      <c r="H8" s="117">
        <v>1106.6615360000001</v>
      </c>
      <c r="I8" s="19">
        <f>G8+H8</f>
        <v>6250.4550359999994</v>
      </c>
      <c r="J8" s="119">
        <v>11419</v>
      </c>
      <c r="K8" s="117">
        <v>4838.9500000000007</v>
      </c>
      <c r="L8" s="117">
        <v>1045.2512730999999</v>
      </c>
      <c r="M8" s="19">
        <f>K8+L8</f>
        <v>5884.2012731000004</v>
      </c>
      <c r="N8" s="87">
        <v>27</v>
      </c>
      <c r="O8" s="87">
        <v>20</v>
      </c>
      <c r="P8" s="92"/>
      <c r="Q8" s="20">
        <f>J8-P8</f>
        <v>11419</v>
      </c>
      <c r="R8" s="21">
        <v>1964</v>
      </c>
      <c r="S8" s="20">
        <f>IF(R8&gt;0,(R8-R9-$Q8),"")</f>
        <v>-9546</v>
      </c>
      <c r="T8" s="21">
        <v>2239</v>
      </c>
      <c r="U8" s="20">
        <f>IF(T8&gt;0,(T8-T9-$Q8),"")</f>
        <v>-9354</v>
      </c>
      <c r="V8" s="21">
        <v>4496</v>
      </c>
      <c r="W8" s="20">
        <f>IF(V8&gt;0,(V8-V9-$Q8),"")</f>
        <v>-7097</v>
      </c>
      <c r="X8" s="21">
        <v>8321</v>
      </c>
      <c r="Y8" s="20">
        <f>IF(X8&gt;0,(X8-X9-$Q8),"")</f>
        <v>-3272</v>
      </c>
      <c r="Z8" s="21">
        <v>10759</v>
      </c>
      <c r="AA8" s="20">
        <f>IF(Z8&gt;0,(Z8-Z9-$Q8),"")</f>
        <v>-834</v>
      </c>
      <c r="AB8" s="21">
        <v>10759</v>
      </c>
      <c r="AC8" s="22">
        <f>IF(AB8&gt;0,(AB8-AB9-$Q8),"")</f>
        <v>-834</v>
      </c>
      <c r="AD8" s="21">
        <v>10759</v>
      </c>
      <c r="AE8" s="22">
        <f>IF(AD8&gt;0,(AD8-AD9-$Q8),"")</f>
        <v>-834</v>
      </c>
    </row>
    <row r="9" spans="2:42" x14ac:dyDescent="0.3">
      <c r="B9" s="28" t="s">
        <v>28</v>
      </c>
      <c r="C9" s="17">
        <v>1808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91</v>
      </c>
      <c r="S9" s="24"/>
      <c r="T9" s="30">
        <v>174</v>
      </c>
      <c r="U9" s="24"/>
      <c r="V9" s="30">
        <v>174</v>
      </c>
      <c r="W9" s="24"/>
      <c r="X9" s="30">
        <v>174</v>
      </c>
      <c r="Y9" s="24"/>
      <c r="Z9" s="30">
        <v>174</v>
      </c>
      <c r="AA9" s="24"/>
      <c r="AB9" s="30">
        <v>174</v>
      </c>
      <c r="AC9" s="26"/>
      <c r="AD9" s="30">
        <v>174</v>
      </c>
      <c r="AE9" s="26"/>
    </row>
    <row r="10" spans="2:42" x14ac:dyDescent="0.3">
      <c r="B10" s="16" t="s">
        <v>30</v>
      </c>
      <c r="C10" s="17">
        <v>4639</v>
      </c>
      <c r="E10" s="18" t="s">
        <v>31</v>
      </c>
      <c r="F10" s="119">
        <v>9271</v>
      </c>
      <c r="G10" s="117">
        <v>7315.174750000001</v>
      </c>
      <c r="H10" s="117">
        <v>1859.7096750000001</v>
      </c>
      <c r="I10" s="19">
        <f>G10+H10</f>
        <v>9174.8844250000002</v>
      </c>
      <c r="J10" s="119">
        <v>10267</v>
      </c>
      <c r="K10" s="117">
        <v>8371.8742500000008</v>
      </c>
      <c r="L10" s="117">
        <v>1926.2471525000001</v>
      </c>
      <c r="M10" s="19">
        <f>K10+L10</f>
        <v>10298.121402500001</v>
      </c>
      <c r="N10" s="88">
        <v>40</v>
      </c>
      <c r="O10" s="88">
        <v>34</v>
      </c>
      <c r="P10" s="92"/>
      <c r="Q10" s="20">
        <f>J10-P10</f>
        <v>10267</v>
      </c>
      <c r="R10" s="21">
        <v>1220</v>
      </c>
      <c r="S10" s="20">
        <f>IF(R10&gt;0,(R10-R11-$Q10),"")</f>
        <v>-9938</v>
      </c>
      <c r="T10" s="21">
        <v>1243</v>
      </c>
      <c r="U10" s="20">
        <f>IF(T10&gt;0,(T10-T11-$Q10),"")</f>
        <v>-9882</v>
      </c>
      <c r="V10" s="21">
        <v>1650</v>
      </c>
      <c r="W10" s="20">
        <f>IF(V10&gt;0,(V10-V11-$Q10),"")</f>
        <v>-9162</v>
      </c>
      <c r="X10" s="21">
        <v>4134</v>
      </c>
      <c r="Y10" s="20">
        <f>IF(X10&gt;0,(X10-X11-$Q10),"")</f>
        <v>-7400</v>
      </c>
      <c r="Z10" s="21">
        <v>5484</v>
      </c>
      <c r="AA10" s="20">
        <f>IF(Z10&gt;0,(Z10-Z11-$Q10),"")</f>
        <v>-6492</v>
      </c>
      <c r="AB10" s="21">
        <v>5484</v>
      </c>
      <c r="AC10" s="22">
        <f>IF(AB10&gt;0,(AB10-AB11-$Q10),"")</f>
        <v>-6492</v>
      </c>
      <c r="AD10" s="21">
        <v>5484</v>
      </c>
      <c r="AE10" s="22">
        <f>IF(AD10&gt;0,(AD10-AD11-$Q10),"")</f>
        <v>-6492</v>
      </c>
    </row>
    <row r="11" spans="2:42" x14ac:dyDescent="0.3">
      <c r="B11" s="16" t="s">
        <v>32</v>
      </c>
      <c r="C11" s="17">
        <v>2098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891</v>
      </c>
      <c r="S11" s="24"/>
      <c r="T11" s="30">
        <v>858</v>
      </c>
      <c r="U11" s="24"/>
      <c r="V11" s="30">
        <v>545</v>
      </c>
      <c r="W11" s="24"/>
      <c r="X11" s="30">
        <v>1267</v>
      </c>
      <c r="Y11" s="24"/>
      <c r="Z11" s="30">
        <v>1709</v>
      </c>
      <c r="AA11" s="24"/>
      <c r="AB11" s="30">
        <v>1709</v>
      </c>
      <c r="AC11" s="26"/>
      <c r="AD11" s="30">
        <v>1709</v>
      </c>
      <c r="AE11" s="26"/>
    </row>
    <row r="12" spans="2:42" x14ac:dyDescent="0.3">
      <c r="B12" s="16" t="s">
        <v>34</v>
      </c>
      <c r="C12" s="17">
        <v>1838</v>
      </c>
      <c r="E12" s="29" t="s">
        <v>35</v>
      </c>
      <c r="F12" s="119">
        <v>13093</v>
      </c>
      <c r="G12" s="117">
        <v>11736.611625</v>
      </c>
      <c r="H12" s="117">
        <v>15595.24810866</v>
      </c>
      <c r="I12" s="19">
        <f>G12+H12</f>
        <v>27331.85973366</v>
      </c>
      <c r="J12" s="119">
        <v>12978</v>
      </c>
      <c r="K12" s="117">
        <v>11526.599125000001</v>
      </c>
      <c r="L12" s="117">
        <v>15340.28386202</v>
      </c>
      <c r="M12" s="19">
        <f>K12+L12</f>
        <v>26866.882987019999</v>
      </c>
      <c r="N12" s="88">
        <v>51</v>
      </c>
      <c r="O12" s="88">
        <v>38</v>
      </c>
      <c r="P12" s="92"/>
      <c r="Q12" s="20">
        <f>J12-P12</f>
        <v>12978</v>
      </c>
      <c r="R12" s="21">
        <v>1865</v>
      </c>
      <c r="S12" s="20">
        <f>IF(R12&gt;0,(R12-R13-$Q12),"")</f>
        <v>-12222</v>
      </c>
      <c r="T12" s="21">
        <v>3154</v>
      </c>
      <c r="U12" s="20">
        <f>IF(T12&gt;0,(T12-T13-$Q12),"")</f>
        <v>-10933</v>
      </c>
      <c r="V12" s="21">
        <v>4947</v>
      </c>
      <c r="W12" s="20">
        <f>IF(V12&gt;0,(V12-V13-$Q12),"")</f>
        <v>-9398</v>
      </c>
      <c r="X12" s="21">
        <v>6826</v>
      </c>
      <c r="Y12" s="20">
        <f>IF(X12&gt;0,(X12-X13-$Q12),"")</f>
        <v>-7788</v>
      </c>
      <c r="Z12" s="21">
        <v>7814</v>
      </c>
      <c r="AA12" s="20">
        <f>IF(Z12&gt;0,(Z12-Z13-$Q12),"")</f>
        <v>-6801</v>
      </c>
      <c r="AB12" s="21">
        <v>7814</v>
      </c>
      <c r="AC12" s="22">
        <f>IF(AB12&gt;0,(AB12-AB13-$Q12),"")</f>
        <v>-6801</v>
      </c>
      <c r="AD12" s="21">
        <v>7814</v>
      </c>
      <c r="AE12" s="22">
        <f>IF(AD12&gt;0,(AD12-AD13-$Q12),"")</f>
        <v>-6801</v>
      </c>
    </row>
    <row r="13" spans="2:42" x14ac:dyDescent="0.3">
      <c r="B13" s="16" t="s">
        <v>36</v>
      </c>
      <c r="C13" s="17">
        <v>5315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1109</v>
      </c>
      <c r="S13" s="24"/>
      <c r="T13" s="30">
        <v>1109</v>
      </c>
      <c r="U13" s="24"/>
      <c r="V13" s="30">
        <v>1367</v>
      </c>
      <c r="W13" s="24"/>
      <c r="X13" s="30">
        <v>1636</v>
      </c>
      <c r="Y13" s="24"/>
      <c r="Z13" s="30">
        <v>1637</v>
      </c>
      <c r="AA13" s="24"/>
      <c r="AB13" s="30">
        <v>1637</v>
      </c>
      <c r="AC13" s="26"/>
      <c r="AD13" s="30">
        <v>1637</v>
      </c>
      <c r="AE13" s="26"/>
    </row>
    <row r="14" spans="2:42" x14ac:dyDescent="0.3">
      <c r="B14" s="16" t="s">
        <v>38</v>
      </c>
      <c r="C14" s="17">
        <v>12318</v>
      </c>
      <c r="E14" s="18" t="s">
        <v>39</v>
      </c>
      <c r="F14" s="119">
        <v>19877</v>
      </c>
      <c r="G14" s="117">
        <v>18976.96875</v>
      </c>
      <c r="H14" s="117">
        <v>21477.277305550011</v>
      </c>
      <c r="I14" s="19">
        <f>G14+H14</f>
        <v>40454.246055550015</v>
      </c>
      <c r="J14" s="119">
        <v>19985</v>
      </c>
      <c r="K14" s="117">
        <v>19121.46875</v>
      </c>
      <c r="L14" s="117">
        <v>21581.694535549999</v>
      </c>
      <c r="M14" s="19">
        <f>K14+L14</f>
        <v>40703.163285549999</v>
      </c>
      <c r="N14" s="88">
        <v>66</v>
      </c>
      <c r="O14" s="88">
        <v>49</v>
      </c>
      <c r="P14" s="92"/>
      <c r="Q14" s="20">
        <f>J14-P14</f>
        <v>19985</v>
      </c>
      <c r="R14" s="21">
        <v>3952</v>
      </c>
      <c r="S14" s="20">
        <f>IF(R14&gt;0,(R14-R15-$Q14),"")</f>
        <v>-19245</v>
      </c>
      <c r="T14" s="21">
        <v>7235</v>
      </c>
      <c r="U14" s="20">
        <f>IF(T14&gt;0,(T14-T15-$Q14),"")</f>
        <v>-18728</v>
      </c>
      <c r="V14" s="21">
        <v>9468</v>
      </c>
      <c r="W14" s="20">
        <f>IF(V14&gt;0,(V14-V15-$Q14),"")</f>
        <v>-17816</v>
      </c>
      <c r="X14" s="21">
        <v>12097</v>
      </c>
      <c r="Y14" s="20">
        <f>IF(X14&gt;0,(X14-X15-$Q14),"")</f>
        <v>-17435</v>
      </c>
      <c r="Z14" s="21">
        <v>13086</v>
      </c>
      <c r="AA14" s="20">
        <f>IF(Z14&gt;0,(Z14-Z15-$Q14),"")</f>
        <v>-16824</v>
      </c>
      <c r="AB14" s="21">
        <v>13086</v>
      </c>
      <c r="AC14" s="22">
        <f>IF(AB14&gt;0,(AB14-AB15-$Q14),"")</f>
        <v>-16824</v>
      </c>
      <c r="AD14" s="21">
        <v>13086</v>
      </c>
      <c r="AE14" s="22">
        <f>IF(AD14&gt;0,(AD14-AD15-$Q14),"")</f>
        <v>-16824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3212</v>
      </c>
      <c r="S15" s="24"/>
      <c r="T15" s="25">
        <v>5978</v>
      </c>
      <c r="U15" s="24"/>
      <c r="V15" s="25">
        <v>7299</v>
      </c>
      <c r="W15" s="24"/>
      <c r="X15" s="25">
        <v>9547</v>
      </c>
      <c r="Y15" s="24"/>
      <c r="Z15" s="25">
        <v>9925</v>
      </c>
      <c r="AA15" s="24"/>
      <c r="AB15" s="25">
        <v>9925</v>
      </c>
      <c r="AC15" s="26"/>
      <c r="AD15" s="25">
        <v>9925</v>
      </c>
      <c r="AE15" s="26"/>
    </row>
    <row r="16" spans="2:42" ht="15" customHeight="1" thickBot="1" x14ac:dyDescent="0.35">
      <c r="B16" s="28" t="s">
        <v>42</v>
      </c>
      <c r="C16" s="17"/>
      <c r="E16" s="84"/>
      <c r="F16" s="31">
        <f t="shared" ref="F16:M16" si="0">SUM(F6:F15)</f>
        <v>73834</v>
      </c>
      <c r="G16" s="31">
        <f t="shared" si="0"/>
        <v>59083.015125000005</v>
      </c>
      <c r="H16" s="31">
        <f t="shared" si="0"/>
        <v>52555.970896610015</v>
      </c>
      <c r="I16" s="32">
        <f t="shared" si="0"/>
        <v>111638.98602161002</v>
      </c>
      <c r="J16" s="33">
        <f t="shared" si="0"/>
        <v>76292</v>
      </c>
      <c r="K16" s="33">
        <f t="shared" si="0"/>
        <v>61036.882375000001</v>
      </c>
      <c r="L16" s="33">
        <f t="shared" si="0"/>
        <v>54022.306667270008</v>
      </c>
      <c r="M16" s="33">
        <f t="shared" si="0"/>
        <v>115059.18904227001</v>
      </c>
      <c r="N16" s="31">
        <f>SUM(N14,N12,N10,N8,N6)</f>
        <v>247</v>
      </c>
      <c r="O16" s="31">
        <f>SUM(O14,O12,O10,O8,O6)</f>
        <v>193</v>
      </c>
      <c r="P16" s="34">
        <f>SUM(P6:P15)</f>
        <v>0</v>
      </c>
      <c r="Q16" s="34">
        <f>SUM(Q6:Q15)</f>
        <v>76292</v>
      </c>
      <c r="R16" s="35">
        <f>R6+R8+R10+R12+R14-R7-R9-R11-R13-R15</f>
        <v>5301</v>
      </c>
      <c r="S16" s="36">
        <f>IF(R16&gt;1,(R16-$Q16),"")</f>
        <v>-70991</v>
      </c>
      <c r="T16" s="35">
        <f>T6+T8+T10+T12+T14-T7-T9-T11-T13-T15</f>
        <v>11361</v>
      </c>
      <c r="U16" s="36">
        <f>IF(T16&gt;1,(T16-$Q16),"")</f>
        <v>-64931</v>
      </c>
      <c r="V16" s="35">
        <f>V6+V8+V10+V12+V14-V7-V9-V11-V13-V15</f>
        <v>18551</v>
      </c>
      <c r="W16" s="36">
        <f>IF(V16&gt;1,(V16-$Q16),"")</f>
        <v>-57741</v>
      </c>
      <c r="X16" s="35">
        <f>X6+X8+X10+X12+X14-X7-X9-X11-X13-X15</f>
        <v>30607</v>
      </c>
      <c r="Y16" s="36">
        <f>IF(X16&gt;1,(X16-$Q16),"")</f>
        <v>-45685</v>
      </c>
      <c r="Z16" s="35">
        <f>Z6+Z8+Z10+Z12+Z14-Z7-Z9-Z11-Z13-Z15</f>
        <v>35551</v>
      </c>
      <c r="AA16" s="36">
        <f>IF(Z16&gt;1,(Z16-$Q16),"")</f>
        <v>-40741</v>
      </c>
      <c r="AB16" s="35">
        <f>AB6+AB8+AB10+AB12+AB14-AB7-AB9-AB11-AB13-AB15</f>
        <v>35551</v>
      </c>
      <c r="AC16" s="37">
        <f>IF(AB16&gt;1,(AB16-$Q16),"")</f>
        <v>-40741</v>
      </c>
      <c r="AD16" s="35">
        <f>AD6+AD8+AD10+AD12+AD14-AD7-AD9-AD11-AD13-AD15</f>
        <v>35551</v>
      </c>
      <c r="AE16" s="37">
        <f>IF(AD16&gt;1,(AD16-$Q16),"")</f>
        <v>-40741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5303</v>
      </c>
      <c r="S17" s="41"/>
      <c r="T17" s="40">
        <f>T15+T13+T11+T9+T7</f>
        <v>8119</v>
      </c>
      <c r="U17" s="41"/>
      <c r="V17" s="40">
        <f>V15+V13+V11+V9+V7</f>
        <v>9388</v>
      </c>
      <c r="W17" s="41"/>
      <c r="X17" s="40">
        <f>X15+X13+X11+X9+X7</f>
        <v>12627</v>
      </c>
      <c r="Y17" s="41"/>
      <c r="Z17" s="40">
        <f>Z15+Z13+Z11+Z9+Z7</f>
        <v>13448</v>
      </c>
      <c r="AA17" s="41"/>
      <c r="AB17" s="40">
        <f>AB15+AB13+AB11+AB9+AB7</f>
        <v>13448</v>
      </c>
      <c r="AC17" s="42"/>
      <c r="AD17" s="40">
        <f>AD15+AD13+AD11+AD9+AD7</f>
        <v>13448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2650.5</v>
      </c>
      <c r="S18" s="46"/>
      <c r="T18" s="47">
        <f>IF(T16&gt;0,(T16-R16)/2,"")</f>
        <v>3030</v>
      </c>
      <c r="U18" s="46"/>
      <c r="V18" s="47">
        <f>IF(V16&gt;0,(V16-T16)/2,"")</f>
        <v>3595</v>
      </c>
      <c r="W18" s="46"/>
      <c r="X18" s="47">
        <f>IF(X16&gt;0,(X16-V16)/2,"")</f>
        <v>6028</v>
      </c>
      <c r="Y18" s="46"/>
      <c r="Z18" s="47">
        <f>IF(Z16&gt;0,(Z16-X16)/2,"")</f>
        <v>2472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6517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612</v>
      </c>
      <c r="L20" s="4"/>
      <c r="M20" s="4"/>
      <c r="Q20" s="51" t="s">
        <v>49</v>
      </c>
      <c r="R20" s="35">
        <v>7757</v>
      </c>
      <c r="S20" s="36">
        <v>-87275</v>
      </c>
      <c r="T20" s="35">
        <v>19399</v>
      </c>
      <c r="U20" s="36">
        <v>-75633</v>
      </c>
      <c r="V20" s="35">
        <v>26426</v>
      </c>
      <c r="W20" s="36">
        <v>-68606</v>
      </c>
      <c r="X20" s="35">
        <v>42305</v>
      </c>
      <c r="Y20" s="36">
        <v>-52727</v>
      </c>
      <c r="Z20" s="35">
        <v>52608</v>
      </c>
      <c r="AA20" s="36">
        <v>-42424</v>
      </c>
      <c r="AB20" s="35">
        <v>53961</v>
      </c>
      <c r="AC20" s="37">
        <v>-41071</v>
      </c>
      <c r="AD20" s="35">
        <v>53961</v>
      </c>
      <c r="AE20" s="37">
        <v>-41071</v>
      </c>
    </row>
    <row r="21" spans="2:43" ht="15" customHeight="1" thickBot="1" x14ac:dyDescent="0.35">
      <c r="B21" s="57" t="s">
        <v>52</v>
      </c>
      <c r="C21" s="58">
        <v>3928</v>
      </c>
      <c r="L21" s="4"/>
      <c r="M21" s="4"/>
      <c r="Q21" s="52"/>
      <c r="R21" s="40">
        <v>6253</v>
      </c>
      <c r="S21" s="41"/>
      <c r="T21" s="40">
        <v>9707</v>
      </c>
      <c r="U21" s="41"/>
      <c r="V21" s="40">
        <v>10555</v>
      </c>
      <c r="W21" s="41"/>
      <c r="X21" s="40">
        <v>11928</v>
      </c>
      <c r="Y21" s="41"/>
      <c r="Z21" s="40">
        <v>12101</v>
      </c>
      <c r="AA21" s="41"/>
      <c r="AB21" s="40">
        <v>12215</v>
      </c>
      <c r="AC21" s="42"/>
      <c r="AD21" s="40">
        <v>12215</v>
      </c>
      <c r="AE21" s="42"/>
    </row>
    <row r="22" spans="2:43" ht="15" customHeight="1" thickBot="1" x14ac:dyDescent="0.35">
      <c r="L22" s="4"/>
      <c r="M22" s="4"/>
      <c r="Q22" s="54"/>
      <c r="R22" s="55">
        <v>3878.5</v>
      </c>
      <c r="S22" s="55"/>
      <c r="T22" s="55">
        <v>5821</v>
      </c>
      <c r="U22" s="55"/>
      <c r="V22" s="55">
        <v>3513.5</v>
      </c>
      <c r="W22" s="55"/>
      <c r="X22" s="55">
        <v>7939.5</v>
      </c>
      <c r="Y22" s="55"/>
      <c r="Z22" s="55">
        <v>5151.5</v>
      </c>
      <c r="AA22" s="55"/>
      <c r="AB22" s="55">
        <v>676.5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-2456</v>
      </c>
      <c r="S24" s="60"/>
      <c r="T24" s="60">
        <f>IF(T16&gt;0,T16-T20,"")</f>
        <v>-8038</v>
      </c>
      <c r="U24" s="60"/>
      <c r="V24" s="60">
        <f>IF(V16&gt;0,V16-V20,"")</f>
        <v>-7875</v>
      </c>
      <c r="W24" s="60"/>
      <c r="X24" s="60">
        <f>IF(X16&gt;0,X16-X20,"")</f>
        <v>-11698</v>
      </c>
      <c r="Y24" s="60"/>
      <c r="Z24" s="60">
        <f>IF(Z16&gt;0,Z16-Z20,"")</f>
        <v>-17057</v>
      </c>
      <c r="AA24" s="60"/>
      <c r="AB24" s="60">
        <f>IF(AB16&gt;0,AB16-AB20,"")</f>
        <v>-18410</v>
      </c>
      <c r="AC24" s="61"/>
      <c r="AD24" s="60">
        <f>IF(AD16&gt;0,AD16-AD20,"")</f>
        <v>-18410</v>
      </c>
      <c r="AE24" s="61"/>
    </row>
    <row r="25" spans="2:43" x14ac:dyDescent="0.3">
      <c r="L25" s="4"/>
      <c r="M25" s="4"/>
      <c r="Q25" s="62"/>
      <c r="R25" s="63">
        <f>IF(R17&gt;=0,R17-R21,"")</f>
        <v>-950</v>
      </c>
      <c r="S25" s="64"/>
      <c r="T25" s="63">
        <f>IF(T17&gt;=0,T17-T21,"")</f>
        <v>-1588</v>
      </c>
      <c r="U25" s="64"/>
      <c r="V25" s="63">
        <f>IF(V17&gt;=0,V17-V21,"")</f>
        <v>-1167</v>
      </c>
      <c r="W25" s="64"/>
      <c r="X25" s="63">
        <f>IF(X17&gt;=0,X17-X21,"")</f>
        <v>699</v>
      </c>
      <c r="Y25" s="64"/>
      <c r="Z25" s="63">
        <f>IF(Z17&gt;=0,Z17-Z21,"")</f>
        <v>1347</v>
      </c>
      <c r="AA25" s="64"/>
      <c r="AB25" s="63">
        <f>IF(AB17&gt;=0,AB17-AB21,"")</f>
        <v>1233</v>
      </c>
      <c r="AC25" s="65"/>
      <c r="AD25" s="63">
        <f>IF(AD17&gt;=0,AD17-AD21,"")</f>
        <v>1233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-1228</v>
      </c>
      <c r="S26" s="55"/>
      <c r="T26" s="67">
        <f>IFERROR(IF(T18&gt;0,T18-T22,""),"")</f>
        <v>-2791</v>
      </c>
      <c r="U26" s="55"/>
      <c r="V26" s="67">
        <f>IFERROR(IF(V18&gt;0,V18-V22,""),"")</f>
        <v>81.5</v>
      </c>
      <c r="W26" s="55"/>
      <c r="X26" s="67">
        <f>IFERROR(IF(X18&gt;0,X18-X22,""),"")</f>
        <v>-1911.5</v>
      </c>
      <c r="Y26" s="55"/>
      <c r="Z26" s="67">
        <f>IFERROR(IF(Z18&gt;0,Z18-Z22,""),"")</f>
        <v>-2679.5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9320</v>
      </c>
      <c r="D29" s="76">
        <f>C14</f>
        <v>12318</v>
      </c>
      <c r="E29" s="77">
        <f>D29-C29</f>
        <v>2998</v>
      </c>
      <c r="M29" s="4"/>
      <c r="O29" s="4"/>
    </row>
    <row r="30" spans="2:43" x14ac:dyDescent="0.3">
      <c r="B30" s="74" t="s">
        <v>56</v>
      </c>
      <c r="C30" s="122">
        <v>27181</v>
      </c>
      <c r="D30" s="76">
        <f>C7+C15+C16+C17+C18</f>
        <v>264</v>
      </c>
      <c r="E30" s="77">
        <f>D30-C30</f>
        <v>-26917</v>
      </c>
      <c r="J30" s="53"/>
      <c r="L30" s="53"/>
      <c r="M30" s="4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13890</v>
      </c>
      <c r="D32" s="76">
        <f>C10+C11+C12+C13</f>
        <v>13890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11739</v>
      </c>
      <c r="D33" s="76">
        <f>C19+C20+C21</f>
        <v>11057</v>
      </c>
      <c r="E33" s="77">
        <f>D33-C33</f>
        <v>-682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4613</v>
      </c>
      <c r="D34" s="80">
        <f>SUM(C8+C9)</f>
        <v>4613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2220</v>
      </c>
      <c r="R35" s="104">
        <v>0</v>
      </c>
      <c r="S35" s="104">
        <f t="shared" ref="S35:S64" si="1">IF(T35&gt;0,(T35-R35)/2,"")</f>
        <v>293</v>
      </c>
      <c r="T35" s="104">
        <v>586</v>
      </c>
      <c r="U35" s="104">
        <f t="shared" ref="U35:U64" si="2">IF(V35&gt;0,(V35-T35)/2,"")</f>
        <v>100.5</v>
      </c>
      <c r="V35" s="104">
        <v>787</v>
      </c>
      <c r="W35" s="104">
        <f t="shared" ref="W35:W64" si="3">IF(X35&gt;0,(X35-V35)/2,"")</f>
        <v>14</v>
      </c>
      <c r="X35" s="104">
        <v>815</v>
      </c>
      <c r="Y35" s="104">
        <f t="shared" ref="Y35:Y64" si="4">IF(Z35&gt;0,(Z35-X35)/2,"")</f>
        <v>0</v>
      </c>
      <c r="Z35" s="104">
        <v>815</v>
      </c>
      <c r="AA35" s="104">
        <f t="shared" ref="AA35:AA64" si="5">IF(AB35&gt;0,(AB35-Z35)/2,"")</f>
        <v>0</v>
      </c>
      <c r="AB35" s="104">
        <v>815</v>
      </c>
      <c r="AC35" s="104">
        <f t="shared" ref="AC35:AC64" si="6">IF(AD35&gt;0,(AD35-AB35)/2,"")</f>
        <v>0</v>
      </c>
      <c r="AD35" s="104">
        <v>815</v>
      </c>
      <c r="AE35" s="105">
        <f t="shared" ref="AE35:AE64" si="7">AD35-Q35</f>
        <v>-1405</v>
      </c>
    </row>
    <row r="36" spans="2:31" ht="15.6" customHeight="1" x14ac:dyDescent="0.3">
      <c r="N36" s="212"/>
      <c r="O36" s="95" t="s">
        <v>66</v>
      </c>
      <c r="P36" s="106"/>
      <c r="Q36" s="106">
        <v>1371</v>
      </c>
      <c r="R36" s="106">
        <v>531</v>
      </c>
      <c r="S36" s="106">
        <f t="shared" si="1"/>
        <v>0</v>
      </c>
      <c r="T36" s="106">
        <v>531</v>
      </c>
      <c r="U36" s="106">
        <f t="shared" si="2"/>
        <v>-263</v>
      </c>
      <c r="V36" s="106">
        <v>5</v>
      </c>
      <c r="W36" s="106">
        <f t="shared" si="3"/>
        <v>417.5</v>
      </c>
      <c r="X36" s="106">
        <v>840</v>
      </c>
      <c r="Y36" s="106">
        <f t="shared" si="4"/>
        <v>0</v>
      </c>
      <c r="Z36" s="106">
        <v>840</v>
      </c>
      <c r="AA36" s="106">
        <f t="shared" si="5"/>
        <v>0</v>
      </c>
      <c r="AB36" s="106">
        <v>840</v>
      </c>
      <c r="AC36" s="106">
        <f t="shared" si="6"/>
        <v>0</v>
      </c>
      <c r="AD36" s="106">
        <v>840</v>
      </c>
      <c r="AE36" s="107">
        <f t="shared" si="7"/>
        <v>-531</v>
      </c>
    </row>
    <row r="37" spans="2:31" ht="15.6" customHeight="1" x14ac:dyDescent="0.3">
      <c r="N37" s="212"/>
      <c r="O37" s="94" t="s">
        <v>67</v>
      </c>
      <c r="P37" s="108"/>
      <c r="Q37" s="108">
        <v>2642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247.5</v>
      </c>
      <c r="V37" s="108">
        <v>495</v>
      </c>
      <c r="W37" s="108">
        <f t="shared" si="3"/>
        <v>0</v>
      </c>
      <c r="X37" s="108">
        <v>495</v>
      </c>
      <c r="Y37" s="108">
        <f t="shared" si="4"/>
        <v>0</v>
      </c>
      <c r="Z37" s="108">
        <v>495</v>
      </c>
      <c r="AA37" s="108">
        <f t="shared" si="5"/>
        <v>0</v>
      </c>
      <c r="AB37" s="108">
        <v>495</v>
      </c>
      <c r="AC37" s="108">
        <f t="shared" si="6"/>
        <v>0</v>
      </c>
      <c r="AD37" s="108">
        <v>495</v>
      </c>
      <c r="AE37" s="109">
        <f t="shared" si="7"/>
        <v>-2147</v>
      </c>
    </row>
    <row r="38" spans="2:31" ht="15.6" customHeight="1" x14ac:dyDescent="0.3">
      <c r="N38" s="212"/>
      <c r="O38" s="95" t="s">
        <v>68</v>
      </c>
      <c r="P38" s="106"/>
      <c r="Q38" s="106">
        <v>3797</v>
      </c>
      <c r="R38" s="106">
        <v>735</v>
      </c>
      <c r="S38" s="106">
        <f t="shared" si="1"/>
        <v>0</v>
      </c>
      <c r="T38" s="106">
        <v>735</v>
      </c>
      <c r="U38" s="106">
        <f t="shared" si="2"/>
        <v>-39</v>
      </c>
      <c r="V38" s="106">
        <v>657</v>
      </c>
      <c r="W38" s="106">
        <f t="shared" si="3"/>
        <v>534.5</v>
      </c>
      <c r="X38" s="106">
        <v>1726</v>
      </c>
      <c r="Y38" s="106">
        <f t="shared" si="4"/>
        <v>0</v>
      </c>
      <c r="Z38" s="106">
        <v>1726</v>
      </c>
      <c r="AA38" s="106">
        <f t="shared" si="5"/>
        <v>0</v>
      </c>
      <c r="AB38" s="106">
        <v>1726</v>
      </c>
      <c r="AC38" s="106">
        <f t="shared" si="6"/>
        <v>0</v>
      </c>
      <c r="AD38" s="106">
        <v>1726</v>
      </c>
      <c r="AE38" s="107">
        <f t="shared" si="7"/>
        <v>-2071</v>
      </c>
    </row>
    <row r="39" spans="2:31" ht="15.6" customHeight="1" x14ac:dyDescent="0.3">
      <c r="N39" s="212"/>
      <c r="O39" s="94" t="s">
        <v>69</v>
      </c>
      <c r="P39" s="108"/>
      <c r="Q39" s="108">
        <v>2708</v>
      </c>
      <c r="R39" s="108">
        <v>320</v>
      </c>
      <c r="S39" s="108">
        <f t="shared" si="1"/>
        <v>255</v>
      </c>
      <c r="T39" s="108">
        <v>830</v>
      </c>
      <c r="U39" s="108">
        <f t="shared" si="2"/>
        <v>288</v>
      </c>
      <c r="V39" s="108">
        <v>1406</v>
      </c>
      <c r="W39" s="108">
        <f t="shared" si="3"/>
        <v>156</v>
      </c>
      <c r="X39" s="108">
        <v>1718</v>
      </c>
      <c r="Y39" s="108">
        <f t="shared" si="4"/>
        <v>0</v>
      </c>
      <c r="Z39" s="108">
        <v>1718</v>
      </c>
      <c r="AA39" s="108">
        <f t="shared" si="5"/>
        <v>0</v>
      </c>
      <c r="AB39" s="108">
        <v>1718</v>
      </c>
      <c r="AC39" s="108">
        <f t="shared" si="6"/>
        <v>0</v>
      </c>
      <c r="AD39" s="108">
        <v>1718</v>
      </c>
      <c r="AE39" s="109">
        <f t="shared" si="7"/>
        <v>-990</v>
      </c>
    </row>
    <row r="40" spans="2:31" ht="15.6" customHeight="1" x14ac:dyDescent="0.3">
      <c r="N40" s="212"/>
      <c r="O40" s="95" t="s">
        <v>70</v>
      </c>
      <c r="P40" s="106"/>
      <c r="Q40" s="106">
        <v>4114</v>
      </c>
      <c r="R40" s="106">
        <v>17</v>
      </c>
      <c r="S40" s="106">
        <f t="shared" si="1"/>
        <v>542.5</v>
      </c>
      <c r="T40" s="106">
        <v>1102</v>
      </c>
      <c r="U40" s="106">
        <f t="shared" si="2"/>
        <v>0</v>
      </c>
      <c r="V40" s="106">
        <v>1102</v>
      </c>
      <c r="W40" s="106">
        <f t="shared" si="3"/>
        <v>641.5</v>
      </c>
      <c r="X40" s="106">
        <v>2385</v>
      </c>
      <c r="Y40" s="106">
        <f t="shared" si="4"/>
        <v>0</v>
      </c>
      <c r="Z40" s="106">
        <v>2385</v>
      </c>
      <c r="AA40" s="106">
        <f t="shared" si="5"/>
        <v>0</v>
      </c>
      <c r="AB40" s="106">
        <v>2385</v>
      </c>
      <c r="AC40" s="106">
        <f t="shared" si="6"/>
        <v>0</v>
      </c>
      <c r="AD40" s="106">
        <v>2385</v>
      </c>
      <c r="AE40" s="107">
        <f t="shared" si="7"/>
        <v>-1729</v>
      </c>
    </row>
    <row r="41" spans="2:31" ht="15.6" customHeight="1" x14ac:dyDescent="0.3">
      <c r="N41" s="212"/>
      <c r="O41" s="94" t="s">
        <v>71</v>
      </c>
      <c r="P41" s="108"/>
      <c r="Q41" s="108">
        <v>1260</v>
      </c>
      <c r="R41" s="108">
        <v>0</v>
      </c>
      <c r="S41" s="108">
        <f t="shared" si="1"/>
        <v>393.5</v>
      </c>
      <c r="T41" s="108">
        <v>787</v>
      </c>
      <c r="U41" s="108">
        <f t="shared" si="2"/>
        <v>0</v>
      </c>
      <c r="V41" s="108">
        <v>787</v>
      </c>
      <c r="W41" s="108">
        <f t="shared" si="3"/>
        <v>236.5</v>
      </c>
      <c r="X41" s="108">
        <v>1260</v>
      </c>
      <c r="Y41" s="108">
        <f t="shared" si="4"/>
        <v>0</v>
      </c>
      <c r="Z41" s="108">
        <v>1260</v>
      </c>
      <c r="AA41" s="108">
        <f t="shared" si="5"/>
        <v>0</v>
      </c>
      <c r="AB41" s="108">
        <v>1260</v>
      </c>
      <c r="AC41" s="108">
        <f t="shared" si="6"/>
        <v>0</v>
      </c>
      <c r="AD41" s="108">
        <v>1260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1693</v>
      </c>
      <c r="R42" s="106">
        <v>0</v>
      </c>
      <c r="S42" s="106">
        <f t="shared" si="1"/>
        <v>272.5</v>
      </c>
      <c r="T42" s="106">
        <v>545</v>
      </c>
      <c r="U42" s="106">
        <f t="shared" si="2"/>
        <v>-82</v>
      </c>
      <c r="V42" s="106">
        <v>381</v>
      </c>
      <c r="W42" s="106">
        <f t="shared" si="3"/>
        <v>199</v>
      </c>
      <c r="X42" s="106">
        <v>779</v>
      </c>
      <c r="Y42" s="106">
        <f t="shared" si="4"/>
        <v>0</v>
      </c>
      <c r="Z42" s="106">
        <v>779</v>
      </c>
      <c r="AA42" s="106">
        <f t="shared" si="5"/>
        <v>0</v>
      </c>
      <c r="AB42" s="106">
        <v>779</v>
      </c>
      <c r="AC42" s="106">
        <f t="shared" si="6"/>
        <v>0</v>
      </c>
      <c r="AD42" s="106">
        <v>779</v>
      </c>
      <c r="AE42" s="107">
        <f t="shared" si="7"/>
        <v>-914</v>
      </c>
    </row>
    <row r="43" spans="2:31" ht="15.6" customHeight="1" thickBot="1" x14ac:dyDescent="0.35">
      <c r="N43" s="213"/>
      <c r="O43" s="97" t="s">
        <v>73</v>
      </c>
      <c r="P43" s="110"/>
      <c r="Q43" s="110">
        <v>1838</v>
      </c>
      <c r="R43" s="110">
        <v>0</v>
      </c>
      <c r="S43" s="110">
        <f t="shared" si="1"/>
        <v>246.5</v>
      </c>
      <c r="T43" s="110">
        <v>493</v>
      </c>
      <c r="U43" s="110">
        <f t="shared" si="2"/>
        <v>632.5</v>
      </c>
      <c r="V43" s="110">
        <v>1758</v>
      </c>
      <c r="W43" s="110">
        <f t="shared" si="3"/>
        <v>40</v>
      </c>
      <c r="X43" s="110">
        <v>1838</v>
      </c>
      <c r="Y43" s="110">
        <f t="shared" si="4"/>
        <v>0</v>
      </c>
      <c r="Z43" s="110">
        <v>1838</v>
      </c>
      <c r="AA43" s="110">
        <f t="shared" si="5"/>
        <v>0</v>
      </c>
      <c r="AB43" s="110">
        <v>1838</v>
      </c>
      <c r="AC43" s="110">
        <f t="shared" si="6"/>
        <v>0</v>
      </c>
      <c r="AD43" s="110">
        <v>1838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3623</v>
      </c>
      <c r="R44" s="112">
        <v>1200</v>
      </c>
      <c r="S44" s="112">
        <f t="shared" si="1"/>
        <v>137.5</v>
      </c>
      <c r="T44" s="112">
        <v>1475</v>
      </c>
      <c r="U44" s="112">
        <f t="shared" si="2"/>
        <v>0</v>
      </c>
      <c r="V44" s="112">
        <v>1475</v>
      </c>
      <c r="W44" s="112">
        <f t="shared" si="3"/>
        <v>1115.5</v>
      </c>
      <c r="X44" s="112">
        <v>3706</v>
      </c>
      <c r="Y44" s="112">
        <f t="shared" si="4"/>
        <v>0</v>
      </c>
      <c r="Z44" s="112">
        <v>3706</v>
      </c>
      <c r="AA44" s="112">
        <f t="shared" si="5"/>
        <v>0</v>
      </c>
      <c r="AB44" s="112">
        <v>3706</v>
      </c>
      <c r="AC44" s="112">
        <f t="shared" si="6"/>
        <v>0</v>
      </c>
      <c r="AD44" s="112">
        <v>3706</v>
      </c>
      <c r="AE44" s="113">
        <f t="shared" si="7"/>
        <v>83</v>
      </c>
    </row>
    <row r="45" spans="2:31" ht="15.6" customHeight="1" x14ac:dyDescent="0.3">
      <c r="N45" s="212"/>
      <c r="O45" s="94" t="s">
        <v>66</v>
      </c>
      <c r="P45" s="108"/>
      <c r="Q45" s="108">
        <v>2922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571</v>
      </c>
      <c r="V45" s="108">
        <v>1142</v>
      </c>
      <c r="W45" s="108">
        <f t="shared" si="3"/>
        <v>391.5</v>
      </c>
      <c r="X45" s="108">
        <v>1925</v>
      </c>
      <c r="Y45" s="108">
        <f t="shared" si="4"/>
        <v>498.5</v>
      </c>
      <c r="Z45" s="108">
        <v>2922</v>
      </c>
      <c r="AA45" s="108">
        <f t="shared" si="5"/>
        <v>0</v>
      </c>
      <c r="AB45" s="108">
        <v>2922</v>
      </c>
      <c r="AC45" s="108">
        <f t="shared" si="6"/>
        <v>0</v>
      </c>
      <c r="AD45" s="108">
        <v>2922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1866</v>
      </c>
      <c r="R46" s="106">
        <v>4</v>
      </c>
      <c r="S46" s="106">
        <f t="shared" si="1"/>
        <v>0</v>
      </c>
      <c r="T46" s="106">
        <v>4</v>
      </c>
      <c r="U46" s="106">
        <f t="shared" si="2"/>
        <v>0</v>
      </c>
      <c r="V46" s="106">
        <v>4</v>
      </c>
      <c r="W46" s="106">
        <f t="shared" si="3"/>
        <v>181</v>
      </c>
      <c r="X46" s="106">
        <v>366</v>
      </c>
      <c r="Y46" s="106">
        <f t="shared" si="4"/>
        <v>333</v>
      </c>
      <c r="Z46" s="106">
        <v>1032</v>
      </c>
      <c r="AA46" s="106">
        <f t="shared" si="5"/>
        <v>0</v>
      </c>
      <c r="AB46" s="106">
        <v>1032</v>
      </c>
      <c r="AC46" s="106">
        <f t="shared" si="6"/>
        <v>0</v>
      </c>
      <c r="AD46" s="106">
        <v>1032</v>
      </c>
      <c r="AE46" s="107">
        <f t="shared" si="7"/>
        <v>-834</v>
      </c>
    </row>
    <row r="47" spans="2:31" ht="15.6" customHeight="1" thickBot="1" x14ac:dyDescent="0.35">
      <c r="N47" s="213"/>
      <c r="O47" s="97" t="s">
        <v>68</v>
      </c>
      <c r="P47" s="110"/>
      <c r="Q47" s="110">
        <v>3008</v>
      </c>
      <c r="R47" s="110">
        <v>760</v>
      </c>
      <c r="S47" s="110">
        <f t="shared" si="1"/>
        <v>0</v>
      </c>
      <c r="T47" s="110">
        <v>760</v>
      </c>
      <c r="U47" s="110">
        <f t="shared" si="2"/>
        <v>557.5</v>
      </c>
      <c r="V47" s="110">
        <v>1875</v>
      </c>
      <c r="W47" s="110">
        <f t="shared" si="3"/>
        <v>224.5</v>
      </c>
      <c r="X47" s="110">
        <v>2324</v>
      </c>
      <c r="Y47" s="110">
        <f t="shared" si="4"/>
        <v>387.5</v>
      </c>
      <c r="Z47" s="110">
        <v>3099</v>
      </c>
      <c r="AA47" s="110">
        <f t="shared" si="5"/>
        <v>0</v>
      </c>
      <c r="AB47" s="110">
        <v>3099</v>
      </c>
      <c r="AC47" s="110">
        <f t="shared" si="6"/>
        <v>0</v>
      </c>
      <c r="AD47" s="110">
        <v>3099</v>
      </c>
      <c r="AE47" s="111">
        <f t="shared" si="7"/>
        <v>91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412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77</v>
      </c>
      <c r="V48" s="112">
        <v>154</v>
      </c>
      <c r="W48" s="112">
        <f t="shared" si="3"/>
        <v>43</v>
      </c>
      <c r="X48" s="112">
        <v>240</v>
      </c>
      <c r="Y48" s="112">
        <f t="shared" si="4"/>
        <v>17</v>
      </c>
      <c r="Z48" s="112">
        <v>274</v>
      </c>
      <c r="AA48" s="112">
        <f t="shared" si="5"/>
        <v>0</v>
      </c>
      <c r="AB48" s="112">
        <v>274</v>
      </c>
      <c r="AC48" s="112">
        <f t="shared" si="6"/>
        <v>0</v>
      </c>
      <c r="AD48" s="112">
        <v>274</v>
      </c>
      <c r="AE48" s="113">
        <f t="shared" si="7"/>
        <v>-138</v>
      </c>
    </row>
    <row r="49" spans="14:31" ht="15.6" customHeight="1" x14ac:dyDescent="0.3">
      <c r="N49" s="212"/>
      <c r="O49" s="94" t="s">
        <v>66</v>
      </c>
      <c r="P49" s="108"/>
      <c r="Q49" s="108">
        <v>377</v>
      </c>
      <c r="R49" s="108">
        <v>9</v>
      </c>
      <c r="S49" s="108">
        <f t="shared" si="1"/>
        <v>0</v>
      </c>
      <c r="T49" s="108">
        <v>9</v>
      </c>
      <c r="U49" s="108">
        <f t="shared" si="2"/>
        <v>0</v>
      </c>
      <c r="V49" s="108">
        <v>9</v>
      </c>
      <c r="W49" s="108">
        <f t="shared" si="3"/>
        <v>82.5</v>
      </c>
      <c r="X49" s="108">
        <v>174</v>
      </c>
      <c r="Y49" s="108">
        <f t="shared" si="4"/>
        <v>0</v>
      </c>
      <c r="Z49" s="108">
        <v>174</v>
      </c>
      <c r="AA49" s="108">
        <f t="shared" si="5"/>
        <v>0</v>
      </c>
      <c r="AB49" s="108">
        <v>174</v>
      </c>
      <c r="AC49" s="108">
        <f t="shared" si="6"/>
        <v>0</v>
      </c>
      <c r="AD49" s="108">
        <v>174</v>
      </c>
      <c r="AE49" s="109">
        <f t="shared" si="7"/>
        <v>-203</v>
      </c>
    </row>
    <row r="50" spans="14:31" ht="15.6" customHeight="1" x14ac:dyDescent="0.3">
      <c r="N50" s="212"/>
      <c r="O50" s="95" t="s">
        <v>67</v>
      </c>
      <c r="P50" s="106"/>
      <c r="Q50" s="106">
        <v>1810</v>
      </c>
      <c r="R50" s="106">
        <v>866</v>
      </c>
      <c r="S50" s="106">
        <f t="shared" si="1"/>
        <v>45</v>
      </c>
      <c r="T50" s="106">
        <v>956</v>
      </c>
      <c r="U50" s="106">
        <f t="shared" si="2"/>
        <v>-128.5</v>
      </c>
      <c r="V50" s="106">
        <v>699</v>
      </c>
      <c r="W50" s="106">
        <f t="shared" si="3"/>
        <v>0</v>
      </c>
      <c r="X50" s="106">
        <v>699</v>
      </c>
      <c r="Y50" s="106">
        <f t="shared" si="4"/>
        <v>106.5</v>
      </c>
      <c r="Z50" s="106">
        <v>912</v>
      </c>
      <c r="AA50" s="106">
        <f t="shared" si="5"/>
        <v>0</v>
      </c>
      <c r="AB50" s="106">
        <v>912</v>
      </c>
      <c r="AC50" s="106">
        <f t="shared" si="6"/>
        <v>0</v>
      </c>
      <c r="AD50" s="106">
        <v>912</v>
      </c>
      <c r="AE50" s="107">
        <f t="shared" si="7"/>
        <v>-898</v>
      </c>
    </row>
    <row r="51" spans="14:31" ht="15.6" customHeight="1" x14ac:dyDescent="0.3">
      <c r="N51" s="212"/>
      <c r="O51" s="94" t="s">
        <v>68</v>
      </c>
      <c r="P51" s="108"/>
      <c r="Q51" s="108">
        <v>994</v>
      </c>
      <c r="R51" s="108">
        <v>2</v>
      </c>
      <c r="S51" s="108">
        <f t="shared" si="1"/>
        <v>0</v>
      </c>
      <c r="T51" s="108">
        <v>2</v>
      </c>
      <c r="U51" s="108">
        <f t="shared" si="2"/>
        <v>67</v>
      </c>
      <c r="V51" s="108">
        <v>136</v>
      </c>
      <c r="W51" s="108">
        <f t="shared" si="3"/>
        <v>222</v>
      </c>
      <c r="X51" s="108">
        <v>580</v>
      </c>
      <c r="Y51" s="108">
        <f t="shared" si="4"/>
        <v>97</v>
      </c>
      <c r="Z51" s="108">
        <v>774</v>
      </c>
      <c r="AA51" s="108">
        <f t="shared" si="5"/>
        <v>0</v>
      </c>
      <c r="AB51" s="108">
        <v>774</v>
      </c>
      <c r="AC51" s="108">
        <f t="shared" si="6"/>
        <v>0</v>
      </c>
      <c r="AD51" s="108">
        <v>774</v>
      </c>
      <c r="AE51" s="109">
        <f t="shared" si="7"/>
        <v>-220</v>
      </c>
    </row>
    <row r="52" spans="14:31" ht="15.6" customHeight="1" x14ac:dyDescent="0.3">
      <c r="N52" s="212"/>
      <c r="O52" s="95" t="s">
        <v>69</v>
      </c>
      <c r="P52" s="106"/>
      <c r="Q52" s="106">
        <v>2761</v>
      </c>
      <c r="R52" s="106">
        <v>0</v>
      </c>
      <c r="S52" s="106">
        <f t="shared" si="1"/>
        <v>78.5</v>
      </c>
      <c r="T52" s="106">
        <v>157</v>
      </c>
      <c r="U52" s="106">
        <f t="shared" si="2"/>
        <v>158</v>
      </c>
      <c r="V52" s="106">
        <v>473</v>
      </c>
      <c r="W52" s="106">
        <f t="shared" si="3"/>
        <v>360</v>
      </c>
      <c r="X52" s="106">
        <v>1193</v>
      </c>
      <c r="Y52" s="106">
        <f t="shared" si="4"/>
        <v>282</v>
      </c>
      <c r="Z52" s="106">
        <v>1757</v>
      </c>
      <c r="AA52" s="106">
        <f t="shared" si="5"/>
        <v>0</v>
      </c>
      <c r="AB52" s="106">
        <v>1757</v>
      </c>
      <c r="AC52" s="106">
        <f t="shared" si="6"/>
        <v>0</v>
      </c>
      <c r="AD52" s="106">
        <v>1757</v>
      </c>
      <c r="AE52" s="107">
        <f t="shared" si="7"/>
        <v>-1004</v>
      </c>
    </row>
    <row r="53" spans="14:31" ht="15.6" customHeight="1" x14ac:dyDescent="0.3">
      <c r="N53" s="212"/>
      <c r="O53" s="94" t="s">
        <v>70</v>
      </c>
      <c r="P53" s="108"/>
      <c r="Q53" s="108">
        <v>1968</v>
      </c>
      <c r="R53" s="108">
        <v>6</v>
      </c>
      <c r="S53" s="108">
        <f t="shared" si="1"/>
        <v>1</v>
      </c>
      <c r="T53" s="108">
        <v>8</v>
      </c>
      <c r="U53" s="108">
        <f t="shared" si="2"/>
        <v>0.5</v>
      </c>
      <c r="V53" s="108">
        <v>9</v>
      </c>
      <c r="W53" s="108">
        <f t="shared" si="3"/>
        <v>368.5</v>
      </c>
      <c r="X53" s="108">
        <v>746</v>
      </c>
      <c r="Y53" s="108">
        <f t="shared" si="4"/>
        <v>143.5</v>
      </c>
      <c r="Z53" s="108">
        <v>1033</v>
      </c>
      <c r="AA53" s="108">
        <f t="shared" si="5"/>
        <v>0</v>
      </c>
      <c r="AB53" s="108">
        <v>1033</v>
      </c>
      <c r="AC53" s="108">
        <f t="shared" si="6"/>
        <v>0</v>
      </c>
      <c r="AD53" s="108">
        <v>1033</v>
      </c>
      <c r="AE53" s="109">
        <f t="shared" si="7"/>
        <v>-935</v>
      </c>
    </row>
    <row r="54" spans="14:31" ht="15.6" customHeight="1" x14ac:dyDescent="0.3">
      <c r="N54" s="212"/>
      <c r="O54" s="95" t="s">
        <v>71</v>
      </c>
      <c r="P54" s="106"/>
      <c r="Q54" s="106">
        <v>1094</v>
      </c>
      <c r="R54" s="106">
        <v>333</v>
      </c>
      <c r="S54" s="106">
        <f t="shared" si="1"/>
        <v>-113</v>
      </c>
      <c r="T54" s="106">
        <v>107</v>
      </c>
      <c r="U54" s="106">
        <f t="shared" si="2"/>
        <v>16.5</v>
      </c>
      <c r="V54" s="106">
        <v>140</v>
      </c>
      <c r="W54" s="106">
        <f t="shared" si="3"/>
        <v>0</v>
      </c>
      <c r="X54" s="106">
        <v>140</v>
      </c>
      <c r="Y54" s="106">
        <f t="shared" si="4"/>
        <v>0</v>
      </c>
      <c r="Z54" s="106">
        <v>140</v>
      </c>
      <c r="AA54" s="106">
        <f t="shared" si="5"/>
        <v>0</v>
      </c>
      <c r="AB54" s="106">
        <v>140</v>
      </c>
      <c r="AC54" s="106">
        <f t="shared" si="6"/>
        <v>0</v>
      </c>
      <c r="AD54" s="106">
        <v>140</v>
      </c>
      <c r="AE54" s="107">
        <f t="shared" si="7"/>
        <v>-954</v>
      </c>
    </row>
    <row r="55" spans="14:31" ht="15.6" customHeight="1" x14ac:dyDescent="0.3">
      <c r="N55" s="212"/>
      <c r="O55" s="94" t="s">
        <v>72</v>
      </c>
      <c r="P55" s="108"/>
      <c r="Q55" s="108">
        <v>461</v>
      </c>
      <c r="R55" s="108">
        <v>4</v>
      </c>
      <c r="S55" s="108">
        <f t="shared" si="1"/>
        <v>0</v>
      </c>
      <c r="T55" s="108">
        <v>4</v>
      </c>
      <c r="U55" s="108">
        <f t="shared" si="2"/>
        <v>13</v>
      </c>
      <c r="V55" s="108">
        <v>30</v>
      </c>
      <c r="W55" s="108">
        <f t="shared" si="3"/>
        <v>0</v>
      </c>
      <c r="X55" s="108">
        <v>30</v>
      </c>
      <c r="Y55" s="108">
        <f t="shared" si="4"/>
        <v>0</v>
      </c>
      <c r="Z55" s="108">
        <v>30</v>
      </c>
      <c r="AA55" s="108">
        <f t="shared" si="5"/>
        <v>0</v>
      </c>
      <c r="AB55" s="108">
        <v>30</v>
      </c>
      <c r="AC55" s="108">
        <f t="shared" si="6"/>
        <v>0</v>
      </c>
      <c r="AD55" s="108">
        <v>30</v>
      </c>
      <c r="AE55" s="109">
        <f t="shared" si="7"/>
        <v>-431</v>
      </c>
    </row>
    <row r="56" spans="14:31" ht="15.6" customHeight="1" thickBot="1" x14ac:dyDescent="0.35">
      <c r="N56" s="213"/>
      <c r="O56" s="99" t="s">
        <v>73</v>
      </c>
      <c r="P56" s="114"/>
      <c r="Q56" s="114">
        <v>390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166</v>
      </c>
      <c r="X56" s="114">
        <v>332</v>
      </c>
      <c r="Y56" s="114">
        <f t="shared" si="4"/>
        <v>29</v>
      </c>
      <c r="Z56" s="114">
        <v>390</v>
      </c>
      <c r="AA56" s="114">
        <f t="shared" si="5"/>
        <v>0</v>
      </c>
      <c r="AB56" s="114">
        <v>390</v>
      </c>
      <c r="AC56" s="114">
        <f t="shared" si="6"/>
        <v>0</v>
      </c>
      <c r="AD56" s="114">
        <v>390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4807</v>
      </c>
      <c r="R57" s="104">
        <v>449</v>
      </c>
      <c r="S57" s="104">
        <f t="shared" si="1"/>
        <v>254</v>
      </c>
      <c r="T57" s="104">
        <v>957</v>
      </c>
      <c r="U57" s="104">
        <f t="shared" si="2"/>
        <v>403</v>
      </c>
      <c r="V57" s="104">
        <v>1763</v>
      </c>
      <c r="W57" s="104">
        <f t="shared" si="3"/>
        <v>479.5</v>
      </c>
      <c r="X57" s="104">
        <v>2722</v>
      </c>
      <c r="Y57" s="104">
        <f t="shared" si="4"/>
        <v>5</v>
      </c>
      <c r="Z57" s="104">
        <v>2732</v>
      </c>
      <c r="AA57" s="104">
        <f t="shared" si="5"/>
        <v>0</v>
      </c>
      <c r="AB57" s="104">
        <v>2732</v>
      </c>
      <c r="AC57" s="104">
        <f t="shared" si="6"/>
        <v>0</v>
      </c>
      <c r="AD57" s="104">
        <v>2732</v>
      </c>
      <c r="AE57" s="105">
        <f t="shared" si="7"/>
        <v>-2075</v>
      </c>
    </row>
    <row r="58" spans="14:31" ht="15.6" customHeight="1" x14ac:dyDescent="0.3">
      <c r="N58" s="212"/>
      <c r="O58" s="95" t="s">
        <v>66</v>
      </c>
      <c r="P58" s="106"/>
      <c r="Q58" s="106">
        <v>4815</v>
      </c>
      <c r="R58" s="106">
        <v>519</v>
      </c>
      <c r="S58" s="106">
        <f t="shared" si="1"/>
        <v>369</v>
      </c>
      <c r="T58" s="106">
        <v>1257</v>
      </c>
      <c r="U58" s="106">
        <f t="shared" si="2"/>
        <v>207</v>
      </c>
      <c r="V58" s="106">
        <v>1671</v>
      </c>
      <c r="W58" s="106">
        <f t="shared" si="3"/>
        <v>208</v>
      </c>
      <c r="X58" s="106">
        <v>2087</v>
      </c>
      <c r="Y58" s="106">
        <f t="shared" si="4"/>
        <v>467</v>
      </c>
      <c r="Z58" s="106">
        <v>3021</v>
      </c>
      <c r="AA58" s="106">
        <f t="shared" si="5"/>
        <v>0</v>
      </c>
      <c r="AB58" s="106">
        <v>3021</v>
      </c>
      <c r="AC58" s="106">
        <f t="shared" si="6"/>
        <v>0</v>
      </c>
      <c r="AD58" s="106">
        <v>3021</v>
      </c>
      <c r="AE58" s="107">
        <f t="shared" si="7"/>
        <v>-1794</v>
      </c>
    </row>
    <row r="59" spans="14:31" ht="15.6" customHeight="1" x14ac:dyDescent="0.3">
      <c r="N59" s="212"/>
      <c r="O59" s="94" t="s">
        <v>67</v>
      </c>
      <c r="P59" s="108"/>
      <c r="Q59" s="108">
        <v>3356</v>
      </c>
      <c r="R59" s="108">
        <v>897</v>
      </c>
      <c r="S59" s="108">
        <f t="shared" si="1"/>
        <v>21.5</v>
      </c>
      <c r="T59" s="108">
        <v>940</v>
      </c>
      <c r="U59" s="108">
        <f t="shared" si="2"/>
        <v>286.5</v>
      </c>
      <c r="V59" s="108">
        <v>1513</v>
      </c>
      <c r="W59" s="108">
        <f t="shared" si="3"/>
        <v>252</v>
      </c>
      <c r="X59" s="108">
        <v>2017</v>
      </c>
      <c r="Y59" s="108">
        <f t="shared" si="4"/>
        <v>22</v>
      </c>
      <c r="Z59" s="108">
        <v>2061</v>
      </c>
      <c r="AA59" s="108">
        <f t="shared" si="5"/>
        <v>0</v>
      </c>
      <c r="AB59" s="108">
        <v>2061</v>
      </c>
      <c r="AC59" s="108">
        <f t="shared" si="6"/>
        <v>0</v>
      </c>
      <c r="AD59" s="108">
        <v>2061</v>
      </c>
      <c r="AE59" s="109">
        <f t="shared" si="7"/>
        <v>-1295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5859</v>
      </c>
      <c r="R61" s="104">
        <v>864</v>
      </c>
      <c r="S61" s="104">
        <f t="shared" si="1"/>
        <v>384</v>
      </c>
      <c r="T61" s="104">
        <v>1632</v>
      </c>
      <c r="U61" s="104">
        <f t="shared" si="2"/>
        <v>200</v>
      </c>
      <c r="V61" s="104">
        <v>2032</v>
      </c>
      <c r="W61" s="104">
        <f t="shared" si="3"/>
        <v>249</v>
      </c>
      <c r="X61" s="104">
        <v>2530</v>
      </c>
      <c r="Y61" s="104">
        <f t="shared" si="4"/>
        <v>270.5</v>
      </c>
      <c r="Z61" s="104">
        <v>3071</v>
      </c>
      <c r="AA61" s="104">
        <f t="shared" si="5"/>
        <v>0</v>
      </c>
      <c r="AB61" s="104">
        <v>3071</v>
      </c>
      <c r="AC61" s="104">
        <f t="shared" si="6"/>
        <v>0</v>
      </c>
      <c r="AD61" s="104">
        <v>3071</v>
      </c>
      <c r="AE61" s="105">
        <f t="shared" si="7"/>
        <v>-2788</v>
      </c>
    </row>
    <row r="62" spans="14:31" ht="15.6" customHeight="1" x14ac:dyDescent="0.3">
      <c r="N62" s="212"/>
      <c r="O62" s="95" t="s">
        <v>66</v>
      </c>
      <c r="P62" s="106"/>
      <c r="Q62" s="106">
        <v>6167</v>
      </c>
      <c r="R62" s="106">
        <v>2190</v>
      </c>
      <c r="S62" s="106">
        <f t="shared" si="1"/>
        <v>849</v>
      </c>
      <c r="T62" s="106">
        <v>3888</v>
      </c>
      <c r="U62" s="106">
        <f t="shared" si="2"/>
        <v>434.5</v>
      </c>
      <c r="V62" s="106">
        <v>4757</v>
      </c>
      <c r="W62" s="106">
        <f t="shared" si="3"/>
        <v>165</v>
      </c>
      <c r="X62" s="106">
        <v>5087</v>
      </c>
      <c r="Y62" s="106">
        <f t="shared" si="4"/>
        <v>0</v>
      </c>
      <c r="Z62" s="106">
        <v>5087</v>
      </c>
      <c r="AA62" s="106">
        <f t="shared" si="5"/>
        <v>0</v>
      </c>
      <c r="AB62" s="106">
        <v>5087</v>
      </c>
      <c r="AC62" s="106">
        <f t="shared" si="6"/>
        <v>0</v>
      </c>
      <c r="AD62" s="106">
        <v>5087</v>
      </c>
      <c r="AE62" s="107">
        <f t="shared" si="7"/>
        <v>-1080</v>
      </c>
    </row>
    <row r="63" spans="14:31" ht="15.6" customHeight="1" x14ac:dyDescent="0.3">
      <c r="N63" s="212"/>
      <c r="O63" s="94" t="s">
        <v>67</v>
      </c>
      <c r="P63" s="108"/>
      <c r="Q63" s="108">
        <v>5184</v>
      </c>
      <c r="R63" s="108">
        <v>604</v>
      </c>
      <c r="S63" s="108">
        <f t="shared" si="1"/>
        <v>384.5</v>
      </c>
      <c r="T63" s="108">
        <v>1373</v>
      </c>
      <c r="U63" s="108">
        <f t="shared" si="2"/>
        <v>314.5</v>
      </c>
      <c r="V63" s="108">
        <v>2002</v>
      </c>
      <c r="W63" s="108">
        <f t="shared" si="3"/>
        <v>579</v>
      </c>
      <c r="X63" s="108">
        <v>3160</v>
      </c>
      <c r="Y63" s="108">
        <f t="shared" si="4"/>
        <v>210.5</v>
      </c>
      <c r="Z63" s="108">
        <v>3581</v>
      </c>
      <c r="AA63" s="108">
        <f t="shared" si="5"/>
        <v>0</v>
      </c>
      <c r="AB63" s="108">
        <v>3581</v>
      </c>
      <c r="AC63" s="108">
        <f t="shared" si="6"/>
        <v>0</v>
      </c>
      <c r="AD63" s="108">
        <v>3581</v>
      </c>
      <c r="AE63" s="109">
        <f t="shared" si="7"/>
        <v>-1603</v>
      </c>
    </row>
    <row r="64" spans="14:31" ht="15.6" customHeight="1" thickBot="1" x14ac:dyDescent="0.35">
      <c r="N64" s="213"/>
      <c r="O64" s="99" t="s">
        <v>68</v>
      </c>
      <c r="P64" s="114"/>
      <c r="Q64" s="114">
        <v>2320</v>
      </c>
      <c r="R64" s="114">
        <v>294</v>
      </c>
      <c r="S64" s="114">
        <f t="shared" si="1"/>
        <v>24</v>
      </c>
      <c r="T64" s="114">
        <v>342</v>
      </c>
      <c r="U64" s="114">
        <f t="shared" si="2"/>
        <v>115</v>
      </c>
      <c r="V64" s="114">
        <v>572</v>
      </c>
      <c r="W64" s="114">
        <f t="shared" si="3"/>
        <v>184.5</v>
      </c>
      <c r="X64" s="114">
        <v>941</v>
      </c>
      <c r="Y64" s="114">
        <f t="shared" si="4"/>
        <v>13.5</v>
      </c>
      <c r="Z64" s="114">
        <v>968</v>
      </c>
      <c r="AA64" s="114">
        <f t="shared" si="5"/>
        <v>0</v>
      </c>
      <c r="AB64" s="114">
        <v>968</v>
      </c>
      <c r="AC64" s="114">
        <f t="shared" si="6"/>
        <v>0</v>
      </c>
      <c r="AD64" s="114">
        <v>968</v>
      </c>
      <c r="AE64" s="115">
        <f t="shared" si="7"/>
        <v>-1352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99" priority="11" operator="lessThan">
      <formula>0</formula>
    </cfRule>
    <cfRule type="cellIs" dxfId="1498" priority="12" operator="greaterThan">
      <formula>0</formula>
    </cfRule>
  </conditionalFormatting>
  <conditionalFormatting sqref="R25:AC25">
    <cfRule type="cellIs" dxfId="1497" priority="9" operator="lessThan">
      <formula>0</formula>
    </cfRule>
    <cfRule type="cellIs" dxfId="1496" priority="10" operator="greaterThan">
      <formula>0</formula>
    </cfRule>
  </conditionalFormatting>
  <conditionalFormatting sqref="R26 T26 V26 X26 Z26 AB26">
    <cfRule type="cellIs" dxfId="1495" priority="7" operator="lessThan">
      <formula>0</formula>
    </cfRule>
    <cfRule type="cellIs" dxfId="1494" priority="8" operator="greaterThan">
      <formula>0</formula>
    </cfRule>
  </conditionalFormatting>
  <conditionalFormatting sqref="AD24:AE24">
    <cfRule type="cellIs" dxfId="1493" priority="5" operator="lessThan">
      <formula>0</formula>
    </cfRule>
    <cfRule type="cellIs" dxfId="1492" priority="6" operator="greaterThan">
      <formula>0</formula>
    </cfRule>
  </conditionalFormatting>
  <conditionalFormatting sqref="AD25:AE25">
    <cfRule type="cellIs" dxfId="1491" priority="3" operator="lessThan">
      <formula>0</formula>
    </cfRule>
    <cfRule type="cellIs" dxfId="1490" priority="4" operator="greaterThan">
      <formula>0</formula>
    </cfRule>
  </conditionalFormatting>
  <conditionalFormatting sqref="AD26">
    <cfRule type="cellIs" dxfId="1489" priority="1" operator="lessThan">
      <formula>0</formula>
    </cfRule>
    <cfRule type="cellIs" dxfId="148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>
    <tabColor theme="1"/>
    <pageSetUpPr fitToPage="1"/>
  </sheetPr>
  <dimension ref="B1:AQ64"/>
  <sheetViews>
    <sheetView topLeftCell="G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44394</v>
      </c>
    </row>
    <row r="3" spans="2:42" ht="18.75" customHeight="1" thickBot="1" x14ac:dyDescent="0.35">
      <c r="B3" t="s">
        <v>1</v>
      </c>
      <c r="C3" s="3">
        <f>C2+1</f>
        <v>44395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17890</v>
      </c>
      <c r="G6" s="117">
        <v>14712.121125</v>
      </c>
      <c r="H6" s="117">
        <v>11348.73522672</v>
      </c>
      <c r="I6" s="19">
        <f>G6+H6</f>
        <v>26060.856351720002</v>
      </c>
      <c r="J6" s="119">
        <v>18826</v>
      </c>
      <c r="K6" s="117">
        <v>15322.319</v>
      </c>
      <c r="L6" s="117">
        <v>11541.90191208</v>
      </c>
      <c r="M6" s="19">
        <f>K6+L6</f>
        <v>26864.22091208</v>
      </c>
      <c r="N6" s="85">
        <v>85</v>
      </c>
      <c r="O6" s="85">
        <v>69</v>
      </c>
      <c r="P6" s="92"/>
      <c r="Q6" s="20">
        <f>J6-P6</f>
        <v>18826</v>
      </c>
      <c r="R6" s="21">
        <v>3940</v>
      </c>
      <c r="S6" s="20">
        <f>IF(R6&gt;0,(R6-R7-$Q6),"")</f>
        <v>-14886</v>
      </c>
      <c r="T6" s="21">
        <v>7920</v>
      </c>
      <c r="U6" s="20">
        <f>IF(T6&gt;0,(T6-T7-$Q6),"")</f>
        <v>-11579</v>
      </c>
      <c r="V6" s="21">
        <v>9727</v>
      </c>
      <c r="W6" s="20">
        <f>IF(V6&gt;0,(V6-V7-$Q6),"")</f>
        <v>-9772</v>
      </c>
      <c r="X6" s="21">
        <v>13792</v>
      </c>
      <c r="Y6" s="20">
        <f>IF(X6&gt;0,(X6-X7-$Q6),"")</f>
        <v>-6176</v>
      </c>
      <c r="Z6" s="21">
        <v>13792</v>
      </c>
      <c r="AA6" s="20">
        <f>IF(Z6&gt;0,(Z6-Z7-$Q6),"")</f>
        <v>-6176</v>
      </c>
      <c r="AB6" s="21">
        <v>13792</v>
      </c>
      <c r="AC6" s="22">
        <f>IF(AB6&gt;0,(AB6-AB7-$Q6),"")</f>
        <v>-6176</v>
      </c>
      <c r="AD6" s="21">
        <v>13792</v>
      </c>
      <c r="AE6" s="22">
        <f>IF(AD6&gt;0,(AD6-AD7-$Q6),"")</f>
        <v>-6176</v>
      </c>
    </row>
    <row r="7" spans="2:42" x14ac:dyDescent="0.3">
      <c r="B7" s="16" t="s">
        <v>23</v>
      </c>
      <c r="C7" s="17">
        <v>2264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0</v>
      </c>
      <c r="S7" s="24"/>
      <c r="T7" s="25">
        <v>673</v>
      </c>
      <c r="U7" s="24"/>
      <c r="V7" s="25">
        <v>673</v>
      </c>
      <c r="W7" s="24"/>
      <c r="X7" s="25">
        <v>1142</v>
      </c>
      <c r="Y7" s="24"/>
      <c r="Z7" s="25">
        <v>1142</v>
      </c>
      <c r="AA7" s="24"/>
      <c r="AB7" s="25">
        <v>1142</v>
      </c>
      <c r="AC7" s="26"/>
      <c r="AD7" s="25">
        <v>1142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3220</v>
      </c>
      <c r="E8" s="29" t="s">
        <v>27</v>
      </c>
      <c r="F8" s="119">
        <v>14770</v>
      </c>
      <c r="G8" s="117">
        <v>6291.8149999999996</v>
      </c>
      <c r="H8" s="117">
        <v>1397.1028225</v>
      </c>
      <c r="I8" s="19">
        <f>G8+H8</f>
        <v>7688.9178224999996</v>
      </c>
      <c r="J8" s="119">
        <v>14950</v>
      </c>
      <c r="K8" s="117">
        <v>6359.728000000001</v>
      </c>
      <c r="L8" s="117">
        <v>1402.9547522</v>
      </c>
      <c r="M8" s="19">
        <f>K8+L8</f>
        <v>7762.6827522000012</v>
      </c>
      <c r="N8" s="87">
        <v>34</v>
      </c>
      <c r="O8" s="87">
        <v>26</v>
      </c>
      <c r="P8" s="92"/>
      <c r="Q8" s="20">
        <f>J8-P8</f>
        <v>14950</v>
      </c>
      <c r="R8" s="21">
        <v>1850</v>
      </c>
      <c r="S8" s="20">
        <f>IF(R8&gt;0,(R8-R9-$Q8),"")</f>
        <v>-13100</v>
      </c>
      <c r="T8" s="21">
        <v>2693</v>
      </c>
      <c r="U8" s="20">
        <f>IF(T8&gt;0,(T8-T9-$Q8),"")</f>
        <v>-12257</v>
      </c>
      <c r="V8" s="21">
        <v>7466</v>
      </c>
      <c r="W8" s="20">
        <f>IF(V8&gt;0,(V8-V9-$Q8),"")</f>
        <v>-7484</v>
      </c>
      <c r="X8" s="21">
        <v>12244</v>
      </c>
      <c r="Y8" s="20">
        <f>IF(X8&gt;0,(X8-X9-$Q8),"")</f>
        <v>-2706</v>
      </c>
      <c r="Z8" s="21">
        <v>14480</v>
      </c>
      <c r="AA8" s="20">
        <f>IF(Z8&gt;0,(Z8-Z9-$Q8),"")</f>
        <v>-470</v>
      </c>
      <c r="AB8" s="21">
        <v>14480</v>
      </c>
      <c r="AC8" s="22">
        <f>IF(AB8&gt;0,(AB8-AB9-$Q8),"")</f>
        <v>-470</v>
      </c>
      <c r="AD8" s="21">
        <v>14480</v>
      </c>
      <c r="AE8" s="22">
        <f>IF(AD8&gt;0,(AD8-AD9-$Q8),"")</f>
        <v>-470</v>
      </c>
    </row>
    <row r="9" spans="2:42" x14ac:dyDescent="0.3">
      <c r="B9" s="28" t="s">
        <v>28</v>
      </c>
      <c r="C9" s="17">
        <v>1518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4618</v>
      </c>
      <c r="E10" s="18" t="s">
        <v>31</v>
      </c>
      <c r="F10" s="119">
        <v>18290</v>
      </c>
      <c r="G10" s="117">
        <v>14629.412249999999</v>
      </c>
      <c r="H10" s="117">
        <v>1703.1087500000001</v>
      </c>
      <c r="I10" s="19">
        <f>G10+H10</f>
        <v>16332.520999999999</v>
      </c>
      <c r="J10" s="119">
        <v>18459</v>
      </c>
      <c r="K10" s="117">
        <v>14705.918750000001</v>
      </c>
      <c r="L10" s="117">
        <v>1668.2547125000001</v>
      </c>
      <c r="M10" s="19">
        <f>K10+L10</f>
        <v>16374.173462500001</v>
      </c>
      <c r="N10" s="88">
        <v>50</v>
      </c>
      <c r="O10" s="88">
        <v>42</v>
      </c>
      <c r="P10" s="92"/>
      <c r="Q10" s="20">
        <f>J10-P10</f>
        <v>18459</v>
      </c>
      <c r="R10" s="21">
        <v>3588</v>
      </c>
      <c r="S10" s="20">
        <f>IF(R10&gt;0,(R10-R11-$Q10),"")</f>
        <v>-15239</v>
      </c>
      <c r="T10" s="21">
        <v>4121</v>
      </c>
      <c r="U10" s="20">
        <f>IF(T10&gt;0,(T10-T11-$Q10),"")</f>
        <v>-14612</v>
      </c>
      <c r="V10" s="21">
        <v>7179</v>
      </c>
      <c r="W10" s="20">
        <f>IF(V10&gt;0,(V10-V11-$Q10),"")</f>
        <v>-11987</v>
      </c>
      <c r="X10" s="21">
        <v>10576</v>
      </c>
      <c r="Y10" s="20">
        <f>IF(X10&gt;0,(X10-X11-$Q10),"")</f>
        <v>-9100</v>
      </c>
      <c r="Z10" s="21">
        <v>13143</v>
      </c>
      <c r="AA10" s="20">
        <f>IF(Z10&gt;0,(Z10-Z11-$Q10),"")</f>
        <v>-6919</v>
      </c>
      <c r="AB10" s="21">
        <v>13143</v>
      </c>
      <c r="AC10" s="22">
        <f>IF(AB10&gt;0,(AB10-AB11-$Q10),"")</f>
        <v>-6919</v>
      </c>
      <c r="AD10" s="21">
        <v>13143</v>
      </c>
      <c r="AE10" s="22">
        <f>IF(AD10&gt;0,(AD10-AD11-$Q10),"")</f>
        <v>-6919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368</v>
      </c>
      <c r="S11" s="24"/>
      <c r="T11" s="30">
        <v>274</v>
      </c>
      <c r="U11" s="24"/>
      <c r="V11" s="30">
        <v>707</v>
      </c>
      <c r="W11" s="24"/>
      <c r="X11" s="30">
        <v>1217</v>
      </c>
      <c r="Y11" s="24"/>
      <c r="Z11" s="30">
        <v>1603</v>
      </c>
      <c r="AA11" s="24"/>
      <c r="AB11" s="30">
        <v>1603</v>
      </c>
      <c r="AC11" s="26"/>
      <c r="AD11" s="30">
        <v>1603</v>
      </c>
      <c r="AE11" s="26"/>
    </row>
    <row r="12" spans="2:42" x14ac:dyDescent="0.3">
      <c r="B12" s="16" t="s">
        <v>34</v>
      </c>
      <c r="C12" s="17">
        <v>1715</v>
      </c>
      <c r="E12" s="29" t="s">
        <v>35</v>
      </c>
      <c r="F12" s="119">
        <v>10842</v>
      </c>
      <c r="G12" s="117">
        <v>9850.6422500000008</v>
      </c>
      <c r="H12" s="117">
        <v>16327.41181931999</v>
      </c>
      <c r="I12" s="19">
        <f>G12+H12</f>
        <v>26178.054069319991</v>
      </c>
      <c r="J12" s="119">
        <v>10687</v>
      </c>
      <c r="K12" s="117">
        <v>9515.6485000000011</v>
      </c>
      <c r="L12" s="117">
        <v>15603.677435740001</v>
      </c>
      <c r="M12" s="19">
        <f>K12+L12</f>
        <v>25119.325935740002</v>
      </c>
      <c r="N12" s="88">
        <v>58</v>
      </c>
      <c r="O12" s="88">
        <v>42</v>
      </c>
      <c r="P12" s="92"/>
      <c r="Q12" s="20">
        <f>J12-P12</f>
        <v>10687</v>
      </c>
      <c r="R12" s="21">
        <v>3306</v>
      </c>
      <c r="S12" s="20">
        <f>IF(R12&gt;0,(R12-R13-$Q12),"")</f>
        <v>-7946</v>
      </c>
      <c r="T12" s="21">
        <v>4273</v>
      </c>
      <c r="U12" s="20">
        <f>IF(T12&gt;0,(T12-T13-$Q12),"")</f>
        <v>-7445</v>
      </c>
      <c r="V12" s="21">
        <v>6629</v>
      </c>
      <c r="W12" s="20">
        <f>IF(V12&gt;0,(V12-V13-$Q12),"")</f>
        <v>-5774</v>
      </c>
      <c r="X12" s="21">
        <v>7694</v>
      </c>
      <c r="Y12" s="20">
        <f>IF(X12&gt;0,(X12-X13-$Q12),"")</f>
        <v>-4716</v>
      </c>
      <c r="Z12" s="21">
        <v>7694</v>
      </c>
      <c r="AA12" s="20">
        <f>IF(Z12&gt;0,(Z12-Z13-$Q12),"")</f>
        <v>-4716</v>
      </c>
      <c r="AB12" s="21">
        <v>7694</v>
      </c>
      <c r="AC12" s="22">
        <f>IF(AB12&gt;0,(AB12-AB13-$Q12),"")</f>
        <v>-4716</v>
      </c>
      <c r="AD12" s="21">
        <v>7694</v>
      </c>
      <c r="AE12" s="22">
        <f>IF(AD12&gt;0,(AD12-AD13-$Q12),"")</f>
        <v>-4716</v>
      </c>
    </row>
    <row r="13" spans="2:42" x14ac:dyDescent="0.3">
      <c r="B13" s="16" t="s">
        <v>36</v>
      </c>
      <c r="C13" s="17">
        <v>5204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16</v>
      </c>
      <c r="P13" s="93" t="s">
        <v>37</v>
      </c>
      <c r="Q13" s="24"/>
      <c r="R13" s="30">
        <v>565</v>
      </c>
      <c r="S13" s="24"/>
      <c r="T13" s="30">
        <v>1031</v>
      </c>
      <c r="U13" s="24"/>
      <c r="V13" s="30">
        <v>1716</v>
      </c>
      <c r="W13" s="24"/>
      <c r="X13" s="30">
        <v>1723</v>
      </c>
      <c r="Y13" s="24"/>
      <c r="Z13" s="30">
        <v>1723</v>
      </c>
      <c r="AA13" s="24"/>
      <c r="AB13" s="30">
        <v>1723</v>
      </c>
      <c r="AC13" s="26"/>
      <c r="AD13" s="30">
        <v>1723</v>
      </c>
      <c r="AE13" s="26"/>
    </row>
    <row r="14" spans="2:42" x14ac:dyDescent="0.3">
      <c r="B14" s="16" t="s">
        <v>38</v>
      </c>
      <c r="C14" s="17">
        <v>8411</v>
      </c>
      <c r="E14" s="18" t="s">
        <v>39</v>
      </c>
      <c r="F14" s="119">
        <v>20132</v>
      </c>
      <c r="G14" s="117">
        <v>19353.25</v>
      </c>
      <c r="H14" s="117">
        <v>21892.789216130011</v>
      </c>
      <c r="I14" s="19">
        <f>G14+H14</f>
        <v>41246.039216130011</v>
      </c>
      <c r="J14" s="119">
        <v>20132</v>
      </c>
      <c r="K14" s="117">
        <v>19353.25</v>
      </c>
      <c r="L14" s="117">
        <v>21871.789216130001</v>
      </c>
      <c r="M14" s="19">
        <f>K14+L14</f>
        <v>41225.039216129997</v>
      </c>
      <c r="N14" s="88">
        <v>87</v>
      </c>
      <c r="O14" s="88">
        <v>62</v>
      </c>
      <c r="P14" s="92"/>
      <c r="Q14" s="20">
        <f>J14-P14</f>
        <v>20132</v>
      </c>
      <c r="R14" s="21">
        <v>4392</v>
      </c>
      <c r="S14" s="20">
        <f>IF(R14&gt;0,(R14-R15-$Q14),"")</f>
        <v>-19496</v>
      </c>
      <c r="T14" s="21">
        <v>7580</v>
      </c>
      <c r="U14" s="20">
        <f>IF(T14&gt;0,(T14-T15-$Q14),"")</f>
        <v>-19110</v>
      </c>
      <c r="V14" s="21">
        <v>9625</v>
      </c>
      <c r="W14" s="20">
        <f>IF(V14&gt;0,(V14-V15-$Q14),"")</f>
        <v>-18883</v>
      </c>
      <c r="X14" s="21">
        <v>12630</v>
      </c>
      <c r="Y14" s="20">
        <f>IF(X14&gt;0,(X14-X15-$Q14),"")</f>
        <v>-17868</v>
      </c>
      <c r="Z14" s="21">
        <v>14196</v>
      </c>
      <c r="AA14" s="20">
        <f>IF(Z14&gt;0,(Z14-Z15-$Q14),"")</f>
        <v>-16683</v>
      </c>
      <c r="AB14" s="21">
        <v>14196</v>
      </c>
      <c r="AC14" s="22">
        <f>IF(AB14&gt;0,(AB14-AB15-$Q14),"")</f>
        <v>-16683</v>
      </c>
      <c r="AD14" s="21">
        <v>14196</v>
      </c>
      <c r="AE14" s="22">
        <f>IF(AD14&gt;0,(AD14-AD15-$Q14),"")</f>
        <v>-16683</v>
      </c>
    </row>
    <row r="15" spans="2:42" ht="15" customHeight="1" thickBot="1" x14ac:dyDescent="0.35">
      <c r="B15" s="16" t="s">
        <v>40</v>
      </c>
      <c r="C15" s="17">
        <v>2749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3756</v>
      </c>
      <c r="S15" s="24"/>
      <c r="T15" s="25">
        <v>6558</v>
      </c>
      <c r="U15" s="24"/>
      <c r="V15" s="25">
        <v>8376</v>
      </c>
      <c r="W15" s="24"/>
      <c r="X15" s="25">
        <v>10366</v>
      </c>
      <c r="Y15" s="24"/>
      <c r="Z15" s="25">
        <v>10747</v>
      </c>
      <c r="AA15" s="24"/>
      <c r="AB15" s="25">
        <v>10747</v>
      </c>
      <c r="AC15" s="26"/>
      <c r="AD15" s="25">
        <v>10747</v>
      </c>
      <c r="AE15" s="26"/>
    </row>
    <row r="16" spans="2:42" ht="15" customHeight="1" thickBot="1" x14ac:dyDescent="0.35">
      <c r="B16" s="28" t="s">
        <v>42</v>
      </c>
      <c r="C16" s="17">
        <v>12062</v>
      </c>
      <c r="E16" s="84"/>
      <c r="F16" s="31">
        <f t="shared" ref="F16:M16" si="0">SUM(F6:F15)</f>
        <v>81924</v>
      </c>
      <c r="G16" s="31">
        <f t="shared" si="0"/>
        <v>64837.240625000006</v>
      </c>
      <c r="H16" s="31">
        <f t="shared" si="0"/>
        <v>52669.147834670002</v>
      </c>
      <c r="I16" s="32">
        <f t="shared" si="0"/>
        <v>117506.38845967001</v>
      </c>
      <c r="J16" s="33">
        <f t="shared" si="0"/>
        <v>83054</v>
      </c>
      <c r="K16" s="33">
        <f t="shared" si="0"/>
        <v>65256.864250000006</v>
      </c>
      <c r="L16" s="33">
        <f t="shared" si="0"/>
        <v>52088.578028650001</v>
      </c>
      <c r="M16" s="33">
        <f t="shared" si="0"/>
        <v>117345.44227864999</v>
      </c>
      <c r="N16" s="31">
        <f>SUM(N14,N12,N10,N8,N6)</f>
        <v>314</v>
      </c>
      <c r="O16" s="31">
        <f>SUM(O14,O12,O10,O8,O6)</f>
        <v>241</v>
      </c>
      <c r="P16" s="34">
        <f>SUM(P6:P15)</f>
        <v>0</v>
      </c>
      <c r="Q16" s="34">
        <f>SUM(Q6:Q15)</f>
        <v>83054</v>
      </c>
      <c r="R16" s="35">
        <f>R6+R8+R10+R12+R14-R7-R9-R11-R13-R15</f>
        <v>12387</v>
      </c>
      <c r="S16" s="36">
        <f>IF(R16&gt;1,(R16-$Q16),"")</f>
        <v>-70667</v>
      </c>
      <c r="T16" s="35">
        <f>T6+T8+T10+T12+T14-T7-T9-T11-T13-T15</f>
        <v>18051</v>
      </c>
      <c r="U16" s="36">
        <f>IF(T16&gt;1,(T16-$Q16),"")</f>
        <v>-65003</v>
      </c>
      <c r="V16" s="35">
        <f>V6+V8+V10+V12+V14-V7-V9-V11-V13-V15</f>
        <v>29154</v>
      </c>
      <c r="W16" s="36">
        <f>IF(V16&gt;1,(V16-$Q16),"")</f>
        <v>-53900</v>
      </c>
      <c r="X16" s="35">
        <f>X6+X8+X10+X12+X14-X7-X9-X11-X13-X15</f>
        <v>42488</v>
      </c>
      <c r="Y16" s="36">
        <f>IF(X16&gt;1,(X16-$Q16),"")</f>
        <v>-40566</v>
      </c>
      <c r="Z16" s="35">
        <f>Z6+Z8+Z10+Z12+Z14-Z7-Z9-Z11-Z13-Z15</f>
        <v>48090</v>
      </c>
      <c r="AA16" s="36">
        <f>IF(Z16&gt;1,(Z16-$Q16),"")</f>
        <v>-34964</v>
      </c>
      <c r="AB16" s="35">
        <f>AB6+AB8+AB10+AB12+AB14-AB7-AB9-AB11-AB13-AB15</f>
        <v>48090</v>
      </c>
      <c r="AC16" s="37">
        <f>IF(AB16&gt;1,(AB16-$Q16),"")</f>
        <v>-34964</v>
      </c>
      <c r="AD16" s="35">
        <f>AD6+AD8+AD10+AD12+AD14-AD7-AD9-AD11-AD13-AD15</f>
        <v>48090</v>
      </c>
      <c r="AE16" s="37">
        <f>IF(AD16&gt;1,(AD16-$Q16),"")</f>
        <v>-34964</v>
      </c>
    </row>
    <row r="17" spans="2:43" s="4" customFormat="1" ht="15" customHeight="1" thickBot="1" x14ac:dyDescent="0.35">
      <c r="B17" s="43" t="s">
        <v>47</v>
      </c>
      <c r="C17" s="17">
        <v>1687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73</v>
      </c>
      <c r="P17" s="38" t="s">
        <v>44</v>
      </c>
      <c r="Q17" s="39"/>
      <c r="R17" s="40">
        <f>R15+R13+R11+R9+R7</f>
        <v>4689</v>
      </c>
      <c r="S17" s="41"/>
      <c r="T17" s="40">
        <f>T15+T13+T11+T9+T7</f>
        <v>8536</v>
      </c>
      <c r="U17" s="41"/>
      <c r="V17" s="40">
        <f>V15+V13+V11+V9+V7</f>
        <v>11472</v>
      </c>
      <c r="W17" s="41"/>
      <c r="X17" s="40">
        <f>X15+X13+X11+X9+X7</f>
        <v>14448</v>
      </c>
      <c r="Y17" s="41"/>
      <c r="Z17" s="40">
        <f>Z15+Z13+Z11+Z9+Z7</f>
        <v>15215</v>
      </c>
      <c r="AA17" s="41"/>
      <c r="AB17" s="40">
        <f>AB15+AB13+AB11+AB9+AB7</f>
        <v>15215</v>
      </c>
      <c r="AC17" s="42"/>
      <c r="AD17" s="40">
        <f>AD15+AD13+AD11+AD9+AD7</f>
        <v>15215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555</v>
      </c>
      <c r="P18" s="45" t="s">
        <v>46</v>
      </c>
      <c r="Q18" s="46"/>
      <c r="R18" s="47">
        <f>IF(R16&gt;0,(R16)/2,"")</f>
        <v>6193.5</v>
      </c>
      <c r="S18" s="46"/>
      <c r="T18" s="47">
        <f>IF(T16&gt;0,(T16-R16)/2,"")</f>
        <v>2832</v>
      </c>
      <c r="U18" s="46"/>
      <c r="V18" s="47">
        <f>IF(V16&gt;0,(V16-T16)/2,"")</f>
        <v>5551.5</v>
      </c>
      <c r="W18" s="46"/>
      <c r="X18" s="47">
        <f>IF(X16&gt;0,(X16-V16)/2,"")</f>
        <v>6667</v>
      </c>
      <c r="Y18" s="46"/>
      <c r="Z18" s="47">
        <f>IF(Z16&gt;0,(Z16-X16)/2,"")</f>
        <v>2801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8373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1930</v>
      </c>
      <c r="L20" s="4"/>
      <c r="M20" s="4"/>
      <c r="Q20" s="51" t="s">
        <v>49</v>
      </c>
      <c r="R20" s="35">
        <v>5301</v>
      </c>
      <c r="S20" s="36"/>
      <c r="T20" s="35">
        <v>11361</v>
      </c>
      <c r="U20" s="36"/>
      <c r="V20" s="35">
        <v>18551</v>
      </c>
      <c r="W20" s="36"/>
      <c r="X20" s="35">
        <v>30607</v>
      </c>
      <c r="Y20" s="36"/>
      <c r="Z20" s="35">
        <v>35551</v>
      </c>
      <c r="AA20" s="36"/>
      <c r="AB20" s="35">
        <v>35551</v>
      </c>
      <c r="AC20" s="37"/>
      <c r="AD20" s="35">
        <v>35551</v>
      </c>
      <c r="AE20" s="37">
        <v>-40741</v>
      </c>
    </row>
    <row r="21" spans="2:43" ht="15" customHeight="1" thickBot="1" x14ac:dyDescent="0.35">
      <c r="B21" s="57" t="s">
        <v>52</v>
      </c>
      <c r="C21" s="58">
        <v>4177</v>
      </c>
      <c r="L21" s="4"/>
      <c r="M21" s="4"/>
      <c r="Q21" s="52"/>
      <c r="R21" s="40">
        <v>5303</v>
      </c>
      <c r="S21" s="41"/>
      <c r="T21" s="40">
        <v>8119</v>
      </c>
      <c r="U21" s="41"/>
      <c r="V21" s="40">
        <v>9388</v>
      </c>
      <c r="W21" s="41"/>
      <c r="X21" s="40">
        <v>12627</v>
      </c>
      <c r="Y21" s="41"/>
      <c r="Z21" s="40">
        <v>13448</v>
      </c>
      <c r="AA21" s="41"/>
      <c r="AB21" s="40">
        <v>13448</v>
      </c>
      <c r="AC21" s="42"/>
      <c r="AD21" s="40">
        <v>13448</v>
      </c>
      <c r="AE21" s="42"/>
    </row>
    <row r="22" spans="2:43" ht="15" customHeight="1" thickBot="1" x14ac:dyDescent="0.35">
      <c r="L22" s="4"/>
      <c r="M22" s="4"/>
      <c r="Q22" s="54"/>
      <c r="R22" s="55">
        <v>2650.5</v>
      </c>
      <c r="S22" s="55"/>
      <c r="T22" s="55">
        <v>3030</v>
      </c>
      <c r="U22" s="55"/>
      <c r="V22" s="55">
        <v>3595</v>
      </c>
      <c r="W22" s="55"/>
      <c r="X22" s="55">
        <v>6028</v>
      </c>
      <c r="Y22" s="55"/>
      <c r="Z22" s="55">
        <v>2472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7086</v>
      </c>
      <c r="S24" s="60"/>
      <c r="T24" s="60">
        <f>IF(T16&gt;0,T16-T20,"")</f>
        <v>6690</v>
      </c>
      <c r="U24" s="60"/>
      <c r="V24" s="60">
        <f>IF(V16&gt;0,V16-V20,"")</f>
        <v>10603</v>
      </c>
      <c r="W24" s="60"/>
      <c r="X24" s="60">
        <f>IF(X16&gt;0,X16-X20,"")</f>
        <v>11881</v>
      </c>
      <c r="Y24" s="60"/>
      <c r="Z24" s="60">
        <f>IF(Z16&gt;0,Z16-Z20,"")</f>
        <v>12539</v>
      </c>
      <c r="AA24" s="60"/>
      <c r="AB24" s="60">
        <f>IF(AB16&gt;0,AB16-AB20,"")</f>
        <v>12539</v>
      </c>
      <c r="AC24" s="61"/>
      <c r="AD24" s="60">
        <f>IF(AD16&gt;0,AD16-AD20,"")</f>
        <v>12539</v>
      </c>
      <c r="AE24" s="61"/>
    </row>
    <row r="25" spans="2:43" x14ac:dyDescent="0.3">
      <c r="L25" s="4"/>
      <c r="M25" s="4"/>
      <c r="Q25" s="62"/>
      <c r="R25" s="63">
        <f>IF(R17&gt;=0,R17-R21,"")</f>
        <v>-614</v>
      </c>
      <c r="S25" s="64"/>
      <c r="T25" s="63">
        <f>IF(T17&gt;=0,T17-T21,"")</f>
        <v>417</v>
      </c>
      <c r="U25" s="64"/>
      <c r="V25" s="63">
        <f>IF(V17&gt;=0,V17-V21,"")</f>
        <v>2084</v>
      </c>
      <c r="W25" s="64"/>
      <c r="X25" s="63">
        <f>IF(X17&gt;=0,X17-X21,"")</f>
        <v>1821</v>
      </c>
      <c r="Y25" s="64"/>
      <c r="Z25" s="63">
        <f>IF(Z17&gt;=0,Z17-Z21,"")</f>
        <v>1767</v>
      </c>
      <c r="AA25" s="64"/>
      <c r="AB25" s="63">
        <f>IF(AB17&gt;=0,AB17-AB21,"")</f>
        <v>1767</v>
      </c>
      <c r="AC25" s="65"/>
      <c r="AD25" s="63">
        <f>IF(AD17&gt;=0,AD17-AD21,"")</f>
        <v>1767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3543</v>
      </c>
      <c r="S26" s="55"/>
      <c r="T26" s="67">
        <f>IFERROR(IF(T18&gt;0,T18-T22,""),"")</f>
        <v>-198</v>
      </c>
      <c r="U26" s="55"/>
      <c r="V26" s="67">
        <f>IFERROR(IF(V18&gt;0,V18-V22,""),"")</f>
        <v>1956.5</v>
      </c>
      <c r="W26" s="55"/>
      <c r="X26" s="67">
        <f>IFERROR(IF(X18&gt;0,X18-X22,""),"")</f>
        <v>639</v>
      </c>
      <c r="Y26" s="55"/>
      <c r="Z26" s="67">
        <f>IFERROR(IF(Z18&gt;0,Z18-Z22,""),"")</f>
        <v>329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7415</v>
      </c>
      <c r="D29" s="76">
        <f>C14</f>
        <v>8411</v>
      </c>
      <c r="E29" s="77">
        <f>D29-C29</f>
        <v>996</v>
      </c>
      <c r="M29" s="4"/>
      <c r="O29" s="4"/>
    </row>
    <row r="30" spans="2:43" x14ac:dyDescent="0.3">
      <c r="B30" s="74" t="s">
        <v>56</v>
      </c>
      <c r="C30" s="122">
        <v>34674</v>
      </c>
      <c r="D30" s="76">
        <f>C7+C15+C16+C17+C18</f>
        <v>19317</v>
      </c>
      <c r="E30" s="77">
        <f>D30-C30</f>
        <v>-15357</v>
      </c>
      <c r="J30" s="53"/>
      <c r="L30" s="53"/>
      <c r="M30" s="4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13626</v>
      </c>
      <c r="D32" s="76">
        <f>C10+C11+C12+C13</f>
        <v>13626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14320</v>
      </c>
      <c r="D33" s="76">
        <f>C19+C20+C21</f>
        <v>14480</v>
      </c>
      <c r="E33" s="77">
        <f>D33-C33</f>
        <v>160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4738</v>
      </c>
      <c r="D34" s="80">
        <f>SUM(C8+C9)</f>
        <v>4738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2164</v>
      </c>
      <c r="R35" s="104">
        <v>669</v>
      </c>
      <c r="S35" s="104">
        <f t="shared" ref="S35:S64" si="1">IF(T35&gt;0,(T35-R35)/2,"")</f>
        <v>34</v>
      </c>
      <c r="T35" s="104">
        <v>737</v>
      </c>
      <c r="U35" s="104">
        <f t="shared" ref="U35:U64" si="2">IF(V35&gt;0,(V35-T35)/2,"")</f>
        <v>199.5</v>
      </c>
      <c r="V35" s="104">
        <v>1136</v>
      </c>
      <c r="W35" s="104">
        <f t="shared" ref="W35:W64" si="3">IF(X35&gt;0,(X35-V35)/2,"")</f>
        <v>231</v>
      </c>
      <c r="X35" s="104">
        <v>1598</v>
      </c>
      <c r="Y35" s="104">
        <f t="shared" ref="Y35:Y64" si="4">IF(Z35&gt;0,(Z35-X35)/2,"")</f>
        <v>0</v>
      </c>
      <c r="Z35" s="104">
        <v>1598</v>
      </c>
      <c r="AA35" s="104">
        <f t="shared" ref="AA35:AA64" si="5">IF(AB35&gt;0,(AB35-Z35)/2,"")</f>
        <v>0</v>
      </c>
      <c r="AB35" s="104">
        <v>1598</v>
      </c>
      <c r="AC35" s="104">
        <f t="shared" ref="AC35:AC64" si="6">IF(AD35&gt;0,(AD35-AB35)/2,"")</f>
        <v>0</v>
      </c>
      <c r="AD35" s="104">
        <v>1598</v>
      </c>
      <c r="AE35" s="105">
        <f t="shared" ref="AE35:AE64" si="7">AD35-Q35</f>
        <v>-566</v>
      </c>
    </row>
    <row r="36" spans="2:31" ht="15.6" customHeight="1" x14ac:dyDescent="0.3">
      <c r="N36" s="212"/>
      <c r="O36" s="95" t="s">
        <v>66</v>
      </c>
      <c r="P36" s="106"/>
      <c r="Q36" s="106">
        <v>1312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0.5</v>
      </c>
      <c r="V36" s="106">
        <v>1</v>
      </c>
      <c r="W36" s="106">
        <f t="shared" si="3"/>
        <v>149</v>
      </c>
      <c r="X36" s="106">
        <v>299</v>
      </c>
      <c r="Y36" s="106">
        <f t="shared" si="4"/>
        <v>0</v>
      </c>
      <c r="Z36" s="106">
        <v>299</v>
      </c>
      <c r="AA36" s="106">
        <f t="shared" si="5"/>
        <v>0</v>
      </c>
      <c r="AB36" s="106">
        <v>299</v>
      </c>
      <c r="AC36" s="106">
        <f t="shared" si="6"/>
        <v>0</v>
      </c>
      <c r="AD36" s="106">
        <v>299</v>
      </c>
      <c r="AE36" s="107">
        <f t="shared" si="7"/>
        <v>-1013</v>
      </c>
    </row>
    <row r="37" spans="2:31" ht="15.6" customHeight="1" x14ac:dyDescent="0.3">
      <c r="N37" s="212"/>
      <c r="O37" s="94" t="s">
        <v>67</v>
      </c>
      <c r="P37" s="108"/>
      <c r="Q37" s="108">
        <v>2517</v>
      </c>
      <c r="R37" s="108">
        <v>420</v>
      </c>
      <c r="S37" s="108">
        <f t="shared" si="1"/>
        <v>306</v>
      </c>
      <c r="T37" s="108">
        <v>1032</v>
      </c>
      <c r="U37" s="108">
        <f t="shared" si="2"/>
        <v>95</v>
      </c>
      <c r="V37" s="108">
        <v>1222</v>
      </c>
      <c r="W37" s="108">
        <f t="shared" si="3"/>
        <v>553</v>
      </c>
      <c r="X37" s="108">
        <v>2328</v>
      </c>
      <c r="Y37" s="108">
        <f t="shared" si="4"/>
        <v>0</v>
      </c>
      <c r="Z37" s="108">
        <v>2328</v>
      </c>
      <c r="AA37" s="108">
        <f t="shared" si="5"/>
        <v>0</v>
      </c>
      <c r="AB37" s="108">
        <v>2328</v>
      </c>
      <c r="AC37" s="108">
        <f t="shared" si="6"/>
        <v>0</v>
      </c>
      <c r="AD37" s="108">
        <v>2328</v>
      </c>
      <c r="AE37" s="109">
        <f t="shared" si="7"/>
        <v>-189</v>
      </c>
    </row>
    <row r="38" spans="2:31" ht="15.6" customHeight="1" x14ac:dyDescent="0.3">
      <c r="N38" s="212"/>
      <c r="O38" s="95" t="s">
        <v>68</v>
      </c>
      <c r="P38" s="106"/>
      <c r="Q38" s="106">
        <v>3586</v>
      </c>
      <c r="R38" s="106">
        <v>718</v>
      </c>
      <c r="S38" s="106">
        <f t="shared" si="1"/>
        <v>0</v>
      </c>
      <c r="T38" s="106">
        <v>718</v>
      </c>
      <c r="U38" s="106">
        <f t="shared" si="2"/>
        <v>122.5</v>
      </c>
      <c r="V38" s="106">
        <v>963</v>
      </c>
      <c r="W38" s="106">
        <f t="shared" si="3"/>
        <v>120</v>
      </c>
      <c r="X38" s="106">
        <v>1203</v>
      </c>
      <c r="Y38" s="106">
        <f t="shared" si="4"/>
        <v>0</v>
      </c>
      <c r="Z38" s="106">
        <v>1203</v>
      </c>
      <c r="AA38" s="106">
        <f t="shared" si="5"/>
        <v>0</v>
      </c>
      <c r="AB38" s="106">
        <v>1203</v>
      </c>
      <c r="AC38" s="106">
        <f t="shared" si="6"/>
        <v>0</v>
      </c>
      <c r="AD38" s="106">
        <v>1203</v>
      </c>
      <c r="AE38" s="107">
        <f t="shared" si="7"/>
        <v>-2383</v>
      </c>
    </row>
    <row r="39" spans="2:31" ht="15.6" customHeight="1" x14ac:dyDescent="0.3">
      <c r="N39" s="212"/>
      <c r="O39" s="94" t="s">
        <v>69</v>
      </c>
      <c r="P39" s="108"/>
      <c r="Q39" s="108">
        <v>1953</v>
      </c>
      <c r="R39" s="108">
        <v>928</v>
      </c>
      <c r="S39" s="108">
        <f t="shared" si="1"/>
        <v>123.5</v>
      </c>
      <c r="T39" s="108">
        <v>1175</v>
      </c>
      <c r="U39" s="108">
        <f t="shared" si="2"/>
        <v>389</v>
      </c>
      <c r="V39" s="108">
        <v>1953</v>
      </c>
      <c r="W39" s="108">
        <f t="shared" si="3"/>
        <v>-6.5</v>
      </c>
      <c r="X39" s="108">
        <v>1940</v>
      </c>
      <c r="Y39" s="108">
        <f t="shared" si="4"/>
        <v>0</v>
      </c>
      <c r="Z39" s="108">
        <v>1940</v>
      </c>
      <c r="AA39" s="108">
        <f t="shared" si="5"/>
        <v>0</v>
      </c>
      <c r="AB39" s="108">
        <v>1940</v>
      </c>
      <c r="AC39" s="108">
        <f t="shared" si="6"/>
        <v>0</v>
      </c>
      <c r="AD39" s="108">
        <v>1940</v>
      </c>
      <c r="AE39" s="109">
        <f t="shared" si="7"/>
        <v>-13</v>
      </c>
    </row>
    <row r="40" spans="2:31" ht="15.6" customHeight="1" x14ac:dyDescent="0.3">
      <c r="N40" s="212"/>
      <c r="O40" s="95" t="s">
        <v>70</v>
      </c>
      <c r="P40" s="106"/>
      <c r="Q40" s="106">
        <v>2986</v>
      </c>
      <c r="R40" s="106">
        <v>516</v>
      </c>
      <c r="S40" s="106">
        <f t="shared" si="1"/>
        <v>246</v>
      </c>
      <c r="T40" s="106">
        <v>1008</v>
      </c>
      <c r="U40" s="106">
        <f t="shared" si="2"/>
        <v>255.5</v>
      </c>
      <c r="V40" s="106">
        <v>1519</v>
      </c>
      <c r="W40" s="106">
        <f t="shared" si="3"/>
        <v>642</v>
      </c>
      <c r="X40" s="106">
        <v>2803</v>
      </c>
      <c r="Y40" s="106">
        <f t="shared" si="4"/>
        <v>0</v>
      </c>
      <c r="Z40" s="106">
        <v>2803</v>
      </c>
      <c r="AA40" s="106">
        <f t="shared" si="5"/>
        <v>0</v>
      </c>
      <c r="AB40" s="106">
        <v>2803</v>
      </c>
      <c r="AC40" s="106">
        <f t="shared" si="6"/>
        <v>0</v>
      </c>
      <c r="AD40" s="106">
        <v>2803</v>
      </c>
      <c r="AE40" s="107">
        <f t="shared" si="7"/>
        <v>-183</v>
      </c>
    </row>
    <row r="41" spans="2:31" ht="15.6" customHeight="1" x14ac:dyDescent="0.3">
      <c r="N41" s="212"/>
      <c r="O41" s="94" t="s">
        <v>71</v>
      </c>
      <c r="P41" s="108"/>
      <c r="Q41" s="108">
        <v>1211</v>
      </c>
      <c r="R41" s="108">
        <v>240</v>
      </c>
      <c r="S41" s="108">
        <f t="shared" si="1"/>
        <v>516.5</v>
      </c>
      <c r="T41" s="108">
        <v>1273</v>
      </c>
      <c r="U41" s="108">
        <f t="shared" si="2"/>
        <v>-75.5</v>
      </c>
      <c r="V41" s="108">
        <v>1122</v>
      </c>
      <c r="W41" s="108">
        <f t="shared" si="3"/>
        <v>157.5</v>
      </c>
      <c r="X41" s="108">
        <v>1437</v>
      </c>
      <c r="Y41" s="108">
        <f t="shared" si="4"/>
        <v>0</v>
      </c>
      <c r="Z41" s="108">
        <v>1437</v>
      </c>
      <c r="AA41" s="108">
        <f t="shared" si="5"/>
        <v>0</v>
      </c>
      <c r="AB41" s="108">
        <v>1437</v>
      </c>
      <c r="AC41" s="108">
        <f t="shared" si="6"/>
        <v>0</v>
      </c>
      <c r="AD41" s="108">
        <v>1437</v>
      </c>
      <c r="AE41" s="109">
        <f t="shared" si="7"/>
        <v>226</v>
      </c>
    </row>
    <row r="42" spans="2:31" ht="15.6" customHeight="1" x14ac:dyDescent="0.3">
      <c r="N42" s="212"/>
      <c r="O42" s="95" t="s">
        <v>72</v>
      </c>
      <c r="P42" s="106"/>
      <c r="Q42" s="106">
        <v>1669</v>
      </c>
      <c r="R42" s="106">
        <v>0</v>
      </c>
      <c r="S42" s="106">
        <f t="shared" si="1"/>
        <v>450</v>
      </c>
      <c r="T42" s="106">
        <v>900</v>
      </c>
      <c r="U42" s="106">
        <f t="shared" si="2"/>
        <v>1</v>
      </c>
      <c r="V42" s="106">
        <v>902</v>
      </c>
      <c r="W42" s="106">
        <f t="shared" si="3"/>
        <v>187</v>
      </c>
      <c r="X42" s="106">
        <v>1276</v>
      </c>
      <c r="Y42" s="106">
        <f t="shared" si="4"/>
        <v>0</v>
      </c>
      <c r="Z42" s="106">
        <v>1276</v>
      </c>
      <c r="AA42" s="106">
        <f t="shared" si="5"/>
        <v>0</v>
      </c>
      <c r="AB42" s="106">
        <v>1276</v>
      </c>
      <c r="AC42" s="106">
        <f t="shared" si="6"/>
        <v>0</v>
      </c>
      <c r="AD42" s="106">
        <v>1276</v>
      </c>
      <c r="AE42" s="107">
        <f t="shared" si="7"/>
        <v>-393</v>
      </c>
    </row>
    <row r="43" spans="2:31" ht="15.6" customHeight="1" thickBot="1" x14ac:dyDescent="0.35">
      <c r="N43" s="213"/>
      <c r="O43" s="97" t="s">
        <v>73</v>
      </c>
      <c r="P43" s="110"/>
      <c r="Q43" s="110">
        <v>1428</v>
      </c>
      <c r="R43" s="110">
        <v>449</v>
      </c>
      <c r="S43" s="110">
        <f t="shared" si="1"/>
        <v>314</v>
      </c>
      <c r="T43" s="110">
        <v>1077</v>
      </c>
      <c r="U43" s="110">
        <f t="shared" si="2"/>
        <v>-84</v>
      </c>
      <c r="V43" s="110">
        <v>909</v>
      </c>
      <c r="W43" s="110">
        <f t="shared" si="3"/>
        <v>-0.5</v>
      </c>
      <c r="X43" s="110">
        <v>908</v>
      </c>
      <c r="Y43" s="110">
        <f t="shared" si="4"/>
        <v>0</v>
      </c>
      <c r="Z43" s="110">
        <v>908</v>
      </c>
      <c r="AA43" s="110">
        <f t="shared" si="5"/>
        <v>0</v>
      </c>
      <c r="AB43" s="110">
        <v>908</v>
      </c>
      <c r="AC43" s="110">
        <f t="shared" si="6"/>
        <v>0</v>
      </c>
      <c r="AD43" s="110">
        <v>908</v>
      </c>
      <c r="AE43" s="111">
        <f t="shared" si="7"/>
        <v>-520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4706</v>
      </c>
      <c r="R44" s="112">
        <v>1000</v>
      </c>
      <c r="S44" s="112">
        <f t="shared" si="1"/>
        <v>421.5</v>
      </c>
      <c r="T44" s="112">
        <v>1843</v>
      </c>
      <c r="U44" s="112">
        <f t="shared" si="2"/>
        <v>0</v>
      </c>
      <c r="V44" s="112">
        <v>1843</v>
      </c>
      <c r="W44" s="112">
        <f t="shared" si="3"/>
        <v>1431.5</v>
      </c>
      <c r="X44" s="112">
        <v>4706</v>
      </c>
      <c r="Y44" s="112">
        <f t="shared" si="4"/>
        <v>0</v>
      </c>
      <c r="Z44" s="112">
        <v>4706</v>
      </c>
      <c r="AA44" s="112">
        <f t="shared" si="5"/>
        <v>0</v>
      </c>
      <c r="AB44" s="112">
        <v>4706</v>
      </c>
      <c r="AC44" s="112">
        <f t="shared" si="6"/>
        <v>0</v>
      </c>
      <c r="AD44" s="112">
        <v>4706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3813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1246</v>
      </c>
      <c r="V45" s="108">
        <v>2492</v>
      </c>
      <c r="W45" s="108">
        <f t="shared" si="3"/>
        <v>0</v>
      </c>
      <c r="X45" s="108">
        <v>2492</v>
      </c>
      <c r="Y45" s="108">
        <f t="shared" si="4"/>
        <v>660.5</v>
      </c>
      <c r="Z45" s="108">
        <v>3813</v>
      </c>
      <c r="AA45" s="108">
        <f t="shared" si="5"/>
        <v>0</v>
      </c>
      <c r="AB45" s="108">
        <v>3813</v>
      </c>
      <c r="AC45" s="108">
        <f t="shared" si="6"/>
        <v>0</v>
      </c>
      <c r="AD45" s="108">
        <v>3813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2494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393.5</v>
      </c>
      <c r="V46" s="106">
        <v>787</v>
      </c>
      <c r="W46" s="106">
        <f t="shared" si="3"/>
        <v>161</v>
      </c>
      <c r="X46" s="106">
        <v>1109</v>
      </c>
      <c r="Y46" s="106">
        <f t="shared" si="4"/>
        <v>457.5</v>
      </c>
      <c r="Z46" s="106">
        <v>2024</v>
      </c>
      <c r="AA46" s="106">
        <f t="shared" si="5"/>
        <v>0</v>
      </c>
      <c r="AB46" s="106">
        <v>2024</v>
      </c>
      <c r="AC46" s="106">
        <f t="shared" si="6"/>
        <v>0</v>
      </c>
      <c r="AD46" s="106">
        <v>2024</v>
      </c>
      <c r="AE46" s="107">
        <f t="shared" si="7"/>
        <v>-470</v>
      </c>
    </row>
    <row r="47" spans="2:31" ht="15.6" customHeight="1" thickBot="1" x14ac:dyDescent="0.35">
      <c r="N47" s="213"/>
      <c r="O47" s="97" t="s">
        <v>68</v>
      </c>
      <c r="P47" s="110"/>
      <c r="Q47" s="110">
        <v>3937</v>
      </c>
      <c r="R47" s="110">
        <v>850</v>
      </c>
      <c r="S47" s="110">
        <f t="shared" si="1"/>
        <v>0</v>
      </c>
      <c r="T47" s="110">
        <v>850</v>
      </c>
      <c r="U47" s="110">
        <f t="shared" si="2"/>
        <v>747</v>
      </c>
      <c r="V47" s="110">
        <v>2344</v>
      </c>
      <c r="W47" s="110">
        <f t="shared" si="3"/>
        <v>796.5</v>
      </c>
      <c r="X47" s="110">
        <v>3937</v>
      </c>
      <c r="Y47" s="110">
        <f t="shared" si="4"/>
        <v>0</v>
      </c>
      <c r="Z47" s="110">
        <v>3937</v>
      </c>
      <c r="AA47" s="110">
        <f t="shared" si="5"/>
        <v>0</v>
      </c>
      <c r="AB47" s="110">
        <v>3937</v>
      </c>
      <c r="AC47" s="110">
        <f t="shared" si="6"/>
        <v>0</v>
      </c>
      <c r="AD47" s="110">
        <v>3937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2224</v>
      </c>
      <c r="R48" s="112">
        <v>966</v>
      </c>
      <c r="S48" s="112">
        <f t="shared" si="1"/>
        <v>0</v>
      </c>
      <c r="T48" s="112">
        <v>966</v>
      </c>
      <c r="U48" s="112">
        <f t="shared" si="2"/>
        <v>413</v>
      </c>
      <c r="V48" s="112">
        <v>1792</v>
      </c>
      <c r="W48" s="112">
        <f t="shared" si="3"/>
        <v>11</v>
      </c>
      <c r="X48" s="112">
        <v>1814</v>
      </c>
      <c r="Y48" s="112">
        <f t="shared" si="4"/>
        <v>123.5</v>
      </c>
      <c r="Z48" s="112">
        <v>2061</v>
      </c>
      <c r="AA48" s="112">
        <f t="shared" si="5"/>
        <v>0</v>
      </c>
      <c r="AB48" s="112">
        <v>2061</v>
      </c>
      <c r="AC48" s="112">
        <f t="shared" si="6"/>
        <v>0</v>
      </c>
      <c r="AD48" s="112">
        <v>2061</v>
      </c>
      <c r="AE48" s="113">
        <f t="shared" si="7"/>
        <v>-163</v>
      </c>
    </row>
    <row r="49" spans="14:31" ht="15.6" customHeight="1" x14ac:dyDescent="0.3">
      <c r="N49" s="212"/>
      <c r="O49" s="94" t="s">
        <v>66</v>
      </c>
      <c r="P49" s="108"/>
      <c r="Q49" s="108">
        <v>3841</v>
      </c>
      <c r="R49" s="108">
        <v>842</v>
      </c>
      <c r="S49" s="108">
        <f t="shared" si="1"/>
        <v>308.5</v>
      </c>
      <c r="T49" s="108">
        <v>1459</v>
      </c>
      <c r="U49" s="108">
        <f t="shared" si="2"/>
        <v>0</v>
      </c>
      <c r="V49" s="108">
        <v>1459</v>
      </c>
      <c r="W49" s="108">
        <f t="shared" si="3"/>
        <v>829</v>
      </c>
      <c r="X49" s="108">
        <v>3117</v>
      </c>
      <c r="Y49" s="108">
        <f t="shared" si="4"/>
        <v>307</v>
      </c>
      <c r="Z49" s="108">
        <v>3731</v>
      </c>
      <c r="AA49" s="108">
        <f t="shared" si="5"/>
        <v>0</v>
      </c>
      <c r="AB49" s="108">
        <v>3731</v>
      </c>
      <c r="AC49" s="108">
        <f t="shared" si="6"/>
        <v>0</v>
      </c>
      <c r="AD49" s="108">
        <v>3731</v>
      </c>
      <c r="AE49" s="109">
        <f t="shared" si="7"/>
        <v>-110</v>
      </c>
    </row>
    <row r="50" spans="14:31" ht="15.6" customHeight="1" x14ac:dyDescent="0.3">
      <c r="N50" s="212"/>
      <c r="O50" s="95" t="s">
        <v>67</v>
      </c>
      <c r="P50" s="106"/>
      <c r="Q50" s="106">
        <v>2001</v>
      </c>
      <c r="R50" s="106">
        <v>368</v>
      </c>
      <c r="S50" s="106">
        <f t="shared" si="1"/>
        <v>-68.5</v>
      </c>
      <c r="T50" s="106">
        <v>231</v>
      </c>
      <c r="U50" s="106">
        <f t="shared" si="2"/>
        <v>222.5</v>
      </c>
      <c r="V50" s="106">
        <v>676</v>
      </c>
      <c r="W50" s="106">
        <f t="shared" si="3"/>
        <v>0</v>
      </c>
      <c r="X50" s="106">
        <v>676</v>
      </c>
      <c r="Y50" s="106">
        <f t="shared" si="4"/>
        <v>84.5</v>
      </c>
      <c r="Z50" s="106">
        <v>845</v>
      </c>
      <c r="AA50" s="106">
        <f t="shared" si="5"/>
        <v>0</v>
      </c>
      <c r="AB50" s="106">
        <v>845</v>
      </c>
      <c r="AC50" s="106">
        <f t="shared" si="6"/>
        <v>0</v>
      </c>
      <c r="AD50" s="106">
        <v>845</v>
      </c>
      <c r="AE50" s="107">
        <f t="shared" si="7"/>
        <v>-1156</v>
      </c>
    </row>
    <row r="51" spans="14:31" ht="15.6" customHeight="1" x14ac:dyDescent="0.3">
      <c r="N51" s="212"/>
      <c r="O51" s="94" t="s">
        <v>68</v>
      </c>
      <c r="P51" s="108"/>
      <c r="Q51" s="108">
        <v>910</v>
      </c>
      <c r="R51" s="108">
        <v>1</v>
      </c>
      <c r="S51" s="108">
        <f t="shared" si="1"/>
        <v>0</v>
      </c>
      <c r="T51" s="108">
        <v>1</v>
      </c>
      <c r="U51" s="108">
        <f t="shared" si="2"/>
        <v>88.5</v>
      </c>
      <c r="V51" s="108">
        <v>178</v>
      </c>
      <c r="W51" s="108">
        <f t="shared" si="3"/>
        <v>188</v>
      </c>
      <c r="X51" s="108">
        <v>554</v>
      </c>
      <c r="Y51" s="108">
        <f t="shared" si="4"/>
        <v>155</v>
      </c>
      <c r="Z51" s="108">
        <v>864</v>
      </c>
      <c r="AA51" s="108">
        <f t="shared" si="5"/>
        <v>0</v>
      </c>
      <c r="AB51" s="108">
        <v>864</v>
      </c>
      <c r="AC51" s="108">
        <f t="shared" si="6"/>
        <v>0</v>
      </c>
      <c r="AD51" s="108">
        <v>864</v>
      </c>
      <c r="AE51" s="109">
        <f t="shared" si="7"/>
        <v>-46</v>
      </c>
    </row>
    <row r="52" spans="14:31" ht="15.6" customHeight="1" x14ac:dyDescent="0.3">
      <c r="N52" s="212"/>
      <c r="O52" s="95" t="s">
        <v>69</v>
      </c>
      <c r="P52" s="106"/>
      <c r="Q52" s="106">
        <v>2798</v>
      </c>
      <c r="R52" s="106">
        <v>0</v>
      </c>
      <c r="S52" s="106">
        <f t="shared" si="1"/>
        <v>25</v>
      </c>
      <c r="T52" s="106">
        <v>50</v>
      </c>
      <c r="U52" s="106">
        <f t="shared" si="2"/>
        <v>198</v>
      </c>
      <c r="V52" s="106">
        <v>446</v>
      </c>
      <c r="W52" s="106">
        <f t="shared" si="3"/>
        <v>201.5</v>
      </c>
      <c r="X52" s="106">
        <v>849</v>
      </c>
      <c r="Y52" s="106">
        <f t="shared" si="4"/>
        <v>82</v>
      </c>
      <c r="Z52" s="106">
        <v>1013</v>
      </c>
      <c r="AA52" s="106">
        <f t="shared" si="5"/>
        <v>0</v>
      </c>
      <c r="AB52" s="106">
        <v>1013</v>
      </c>
      <c r="AC52" s="106">
        <f t="shared" si="6"/>
        <v>0</v>
      </c>
      <c r="AD52" s="106">
        <v>1013</v>
      </c>
      <c r="AE52" s="107">
        <f t="shared" si="7"/>
        <v>-1785</v>
      </c>
    </row>
    <row r="53" spans="14:31" ht="15.6" customHeight="1" x14ac:dyDescent="0.3">
      <c r="N53" s="212"/>
      <c r="O53" s="94" t="s">
        <v>70</v>
      </c>
      <c r="P53" s="108"/>
      <c r="Q53" s="108">
        <v>1353</v>
      </c>
      <c r="R53" s="108">
        <v>5</v>
      </c>
      <c r="S53" s="108">
        <f t="shared" si="1"/>
        <v>0</v>
      </c>
      <c r="T53" s="108">
        <v>5</v>
      </c>
      <c r="U53" s="108">
        <f t="shared" si="2"/>
        <v>6</v>
      </c>
      <c r="V53" s="108">
        <v>17</v>
      </c>
      <c r="W53" s="108">
        <f t="shared" si="3"/>
        <v>0.5</v>
      </c>
      <c r="X53" s="108">
        <v>18</v>
      </c>
      <c r="Y53" s="108">
        <f t="shared" si="4"/>
        <v>215</v>
      </c>
      <c r="Z53" s="108">
        <v>448</v>
      </c>
      <c r="AA53" s="108">
        <f t="shared" si="5"/>
        <v>0</v>
      </c>
      <c r="AB53" s="108">
        <v>448</v>
      </c>
      <c r="AC53" s="108">
        <f t="shared" si="6"/>
        <v>0</v>
      </c>
      <c r="AD53" s="108">
        <v>448</v>
      </c>
      <c r="AE53" s="109">
        <f t="shared" si="7"/>
        <v>-905</v>
      </c>
    </row>
    <row r="54" spans="14:31" ht="15.6" customHeight="1" x14ac:dyDescent="0.3">
      <c r="N54" s="212"/>
      <c r="O54" s="95" t="s">
        <v>71</v>
      </c>
      <c r="P54" s="106"/>
      <c r="Q54" s="106">
        <v>1979</v>
      </c>
      <c r="R54" s="106">
        <v>205</v>
      </c>
      <c r="S54" s="106">
        <f t="shared" si="1"/>
        <v>0</v>
      </c>
      <c r="T54" s="106">
        <v>205</v>
      </c>
      <c r="U54" s="106">
        <f t="shared" si="2"/>
        <v>1</v>
      </c>
      <c r="V54" s="106">
        <v>207</v>
      </c>
      <c r="W54" s="106">
        <f t="shared" si="3"/>
        <v>330</v>
      </c>
      <c r="X54" s="106">
        <v>867</v>
      </c>
      <c r="Y54" s="106">
        <f t="shared" si="4"/>
        <v>182</v>
      </c>
      <c r="Z54" s="106">
        <v>1231</v>
      </c>
      <c r="AA54" s="106">
        <f t="shared" si="5"/>
        <v>0</v>
      </c>
      <c r="AB54" s="106">
        <v>1231</v>
      </c>
      <c r="AC54" s="106">
        <f t="shared" si="6"/>
        <v>0</v>
      </c>
      <c r="AD54" s="106">
        <v>1231</v>
      </c>
      <c r="AE54" s="107">
        <f t="shared" si="7"/>
        <v>-748</v>
      </c>
    </row>
    <row r="55" spans="14:31" ht="15.6" customHeight="1" x14ac:dyDescent="0.3">
      <c r="N55" s="212"/>
      <c r="O55" s="94" t="s">
        <v>72</v>
      </c>
      <c r="P55" s="108"/>
      <c r="Q55" s="108">
        <v>3001</v>
      </c>
      <c r="R55" s="108">
        <v>1201</v>
      </c>
      <c r="S55" s="108">
        <f t="shared" si="1"/>
        <v>0</v>
      </c>
      <c r="T55" s="108">
        <v>1201</v>
      </c>
      <c r="U55" s="108">
        <f t="shared" si="2"/>
        <v>600</v>
      </c>
      <c r="V55" s="108">
        <v>2401</v>
      </c>
      <c r="W55" s="108">
        <f t="shared" si="3"/>
        <v>138</v>
      </c>
      <c r="X55" s="108">
        <v>2677</v>
      </c>
      <c r="Y55" s="108">
        <f t="shared" si="4"/>
        <v>80</v>
      </c>
      <c r="Z55" s="108">
        <v>2837</v>
      </c>
      <c r="AA55" s="108">
        <f t="shared" si="5"/>
        <v>0</v>
      </c>
      <c r="AB55" s="108">
        <v>2837</v>
      </c>
      <c r="AC55" s="108">
        <f t="shared" si="6"/>
        <v>0</v>
      </c>
      <c r="AD55" s="108">
        <v>2837</v>
      </c>
      <c r="AE55" s="109">
        <f t="shared" si="7"/>
        <v>-164</v>
      </c>
    </row>
    <row r="56" spans="14:31" ht="15.6" customHeight="1" thickBot="1" x14ac:dyDescent="0.35">
      <c r="N56" s="213"/>
      <c r="O56" s="99" t="s">
        <v>73</v>
      </c>
      <c r="P56" s="114"/>
      <c r="Q56" s="114">
        <v>352</v>
      </c>
      <c r="R56" s="114">
        <v>0</v>
      </c>
      <c r="S56" s="114">
        <f t="shared" si="1"/>
        <v>1.5</v>
      </c>
      <c r="T56" s="114">
        <v>3</v>
      </c>
      <c r="U56" s="114">
        <f t="shared" si="2"/>
        <v>0</v>
      </c>
      <c r="V56" s="114">
        <v>3</v>
      </c>
      <c r="W56" s="114">
        <f t="shared" si="3"/>
        <v>0.5</v>
      </c>
      <c r="X56" s="114">
        <v>4</v>
      </c>
      <c r="Y56" s="114">
        <f t="shared" si="4"/>
        <v>54.5</v>
      </c>
      <c r="Z56" s="114">
        <v>113</v>
      </c>
      <c r="AA56" s="114">
        <f t="shared" si="5"/>
        <v>0</v>
      </c>
      <c r="AB56" s="114">
        <v>113</v>
      </c>
      <c r="AC56" s="114">
        <f t="shared" si="6"/>
        <v>0</v>
      </c>
      <c r="AD56" s="114">
        <v>113</v>
      </c>
      <c r="AE56" s="115">
        <f t="shared" si="7"/>
        <v>-239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3581</v>
      </c>
      <c r="R57" s="104">
        <v>1624</v>
      </c>
      <c r="S57" s="104">
        <f t="shared" si="1"/>
        <v>-215</v>
      </c>
      <c r="T57" s="104">
        <v>1194</v>
      </c>
      <c r="U57" s="104">
        <f t="shared" si="2"/>
        <v>453.5</v>
      </c>
      <c r="V57" s="104">
        <v>2101</v>
      </c>
      <c r="W57" s="104">
        <f t="shared" si="3"/>
        <v>-83</v>
      </c>
      <c r="X57" s="104">
        <v>1935</v>
      </c>
      <c r="Y57" s="104">
        <f t="shared" si="4"/>
        <v>0</v>
      </c>
      <c r="Z57" s="104">
        <v>1935</v>
      </c>
      <c r="AA57" s="104">
        <f t="shared" si="5"/>
        <v>0</v>
      </c>
      <c r="AB57" s="104">
        <v>1935</v>
      </c>
      <c r="AC57" s="104">
        <f t="shared" si="6"/>
        <v>0</v>
      </c>
      <c r="AD57" s="104">
        <v>1935</v>
      </c>
      <c r="AE57" s="105">
        <f t="shared" si="7"/>
        <v>-1646</v>
      </c>
    </row>
    <row r="58" spans="14:31" ht="15.6" customHeight="1" x14ac:dyDescent="0.3">
      <c r="N58" s="212"/>
      <c r="O58" s="95" t="s">
        <v>66</v>
      </c>
      <c r="P58" s="106"/>
      <c r="Q58" s="106">
        <v>4020</v>
      </c>
      <c r="R58" s="106">
        <v>1307</v>
      </c>
      <c r="S58" s="106">
        <f t="shared" si="1"/>
        <v>465.5</v>
      </c>
      <c r="T58" s="106">
        <v>2238</v>
      </c>
      <c r="U58" s="106">
        <f t="shared" si="2"/>
        <v>269</v>
      </c>
      <c r="V58" s="106">
        <v>2776</v>
      </c>
      <c r="W58" s="106">
        <f t="shared" si="3"/>
        <v>70.5</v>
      </c>
      <c r="X58" s="106">
        <v>2917</v>
      </c>
      <c r="Y58" s="106">
        <f t="shared" si="4"/>
        <v>0</v>
      </c>
      <c r="Z58" s="106">
        <v>2917</v>
      </c>
      <c r="AA58" s="106">
        <f t="shared" si="5"/>
        <v>0</v>
      </c>
      <c r="AB58" s="106">
        <v>2917</v>
      </c>
      <c r="AC58" s="106">
        <f t="shared" si="6"/>
        <v>0</v>
      </c>
      <c r="AD58" s="106">
        <v>2917</v>
      </c>
      <c r="AE58" s="107">
        <f t="shared" si="7"/>
        <v>-1103</v>
      </c>
    </row>
    <row r="59" spans="14:31" ht="15.6" customHeight="1" x14ac:dyDescent="0.3">
      <c r="N59" s="212"/>
      <c r="O59" s="94" t="s">
        <v>67</v>
      </c>
      <c r="P59" s="108"/>
      <c r="Q59" s="108">
        <v>3086</v>
      </c>
      <c r="R59" s="108">
        <v>375</v>
      </c>
      <c r="S59" s="108">
        <f t="shared" si="1"/>
        <v>233</v>
      </c>
      <c r="T59" s="108">
        <v>841</v>
      </c>
      <c r="U59" s="108">
        <f t="shared" si="2"/>
        <v>455.5</v>
      </c>
      <c r="V59" s="108">
        <v>1752</v>
      </c>
      <c r="W59" s="108">
        <f t="shared" si="3"/>
        <v>545</v>
      </c>
      <c r="X59" s="108">
        <v>2842</v>
      </c>
      <c r="Y59" s="108">
        <f t="shared" si="4"/>
        <v>0</v>
      </c>
      <c r="Z59" s="108">
        <v>2842</v>
      </c>
      <c r="AA59" s="108">
        <f t="shared" si="5"/>
        <v>0</v>
      </c>
      <c r="AB59" s="108">
        <v>2842</v>
      </c>
      <c r="AC59" s="108">
        <f t="shared" si="6"/>
        <v>0</v>
      </c>
      <c r="AD59" s="108">
        <v>2842</v>
      </c>
      <c r="AE59" s="109">
        <f t="shared" si="7"/>
        <v>-244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5678</v>
      </c>
      <c r="R61" s="104">
        <v>1660</v>
      </c>
      <c r="S61" s="104">
        <f t="shared" si="1"/>
        <v>388</v>
      </c>
      <c r="T61" s="104">
        <v>2436</v>
      </c>
      <c r="U61" s="104">
        <f t="shared" si="2"/>
        <v>299</v>
      </c>
      <c r="V61" s="104">
        <v>3034</v>
      </c>
      <c r="W61" s="104">
        <f t="shared" si="3"/>
        <v>2.5</v>
      </c>
      <c r="X61" s="104">
        <v>3039</v>
      </c>
      <c r="Y61" s="104">
        <f t="shared" si="4"/>
        <v>74</v>
      </c>
      <c r="Z61" s="104">
        <v>3187</v>
      </c>
      <c r="AA61" s="104">
        <f t="shared" si="5"/>
        <v>0</v>
      </c>
      <c r="AB61" s="104">
        <v>3187</v>
      </c>
      <c r="AC61" s="104">
        <f t="shared" si="6"/>
        <v>0</v>
      </c>
      <c r="AD61" s="104">
        <v>3187</v>
      </c>
      <c r="AE61" s="105">
        <f t="shared" si="7"/>
        <v>-2491</v>
      </c>
    </row>
    <row r="62" spans="14:31" ht="15.6" customHeight="1" x14ac:dyDescent="0.3">
      <c r="N62" s="212"/>
      <c r="O62" s="95" t="s">
        <v>66</v>
      </c>
      <c r="P62" s="106"/>
      <c r="Q62" s="106">
        <v>7024</v>
      </c>
      <c r="R62" s="106">
        <v>2285</v>
      </c>
      <c r="S62" s="106">
        <f t="shared" si="1"/>
        <v>851</v>
      </c>
      <c r="T62" s="106">
        <v>3987</v>
      </c>
      <c r="U62" s="106">
        <f t="shared" si="2"/>
        <v>175.5</v>
      </c>
      <c r="V62" s="106">
        <v>4338</v>
      </c>
      <c r="W62" s="106">
        <f t="shared" si="3"/>
        <v>271.5</v>
      </c>
      <c r="X62" s="106">
        <v>4881</v>
      </c>
      <c r="Y62" s="106">
        <f t="shared" si="4"/>
        <v>310.5</v>
      </c>
      <c r="Z62" s="106">
        <v>5502</v>
      </c>
      <c r="AA62" s="106">
        <f t="shared" si="5"/>
        <v>0</v>
      </c>
      <c r="AB62" s="106">
        <v>5502</v>
      </c>
      <c r="AC62" s="106">
        <f t="shared" si="6"/>
        <v>0</v>
      </c>
      <c r="AD62" s="106">
        <v>5502</v>
      </c>
      <c r="AE62" s="107">
        <f t="shared" si="7"/>
        <v>-1522</v>
      </c>
    </row>
    <row r="63" spans="14:31" ht="15.6" customHeight="1" x14ac:dyDescent="0.3">
      <c r="N63" s="212"/>
      <c r="O63" s="94" t="s">
        <v>67</v>
      </c>
      <c r="P63" s="108"/>
      <c r="Q63" s="108">
        <v>5268</v>
      </c>
      <c r="R63" s="108">
        <v>151</v>
      </c>
      <c r="S63" s="108">
        <f t="shared" si="1"/>
        <v>355</v>
      </c>
      <c r="T63" s="108">
        <v>861</v>
      </c>
      <c r="U63" s="108">
        <f t="shared" si="2"/>
        <v>339</v>
      </c>
      <c r="V63" s="108">
        <v>1539</v>
      </c>
      <c r="W63" s="108">
        <f t="shared" si="3"/>
        <v>1072.5</v>
      </c>
      <c r="X63" s="108">
        <v>3684</v>
      </c>
      <c r="Y63" s="108">
        <f t="shared" si="4"/>
        <v>213.5</v>
      </c>
      <c r="Z63" s="108">
        <v>4111</v>
      </c>
      <c r="AA63" s="108">
        <f t="shared" si="5"/>
        <v>0</v>
      </c>
      <c r="AB63" s="108">
        <v>4111</v>
      </c>
      <c r="AC63" s="108">
        <f t="shared" si="6"/>
        <v>0</v>
      </c>
      <c r="AD63" s="108">
        <v>4111</v>
      </c>
      <c r="AE63" s="109">
        <f t="shared" si="7"/>
        <v>-1157</v>
      </c>
    </row>
    <row r="64" spans="14:31" ht="15.6" customHeight="1" thickBot="1" x14ac:dyDescent="0.35">
      <c r="N64" s="213"/>
      <c r="O64" s="99" t="s">
        <v>68</v>
      </c>
      <c r="P64" s="114"/>
      <c r="Q64" s="114">
        <v>1720</v>
      </c>
      <c r="R64" s="114">
        <v>296</v>
      </c>
      <c r="S64" s="114">
        <f t="shared" si="1"/>
        <v>0</v>
      </c>
      <c r="T64" s="114">
        <v>296</v>
      </c>
      <c r="U64" s="114">
        <f t="shared" si="2"/>
        <v>59.5</v>
      </c>
      <c r="V64" s="114">
        <v>415</v>
      </c>
      <c r="W64" s="114">
        <f t="shared" si="3"/>
        <v>155.5</v>
      </c>
      <c r="X64" s="114">
        <v>726</v>
      </c>
      <c r="Y64" s="114">
        <f t="shared" si="4"/>
        <v>185</v>
      </c>
      <c r="Z64" s="114">
        <v>1096</v>
      </c>
      <c r="AA64" s="114">
        <f t="shared" si="5"/>
        <v>0</v>
      </c>
      <c r="AB64" s="114">
        <v>1096</v>
      </c>
      <c r="AC64" s="114">
        <f t="shared" si="6"/>
        <v>0</v>
      </c>
      <c r="AD64" s="114">
        <v>1096</v>
      </c>
      <c r="AE64" s="115">
        <f t="shared" si="7"/>
        <v>-624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87" priority="11" operator="lessThan">
      <formula>0</formula>
    </cfRule>
    <cfRule type="cellIs" dxfId="1486" priority="12" operator="greaterThan">
      <formula>0</formula>
    </cfRule>
  </conditionalFormatting>
  <conditionalFormatting sqref="R25:AC25">
    <cfRule type="cellIs" dxfId="1485" priority="9" operator="lessThan">
      <formula>0</formula>
    </cfRule>
    <cfRule type="cellIs" dxfId="1484" priority="10" operator="greaterThan">
      <formula>0</formula>
    </cfRule>
  </conditionalFormatting>
  <conditionalFormatting sqref="R26 T26 V26 X26 Z26 AB26">
    <cfRule type="cellIs" dxfId="1483" priority="7" operator="lessThan">
      <formula>0</formula>
    </cfRule>
    <cfRule type="cellIs" dxfId="1482" priority="8" operator="greaterThan">
      <formula>0</formula>
    </cfRule>
  </conditionalFormatting>
  <conditionalFormatting sqref="AD24:AE24">
    <cfRule type="cellIs" dxfId="1481" priority="5" operator="lessThan">
      <formula>0</formula>
    </cfRule>
    <cfRule type="cellIs" dxfId="1480" priority="6" operator="greaterThan">
      <formula>0</formula>
    </cfRule>
  </conditionalFormatting>
  <conditionalFormatting sqref="AD25:AE25">
    <cfRule type="cellIs" dxfId="1479" priority="3" operator="lessThan">
      <formula>0</formula>
    </cfRule>
    <cfRule type="cellIs" dxfId="1478" priority="4" operator="greaterThan">
      <formula>0</formula>
    </cfRule>
  </conditionalFormatting>
  <conditionalFormatting sqref="AD26">
    <cfRule type="cellIs" dxfId="1477" priority="1" operator="lessThan">
      <formula>0</formula>
    </cfRule>
    <cfRule type="cellIs" dxfId="147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44395</v>
      </c>
    </row>
    <row r="3" spans="2:42" ht="18.75" customHeight="1" thickBot="1" x14ac:dyDescent="0.35">
      <c r="B3" t="s">
        <v>1</v>
      </c>
      <c r="C3" s="3">
        <f>C2+1</f>
        <v>44396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2986</v>
      </c>
      <c r="E6" s="18" t="s">
        <v>22</v>
      </c>
      <c r="F6" s="119">
        <v>20546</v>
      </c>
      <c r="G6" s="117">
        <v>16179.392250000001</v>
      </c>
      <c r="H6" s="117">
        <v>14228.54138314</v>
      </c>
      <c r="I6" s="19">
        <f>G6+H6</f>
        <v>30407.933633140001</v>
      </c>
      <c r="J6" s="119">
        <v>19495</v>
      </c>
      <c r="K6" s="117">
        <v>15440.555375</v>
      </c>
      <c r="L6" s="117">
        <v>13019.47155522001</v>
      </c>
      <c r="M6" s="19">
        <f>K6+L6</f>
        <v>28460.02693022001</v>
      </c>
      <c r="N6" s="85">
        <v>78</v>
      </c>
      <c r="O6" s="85">
        <v>55</v>
      </c>
      <c r="P6" s="92"/>
      <c r="Q6" s="20">
        <f>J6-P6</f>
        <v>19495</v>
      </c>
      <c r="R6" s="21">
        <v>538</v>
      </c>
      <c r="S6" s="20">
        <f>IF(R6&gt;0,(R6-R7-$Q6),"")</f>
        <v>-18959</v>
      </c>
      <c r="T6" s="21">
        <v>2078</v>
      </c>
      <c r="U6" s="20">
        <f>IF(T6&gt;0,(T6-T7-$Q6),"")</f>
        <v>-17426</v>
      </c>
      <c r="V6" s="21">
        <v>4452</v>
      </c>
      <c r="W6" s="20">
        <f>IF(V6&gt;0,(V6-V7-$Q6),"")</f>
        <v>-15060</v>
      </c>
      <c r="X6" s="21">
        <v>9259</v>
      </c>
      <c r="Y6" s="20">
        <f>IF(X6&gt;0,(X6-X7-$Q6),"")</f>
        <v>-10264</v>
      </c>
      <c r="Z6" s="21">
        <v>13377</v>
      </c>
      <c r="AA6" s="20">
        <f>IF(Z6&gt;0,(Z6-Z7-$Q6),"")</f>
        <v>-6162</v>
      </c>
      <c r="AB6" s="21">
        <v>13761</v>
      </c>
      <c r="AC6" s="22">
        <f>IF(AB6&gt;0,(AB6-AB7-$Q6),"")</f>
        <v>-6162</v>
      </c>
      <c r="AD6" s="21">
        <v>13761</v>
      </c>
      <c r="AE6" s="22">
        <f>IF(AD6&gt;0,(AD6-AD7-$Q6),"")</f>
        <v>-6162</v>
      </c>
    </row>
    <row r="7" spans="2:42" x14ac:dyDescent="0.3">
      <c r="B7" s="16" t="s">
        <v>23</v>
      </c>
      <c r="C7" s="17">
        <v>280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23</v>
      </c>
      <c r="P7" s="93" t="s">
        <v>24</v>
      </c>
      <c r="Q7" s="24"/>
      <c r="R7" s="25">
        <v>2</v>
      </c>
      <c r="S7" s="24"/>
      <c r="T7" s="25">
        <v>9</v>
      </c>
      <c r="U7" s="24"/>
      <c r="V7" s="25">
        <v>17</v>
      </c>
      <c r="W7" s="24"/>
      <c r="X7" s="25">
        <v>28</v>
      </c>
      <c r="Y7" s="24"/>
      <c r="Z7" s="25">
        <v>44</v>
      </c>
      <c r="AA7" s="24"/>
      <c r="AB7" s="25">
        <v>428</v>
      </c>
      <c r="AC7" s="26"/>
      <c r="AD7" s="25">
        <v>428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2077</v>
      </c>
      <c r="E8" s="29" t="s">
        <v>27</v>
      </c>
      <c r="F8" s="119">
        <v>14175</v>
      </c>
      <c r="G8" s="117">
        <v>6053.5825000000004</v>
      </c>
      <c r="H8" s="117">
        <v>1363.3248885</v>
      </c>
      <c r="I8" s="19">
        <f>G8+H8</f>
        <v>7416.9073885000007</v>
      </c>
      <c r="J8" s="119">
        <v>13936</v>
      </c>
      <c r="K8" s="117">
        <v>5946.277</v>
      </c>
      <c r="L8" s="117">
        <v>1321.9756027000001</v>
      </c>
      <c r="M8" s="19">
        <f>K8+L8</f>
        <v>7268.2526027000004</v>
      </c>
      <c r="N8" s="87">
        <v>29</v>
      </c>
      <c r="O8" s="87">
        <v>20</v>
      </c>
      <c r="P8" s="92"/>
      <c r="Q8" s="20">
        <f>J8-P8</f>
        <v>13936</v>
      </c>
      <c r="R8" s="21">
        <v>1000</v>
      </c>
      <c r="S8" s="20">
        <f>IF(R8&gt;0,(R8-R9-$Q8),"")</f>
        <v>-12936</v>
      </c>
      <c r="T8" s="21">
        <v>3091</v>
      </c>
      <c r="U8" s="20">
        <f>IF(T8&gt;0,(T8-T9-$Q8),"")</f>
        <v>-10845</v>
      </c>
      <c r="V8" s="21">
        <v>4504</v>
      </c>
      <c r="W8" s="20">
        <f>IF(V8&gt;0,(V8-V9-$Q8),"")</f>
        <v>-9432</v>
      </c>
      <c r="X8" s="21">
        <v>8815</v>
      </c>
      <c r="Y8" s="20">
        <f>IF(X8&gt;0,(X8-X9-$Q8),"")</f>
        <v>-5121</v>
      </c>
      <c r="Z8" s="21">
        <v>13499</v>
      </c>
      <c r="AA8" s="20">
        <f>IF(Z8&gt;0,(Z8-Z9-$Q8),"")</f>
        <v>-437</v>
      </c>
      <c r="AB8" s="21">
        <v>13499</v>
      </c>
      <c r="AC8" s="22">
        <f>IF(AB8&gt;0,(AB8-AB9-$Q8),"")</f>
        <v>-437</v>
      </c>
      <c r="AD8" s="21">
        <v>13499</v>
      </c>
      <c r="AE8" s="22">
        <f>IF(AD8&gt;0,(AD8-AD9-$Q8),"")</f>
        <v>-437</v>
      </c>
    </row>
    <row r="9" spans="2:42" x14ac:dyDescent="0.3">
      <c r="B9" s="28" t="s">
        <v>28</v>
      </c>
      <c r="C9" s="17">
        <v>1680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6493</v>
      </c>
      <c r="E10" s="18" t="s">
        <v>31</v>
      </c>
      <c r="F10" s="119">
        <v>10650</v>
      </c>
      <c r="G10" s="117">
        <v>8062.2155000000002</v>
      </c>
      <c r="H10" s="117">
        <v>2040.8883599999999</v>
      </c>
      <c r="I10" s="19">
        <f>G10+H10</f>
        <v>10103.103859999999</v>
      </c>
      <c r="J10" s="119">
        <v>10479</v>
      </c>
      <c r="K10" s="117">
        <v>8029.8540000000012</v>
      </c>
      <c r="L10" s="117">
        <v>1906.6026750000001</v>
      </c>
      <c r="M10" s="19">
        <f>K10+L10</f>
        <v>9936.4566750000013</v>
      </c>
      <c r="N10" s="88">
        <v>35</v>
      </c>
      <c r="O10" s="88">
        <v>29</v>
      </c>
      <c r="P10" s="92"/>
      <c r="Q10" s="20">
        <f>J10-P10</f>
        <v>10479</v>
      </c>
      <c r="R10" s="21">
        <v>82</v>
      </c>
      <c r="S10" s="20">
        <f>IF(R10&gt;0,(R10-R11-$Q10),"")</f>
        <v>-10397</v>
      </c>
      <c r="T10" s="21">
        <v>774</v>
      </c>
      <c r="U10" s="20">
        <f>IF(T10&gt;0,(T10-T11-$Q10),"")</f>
        <v>-10131</v>
      </c>
      <c r="V10" s="21">
        <v>2403</v>
      </c>
      <c r="W10" s="20">
        <f>IF(V10&gt;0,(V10-V11-$Q10),"")</f>
        <v>-9036</v>
      </c>
      <c r="X10" s="21">
        <v>3844</v>
      </c>
      <c r="Y10" s="20">
        <f>IF(X10&gt;0,(X10-X11-$Q10),"")</f>
        <v>-8149</v>
      </c>
      <c r="Z10" s="21">
        <v>6236</v>
      </c>
      <c r="AA10" s="20">
        <f>IF(Z10&gt;0,(Z10-Z11-$Q10),"")</f>
        <v>-5848</v>
      </c>
      <c r="AB10" s="21">
        <v>6236</v>
      </c>
      <c r="AC10" s="22">
        <f>IF(AB10&gt;0,(AB10-AB11-$Q10),"")</f>
        <v>-5848</v>
      </c>
      <c r="AD10" s="21">
        <v>6236</v>
      </c>
      <c r="AE10" s="22">
        <f>IF(AD10&gt;0,(AD10-AD11-$Q10),"")</f>
        <v>-5848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0</v>
      </c>
      <c r="S11" s="24"/>
      <c r="T11" s="30">
        <v>426</v>
      </c>
      <c r="U11" s="24"/>
      <c r="V11" s="30">
        <v>960</v>
      </c>
      <c r="W11" s="24"/>
      <c r="X11" s="30">
        <v>1514</v>
      </c>
      <c r="Y11" s="24"/>
      <c r="Z11" s="30">
        <v>1605</v>
      </c>
      <c r="AA11" s="24"/>
      <c r="AB11" s="30">
        <v>1605</v>
      </c>
      <c r="AC11" s="26"/>
      <c r="AD11" s="30">
        <v>1605</v>
      </c>
      <c r="AE11" s="26"/>
    </row>
    <row r="12" spans="2:42" x14ac:dyDescent="0.3">
      <c r="B12" s="16" t="s">
        <v>34</v>
      </c>
      <c r="C12" s="17">
        <v>1854</v>
      </c>
      <c r="E12" s="29" t="s">
        <v>35</v>
      </c>
      <c r="F12" s="119">
        <v>14435</v>
      </c>
      <c r="G12" s="117">
        <v>10917.4465</v>
      </c>
      <c r="H12" s="117">
        <v>14055.5718328</v>
      </c>
      <c r="I12" s="19">
        <f>G12+H12</f>
        <v>24973.018332799998</v>
      </c>
      <c r="J12" s="119">
        <v>13931</v>
      </c>
      <c r="K12" s="117">
        <v>10472.1185</v>
      </c>
      <c r="L12" s="117">
        <v>13011.7340057</v>
      </c>
      <c r="M12" s="19">
        <f>K12+L12</f>
        <v>23483.852505700001</v>
      </c>
      <c r="N12" s="88">
        <v>55</v>
      </c>
      <c r="O12" s="88">
        <v>43</v>
      </c>
      <c r="P12" s="92"/>
      <c r="Q12" s="20">
        <f>J12-P12</f>
        <v>13931</v>
      </c>
      <c r="R12" s="21">
        <v>3313</v>
      </c>
      <c r="S12" s="20">
        <f>IF(R12&gt;0,(R12-R13-$Q12),"")</f>
        <v>-11235</v>
      </c>
      <c r="T12" s="21">
        <v>5186</v>
      </c>
      <c r="U12" s="20">
        <f>IF(T12&gt;0,(T12-T13-$Q12),"")</f>
        <v>-9708</v>
      </c>
      <c r="V12" s="21">
        <v>6565</v>
      </c>
      <c r="W12" s="20">
        <f>IF(V12&gt;0,(V12-V13-$Q12),"")</f>
        <v>-8389</v>
      </c>
      <c r="X12" s="21">
        <v>8247</v>
      </c>
      <c r="Y12" s="20">
        <f>IF(X12&gt;0,(X12-X13-$Q12),"")</f>
        <v>-6707</v>
      </c>
      <c r="Z12" s="21">
        <v>8578</v>
      </c>
      <c r="AA12" s="20">
        <f>IF(Z12&gt;0,(Z12-Z13-$Q12),"")</f>
        <v>-6376</v>
      </c>
      <c r="AB12" s="21">
        <v>8578</v>
      </c>
      <c r="AC12" s="22">
        <f>IF(AB12&gt;0,(AB12-AB13-$Q12),"")</f>
        <v>-6376</v>
      </c>
      <c r="AD12" s="21">
        <v>8578</v>
      </c>
      <c r="AE12" s="22">
        <f>IF(AD12&gt;0,(AD12-AD13-$Q12),"")</f>
        <v>-6376</v>
      </c>
    </row>
    <row r="13" spans="2:42" x14ac:dyDescent="0.3">
      <c r="B13" s="16" t="s">
        <v>36</v>
      </c>
      <c r="C13" s="17">
        <v>5000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617</v>
      </c>
      <c r="S13" s="24"/>
      <c r="T13" s="30">
        <v>963</v>
      </c>
      <c r="U13" s="24"/>
      <c r="V13" s="30">
        <v>1023</v>
      </c>
      <c r="W13" s="24"/>
      <c r="X13" s="30">
        <v>1023</v>
      </c>
      <c r="Y13" s="24"/>
      <c r="Z13" s="30">
        <v>1023</v>
      </c>
      <c r="AA13" s="24"/>
      <c r="AB13" s="30">
        <v>1023</v>
      </c>
      <c r="AC13" s="26"/>
      <c r="AD13" s="30">
        <v>1023</v>
      </c>
      <c r="AE13" s="26"/>
    </row>
    <row r="14" spans="2:42" x14ac:dyDescent="0.3">
      <c r="B14" s="16" t="s">
        <v>38</v>
      </c>
      <c r="C14" s="17">
        <v>10351</v>
      </c>
      <c r="E14" s="18" t="s">
        <v>39</v>
      </c>
      <c r="F14" s="119">
        <v>23239</v>
      </c>
      <c r="G14" s="117">
        <v>17748.875</v>
      </c>
      <c r="H14" s="117">
        <v>21649.35248207999</v>
      </c>
      <c r="I14" s="19">
        <f>G14+H14</f>
        <v>39398.227482079994</v>
      </c>
      <c r="J14" s="119">
        <v>23369</v>
      </c>
      <c r="K14" s="117">
        <v>17960.5</v>
      </c>
      <c r="L14" s="117">
        <v>21852.10952812</v>
      </c>
      <c r="M14" s="19">
        <f>K14+L14</f>
        <v>39812.609528119996</v>
      </c>
      <c r="N14" s="88">
        <v>81</v>
      </c>
      <c r="O14" s="88">
        <v>52</v>
      </c>
      <c r="P14" s="92"/>
      <c r="Q14" s="20">
        <f>J14-P14</f>
        <v>23369</v>
      </c>
      <c r="R14" s="21">
        <v>4266</v>
      </c>
      <c r="S14" s="20">
        <f>IF(R14&gt;0,(R14-R15-$Q14),"")</f>
        <v>-23011</v>
      </c>
      <c r="T14" s="21">
        <v>7111</v>
      </c>
      <c r="U14" s="20">
        <f>IF(T14&gt;0,(T14-T15-$Q14),"")</f>
        <v>-22809</v>
      </c>
      <c r="V14" s="21">
        <v>8689</v>
      </c>
      <c r="W14" s="20">
        <f>IF(V14&gt;0,(V14-V15-$Q14),"")</f>
        <v>-22343</v>
      </c>
      <c r="X14" s="21">
        <v>11799</v>
      </c>
      <c r="Y14" s="20">
        <f>IF(X14&gt;0,(X14-X15-$Q14),"")</f>
        <v>-21635</v>
      </c>
      <c r="Z14" s="21">
        <v>13075</v>
      </c>
      <c r="AA14" s="20">
        <f>IF(Z14&gt;0,(Z14-Z15-$Q14),"")</f>
        <v>-20926</v>
      </c>
      <c r="AB14" s="21">
        <v>13075</v>
      </c>
      <c r="AC14" s="22">
        <f>IF(AB14&gt;0,(AB14-AB15-$Q14),"")</f>
        <v>-20926</v>
      </c>
      <c r="AD14" s="21">
        <v>13075</v>
      </c>
      <c r="AE14" s="22">
        <f>IF(AD14&gt;0,(AD14-AD15-$Q14),"")</f>
        <v>-20926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29</v>
      </c>
      <c r="P15" s="93" t="s">
        <v>41</v>
      </c>
      <c r="Q15" s="24"/>
      <c r="R15" s="25">
        <v>3908</v>
      </c>
      <c r="S15" s="24"/>
      <c r="T15" s="25">
        <v>6551</v>
      </c>
      <c r="U15" s="24"/>
      <c r="V15" s="25">
        <v>7663</v>
      </c>
      <c r="W15" s="24"/>
      <c r="X15" s="25">
        <v>10065</v>
      </c>
      <c r="Y15" s="24"/>
      <c r="Z15" s="25">
        <v>10632</v>
      </c>
      <c r="AA15" s="24"/>
      <c r="AB15" s="25">
        <v>10632</v>
      </c>
      <c r="AC15" s="26"/>
      <c r="AD15" s="25">
        <v>10632</v>
      </c>
      <c r="AE15" s="26"/>
    </row>
    <row r="16" spans="2:42" ht="15" customHeight="1" thickBot="1" x14ac:dyDescent="0.35">
      <c r="B16" s="28" t="s">
        <v>42</v>
      </c>
      <c r="C16" s="17">
        <v>9466</v>
      </c>
      <c r="E16" s="84"/>
      <c r="F16" s="31">
        <f t="shared" ref="F16:M16" si="0">SUM(F6:F15)</f>
        <v>83045</v>
      </c>
      <c r="G16" s="31">
        <f t="shared" si="0"/>
        <v>58961.511749999998</v>
      </c>
      <c r="H16" s="31">
        <f t="shared" si="0"/>
        <v>53337.678946519991</v>
      </c>
      <c r="I16" s="32">
        <f t="shared" si="0"/>
        <v>112299.19069651999</v>
      </c>
      <c r="J16" s="33">
        <f t="shared" si="0"/>
        <v>81210</v>
      </c>
      <c r="K16" s="33">
        <f t="shared" si="0"/>
        <v>57849.304875000002</v>
      </c>
      <c r="L16" s="33">
        <f t="shared" si="0"/>
        <v>51111.893366740012</v>
      </c>
      <c r="M16" s="33">
        <f t="shared" si="0"/>
        <v>108961.19824174</v>
      </c>
      <c r="N16" s="31">
        <f>SUM(N14,N12,N10,N8,N6)</f>
        <v>278</v>
      </c>
      <c r="O16" s="31">
        <f>SUM(O14,O12,O10,O8,O6)</f>
        <v>199</v>
      </c>
      <c r="P16" s="34">
        <f>SUM(P6:P15)</f>
        <v>0</v>
      </c>
      <c r="Q16" s="34">
        <f>SUM(Q6:Q15)</f>
        <v>81210</v>
      </c>
      <c r="R16" s="35">
        <f>R6+R8+R10+R12+R14-R7-R9-R11-R13-R15</f>
        <v>4672</v>
      </c>
      <c r="S16" s="36">
        <f>IF(R16&gt;1,(R16-$Q16),"")</f>
        <v>-76538</v>
      </c>
      <c r="T16" s="35">
        <f>T6+T8+T10+T12+T14-T7-T9-T11-T13-T15</f>
        <v>10291</v>
      </c>
      <c r="U16" s="36">
        <f>IF(T16&gt;1,(T16-$Q16),"")</f>
        <v>-70919</v>
      </c>
      <c r="V16" s="35">
        <f>V6+V8+V10+V12+V14-V7-V9-V11-V13-V15</f>
        <v>16950</v>
      </c>
      <c r="W16" s="36">
        <f>IF(V16&gt;1,(V16-$Q16),"")</f>
        <v>-64260</v>
      </c>
      <c r="X16" s="35">
        <f>X6+X8+X10+X12+X14-X7-X9-X11-X13-X15</f>
        <v>29334</v>
      </c>
      <c r="Y16" s="36">
        <f>IF(X16&gt;1,(X16-$Q16),"")</f>
        <v>-51876</v>
      </c>
      <c r="Z16" s="35">
        <f>Z6+Z8+Z10+Z12+Z14-Z7-Z9-Z11-Z13-Z15</f>
        <v>41461</v>
      </c>
      <c r="AA16" s="36">
        <f>IF(Z16&gt;1,(Z16-$Q16),"")</f>
        <v>-39749</v>
      </c>
      <c r="AB16" s="35">
        <f>AB6+AB8+AB10+AB12+AB14-AB7-AB9-AB11-AB13-AB15</f>
        <v>41461</v>
      </c>
      <c r="AC16" s="37">
        <f>IF(AB16&gt;1,(AB16-$Q16),"")</f>
        <v>-39749</v>
      </c>
      <c r="AD16" s="35">
        <f>AD6+AD8+AD10+AD12+AD14-AD7-AD9-AD11-AD13-AD15</f>
        <v>41461</v>
      </c>
      <c r="AE16" s="37">
        <f>IF(AD16&gt;1,(AD16-$Q16),"")</f>
        <v>-39749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79</v>
      </c>
      <c r="P17" s="38" t="s">
        <v>44</v>
      </c>
      <c r="Q17" s="39"/>
      <c r="R17" s="40">
        <f>R15+R13+R11+R9+R7</f>
        <v>4527</v>
      </c>
      <c r="S17" s="41"/>
      <c r="T17" s="40">
        <f>T15+T13+T11+T9+T7</f>
        <v>7949</v>
      </c>
      <c r="U17" s="41"/>
      <c r="V17" s="40">
        <f>V15+V13+V11+V9+V7</f>
        <v>9663</v>
      </c>
      <c r="W17" s="41"/>
      <c r="X17" s="40">
        <f>X15+X13+X11+X9+X7</f>
        <v>12630</v>
      </c>
      <c r="Y17" s="41"/>
      <c r="Z17" s="40">
        <f>Z15+Z13+Z11+Z9+Z7</f>
        <v>13304</v>
      </c>
      <c r="AA17" s="41"/>
      <c r="AB17" s="40">
        <f>AB15+AB13+AB11+AB9+AB7</f>
        <v>13688</v>
      </c>
      <c r="AC17" s="42"/>
      <c r="AD17" s="40">
        <f>AD15+AD13+AD11+AD9+AD7</f>
        <v>13688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2336</v>
      </c>
      <c r="S18" s="46"/>
      <c r="T18" s="47">
        <f>IF(T16&gt;0,(T16-R16)/2,"")</f>
        <v>2809.5</v>
      </c>
      <c r="U18" s="46"/>
      <c r="V18" s="47">
        <f>IF(V16&gt;0,(V16-T16)/2,"")</f>
        <v>3329.5</v>
      </c>
      <c r="W18" s="46"/>
      <c r="X18" s="47">
        <f>IF(X16&gt;0,(X16-V16)/2,"")</f>
        <v>6192</v>
      </c>
      <c r="Y18" s="46"/>
      <c r="Z18" s="47">
        <f>IF(Z16&gt;0,(Z16-X16)/2,"")</f>
        <v>6063.5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7953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1246</v>
      </c>
      <c r="L20" s="4"/>
      <c r="M20" s="4"/>
      <c r="Q20" s="51" t="s">
        <v>49</v>
      </c>
      <c r="R20" s="35">
        <v>12387</v>
      </c>
      <c r="S20" s="36"/>
      <c r="T20" s="35">
        <v>18051</v>
      </c>
      <c r="U20" s="36"/>
      <c r="V20" s="35">
        <v>29154</v>
      </c>
      <c r="W20" s="36"/>
      <c r="X20" s="35">
        <v>42488</v>
      </c>
      <c r="Y20" s="36"/>
      <c r="Z20" s="35">
        <v>48090</v>
      </c>
      <c r="AA20" s="36"/>
      <c r="AB20" s="35">
        <v>48090</v>
      </c>
      <c r="AC20" s="37"/>
      <c r="AD20" s="35">
        <v>48090</v>
      </c>
      <c r="AE20" s="37">
        <v>-34964</v>
      </c>
    </row>
    <row r="21" spans="2:43" ht="15" customHeight="1" thickBot="1" x14ac:dyDescent="0.35">
      <c r="B21" s="57" t="s">
        <v>52</v>
      </c>
      <c r="C21" s="58">
        <v>4339</v>
      </c>
      <c r="L21" s="4"/>
      <c r="M21" s="4"/>
      <c r="Q21" s="52"/>
      <c r="R21" s="40">
        <v>4689</v>
      </c>
      <c r="S21" s="41"/>
      <c r="T21" s="40">
        <v>8536</v>
      </c>
      <c r="U21" s="41"/>
      <c r="V21" s="40">
        <v>11472</v>
      </c>
      <c r="W21" s="41"/>
      <c r="X21" s="40">
        <v>14448</v>
      </c>
      <c r="Y21" s="41"/>
      <c r="Z21" s="40">
        <v>15215</v>
      </c>
      <c r="AA21" s="41"/>
      <c r="AB21" s="40">
        <v>15215</v>
      </c>
      <c r="AC21" s="42"/>
      <c r="AD21" s="40">
        <v>15215</v>
      </c>
      <c r="AE21" s="42"/>
    </row>
    <row r="22" spans="2:43" ht="15" customHeight="1" thickBot="1" x14ac:dyDescent="0.35">
      <c r="L22" s="4"/>
      <c r="M22" s="4"/>
      <c r="Q22" s="54"/>
      <c r="R22" s="55">
        <v>2650.5</v>
      </c>
      <c r="S22" s="55"/>
      <c r="T22" s="55">
        <v>3030</v>
      </c>
      <c r="U22" s="55"/>
      <c r="V22" s="55">
        <v>3595</v>
      </c>
      <c r="W22" s="55"/>
      <c r="X22" s="55">
        <v>6028</v>
      </c>
      <c r="Y22" s="55"/>
      <c r="Z22" s="55">
        <v>2472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-7715</v>
      </c>
      <c r="S24" s="60"/>
      <c r="T24" s="60">
        <f>IF(T16&gt;0,T16-T20,"")</f>
        <v>-7760</v>
      </c>
      <c r="U24" s="60"/>
      <c r="V24" s="60">
        <f>IF(V16&gt;0,V16-V20,"")</f>
        <v>-12204</v>
      </c>
      <c r="W24" s="60"/>
      <c r="X24" s="60">
        <f>IF(X16&gt;0,X16-X20,"")</f>
        <v>-13154</v>
      </c>
      <c r="Y24" s="60"/>
      <c r="Z24" s="60">
        <f>IF(Z16&gt;0,Z16-Z20,"")</f>
        <v>-6629</v>
      </c>
      <c r="AA24" s="60"/>
      <c r="AB24" s="60">
        <f>IF(AB16&gt;0,AB16-AB20,"")</f>
        <v>-6629</v>
      </c>
      <c r="AC24" s="61"/>
      <c r="AD24" s="60">
        <f>IF(AD16&gt;0,AD16-AD20,"")</f>
        <v>-6629</v>
      </c>
      <c r="AE24" s="61"/>
    </row>
    <row r="25" spans="2:43" x14ac:dyDescent="0.3">
      <c r="L25" s="4"/>
      <c r="M25" s="4"/>
      <c r="Q25" s="62"/>
      <c r="R25" s="63">
        <f>IF(R17&gt;=0,R17-R21,"")</f>
        <v>-162</v>
      </c>
      <c r="S25" s="64"/>
      <c r="T25" s="63">
        <f>IF(T17&gt;=0,T17-T21,"")</f>
        <v>-587</v>
      </c>
      <c r="U25" s="64"/>
      <c r="V25" s="63">
        <f>IF(V17&gt;=0,V17-V21,"")</f>
        <v>-1809</v>
      </c>
      <c r="W25" s="64"/>
      <c r="X25" s="63">
        <f>IF(X17&gt;=0,X17-X21,"")</f>
        <v>-1818</v>
      </c>
      <c r="Y25" s="64"/>
      <c r="Z25" s="63">
        <f>IF(Z17&gt;=0,Z17-Z21,"")</f>
        <v>-1911</v>
      </c>
      <c r="AA25" s="64"/>
      <c r="AB25" s="63">
        <f>IF(AB17&gt;=0,AB17-AB21,"")</f>
        <v>-1527</v>
      </c>
      <c r="AC25" s="65"/>
      <c r="AD25" s="63">
        <f>IF(AD17&gt;=0,AD17-AD21,"")</f>
        <v>-1527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-314.5</v>
      </c>
      <c r="S26" s="55"/>
      <c r="T26" s="67">
        <f>IFERROR(IF(T18&gt;0,T18-T22,""),"")</f>
        <v>-220.5</v>
      </c>
      <c r="U26" s="55"/>
      <c r="V26" s="67">
        <f>IFERROR(IF(V18&gt;0,V18-V22,""),"")</f>
        <v>-265.5</v>
      </c>
      <c r="W26" s="55"/>
      <c r="X26" s="67">
        <f>IFERROR(IF(X18&gt;0,X18-X22,""),"")</f>
        <v>164</v>
      </c>
      <c r="Y26" s="55"/>
      <c r="Z26" s="67">
        <f>IFERROR(IF(Z18&gt;0,Z18-Z22,""),"")</f>
        <v>3591.5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11595</v>
      </c>
      <c r="D29" s="76">
        <f>C14</f>
        <v>10351</v>
      </c>
      <c r="E29" s="77">
        <f>D29-C29</f>
        <v>-1244</v>
      </c>
      <c r="M29" s="4"/>
      <c r="O29" s="4"/>
    </row>
    <row r="30" spans="2:43" x14ac:dyDescent="0.3">
      <c r="B30" s="74" t="s">
        <v>56</v>
      </c>
      <c r="C30" s="122">
        <v>24177</v>
      </c>
      <c r="D30" s="76">
        <f>C7+C15+C16+C17+C18</f>
        <v>9746</v>
      </c>
      <c r="E30" s="77">
        <f>D30-C30</f>
        <v>-14431</v>
      </c>
      <c r="J30" s="53"/>
      <c r="L30" s="53"/>
      <c r="M30" s="4"/>
      <c r="O30" s="4"/>
    </row>
    <row r="31" spans="2:43" x14ac:dyDescent="0.3">
      <c r="B31" s="74" t="s">
        <v>21</v>
      </c>
      <c r="C31" s="122">
        <v>2986</v>
      </c>
      <c r="D31" s="76">
        <f>C6</f>
        <v>2986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15436</v>
      </c>
      <c r="D32" s="76">
        <f>C10+C11+C12+C13</f>
        <v>15436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13760</v>
      </c>
      <c r="D33" s="76">
        <f>C19+C20+C21</f>
        <v>13538</v>
      </c>
      <c r="E33" s="77">
        <f>D33-C33</f>
        <v>-222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3757</v>
      </c>
      <c r="D34" s="80">
        <f>SUM(C8+C9)</f>
        <v>3757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2489</v>
      </c>
      <c r="R35" s="104">
        <v>0</v>
      </c>
      <c r="S35" s="104">
        <f t="shared" ref="S35:S64" si="1">IF(T35&gt;0,(T35-R35)/2,"")</f>
        <v>212.5</v>
      </c>
      <c r="T35" s="104">
        <v>425</v>
      </c>
      <c r="U35" s="104">
        <f t="shared" ref="U35:U64" si="2">IF(V35&gt;0,(V35-T35)/2,"")</f>
        <v>212</v>
      </c>
      <c r="V35" s="104">
        <v>849</v>
      </c>
      <c r="W35" s="104">
        <f t="shared" ref="W35:W64" si="3">IF(X35&gt;0,(X35-V35)/2,"")</f>
        <v>259.5</v>
      </c>
      <c r="X35" s="104">
        <v>1368</v>
      </c>
      <c r="Y35" s="104">
        <f t="shared" ref="Y35:Y64" si="4">IF(Z35&gt;0,(Z35-X35)/2,"")</f>
        <v>6</v>
      </c>
      <c r="Z35" s="104">
        <v>1380</v>
      </c>
      <c r="AA35" s="104">
        <f t="shared" ref="AA35:AA64" si="5">IF(AB35&gt;0,(AB35-Z35)/2,"")</f>
        <v>0</v>
      </c>
      <c r="AB35" s="104">
        <v>1380</v>
      </c>
      <c r="AC35" s="104">
        <f t="shared" ref="AC35:AC64" si="6">IF(AD35&gt;0,(AD35-AB35)/2,"")</f>
        <v>0</v>
      </c>
      <c r="AD35" s="104">
        <v>1380</v>
      </c>
      <c r="AE35" s="105">
        <f t="shared" ref="AE35:AE64" si="7">AD35-Q35</f>
        <v>-1109</v>
      </c>
    </row>
    <row r="36" spans="2:31" ht="15.6" customHeight="1" x14ac:dyDescent="0.3">
      <c r="N36" s="212"/>
      <c r="O36" s="95" t="s">
        <v>66</v>
      </c>
      <c r="P36" s="106"/>
      <c r="Q36" s="106">
        <v>1326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264</v>
      </c>
      <c r="X36" s="106">
        <v>528</v>
      </c>
      <c r="Y36" s="106">
        <f t="shared" si="4"/>
        <v>255</v>
      </c>
      <c r="Z36" s="106">
        <v>1038</v>
      </c>
      <c r="AA36" s="106">
        <f t="shared" si="5"/>
        <v>0</v>
      </c>
      <c r="AB36" s="106">
        <v>1038</v>
      </c>
      <c r="AC36" s="106">
        <f t="shared" si="6"/>
        <v>0</v>
      </c>
      <c r="AD36" s="106">
        <v>1038</v>
      </c>
      <c r="AE36" s="107">
        <f t="shared" si="7"/>
        <v>-288</v>
      </c>
    </row>
    <row r="37" spans="2:31" ht="15.6" customHeight="1" x14ac:dyDescent="0.3">
      <c r="N37" s="212"/>
      <c r="O37" s="94" t="s">
        <v>67</v>
      </c>
      <c r="P37" s="108"/>
      <c r="Q37" s="108">
        <v>2467</v>
      </c>
      <c r="R37" s="108">
        <v>0</v>
      </c>
      <c r="S37" s="108">
        <f t="shared" si="1"/>
        <v>11</v>
      </c>
      <c r="T37" s="108">
        <v>22</v>
      </c>
      <c r="U37" s="108">
        <f t="shared" si="2"/>
        <v>0</v>
      </c>
      <c r="V37" s="108">
        <v>22</v>
      </c>
      <c r="W37" s="108">
        <f t="shared" si="3"/>
        <v>538</v>
      </c>
      <c r="X37" s="108">
        <v>1098</v>
      </c>
      <c r="Y37" s="108">
        <f t="shared" si="4"/>
        <v>310.5</v>
      </c>
      <c r="Z37" s="108">
        <v>1719</v>
      </c>
      <c r="AA37" s="108">
        <f t="shared" si="5"/>
        <v>0</v>
      </c>
      <c r="AB37" s="108">
        <v>1719</v>
      </c>
      <c r="AC37" s="108">
        <f t="shared" si="6"/>
        <v>0</v>
      </c>
      <c r="AD37" s="108">
        <v>1719</v>
      </c>
      <c r="AE37" s="109">
        <f t="shared" si="7"/>
        <v>-748</v>
      </c>
    </row>
    <row r="38" spans="2:31" ht="15.6" customHeight="1" x14ac:dyDescent="0.3">
      <c r="N38" s="212"/>
      <c r="O38" s="95" t="s">
        <v>68</v>
      </c>
      <c r="P38" s="106"/>
      <c r="Q38" s="106">
        <v>2824</v>
      </c>
      <c r="R38" s="106">
        <v>0</v>
      </c>
      <c r="S38" s="106">
        <f t="shared" si="1"/>
        <v>363</v>
      </c>
      <c r="T38" s="106">
        <v>726</v>
      </c>
      <c r="U38" s="106">
        <f t="shared" si="2"/>
        <v>0</v>
      </c>
      <c r="V38" s="106">
        <v>726</v>
      </c>
      <c r="W38" s="106">
        <f t="shared" si="3"/>
        <v>383</v>
      </c>
      <c r="X38" s="106">
        <v>1492</v>
      </c>
      <c r="Y38" s="106">
        <f t="shared" si="4"/>
        <v>669</v>
      </c>
      <c r="Z38" s="106">
        <v>2830</v>
      </c>
      <c r="AA38" s="106">
        <f t="shared" si="5"/>
        <v>0</v>
      </c>
      <c r="AB38" s="106">
        <v>2830</v>
      </c>
      <c r="AC38" s="106">
        <f t="shared" si="6"/>
        <v>0</v>
      </c>
      <c r="AD38" s="106">
        <v>2830</v>
      </c>
      <c r="AE38" s="107">
        <f t="shared" si="7"/>
        <v>6</v>
      </c>
    </row>
    <row r="39" spans="2:31" ht="15.6" customHeight="1" x14ac:dyDescent="0.3">
      <c r="N39" s="212"/>
      <c r="O39" s="94" t="s">
        <v>69</v>
      </c>
      <c r="P39" s="108"/>
      <c r="Q39" s="108">
        <v>2511</v>
      </c>
      <c r="R39" s="108">
        <v>3</v>
      </c>
      <c r="S39" s="108">
        <f t="shared" si="1"/>
        <v>0</v>
      </c>
      <c r="T39" s="108">
        <v>3</v>
      </c>
      <c r="U39" s="108">
        <f t="shared" si="2"/>
        <v>560</v>
      </c>
      <c r="V39" s="108">
        <v>1123</v>
      </c>
      <c r="W39" s="108">
        <f t="shared" si="3"/>
        <v>437</v>
      </c>
      <c r="X39" s="108">
        <v>1997</v>
      </c>
      <c r="Y39" s="108">
        <f t="shared" si="4"/>
        <v>0</v>
      </c>
      <c r="Z39" s="108">
        <v>1997</v>
      </c>
      <c r="AA39" s="108">
        <f t="shared" si="5"/>
        <v>0</v>
      </c>
      <c r="AB39" s="108">
        <v>1997</v>
      </c>
      <c r="AC39" s="108">
        <f t="shared" si="6"/>
        <v>0</v>
      </c>
      <c r="AD39" s="108">
        <v>1997</v>
      </c>
      <c r="AE39" s="109">
        <f t="shared" si="7"/>
        <v>-514</v>
      </c>
    </row>
    <row r="40" spans="2:31" ht="15.6" customHeight="1" x14ac:dyDescent="0.3">
      <c r="N40" s="212"/>
      <c r="O40" s="95" t="s">
        <v>70</v>
      </c>
      <c r="P40" s="106"/>
      <c r="Q40" s="106">
        <v>3375</v>
      </c>
      <c r="R40" s="106">
        <v>54</v>
      </c>
      <c r="S40" s="106">
        <f t="shared" si="1"/>
        <v>0</v>
      </c>
      <c r="T40" s="106">
        <v>54</v>
      </c>
      <c r="U40" s="106">
        <f t="shared" si="2"/>
        <v>0</v>
      </c>
      <c r="V40" s="106">
        <v>54</v>
      </c>
      <c r="W40" s="106">
        <f t="shared" si="3"/>
        <v>0</v>
      </c>
      <c r="X40" s="106">
        <v>54</v>
      </c>
      <c r="Y40" s="106">
        <f t="shared" si="4"/>
        <v>430.5</v>
      </c>
      <c r="Z40" s="106">
        <v>915</v>
      </c>
      <c r="AA40" s="106">
        <f t="shared" si="5"/>
        <v>192</v>
      </c>
      <c r="AB40" s="106">
        <v>1299</v>
      </c>
      <c r="AC40" s="106">
        <f t="shared" si="6"/>
        <v>0</v>
      </c>
      <c r="AD40" s="106">
        <v>1299</v>
      </c>
      <c r="AE40" s="107">
        <f t="shared" si="7"/>
        <v>-2076</v>
      </c>
    </row>
    <row r="41" spans="2:31" ht="15.6" customHeight="1" x14ac:dyDescent="0.3">
      <c r="N41" s="212"/>
      <c r="O41" s="94" t="s">
        <v>71</v>
      </c>
      <c r="P41" s="108"/>
      <c r="Q41" s="108">
        <v>1186</v>
      </c>
      <c r="R41" s="108">
        <v>0</v>
      </c>
      <c r="S41" s="108">
        <f t="shared" si="1"/>
        <v>1.5</v>
      </c>
      <c r="T41" s="108">
        <v>3</v>
      </c>
      <c r="U41" s="108">
        <f t="shared" si="2"/>
        <v>319.5</v>
      </c>
      <c r="V41" s="108">
        <v>642</v>
      </c>
      <c r="W41" s="108">
        <f t="shared" si="3"/>
        <v>138</v>
      </c>
      <c r="X41" s="108">
        <v>918</v>
      </c>
      <c r="Y41" s="108">
        <f t="shared" si="4"/>
        <v>0</v>
      </c>
      <c r="Z41" s="108">
        <v>918</v>
      </c>
      <c r="AA41" s="108">
        <f t="shared" si="5"/>
        <v>0</v>
      </c>
      <c r="AB41" s="108">
        <v>918</v>
      </c>
      <c r="AC41" s="108">
        <f t="shared" si="6"/>
        <v>0</v>
      </c>
      <c r="AD41" s="108">
        <v>918</v>
      </c>
      <c r="AE41" s="109">
        <f t="shared" si="7"/>
        <v>-268</v>
      </c>
    </row>
    <row r="42" spans="2:31" ht="15.6" customHeight="1" x14ac:dyDescent="0.3">
      <c r="N42" s="212"/>
      <c r="O42" s="95" t="s">
        <v>72</v>
      </c>
      <c r="P42" s="106"/>
      <c r="Q42" s="106">
        <v>1688</v>
      </c>
      <c r="R42" s="106">
        <v>0</v>
      </c>
      <c r="S42" s="106">
        <f t="shared" si="1"/>
        <v>182</v>
      </c>
      <c r="T42" s="106">
        <v>364</v>
      </c>
      <c r="U42" s="106">
        <f t="shared" si="2"/>
        <v>0</v>
      </c>
      <c r="V42" s="106">
        <v>364</v>
      </c>
      <c r="W42" s="106">
        <f t="shared" si="3"/>
        <v>276</v>
      </c>
      <c r="X42" s="106">
        <v>916</v>
      </c>
      <c r="Y42" s="106">
        <f t="shared" si="4"/>
        <v>388</v>
      </c>
      <c r="Z42" s="106">
        <v>1692</v>
      </c>
      <c r="AA42" s="106">
        <f t="shared" si="5"/>
        <v>0</v>
      </c>
      <c r="AB42" s="106">
        <v>1692</v>
      </c>
      <c r="AC42" s="106">
        <f t="shared" si="6"/>
        <v>0</v>
      </c>
      <c r="AD42" s="106">
        <v>1692</v>
      </c>
      <c r="AE42" s="107">
        <f t="shared" si="7"/>
        <v>4</v>
      </c>
    </row>
    <row r="43" spans="2:31" ht="15.6" customHeight="1" thickBot="1" x14ac:dyDescent="0.35">
      <c r="N43" s="213"/>
      <c r="O43" s="97" t="s">
        <v>73</v>
      </c>
      <c r="P43" s="110"/>
      <c r="Q43" s="110">
        <v>1629</v>
      </c>
      <c r="R43" s="110">
        <v>481</v>
      </c>
      <c r="S43" s="110">
        <f t="shared" si="1"/>
        <v>0</v>
      </c>
      <c r="T43" s="110">
        <v>481</v>
      </c>
      <c r="U43" s="110">
        <f t="shared" si="2"/>
        <v>95.5</v>
      </c>
      <c r="V43" s="110">
        <v>672</v>
      </c>
      <c r="W43" s="110">
        <f t="shared" si="3"/>
        <v>108</v>
      </c>
      <c r="X43" s="110">
        <v>888</v>
      </c>
      <c r="Y43" s="110">
        <f t="shared" si="4"/>
        <v>0</v>
      </c>
      <c r="Z43" s="110">
        <v>888</v>
      </c>
      <c r="AA43" s="110">
        <f t="shared" si="5"/>
        <v>0</v>
      </c>
      <c r="AB43" s="110">
        <v>888</v>
      </c>
      <c r="AC43" s="110">
        <f t="shared" si="6"/>
        <v>0</v>
      </c>
      <c r="AD43" s="110">
        <v>888</v>
      </c>
      <c r="AE43" s="111">
        <f t="shared" si="7"/>
        <v>-741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4412</v>
      </c>
      <c r="R44" s="112">
        <v>1000</v>
      </c>
      <c r="S44" s="112">
        <f t="shared" si="1"/>
        <v>365</v>
      </c>
      <c r="T44" s="112">
        <v>1730</v>
      </c>
      <c r="U44" s="112">
        <f t="shared" si="2"/>
        <v>0</v>
      </c>
      <c r="V44" s="112">
        <v>1730</v>
      </c>
      <c r="W44" s="112">
        <f t="shared" si="3"/>
        <v>863.5</v>
      </c>
      <c r="X44" s="112">
        <v>3457</v>
      </c>
      <c r="Y44" s="112">
        <f t="shared" si="4"/>
        <v>477.5</v>
      </c>
      <c r="Z44" s="112">
        <v>4412</v>
      </c>
      <c r="AA44" s="112">
        <f t="shared" si="5"/>
        <v>0</v>
      </c>
      <c r="AB44" s="112">
        <v>4412</v>
      </c>
      <c r="AC44" s="112">
        <f t="shared" si="6"/>
        <v>0</v>
      </c>
      <c r="AD44" s="112">
        <v>4412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3537</v>
      </c>
      <c r="R45" s="108">
        <v>0</v>
      </c>
      <c r="S45" s="108">
        <f t="shared" si="1"/>
        <v>680.5</v>
      </c>
      <c r="T45" s="108">
        <v>1361</v>
      </c>
      <c r="U45" s="108">
        <f t="shared" si="2"/>
        <v>0</v>
      </c>
      <c r="V45" s="108">
        <v>1361</v>
      </c>
      <c r="W45" s="108">
        <f t="shared" si="3"/>
        <v>471.5</v>
      </c>
      <c r="X45" s="108">
        <v>2304</v>
      </c>
      <c r="Y45" s="108">
        <f t="shared" si="4"/>
        <v>616.5</v>
      </c>
      <c r="Z45" s="108">
        <v>3537</v>
      </c>
      <c r="AA45" s="108">
        <f t="shared" si="5"/>
        <v>0</v>
      </c>
      <c r="AB45" s="108">
        <v>3537</v>
      </c>
      <c r="AC45" s="108">
        <f t="shared" si="6"/>
        <v>0</v>
      </c>
      <c r="AD45" s="108">
        <v>3537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2204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122</v>
      </c>
      <c r="X46" s="106">
        <v>244</v>
      </c>
      <c r="Y46" s="106">
        <f t="shared" si="4"/>
        <v>761.5</v>
      </c>
      <c r="Z46" s="106">
        <v>1767</v>
      </c>
      <c r="AA46" s="106">
        <f t="shared" si="5"/>
        <v>0</v>
      </c>
      <c r="AB46" s="106">
        <v>1767</v>
      </c>
      <c r="AC46" s="106">
        <f t="shared" si="6"/>
        <v>0</v>
      </c>
      <c r="AD46" s="106">
        <v>1767</v>
      </c>
      <c r="AE46" s="107">
        <f t="shared" si="7"/>
        <v>-437</v>
      </c>
    </row>
    <row r="47" spans="2:31" ht="15.6" customHeight="1" thickBot="1" x14ac:dyDescent="0.35">
      <c r="N47" s="213"/>
      <c r="O47" s="97" t="s">
        <v>68</v>
      </c>
      <c r="P47" s="110"/>
      <c r="Q47" s="110">
        <v>3783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706.5</v>
      </c>
      <c r="V47" s="110">
        <v>1413</v>
      </c>
      <c r="W47" s="110">
        <f t="shared" si="3"/>
        <v>698.5</v>
      </c>
      <c r="X47" s="110">
        <v>2810</v>
      </c>
      <c r="Y47" s="110">
        <f t="shared" si="4"/>
        <v>486.5</v>
      </c>
      <c r="Z47" s="110">
        <v>3783</v>
      </c>
      <c r="AA47" s="110">
        <f t="shared" si="5"/>
        <v>0</v>
      </c>
      <c r="AB47" s="110">
        <v>3783</v>
      </c>
      <c r="AC47" s="110">
        <f t="shared" si="6"/>
        <v>0</v>
      </c>
      <c r="AD47" s="110">
        <v>3783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304</v>
      </c>
      <c r="R48" s="112">
        <v>1</v>
      </c>
      <c r="S48" s="112">
        <f t="shared" si="1"/>
        <v>0</v>
      </c>
      <c r="T48" s="112">
        <v>1</v>
      </c>
      <c r="U48" s="112">
        <f t="shared" si="2"/>
        <v>10.5</v>
      </c>
      <c r="V48" s="112">
        <v>22</v>
      </c>
      <c r="W48" s="112">
        <f t="shared" si="3"/>
        <v>55</v>
      </c>
      <c r="X48" s="112">
        <v>132</v>
      </c>
      <c r="Y48" s="112">
        <f t="shared" si="4"/>
        <v>0</v>
      </c>
      <c r="Z48" s="112">
        <v>132</v>
      </c>
      <c r="AA48" s="112">
        <f t="shared" si="5"/>
        <v>0</v>
      </c>
      <c r="AB48" s="112">
        <v>132</v>
      </c>
      <c r="AC48" s="112">
        <f t="shared" si="6"/>
        <v>0</v>
      </c>
      <c r="AD48" s="112">
        <v>132</v>
      </c>
      <c r="AE48" s="113">
        <f t="shared" si="7"/>
        <v>-172</v>
      </c>
    </row>
    <row r="49" spans="14:31" ht="15.6" customHeight="1" x14ac:dyDescent="0.3">
      <c r="N49" s="212"/>
      <c r="O49" s="94" t="s">
        <v>66</v>
      </c>
      <c r="P49" s="108"/>
      <c r="Q49" s="108">
        <v>346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166</v>
      </c>
      <c r="V49" s="108">
        <v>332</v>
      </c>
      <c r="W49" s="108">
        <f t="shared" si="3"/>
        <v>1.5</v>
      </c>
      <c r="X49" s="108">
        <v>335</v>
      </c>
      <c r="Y49" s="108">
        <f t="shared" si="4"/>
        <v>7</v>
      </c>
      <c r="Z49" s="108">
        <v>349</v>
      </c>
      <c r="AA49" s="108">
        <f t="shared" si="5"/>
        <v>0</v>
      </c>
      <c r="AB49" s="108">
        <v>349</v>
      </c>
      <c r="AC49" s="108">
        <f t="shared" si="6"/>
        <v>0</v>
      </c>
      <c r="AD49" s="108">
        <v>349</v>
      </c>
      <c r="AE49" s="109">
        <f t="shared" si="7"/>
        <v>3</v>
      </c>
    </row>
    <row r="50" spans="14:31" ht="15.6" customHeight="1" x14ac:dyDescent="0.3">
      <c r="N50" s="212"/>
      <c r="O50" s="95" t="s">
        <v>67</v>
      </c>
      <c r="P50" s="106"/>
      <c r="Q50" s="106">
        <v>2004</v>
      </c>
      <c r="R50" s="106">
        <v>0</v>
      </c>
      <c r="S50" s="106">
        <f t="shared" si="1"/>
        <v>224</v>
      </c>
      <c r="T50" s="106">
        <v>448</v>
      </c>
      <c r="U50" s="106">
        <f t="shared" si="2"/>
        <v>162</v>
      </c>
      <c r="V50" s="106">
        <v>772</v>
      </c>
      <c r="W50" s="106">
        <f t="shared" si="3"/>
        <v>170.5</v>
      </c>
      <c r="X50" s="106">
        <v>1113</v>
      </c>
      <c r="Y50" s="106">
        <f t="shared" si="4"/>
        <v>45.5</v>
      </c>
      <c r="Z50" s="106">
        <v>1204</v>
      </c>
      <c r="AA50" s="106">
        <f t="shared" si="5"/>
        <v>0</v>
      </c>
      <c r="AB50" s="106">
        <v>1204</v>
      </c>
      <c r="AC50" s="106">
        <f t="shared" si="6"/>
        <v>0</v>
      </c>
      <c r="AD50" s="106">
        <v>1204</v>
      </c>
      <c r="AE50" s="107">
        <f t="shared" si="7"/>
        <v>-800</v>
      </c>
    </row>
    <row r="51" spans="14:31" ht="15.6" customHeight="1" x14ac:dyDescent="0.3">
      <c r="N51" s="212"/>
      <c r="O51" s="94" t="s">
        <v>68</v>
      </c>
      <c r="P51" s="108"/>
      <c r="Q51" s="108">
        <v>1837</v>
      </c>
      <c r="R51" s="108">
        <v>-167</v>
      </c>
      <c r="S51" s="108" t="str">
        <f t="shared" si="1"/>
        <v/>
      </c>
      <c r="T51" s="108">
        <v>-61</v>
      </c>
      <c r="U51" s="108">
        <f t="shared" si="2"/>
        <v>185</v>
      </c>
      <c r="V51" s="108">
        <v>309</v>
      </c>
      <c r="W51" s="108">
        <f t="shared" si="3"/>
        <v>-105</v>
      </c>
      <c r="X51" s="108">
        <v>99</v>
      </c>
      <c r="Y51" s="108">
        <f t="shared" si="4"/>
        <v>133</v>
      </c>
      <c r="Z51" s="108">
        <v>365</v>
      </c>
      <c r="AA51" s="108">
        <f t="shared" si="5"/>
        <v>0</v>
      </c>
      <c r="AB51" s="108">
        <v>365</v>
      </c>
      <c r="AC51" s="108">
        <f t="shared" si="6"/>
        <v>0</v>
      </c>
      <c r="AD51" s="108">
        <v>365</v>
      </c>
      <c r="AE51" s="109">
        <f t="shared" si="7"/>
        <v>-1472</v>
      </c>
    </row>
    <row r="52" spans="14:31" ht="15.6" customHeight="1" x14ac:dyDescent="0.3">
      <c r="N52" s="212"/>
      <c r="O52" s="95" t="s">
        <v>69</v>
      </c>
      <c r="P52" s="106"/>
      <c r="Q52" s="106">
        <v>2520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291</v>
      </c>
      <c r="V52" s="106">
        <v>582</v>
      </c>
      <c r="W52" s="106">
        <f t="shared" si="3"/>
        <v>107.5</v>
      </c>
      <c r="X52" s="106">
        <v>797</v>
      </c>
      <c r="Y52" s="106">
        <f t="shared" si="4"/>
        <v>3</v>
      </c>
      <c r="Z52" s="106">
        <v>803</v>
      </c>
      <c r="AA52" s="106">
        <f t="shared" si="5"/>
        <v>0</v>
      </c>
      <c r="AB52" s="106">
        <v>803</v>
      </c>
      <c r="AC52" s="106">
        <f t="shared" si="6"/>
        <v>0</v>
      </c>
      <c r="AD52" s="106">
        <v>803</v>
      </c>
      <c r="AE52" s="107">
        <f t="shared" si="7"/>
        <v>-1717</v>
      </c>
    </row>
    <row r="53" spans="14:31" ht="15.6" customHeight="1" x14ac:dyDescent="0.3">
      <c r="N53" s="212"/>
      <c r="O53" s="94" t="s">
        <v>70</v>
      </c>
      <c r="P53" s="108"/>
      <c r="Q53" s="108">
        <v>1713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 t="str">
        <f t="shared" si="3"/>
        <v/>
      </c>
      <c r="X53" s="108">
        <v>0</v>
      </c>
      <c r="Y53" s="108">
        <f t="shared" si="4"/>
        <v>854.5</v>
      </c>
      <c r="Z53" s="108">
        <v>1709</v>
      </c>
      <c r="AA53" s="108">
        <f t="shared" si="5"/>
        <v>0</v>
      </c>
      <c r="AB53" s="108">
        <v>1709</v>
      </c>
      <c r="AC53" s="108">
        <f t="shared" si="6"/>
        <v>0</v>
      </c>
      <c r="AD53" s="108">
        <v>1709</v>
      </c>
      <c r="AE53" s="109">
        <f t="shared" si="7"/>
        <v>-4</v>
      </c>
    </row>
    <row r="54" spans="14:31" ht="15.6" customHeight="1" x14ac:dyDescent="0.3">
      <c r="N54" s="212"/>
      <c r="O54" s="95" t="s">
        <v>71</v>
      </c>
      <c r="P54" s="106"/>
      <c r="Q54" s="106">
        <v>1030</v>
      </c>
      <c r="R54" s="106">
        <v>247</v>
      </c>
      <c r="S54" s="106">
        <f t="shared" si="1"/>
        <v>0</v>
      </c>
      <c r="T54" s="106">
        <v>247</v>
      </c>
      <c r="U54" s="106">
        <f t="shared" si="2"/>
        <v>0</v>
      </c>
      <c r="V54" s="106">
        <v>247</v>
      </c>
      <c r="W54" s="106">
        <f t="shared" si="3"/>
        <v>377</v>
      </c>
      <c r="X54" s="106">
        <v>1001</v>
      </c>
      <c r="Y54" s="106">
        <f t="shared" si="4"/>
        <v>0</v>
      </c>
      <c r="Z54" s="106">
        <v>1001</v>
      </c>
      <c r="AA54" s="106">
        <f t="shared" si="5"/>
        <v>0</v>
      </c>
      <c r="AB54" s="106">
        <v>1001</v>
      </c>
      <c r="AC54" s="106">
        <f t="shared" si="6"/>
        <v>0</v>
      </c>
      <c r="AD54" s="106">
        <v>1001</v>
      </c>
      <c r="AE54" s="107">
        <f t="shared" si="7"/>
        <v>-29</v>
      </c>
    </row>
    <row r="55" spans="14:31" ht="15.6" customHeight="1" x14ac:dyDescent="0.3">
      <c r="N55" s="212"/>
      <c r="O55" s="94" t="s">
        <v>72</v>
      </c>
      <c r="P55" s="108"/>
      <c r="Q55" s="108">
        <v>433</v>
      </c>
      <c r="R55" s="108">
        <v>1</v>
      </c>
      <c r="S55" s="108">
        <f t="shared" si="1"/>
        <v>0</v>
      </c>
      <c r="T55" s="108">
        <v>1</v>
      </c>
      <c r="U55" s="108">
        <f t="shared" si="2"/>
        <v>0</v>
      </c>
      <c r="V55" s="108">
        <v>1</v>
      </c>
      <c r="W55" s="108">
        <f t="shared" si="3"/>
        <v>109.5</v>
      </c>
      <c r="X55" s="108">
        <v>220</v>
      </c>
      <c r="Y55" s="108">
        <f t="shared" si="4"/>
        <v>98</v>
      </c>
      <c r="Z55" s="108">
        <v>416</v>
      </c>
      <c r="AA55" s="108">
        <f t="shared" si="5"/>
        <v>0</v>
      </c>
      <c r="AB55" s="108">
        <v>416</v>
      </c>
      <c r="AC55" s="108">
        <f t="shared" si="6"/>
        <v>0</v>
      </c>
      <c r="AD55" s="108">
        <v>416</v>
      </c>
      <c r="AE55" s="109">
        <f t="shared" si="7"/>
        <v>-17</v>
      </c>
    </row>
    <row r="56" spans="14:31" ht="15.6" customHeight="1" thickBot="1" x14ac:dyDescent="0.35">
      <c r="N56" s="213"/>
      <c r="O56" s="99" t="s">
        <v>73</v>
      </c>
      <c r="P56" s="114"/>
      <c r="Q56" s="114">
        <v>292</v>
      </c>
      <c r="R56" s="114">
        <v>0</v>
      </c>
      <c r="S56" s="114">
        <f t="shared" si="1"/>
        <v>69</v>
      </c>
      <c r="T56" s="114">
        <v>138</v>
      </c>
      <c r="U56" s="114">
        <f t="shared" si="2"/>
        <v>0</v>
      </c>
      <c r="V56" s="114">
        <v>138</v>
      </c>
      <c r="W56" s="114">
        <f t="shared" si="3"/>
        <v>4.5</v>
      </c>
      <c r="X56" s="114">
        <v>147</v>
      </c>
      <c r="Y56" s="114">
        <f t="shared" si="4"/>
        <v>55</v>
      </c>
      <c r="Z56" s="114">
        <v>257</v>
      </c>
      <c r="AA56" s="114">
        <f t="shared" si="5"/>
        <v>0</v>
      </c>
      <c r="AB56" s="114">
        <v>257</v>
      </c>
      <c r="AC56" s="114">
        <f t="shared" si="6"/>
        <v>0</v>
      </c>
      <c r="AD56" s="114">
        <v>257</v>
      </c>
      <c r="AE56" s="115">
        <f t="shared" si="7"/>
        <v>-35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4902</v>
      </c>
      <c r="R57" s="104">
        <v>1592</v>
      </c>
      <c r="S57" s="104">
        <f t="shared" si="1"/>
        <v>422</v>
      </c>
      <c r="T57" s="104">
        <v>2436</v>
      </c>
      <c r="U57" s="104">
        <f t="shared" si="2"/>
        <v>233.5</v>
      </c>
      <c r="V57" s="104">
        <v>2903</v>
      </c>
      <c r="W57" s="104">
        <f t="shared" si="3"/>
        <v>-126.5</v>
      </c>
      <c r="X57" s="104">
        <v>2650</v>
      </c>
      <c r="Y57" s="104">
        <f t="shared" si="4"/>
        <v>19.5</v>
      </c>
      <c r="Z57" s="104">
        <v>2689</v>
      </c>
      <c r="AA57" s="104">
        <f t="shared" si="5"/>
        <v>0</v>
      </c>
      <c r="AB57" s="104">
        <v>2689</v>
      </c>
      <c r="AC57" s="104">
        <f t="shared" si="6"/>
        <v>0</v>
      </c>
      <c r="AD57" s="104">
        <v>2689</v>
      </c>
      <c r="AE57" s="105">
        <f t="shared" si="7"/>
        <v>-2213</v>
      </c>
    </row>
    <row r="58" spans="14:31" ht="15.6" customHeight="1" x14ac:dyDescent="0.3">
      <c r="N58" s="212"/>
      <c r="O58" s="95" t="s">
        <v>66</v>
      </c>
      <c r="P58" s="106"/>
      <c r="Q58" s="106">
        <v>4105</v>
      </c>
      <c r="R58" s="106">
        <v>1246</v>
      </c>
      <c r="S58" s="106">
        <f t="shared" si="1"/>
        <v>345</v>
      </c>
      <c r="T58" s="106">
        <v>1936</v>
      </c>
      <c r="U58" s="106">
        <f t="shared" si="2"/>
        <v>492</v>
      </c>
      <c r="V58" s="106">
        <v>2920</v>
      </c>
      <c r="W58" s="106">
        <f t="shared" si="3"/>
        <v>284</v>
      </c>
      <c r="X58" s="106">
        <v>3488</v>
      </c>
      <c r="Y58" s="106">
        <f t="shared" si="4"/>
        <v>0</v>
      </c>
      <c r="Z58" s="106">
        <v>3488</v>
      </c>
      <c r="AA58" s="106">
        <f t="shared" si="5"/>
        <v>0</v>
      </c>
      <c r="AB58" s="106">
        <v>3488</v>
      </c>
      <c r="AC58" s="106">
        <f t="shared" si="6"/>
        <v>0</v>
      </c>
      <c r="AD58" s="106">
        <v>3488</v>
      </c>
      <c r="AE58" s="107">
        <f t="shared" si="7"/>
        <v>-617</v>
      </c>
    </row>
    <row r="59" spans="14:31" ht="15.6" customHeight="1" x14ac:dyDescent="0.3">
      <c r="N59" s="212"/>
      <c r="O59" s="94" t="s">
        <v>67</v>
      </c>
      <c r="P59" s="108"/>
      <c r="Q59" s="108">
        <v>5164</v>
      </c>
      <c r="R59" s="108">
        <v>475</v>
      </c>
      <c r="S59" s="108">
        <f t="shared" si="1"/>
        <v>169.5</v>
      </c>
      <c r="T59" s="108">
        <v>814</v>
      </c>
      <c r="U59" s="108">
        <f t="shared" si="2"/>
        <v>-36</v>
      </c>
      <c r="V59" s="108">
        <v>742</v>
      </c>
      <c r="W59" s="108">
        <f t="shared" si="3"/>
        <v>683.5</v>
      </c>
      <c r="X59" s="108">
        <v>2109</v>
      </c>
      <c r="Y59" s="108">
        <f t="shared" si="4"/>
        <v>146</v>
      </c>
      <c r="Z59" s="108">
        <v>2401</v>
      </c>
      <c r="AA59" s="108">
        <f t="shared" si="5"/>
        <v>0</v>
      </c>
      <c r="AB59" s="108">
        <v>2401</v>
      </c>
      <c r="AC59" s="108">
        <f t="shared" si="6"/>
        <v>0</v>
      </c>
      <c r="AD59" s="108">
        <v>2401</v>
      </c>
      <c r="AE59" s="109">
        <f t="shared" si="7"/>
        <v>-2763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4215</v>
      </c>
      <c r="R61" s="104">
        <v>1112</v>
      </c>
      <c r="S61" s="104">
        <f t="shared" si="1"/>
        <v>256</v>
      </c>
      <c r="T61" s="104">
        <v>1624</v>
      </c>
      <c r="U61" s="104">
        <f t="shared" si="2"/>
        <v>70</v>
      </c>
      <c r="V61" s="104">
        <v>1764</v>
      </c>
      <c r="W61" s="104">
        <f t="shared" si="3"/>
        <v>753.5</v>
      </c>
      <c r="X61" s="104">
        <v>3271</v>
      </c>
      <c r="Y61" s="104">
        <f t="shared" si="4"/>
        <v>323.5</v>
      </c>
      <c r="Z61" s="104">
        <v>3918</v>
      </c>
      <c r="AA61" s="104">
        <f t="shared" si="5"/>
        <v>0</v>
      </c>
      <c r="AB61" s="104">
        <v>3918</v>
      </c>
      <c r="AC61" s="104">
        <f t="shared" si="6"/>
        <v>0</v>
      </c>
      <c r="AD61" s="104">
        <v>3918</v>
      </c>
      <c r="AE61" s="105">
        <f t="shared" si="7"/>
        <v>-297</v>
      </c>
    </row>
    <row r="62" spans="14:31" ht="15.6" customHeight="1" x14ac:dyDescent="0.3">
      <c r="N62" s="212"/>
      <c r="O62" s="95" t="s">
        <v>66</v>
      </c>
      <c r="P62" s="106"/>
      <c r="Q62" s="106">
        <v>6822</v>
      </c>
      <c r="R62" s="106">
        <v>2654</v>
      </c>
      <c r="S62" s="106">
        <f t="shared" si="1"/>
        <v>601.5</v>
      </c>
      <c r="T62" s="106">
        <v>3857</v>
      </c>
      <c r="U62" s="106">
        <f t="shared" si="2"/>
        <v>228.5</v>
      </c>
      <c r="V62" s="106">
        <v>4314</v>
      </c>
      <c r="W62" s="106">
        <f t="shared" si="3"/>
        <v>108.5</v>
      </c>
      <c r="X62" s="106">
        <v>4531</v>
      </c>
      <c r="Y62" s="106">
        <f t="shared" si="4"/>
        <v>99.5</v>
      </c>
      <c r="Z62" s="106">
        <v>4730</v>
      </c>
      <c r="AA62" s="106">
        <f t="shared" si="5"/>
        <v>0</v>
      </c>
      <c r="AB62" s="106">
        <v>4730</v>
      </c>
      <c r="AC62" s="106">
        <f t="shared" si="6"/>
        <v>0</v>
      </c>
      <c r="AD62" s="106">
        <v>4730</v>
      </c>
      <c r="AE62" s="107">
        <f t="shared" si="7"/>
        <v>-2092</v>
      </c>
    </row>
    <row r="63" spans="14:31" ht="15.6" customHeight="1" x14ac:dyDescent="0.3">
      <c r="N63" s="212"/>
      <c r="O63" s="94" t="s">
        <v>67</v>
      </c>
      <c r="P63" s="108"/>
      <c r="Q63" s="108">
        <v>4814</v>
      </c>
      <c r="R63" s="108">
        <v>448</v>
      </c>
      <c r="S63" s="108">
        <f t="shared" si="1"/>
        <v>343.5</v>
      </c>
      <c r="T63" s="108">
        <v>1135</v>
      </c>
      <c r="U63" s="108">
        <f t="shared" si="2"/>
        <v>292.5</v>
      </c>
      <c r="V63" s="108">
        <v>1720</v>
      </c>
      <c r="W63" s="108">
        <f t="shared" si="3"/>
        <v>645</v>
      </c>
      <c r="X63" s="108">
        <v>3010</v>
      </c>
      <c r="Y63" s="108">
        <f t="shared" si="4"/>
        <v>152</v>
      </c>
      <c r="Z63" s="108">
        <v>3314</v>
      </c>
      <c r="AA63" s="108">
        <f t="shared" si="5"/>
        <v>0</v>
      </c>
      <c r="AB63" s="108">
        <v>3314</v>
      </c>
      <c r="AC63" s="108">
        <f t="shared" si="6"/>
        <v>0</v>
      </c>
      <c r="AD63" s="108">
        <v>3314</v>
      </c>
      <c r="AE63" s="109">
        <f t="shared" si="7"/>
        <v>-1500</v>
      </c>
    </row>
    <row r="64" spans="14:31" ht="15.6" customHeight="1" thickBot="1" x14ac:dyDescent="0.35">
      <c r="N64" s="213"/>
      <c r="O64" s="99" t="s">
        <v>68</v>
      </c>
      <c r="P64" s="114"/>
      <c r="Q64" s="114">
        <v>817</v>
      </c>
      <c r="R64" s="114">
        <v>32</v>
      </c>
      <c r="S64" s="114">
        <f t="shared" si="1"/>
        <v>221.5</v>
      </c>
      <c r="T64" s="114">
        <v>475</v>
      </c>
      <c r="U64" s="114">
        <f t="shared" si="2"/>
        <v>62</v>
      </c>
      <c r="V64" s="114">
        <v>599</v>
      </c>
      <c r="W64" s="114">
        <f t="shared" si="3"/>
        <v>48</v>
      </c>
      <c r="X64" s="114">
        <v>695</v>
      </c>
      <c r="Y64" s="114">
        <f t="shared" si="4"/>
        <v>14.5</v>
      </c>
      <c r="Z64" s="114">
        <v>724</v>
      </c>
      <c r="AA64" s="114">
        <f t="shared" si="5"/>
        <v>0</v>
      </c>
      <c r="AB64" s="114">
        <v>724</v>
      </c>
      <c r="AC64" s="114">
        <f t="shared" si="6"/>
        <v>0</v>
      </c>
      <c r="AD64" s="114">
        <v>724</v>
      </c>
      <c r="AE64" s="115">
        <f t="shared" si="7"/>
        <v>-93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75" priority="11" operator="lessThan">
      <formula>0</formula>
    </cfRule>
    <cfRule type="cellIs" dxfId="1474" priority="12" operator="greaterThan">
      <formula>0</formula>
    </cfRule>
  </conditionalFormatting>
  <conditionalFormatting sqref="R25:AC25">
    <cfRule type="cellIs" dxfId="1473" priority="9" operator="lessThan">
      <formula>0</formula>
    </cfRule>
    <cfRule type="cellIs" dxfId="1472" priority="10" operator="greaterThan">
      <formula>0</formula>
    </cfRule>
  </conditionalFormatting>
  <conditionalFormatting sqref="R26 T26 V26 X26 Z26 AB26">
    <cfRule type="cellIs" dxfId="1471" priority="7" operator="lessThan">
      <formula>0</formula>
    </cfRule>
    <cfRule type="cellIs" dxfId="1470" priority="8" operator="greaterThan">
      <formula>0</formula>
    </cfRule>
  </conditionalFormatting>
  <conditionalFormatting sqref="AD24:AE24">
    <cfRule type="cellIs" dxfId="1469" priority="5" operator="lessThan">
      <formula>0</formula>
    </cfRule>
    <cfRule type="cellIs" dxfId="1468" priority="6" operator="greaterThan">
      <formula>0</formula>
    </cfRule>
  </conditionalFormatting>
  <conditionalFormatting sqref="AD25:AE25">
    <cfRule type="cellIs" dxfId="1467" priority="3" operator="lessThan">
      <formula>0</formula>
    </cfRule>
    <cfRule type="cellIs" dxfId="1466" priority="4" operator="greaterThan">
      <formula>0</formula>
    </cfRule>
  </conditionalFormatting>
  <conditionalFormatting sqref="AD26">
    <cfRule type="cellIs" dxfId="1465" priority="1" operator="lessThan">
      <formula>0</formula>
    </cfRule>
    <cfRule type="cellIs" dxfId="146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44396</v>
      </c>
    </row>
    <row r="3" spans="2:42" ht="18.75" customHeight="1" thickBot="1" x14ac:dyDescent="0.35">
      <c r="B3" t="s">
        <v>1</v>
      </c>
      <c r="C3" s="3">
        <f>C2+1</f>
        <v>44397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3030</v>
      </c>
      <c r="E6" s="18" t="s">
        <v>22</v>
      </c>
      <c r="F6" s="119">
        <v>18899</v>
      </c>
      <c r="G6" s="117">
        <v>14962.187625</v>
      </c>
      <c r="H6" s="117">
        <v>12402.14994535999</v>
      </c>
      <c r="I6" s="19">
        <f>G6+H6</f>
        <v>27364.337570359989</v>
      </c>
      <c r="J6" s="119"/>
      <c r="K6" s="117"/>
      <c r="L6" s="117"/>
      <c r="M6" s="19">
        <f>K6+L6</f>
        <v>0</v>
      </c>
      <c r="N6" s="85">
        <v>66</v>
      </c>
      <c r="O6" s="85">
        <v>49</v>
      </c>
      <c r="P6" s="92"/>
      <c r="Q6" s="20">
        <f>J6-P6</f>
        <v>0</v>
      </c>
      <c r="R6" s="21">
        <v>1134</v>
      </c>
      <c r="S6" s="20">
        <f>IF(R6&gt;0,(R6-R7-$Q6),"")</f>
        <v>1131</v>
      </c>
      <c r="T6" s="21">
        <v>2626</v>
      </c>
      <c r="U6" s="20">
        <f>IF(T6&gt;0,(T6-T7-$Q6),"")</f>
        <v>2623</v>
      </c>
      <c r="V6" s="21">
        <v>4151</v>
      </c>
      <c r="W6" s="20">
        <f>IF(V6&gt;0,(V6-V7-$Q6),"")</f>
        <v>4137</v>
      </c>
      <c r="X6" s="21">
        <v>7003</v>
      </c>
      <c r="Y6" s="20">
        <f>IF(X6&gt;0,(X6-X7-$Q6),"")</f>
        <v>6990</v>
      </c>
      <c r="Z6" s="21">
        <v>12641</v>
      </c>
      <c r="AA6" s="20">
        <f>IF(Z6&gt;0,(Z6-Z7-$Q6),"")</f>
        <v>12236</v>
      </c>
      <c r="AB6" s="21">
        <v>12641</v>
      </c>
      <c r="AC6" s="22">
        <f>IF(AB6&gt;0,(AB6-AB7-$Q6),"")</f>
        <v>12236</v>
      </c>
      <c r="AD6" s="21">
        <v>12641</v>
      </c>
      <c r="AE6" s="22">
        <f>IF(AD6&gt;0,(AD6-AD7-$Q6),"")</f>
        <v>12236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3</v>
      </c>
      <c r="S7" s="24"/>
      <c r="T7" s="25">
        <v>3</v>
      </c>
      <c r="U7" s="24"/>
      <c r="V7" s="25">
        <v>14</v>
      </c>
      <c r="W7" s="24"/>
      <c r="X7" s="25">
        <v>13</v>
      </c>
      <c r="Y7" s="24"/>
      <c r="Z7" s="25">
        <v>405</v>
      </c>
      <c r="AA7" s="24"/>
      <c r="AB7" s="25">
        <v>405</v>
      </c>
      <c r="AC7" s="26"/>
      <c r="AD7" s="25">
        <v>405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2634</v>
      </c>
      <c r="E8" s="29" t="s">
        <v>27</v>
      </c>
      <c r="F8" s="119">
        <v>15245</v>
      </c>
      <c r="G8" s="117">
        <v>6492.8724999999986</v>
      </c>
      <c r="H8" s="117">
        <v>1443.2593325</v>
      </c>
      <c r="I8" s="19">
        <f>G8+H8</f>
        <v>7936.1318324999984</v>
      </c>
      <c r="J8" s="119"/>
      <c r="K8" s="117"/>
      <c r="L8" s="117"/>
      <c r="M8" s="19">
        <f>K8+L8</f>
        <v>0</v>
      </c>
      <c r="N8" s="87">
        <v>24</v>
      </c>
      <c r="O8" s="87">
        <v>16</v>
      </c>
      <c r="P8" s="92"/>
      <c r="Q8" s="20">
        <f>J8-P8</f>
        <v>0</v>
      </c>
      <c r="R8" s="21">
        <v>910</v>
      </c>
      <c r="S8" s="20">
        <f>IF(R8&gt;0,(R8-R9-$Q8),"")</f>
        <v>892</v>
      </c>
      <c r="T8" s="21">
        <v>1793</v>
      </c>
      <c r="U8" s="20">
        <f>IF(T8&gt;0,(T8-T9-$Q8),"")</f>
        <v>1775</v>
      </c>
      <c r="V8" s="21">
        <v>3340</v>
      </c>
      <c r="W8" s="20">
        <f>IF(V8&gt;0,(V8-V9-$Q8),"")</f>
        <v>3322</v>
      </c>
      <c r="X8" s="21">
        <v>7334</v>
      </c>
      <c r="Y8" s="20">
        <f>IF(X8&gt;0,(X8-X9-$Q8),"")</f>
        <v>7316</v>
      </c>
      <c r="Z8" s="21">
        <v>10298</v>
      </c>
      <c r="AA8" s="20">
        <f>IF(Z8&gt;0,(Z8-Z9-$Q8),"")</f>
        <v>10280</v>
      </c>
      <c r="AB8" s="21">
        <v>13638</v>
      </c>
      <c r="AC8" s="22">
        <f>IF(AB8&gt;0,(AB8-AB9-$Q8),"")</f>
        <v>13620</v>
      </c>
      <c r="AD8" s="21">
        <v>13638</v>
      </c>
      <c r="AE8" s="22">
        <f>IF(AD8&gt;0,(AD8-AD9-$Q8),"")</f>
        <v>13620</v>
      </c>
    </row>
    <row r="9" spans="2:42" x14ac:dyDescent="0.3">
      <c r="B9" s="28" t="s">
        <v>28</v>
      </c>
      <c r="C9" s="17">
        <v>1661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18</v>
      </c>
      <c r="S9" s="24"/>
      <c r="T9" s="30">
        <v>18</v>
      </c>
      <c r="U9" s="24"/>
      <c r="V9" s="30">
        <v>18</v>
      </c>
      <c r="W9" s="24"/>
      <c r="X9" s="30">
        <v>18</v>
      </c>
      <c r="Y9" s="24"/>
      <c r="Z9" s="30">
        <v>18</v>
      </c>
      <c r="AA9" s="24"/>
      <c r="AB9" s="30">
        <v>18</v>
      </c>
      <c r="AC9" s="26"/>
      <c r="AD9" s="30">
        <v>18</v>
      </c>
      <c r="AE9" s="26"/>
    </row>
    <row r="10" spans="2:42" x14ac:dyDescent="0.3">
      <c r="B10" s="16" t="s">
        <v>30</v>
      </c>
      <c r="C10" s="17">
        <v>6289</v>
      </c>
      <c r="E10" s="18" t="s">
        <v>31</v>
      </c>
      <c r="F10" s="119">
        <v>10617</v>
      </c>
      <c r="G10" s="117">
        <v>7924.2870000000003</v>
      </c>
      <c r="H10" s="117">
        <v>1771.9882024999999</v>
      </c>
      <c r="I10" s="19">
        <f>G10+H10</f>
        <v>9696.2752025000009</v>
      </c>
      <c r="J10" s="119"/>
      <c r="K10" s="117"/>
      <c r="L10" s="117"/>
      <c r="M10" s="19">
        <f>K10+L10</f>
        <v>0</v>
      </c>
      <c r="N10" s="88">
        <v>38</v>
      </c>
      <c r="O10" s="88">
        <v>33</v>
      </c>
      <c r="P10" s="92"/>
      <c r="Q10" s="20">
        <f>J10-P10</f>
        <v>0</v>
      </c>
      <c r="R10" s="21">
        <v>1436</v>
      </c>
      <c r="S10" s="20">
        <f>IF(R10&gt;0,(R10-R11-$Q10),"")</f>
        <v>500</v>
      </c>
      <c r="T10" s="21">
        <v>2459</v>
      </c>
      <c r="U10" s="20">
        <f>IF(T10&gt;0,(T10-T11-$Q10),"")</f>
        <v>691</v>
      </c>
      <c r="V10" s="21">
        <v>4634</v>
      </c>
      <c r="W10" s="20">
        <f>IF(V10&gt;0,(V10-V11-$Q10),"")</f>
        <v>2180</v>
      </c>
      <c r="X10" s="21">
        <v>5461</v>
      </c>
      <c r="Y10" s="20">
        <f>IF(X10&gt;0,(X10-X11-$Q10),"")</f>
        <v>2640</v>
      </c>
      <c r="Z10" s="21">
        <v>5628</v>
      </c>
      <c r="AA10" s="20">
        <f>IF(Z10&gt;0,(Z10-Z11-$Q10),"")</f>
        <v>2807</v>
      </c>
      <c r="AB10" s="21">
        <v>5628</v>
      </c>
      <c r="AC10" s="22">
        <f>IF(AB10&gt;0,(AB10-AB11-$Q10),"")</f>
        <v>2807</v>
      </c>
      <c r="AD10" s="21">
        <v>5628</v>
      </c>
      <c r="AE10" s="22">
        <f>IF(AD10&gt;0,(AD10-AD11-$Q10),"")</f>
        <v>2807</v>
      </c>
    </row>
    <row r="11" spans="2:42" x14ac:dyDescent="0.3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936</v>
      </c>
      <c r="S11" s="24"/>
      <c r="T11" s="30">
        <v>1768</v>
      </c>
      <c r="U11" s="24"/>
      <c r="V11" s="30">
        <v>2454</v>
      </c>
      <c r="W11" s="24"/>
      <c r="X11" s="30">
        <v>2821</v>
      </c>
      <c r="Y11" s="24"/>
      <c r="Z11" s="30">
        <v>2821</v>
      </c>
      <c r="AA11" s="24"/>
      <c r="AB11" s="30">
        <v>2821</v>
      </c>
      <c r="AC11" s="26"/>
      <c r="AD11" s="30">
        <v>2821</v>
      </c>
      <c r="AE11" s="26"/>
    </row>
    <row r="12" spans="2:42" x14ac:dyDescent="0.3">
      <c r="B12" s="16" t="s">
        <v>34</v>
      </c>
      <c r="C12" s="17">
        <v>1706</v>
      </c>
      <c r="E12" s="29" t="s">
        <v>35</v>
      </c>
      <c r="F12" s="119">
        <v>12167</v>
      </c>
      <c r="G12" s="117">
        <v>11191.5005</v>
      </c>
      <c r="H12" s="117">
        <v>14354.101274979999</v>
      </c>
      <c r="I12" s="19">
        <f>G12+H12</f>
        <v>25545.601774980001</v>
      </c>
      <c r="J12" s="119"/>
      <c r="K12" s="117"/>
      <c r="L12" s="117"/>
      <c r="M12" s="19">
        <f>K12+L12</f>
        <v>0</v>
      </c>
      <c r="N12" s="88">
        <v>47</v>
      </c>
      <c r="O12" s="88">
        <v>36</v>
      </c>
      <c r="P12" s="92"/>
      <c r="Q12" s="20">
        <f>J12-P12</f>
        <v>0</v>
      </c>
      <c r="R12" s="21">
        <v>2279</v>
      </c>
      <c r="S12" s="20">
        <f>IF(R12&gt;0,(R12-R13-$Q12),"")</f>
        <v>1951</v>
      </c>
      <c r="T12" s="21">
        <v>4654</v>
      </c>
      <c r="U12" s="20">
        <f>IF(T12&gt;0,(T12-T13-$Q12),"")</f>
        <v>3902</v>
      </c>
      <c r="V12" s="21">
        <v>5898</v>
      </c>
      <c r="W12" s="20">
        <f>IF(V12&gt;0,(V12-V13-$Q12),"")</f>
        <v>4697</v>
      </c>
      <c r="X12" s="21">
        <v>7950</v>
      </c>
      <c r="Y12" s="20">
        <f>IF(X12&gt;0,(X12-X13-$Q12),"")</f>
        <v>6749</v>
      </c>
      <c r="Z12" s="21">
        <v>7950</v>
      </c>
      <c r="AA12" s="20">
        <f>IF(Z12&gt;0,(Z12-Z13-$Q12),"")</f>
        <v>6749</v>
      </c>
      <c r="AB12" s="21">
        <v>7950</v>
      </c>
      <c r="AC12" s="22">
        <f>IF(AB12&gt;0,(AB12-AB13-$Q12),"")</f>
        <v>6749</v>
      </c>
      <c r="AD12" s="21">
        <v>7950</v>
      </c>
      <c r="AE12" s="22">
        <f>IF(AD12&gt;0,(AD12-AD13-$Q12),"")</f>
        <v>6749</v>
      </c>
    </row>
    <row r="13" spans="2:42" x14ac:dyDescent="0.3">
      <c r="B13" s="16" t="s">
        <v>36</v>
      </c>
      <c r="C13" s="17">
        <v>5154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328</v>
      </c>
      <c r="S13" s="24"/>
      <c r="T13" s="30">
        <v>752</v>
      </c>
      <c r="U13" s="24"/>
      <c r="V13" s="30">
        <v>1201</v>
      </c>
      <c r="W13" s="24"/>
      <c r="X13" s="30">
        <v>1201</v>
      </c>
      <c r="Y13" s="24"/>
      <c r="Z13" s="30">
        <v>1201</v>
      </c>
      <c r="AA13" s="24"/>
      <c r="AB13" s="30">
        <v>1201</v>
      </c>
      <c r="AC13" s="26"/>
      <c r="AD13" s="30">
        <v>1201</v>
      </c>
      <c r="AE13" s="26"/>
    </row>
    <row r="14" spans="2:42" x14ac:dyDescent="0.3">
      <c r="B14" s="16" t="s">
        <v>38</v>
      </c>
      <c r="C14" s="17"/>
      <c r="E14" s="18" t="s">
        <v>39</v>
      </c>
      <c r="F14" s="119">
        <v>26593</v>
      </c>
      <c r="G14" s="117">
        <v>18516.21875</v>
      </c>
      <c r="H14" s="117">
        <v>23254.99164987999</v>
      </c>
      <c r="I14" s="19">
        <f>G14+H14</f>
        <v>41771.210399879987</v>
      </c>
      <c r="J14" s="119"/>
      <c r="K14" s="117"/>
      <c r="L14" s="117"/>
      <c r="M14" s="19">
        <f>K14+L14</f>
        <v>0</v>
      </c>
      <c r="N14" s="88">
        <v>65</v>
      </c>
      <c r="O14" s="88">
        <v>46</v>
      </c>
      <c r="P14" s="92"/>
      <c r="Q14" s="20">
        <f>J14-P14</f>
        <v>0</v>
      </c>
      <c r="R14" s="21">
        <v>4091</v>
      </c>
      <c r="S14" s="20">
        <f>IF(R14&gt;0,(R14-R15-$Q14),"")</f>
        <v>343</v>
      </c>
      <c r="T14" s="21">
        <v>6992</v>
      </c>
      <c r="U14" s="20">
        <f>IF(T14&gt;0,(T14-T15-$Q14),"")</f>
        <v>682</v>
      </c>
      <c r="V14" s="21">
        <v>8053</v>
      </c>
      <c r="W14" s="20">
        <f>IF(V14&gt;0,(V14-V15-$Q14),"")</f>
        <v>1189</v>
      </c>
      <c r="X14" s="21">
        <v>9701</v>
      </c>
      <c r="Y14" s="20">
        <f>IF(X14&gt;0,(X14-X15-$Q14),"")</f>
        <v>1794</v>
      </c>
      <c r="Z14" s="21">
        <v>11293</v>
      </c>
      <c r="AA14" s="20">
        <f>IF(Z14&gt;0,(Z14-Z15-$Q14),"")</f>
        <v>2789</v>
      </c>
      <c r="AB14" s="21">
        <v>12659</v>
      </c>
      <c r="AC14" s="22">
        <f>IF(AB14&gt;0,(AB14-AB15-$Q14),"")</f>
        <v>4071</v>
      </c>
      <c r="AD14" s="21">
        <v>12659</v>
      </c>
      <c r="AE14" s="22">
        <f>IF(AD14&gt;0,(AD14-AD15-$Q14),"")</f>
        <v>4071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3748</v>
      </c>
      <c r="S15" s="24"/>
      <c r="T15" s="25">
        <v>6310</v>
      </c>
      <c r="U15" s="24"/>
      <c r="V15" s="25">
        <v>6864</v>
      </c>
      <c r="W15" s="24"/>
      <c r="X15" s="25">
        <v>7907</v>
      </c>
      <c r="Y15" s="24"/>
      <c r="Z15" s="25">
        <v>8504</v>
      </c>
      <c r="AA15" s="24"/>
      <c r="AB15" s="25">
        <v>8588</v>
      </c>
      <c r="AC15" s="26"/>
      <c r="AD15" s="25">
        <v>8588</v>
      </c>
      <c r="AE15" s="26"/>
    </row>
    <row r="16" spans="2:42" ht="15" customHeight="1" thickBot="1" x14ac:dyDescent="0.35">
      <c r="B16" s="28" t="s">
        <v>42</v>
      </c>
      <c r="C16" s="17"/>
      <c r="E16" s="84"/>
      <c r="F16" s="31">
        <f t="shared" ref="F16:M16" si="0">SUM(F6:F15)</f>
        <v>83521</v>
      </c>
      <c r="G16" s="31">
        <f t="shared" si="0"/>
        <v>59087.066375000002</v>
      </c>
      <c r="H16" s="31">
        <f t="shared" si="0"/>
        <v>53226.490405219985</v>
      </c>
      <c r="I16" s="32">
        <f t="shared" si="0"/>
        <v>112313.55678021998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240</v>
      </c>
      <c r="O16" s="31">
        <f>SUM(O14,O12,O10,O8,O6)</f>
        <v>180</v>
      </c>
      <c r="P16" s="34">
        <f>SUM(P6:P15)</f>
        <v>0</v>
      </c>
      <c r="Q16" s="34">
        <f>SUM(Q6:Q15)</f>
        <v>0</v>
      </c>
      <c r="R16" s="35">
        <f>R6+R8+R10+R12+R14-R7-R9-R11-R13-R15</f>
        <v>4817</v>
      </c>
      <c r="S16" s="36">
        <f>IF(R16&gt;1,(R16-$Q16),"")</f>
        <v>4817</v>
      </c>
      <c r="T16" s="35">
        <f>T6+T8+T10+T12+T14-T7-T9-T11-T13-T15</f>
        <v>9673</v>
      </c>
      <c r="U16" s="36">
        <f>IF(T16&gt;1,(T16-$Q16),"")</f>
        <v>9673</v>
      </c>
      <c r="V16" s="35">
        <f>V6+V8+V10+V12+V14-V7-V9-V11-V13-V15</f>
        <v>15525</v>
      </c>
      <c r="W16" s="36">
        <f>IF(V16&gt;1,(V16-$Q16),"")</f>
        <v>15525</v>
      </c>
      <c r="X16" s="35">
        <f>X6+X8+X10+X12+X14-X7-X9-X11-X13-X15</f>
        <v>25489</v>
      </c>
      <c r="Y16" s="36">
        <f>IF(X16&gt;1,(X16-$Q16),"")</f>
        <v>25489</v>
      </c>
      <c r="Z16" s="35">
        <f>Z6+Z8+Z10+Z12+Z14-Z7-Z9-Z11-Z13-Z15</f>
        <v>34861</v>
      </c>
      <c r="AA16" s="36">
        <f>IF(Z16&gt;1,(Z16-$Q16),"")</f>
        <v>34861</v>
      </c>
      <c r="AB16" s="35">
        <f>AB6+AB8+AB10+AB12+AB14-AB7-AB9-AB11-AB13-AB15</f>
        <v>39483</v>
      </c>
      <c r="AC16" s="37">
        <f>IF(AB16&gt;1,(AB16-$Q16),"")</f>
        <v>39483</v>
      </c>
      <c r="AD16" s="35">
        <f>AD6+AD8+AD10+AD12+AD14-AD7-AD9-AD11-AD13-AD15</f>
        <v>39483</v>
      </c>
      <c r="AE16" s="37">
        <f>IF(AD16&gt;1,(AD16-$Q16),"")</f>
        <v>39483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5033</v>
      </c>
      <c r="S17" s="41"/>
      <c r="T17" s="40">
        <f>T15+T13+T11+T9+T7</f>
        <v>8851</v>
      </c>
      <c r="U17" s="41"/>
      <c r="V17" s="40">
        <f>V15+V13+V11+V9+V7</f>
        <v>10551</v>
      </c>
      <c r="W17" s="41"/>
      <c r="X17" s="40">
        <f>X15+X13+X11+X9+X7</f>
        <v>11960</v>
      </c>
      <c r="Y17" s="41"/>
      <c r="Z17" s="40">
        <f>Z15+Z13+Z11+Z9+Z7</f>
        <v>12949</v>
      </c>
      <c r="AA17" s="41"/>
      <c r="AB17" s="40">
        <f>AB15+AB13+AB11+AB9+AB7</f>
        <v>13033</v>
      </c>
      <c r="AC17" s="42"/>
      <c r="AD17" s="40">
        <f>AD15+AD13+AD11+AD9+AD7</f>
        <v>13033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2408.5</v>
      </c>
      <c r="S18" s="46"/>
      <c r="T18" s="47">
        <f>IF(T16&gt;0,(T16-R16)/2,"")</f>
        <v>2428</v>
      </c>
      <c r="U18" s="46"/>
      <c r="V18" s="47">
        <f>IF(V16&gt;0,(V16-T16)/2,"")</f>
        <v>2926</v>
      </c>
      <c r="W18" s="46"/>
      <c r="X18" s="47">
        <f>IF(X16&gt;0,(X16-V16)/2,"")</f>
        <v>4982</v>
      </c>
      <c r="Y18" s="46"/>
      <c r="Z18" s="47">
        <f>IF(Z16&gt;0,(Z16-X16)/2,"")</f>
        <v>4686</v>
      </c>
      <c r="AA18" s="46"/>
      <c r="AB18" s="47">
        <f>IF(AB16&gt;0,(AB16-Z16)/2,"")</f>
        <v>2311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/>
      <c r="L20" s="4"/>
      <c r="M20" s="4"/>
      <c r="Q20" s="51" t="s">
        <v>49</v>
      </c>
      <c r="R20" s="35">
        <v>4672</v>
      </c>
      <c r="S20" s="36"/>
      <c r="T20" s="35">
        <v>10291</v>
      </c>
      <c r="U20" s="36"/>
      <c r="V20" s="35">
        <v>16950</v>
      </c>
      <c r="W20" s="36"/>
      <c r="X20" s="35">
        <v>29334</v>
      </c>
      <c r="Y20" s="36"/>
      <c r="Z20" s="35">
        <v>41461</v>
      </c>
      <c r="AA20" s="36"/>
      <c r="AB20" s="35">
        <v>41461</v>
      </c>
      <c r="AC20" s="37"/>
      <c r="AD20" s="35">
        <v>41461</v>
      </c>
      <c r="AE20" s="37">
        <v>-39749</v>
      </c>
    </row>
    <row r="21" spans="2:43" ht="15" customHeight="1" thickBot="1" x14ac:dyDescent="0.35">
      <c r="B21" s="57" t="s">
        <v>52</v>
      </c>
      <c r="C21" s="58"/>
      <c r="L21" s="4"/>
      <c r="M21" s="4"/>
      <c r="Q21" s="52"/>
      <c r="R21" s="40">
        <v>4527</v>
      </c>
      <c r="S21" s="41"/>
      <c r="T21" s="40">
        <v>7949</v>
      </c>
      <c r="U21" s="41"/>
      <c r="V21" s="40">
        <v>9663</v>
      </c>
      <c r="W21" s="41"/>
      <c r="X21" s="40">
        <v>12630</v>
      </c>
      <c r="Y21" s="41"/>
      <c r="Z21" s="40">
        <v>13304</v>
      </c>
      <c r="AA21" s="41"/>
      <c r="AB21" s="40">
        <v>13688</v>
      </c>
      <c r="AC21" s="42"/>
      <c r="AD21" s="40">
        <v>13688</v>
      </c>
      <c r="AE21" s="42"/>
    </row>
    <row r="22" spans="2:43" ht="15" customHeight="1" thickBot="1" x14ac:dyDescent="0.35">
      <c r="L22" s="4"/>
      <c r="M22" s="4"/>
      <c r="Q22" s="54"/>
      <c r="R22" s="55">
        <v>2650.5</v>
      </c>
      <c r="S22" s="55"/>
      <c r="T22" s="55">
        <v>3030</v>
      </c>
      <c r="U22" s="55"/>
      <c r="V22" s="55">
        <v>3595</v>
      </c>
      <c r="W22" s="55"/>
      <c r="X22" s="55">
        <v>6028</v>
      </c>
      <c r="Y22" s="55"/>
      <c r="Z22" s="55">
        <v>2472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145</v>
      </c>
      <c r="S24" s="60"/>
      <c r="T24" s="60">
        <f>IF(T16&gt;0,T16-T20,"")</f>
        <v>-618</v>
      </c>
      <c r="U24" s="60"/>
      <c r="V24" s="60">
        <f>IF(V16&gt;0,V16-V20,"")</f>
        <v>-1425</v>
      </c>
      <c r="W24" s="60"/>
      <c r="X24" s="60">
        <f>IF(X16&gt;0,X16-X20,"")</f>
        <v>-3845</v>
      </c>
      <c r="Y24" s="60"/>
      <c r="Z24" s="60">
        <f>IF(Z16&gt;0,Z16-Z20,"")</f>
        <v>-6600</v>
      </c>
      <c r="AA24" s="60"/>
      <c r="AB24" s="60">
        <f>IF(AB16&gt;0,AB16-AB20,"")</f>
        <v>-1978</v>
      </c>
      <c r="AC24" s="61"/>
      <c r="AD24" s="60">
        <f>IF(AD16&gt;0,AD16-AD20,"")</f>
        <v>-1978</v>
      </c>
      <c r="AE24" s="61"/>
    </row>
    <row r="25" spans="2:43" x14ac:dyDescent="0.3">
      <c r="L25" s="4"/>
      <c r="M25" s="4"/>
      <c r="Q25" s="62"/>
      <c r="R25" s="63">
        <f>IF(R17&gt;=0,R17-R21,"")</f>
        <v>506</v>
      </c>
      <c r="S25" s="64"/>
      <c r="T25" s="63">
        <f>IF(T17&gt;=0,T17-T21,"")</f>
        <v>902</v>
      </c>
      <c r="U25" s="64"/>
      <c r="V25" s="63">
        <f>IF(V17&gt;=0,V17-V21,"")</f>
        <v>888</v>
      </c>
      <c r="W25" s="64"/>
      <c r="X25" s="63">
        <f>IF(X17&gt;=0,X17-X21,"")</f>
        <v>-670</v>
      </c>
      <c r="Y25" s="64"/>
      <c r="Z25" s="63">
        <f>IF(Z17&gt;=0,Z17-Z21,"")</f>
        <v>-355</v>
      </c>
      <c r="AA25" s="64"/>
      <c r="AB25" s="63">
        <f>IF(AB17&gt;=0,AB17-AB21,"")</f>
        <v>-655</v>
      </c>
      <c r="AC25" s="65"/>
      <c r="AD25" s="63">
        <f>IF(AD17&gt;=0,AD17-AD21,"")</f>
        <v>-655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-242</v>
      </c>
      <c r="S26" s="55"/>
      <c r="T26" s="67">
        <f>IFERROR(IF(T18&gt;0,T18-T22,""),"")</f>
        <v>-602</v>
      </c>
      <c r="U26" s="55"/>
      <c r="V26" s="67">
        <f>IFERROR(IF(V18&gt;0,V18-V22,""),"")</f>
        <v>-669</v>
      </c>
      <c r="W26" s="55"/>
      <c r="X26" s="67">
        <f>IFERROR(IF(X18&gt;0,X18-X22,""),"")</f>
        <v>-1046</v>
      </c>
      <c r="Y26" s="55"/>
      <c r="Z26" s="67">
        <f>IFERROR(IF(Z18&gt;0,Z18-Z22,""),"")</f>
        <v>2214</v>
      </c>
      <c r="AA26" s="55"/>
      <c r="AB26" s="67">
        <f>IFERROR(IF(AB18&gt;0,AB18-AB22,""),"")</f>
        <v>2311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9357</v>
      </c>
      <c r="D29" s="76">
        <f>C14</f>
        <v>0</v>
      </c>
      <c r="E29" s="77">
        <f>D29-C29</f>
        <v>-9357</v>
      </c>
      <c r="M29" s="4"/>
      <c r="O29" s="4"/>
    </row>
    <row r="30" spans="2:43" x14ac:dyDescent="0.3">
      <c r="B30" s="74" t="s">
        <v>56</v>
      </c>
      <c r="C30" s="122">
        <v>25250</v>
      </c>
      <c r="D30" s="76">
        <f>C7+C15+C16+C17+C18</f>
        <v>0</v>
      </c>
      <c r="E30" s="77">
        <f>D30-C30</f>
        <v>-25250</v>
      </c>
      <c r="J30" s="53"/>
      <c r="L30" s="53"/>
      <c r="M30" s="4"/>
      <c r="O30" s="4"/>
    </row>
    <row r="31" spans="2:43" x14ac:dyDescent="0.3">
      <c r="B31" s="74" t="s">
        <v>21</v>
      </c>
      <c r="C31" s="122">
        <v>3030</v>
      </c>
      <c r="D31" s="76">
        <f>C6</f>
        <v>3030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15238</v>
      </c>
      <c r="D32" s="76">
        <f>C10+C11+C12+C13</f>
        <v>15238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14770</v>
      </c>
      <c r="D33" s="76">
        <f>C19+C20+C21</f>
        <v>0</v>
      </c>
      <c r="E33" s="77">
        <f>D33-C33</f>
        <v>-14770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4295</v>
      </c>
      <c r="D34" s="80">
        <f>SUM(C8+C9)</f>
        <v>4295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2479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66.5</v>
      </c>
      <c r="V35" s="104">
        <v>133</v>
      </c>
      <c r="W35" s="104">
        <f t="shared" ref="W35:W64" si="3">IF(X35&gt;0,(X35-V35)/2,"")</f>
        <v>300.5</v>
      </c>
      <c r="X35" s="104">
        <v>734</v>
      </c>
      <c r="Y35" s="104">
        <f t="shared" ref="Y35:Y64" si="4">IF(Z35&gt;0,(Z35-X35)/2,"")</f>
        <v>248</v>
      </c>
      <c r="Z35" s="104">
        <v>1230</v>
      </c>
      <c r="AA35" s="104">
        <f t="shared" ref="AA35:AA64" si="5">IF(AB35&gt;0,(AB35-Z35)/2,"")</f>
        <v>0</v>
      </c>
      <c r="AB35" s="104">
        <v>1230</v>
      </c>
      <c r="AC35" s="104">
        <f t="shared" ref="AC35:AC64" si="6">IF(AD35&gt;0,(AD35-AB35)/2,"")</f>
        <v>0</v>
      </c>
      <c r="AD35" s="104">
        <v>1230</v>
      </c>
      <c r="AE35" s="105">
        <f t="shared" ref="AE35:AE64" si="7">AD35-Q35</f>
        <v>-1249</v>
      </c>
    </row>
    <row r="36" spans="2:31" ht="15.6" customHeight="1" x14ac:dyDescent="0.3">
      <c r="N36" s="212"/>
      <c r="O36" s="95" t="s">
        <v>66</v>
      </c>
      <c r="P36" s="106"/>
      <c r="Q36" s="106">
        <v>1296</v>
      </c>
      <c r="R36" s="106">
        <v>0</v>
      </c>
      <c r="S36" s="106">
        <f t="shared" si="1"/>
        <v>268.5</v>
      </c>
      <c r="T36" s="106">
        <v>537</v>
      </c>
      <c r="U36" s="106">
        <f t="shared" si="2"/>
        <v>13</v>
      </c>
      <c r="V36" s="106">
        <v>563</v>
      </c>
      <c r="W36" s="106">
        <f t="shared" si="3"/>
        <v>117</v>
      </c>
      <c r="X36" s="106">
        <v>797</v>
      </c>
      <c r="Y36" s="106">
        <f t="shared" si="4"/>
        <v>249.5</v>
      </c>
      <c r="Z36" s="106">
        <v>1296</v>
      </c>
      <c r="AA36" s="106">
        <f t="shared" si="5"/>
        <v>0</v>
      </c>
      <c r="AB36" s="106">
        <v>1296</v>
      </c>
      <c r="AC36" s="106">
        <f t="shared" si="6"/>
        <v>0</v>
      </c>
      <c r="AD36" s="106">
        <v>1296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2515</v>
      </c>
      <c r="R37" s="108">
        <v>0</v>
      </c>
      <c r="S37" s="108" t="str">
        <f t="shared" si="1"/>
        <v/>
      </c>
      <c r="T37" s="108">
        <v>0</v>
      </c>
      <c r="U37" s="108" t="str">
        <f t="shared" si="2"/>
        <v/>
      </c>
      <c r="V37" s="108">
        <v>0</v>
      </c>
      <c r="W37" s="108">
        <f t="shared" si="3"/>
        <v>114.5</v>
      </c>
      <c r="X37" s="108">
        <v>229</v>
      </c>
      <c r="Y37" s="108">
        <f t="shared" si="4"/>
        <v>106</v>
      </c>
      <c r="Z37" s="108">
        <v>441</v>
      </c>
      <c r="AA37" s="108">
        <f t="shared" si="5"/>
        <v>0</v>
      </c>
      <c r="AB37" s="108">
        <v>441</v>
      </c>
      <c r="AC37" s="108">
        <f t="shared" si="6"/>
        <v>0</v>
      </c>
      <c r="AD37" s="108">
        <v>441</v>
      </c>
      <c r="AE37" s="109">
        <f t="shared" si="7"/>
        <v>-2074</v>
      </c>
    </row>
    <row r="38" spans="2:31" ht="15.6" customHeight="1" x14ac:dyDescent="0.3">
      <c r="N38" s="212"/>
      <c r="O38" s="95" t="s">
        <v>68</v>
      </c>
      <c r="P38" s="106"/>
      <c r="Q38" s="106">
        <v>3486</v>
      </c>
      <c r="R38" s="106">
        <v>699</v>
      </c>
      <c r="S38" s="106">
        <f t="shared" si="1"/>
        <v>0</v>
      </c>
      <c r="T38" s="106">
        <v>699</v>
      </c>
      <c r="U38" s="106">
        <f t="shared" si="2"/>
        <v>599.5</v>
      </c>
      <c r="V38" s="106">
        <v>1898</v>
      </c>
      <c r="W38" s="106">
        <f t="shared" si="3"/>
        <v>-115.5</v>
      </c>
      <c r="X38" s="106">
        <v>1667</v>
      </c>
      <c r="Y38" s="106">
        <f t="shared" si="4"/>
        <v>492.5</v>
      </c>
      <c r="Z38" s="106">
        <v>2652</v>
      </c>
      <c r="AA38" s="106">
        <f t="shared" si="5"/>
        <v>0</v>
      </c>
      <c r="AB38" s="106">
        <v>2652</v>
      </c>
      <c r="AC38" s="106">
        <f t="shared" si="6"/>
        <v>0</v>
      </c>
      <c r="AD38" s="106">
        <v>2652</v>
      </c>
      <c r="AE38" s="107">
        <f t="shared" si="7"/>
        <v>-834</v>
      </c>
    </row>
    <row r="39" spans="2:31" ht="15.6" customHeight="1" x14ac:dyDescent="0.3">
      <c r="N39" s="212"/>
      <c r="O39" s="94" t="s">
        <v>69</v>
      </c>
      <c r="P39" s="108"/>
      <c r="Q39" s="108">
        <v>2266</v>
      </c>
      <c r="R39" s="108">
        <v>2</v>
      </c>
      <c r="S39" s="108">
        <f t="shared" si="1"/>
        <v>0</v>
      </c>
      <c r="T39" s="108">
        <v>2</v>
      </c>
      <c r="U39" s="108">
        <f t="shared" si="2"/>
        <v>0</v>
      </c>
      <c r="V39" s="108">
        <v>2</v>
      </c>
      <c r="W39" s="108">
        <f t="shared" si="3"/>
        <v>0</v>
      </c>
      <c r="X39" s="108">
        <v>2</v>
      </c>
      <c r="Y39" s="108">
        <f t="shared" si="4"/>
        <v>938.5</v>
      </c>
      <c r="Z39" s="108">
        <v>1879</v>
      </c>
      <c r="AA39" s="108">
        <f t="shared" si="5"/>
        <v>0</v>
      </c>
      <c r="AB39" s="108">
        <v>1879</v>
      </c>
      <c r="AC39" s="108">
        <f t="shared" si="6"/>
        <v>0</v>
      </c>
      <c r="AD39" s="108">
        <v>1879</v>
      </c>
      <c r="AE39" s="109">
        <f t="shared" si="7"/>
        <v>-387</v>
      </c>
    </row>
    <row r="40" spans="2:31" ht="15.6" customHeight="1" x14ac:dyDescent="0.3">
      <c r="N40" s="212"/>
      <c r="O40" s="95" t="s">
        <v>70</v>
      </c>
      <c r="P40" s="106"/>
      <c r="Q40" s="106">
        <v>3565</v>
      </c>
      <c r="R40" s="106">
        <v>27</v>
      </c>
      <c r="S40" s="106">
        <f t="shared" si="1"/>
        <v>272</v>
      </c>
      <c r="T40" s="106">
        <v>571</v>
      </c>
      <c r="U40" s="106">
        <f t="shared" si="2"/>
        <v>46.5</v>
      </c>
      <c r="V40" s="106">
        <v>664</v>
      </c>
      <c r="W40" s="106">
        <f t="shared" si="3"/>
        <v>577.5</v>
      </c>
      <c r="X40" s="106">
        <v>1819</v>
      </c>
      <c r="Y40" s="106">
        <f t="shared" si="4"/>
        <v>37.5</v>
      </c>
      <c r="Z40" s="106">
        <v>1894</v>
      </c>
      <c r="AA40" s="106">
        <f t="shared" si="5"/>
        <v>0</v>
      </c>
      <c r="AB40" s="106">
        <v>1894</v>
      </c>
      <c r="AC40" s="106">
        <f t="shared" si="6"/>
        <v>0</v>
      </c>
      <c r="AD40" s="106">
        <v>1894</v>
      </c>
      <c r="AE40" s="107">
        <f t="shared" si="7"/>
        <v>-1671</v>
      </c>
    </row>
    <row r="41" spans="2:31" ht="15.6" customHeight="1" x14ac:dyDescent="0.3">
      <c r="N41" s="212"/>
      <c r="O41" s="94" t="s">
        <v>71</v>
      </c>
      <c r="P41" s="108"/>
      <c r="Q41" s="108">
        <v>1132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432</v>
      </c>
      <c r="X41" s="108">
        <v>864</v>
      </c>
      <c r="Y41" s="108">
        <f t="shared" si="4"/>
        <v>133</v>
      </c>
      <c r="Z41" s="108">
        <v>1130</v>
      </c>
      <c r="AA41" s="108">
        <f t="shared" si="5"/>
        <v>0</v>
      </c>
      <c r="AB41" s="108">
        <v>1130</v>
      </c>
      <c r="AC41" s="108">
        <f t="shared" si="6"/>
        <v>0</v>
      </c>
      <c r="AD41" s="108">
        <v>1130</v>
      </c>
      <c r="AE41" s="109">
        <f t="shared" si="7"/>
        <v>-2</v>
      </c>
    </row>
    <row r="42" spans="2:31" ht="15.6" customHeight="1" x14ac:dyDescent="0.3">
      <c r="N42" s="212"/>
      <c r="O42" s="95" t="s">
        <v>72</v>
      </c>
      <c r="P42" s="106"/>
      <c r="Q42" s="106">
        <v>1629</v>
      </c>
      <c r="R42" s="106">
        <v>0</v>
      </c>
      <c r="S42" s="106">
        <f t="shared" si="1"/>
        <v>8.5</v>
      </c>
      <c r="T42" s="106">
        <v>17</v>
      </c>
      <c r="U42" s="106">
        <f t="shared" si="2"/>
        <v>0</v>
      </c>
      <c r="V42" s="106">
        <v>17</v>
      </c>
      <c r="W42" s="106">
        <f t="shared" si="3"/>
        <v>0</v>
      </c>
      <c r="X42" s="106">
        <v>17</v>
      </c>
      <c r="Y42" s="106">
        <f t="shared" si="4"/>
        <v>512</v>
      </c>
      <c r="Z42" s="106">
        <v>1041</v>
      </c>
      <c r="AA42" s="106">
        <f t="shared" si="5"/>
        <v>0</v>
      </c>
      <c r="AB42" s="106">
        <v>1041</v>
      </c>
      <c r="AC42" s="106">
        <f t="shared" si="6"/>
        <v>0</v>
      </c>
      <c r="AD42" s="106">
        <v>1041</v>
      </c>
      <c r="AE42" s="107">
        <f t="shared" si="7"/>
        <v>-588</v>
      </c>
    </row>
    <row r="43" spans="2:31" ht="15.6" customHeight="1" thickBot="1" x14ac:dyDescent="0.35">
      <c r="N43" s="213"/>
      <c r="O43" s="97" t="s">
        <v>73</v>
      </c>
      <c r="P43" s="110"/>
      <c r="Q43" s="110">
        <v>1435</v>
      </c>
      <c r="R43" s="110">
        <v>406</v>
      </c>
      <c r="S43" s="110">
        <f t="shared" si="1"/>
        <v>197</v>
      </c>
      <c r="T43" s="110">
        <v>800</v>
      </c>
      <c r="U43" s="110">
        <f t="shared" si="2"/>
        <v>37</v>
      </c>
      <c r="V43" s="110">
        <v>874</v>
      </c>
      <c r="W43" s="110">
        <f t="shared" si="3"/>
        <v>0</v>
      </c>
      <c r="X43" s="110">
        <v>874</v>
      </c>
      <c r="Y43" s="110">
        <f t="shared" si="4"/>
        <v>102</v>
      </c>
      <c r="Z43" s="110">
        <v>1078</v>
      </c>
      <c r="AA43" s="110">
        <f t="shared" si="5"/>
        <v>0</v>
      </c>
      <c r="AB43" s="110">
        <v>1078</v>
      </c>
      <c r="AC43" s="110">
        <f t="shared" si="6"/>
        <v>0</v>
      </c>
      <c r="AD43" s="110">
        <v>1078</v>
      </c>
      <c r="AE43" s="111">
        <f t="shared" si="7"/>
        <v>-357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4820</v>
      </c>
      <c r="R44" s="112">
        <v>0</v>
      </c>
      <c r="S44" s="112">
        <f t="shared" si="1"/>
        <v>441.5</v>
      </c>
      <c r="T44" s="112">
        <v>883</v>
      </c>
      <c r="U44" s="112">
        <f t="shared" si="2"/>
        <v>0</v>
      </c>
      <c r="V44" s="112">
        <v>883</v>
      </c>
      <c r="W44" s="112">
        <f t="shared" si="3"/>
        <v>946.5</v>
      </c>
      <c r="X44" s="112">
        <v>2776</v>
      </c>
      <c r="Y44" s="112">
        <f t="shared" si="4"/>
        <v>0</v>
      </c>
      <c r="Z44" s="112">
        <v>2776</v>
      </c>
      <c r="AA44" s="112">
        <f t="shared" si="5"/>
        <v>522</v>
      </c>
      <c r="AB44" s="112">
        <v>3820</v>
      </c>
      <c r="AC44" s="112">
        <f t="shared" si="6"/>
        <v>0</v>
      </c>
      <c r="AD44" s="112">
        <v>3820</v>
      </c>
      <c r="AE44" s="113">
        <f t="shared" si="7"/>
        <v>-1000</v>
      </c>
    </row>
    <row r="45" spans="2:31" ht="15.6" customHeight="1" x14ac:dyDescent="0.3">
      <c r="N45" s="212"/>
      <c r="O45" s="94" t="s">
        <v>66</v>
      </c>
      <c r="P45" s="108"/>
      <c r="Q45" s="108">
        <v>3924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749</v>
      </c>
      <c r="X45" s="108">
        <v>1498</v>
      </c>
      <c r="Y45" s="108">
        <f t="shared" si="4"/>
        <v>525</v>
      </c>
      <c r="Z45" s="108">
        <v>2548</v>
      </c>
      <c r="AA45" s="108">
        <f t="shared" si="5"/>
        <v>688</v>
      </c>
      <c r="AB45" s="108">
        <v>3924</v>
      </c>
      <c r="AC45" s="108">
        <f t="shared" si="6"/>
        <v>0</v>
      </c>
      <c r="AD45" s="108">
        <v>3924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2581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>
        <f t="shared" si="4"/>
        <v>429</v>
      </c>
      <c r="Z46" s="106">
        <v>858</v>
      </c>
      <c r="AA46" s="106">
        <f t="shared" si="5"/>
        <v>460</v>
      </c>
      <c r="AB46" s="106">
        <v>1778</v>
      </c>
      <c r="AC46" s="106">
        <f t="shared" si="6"/>
        <v>0</v>
      </c>
      <c r="AD46" s="106">
        <v>1778</v>
      </c>
      <c r="AE46" s="107">
        <f t="shared" si="7"/>
        <v>-803</v>
      </c>
    </row>
    <row r="47" spans="2:31" ht="15.6" customHeight="1" thickBot="1" x14ac:dyDescent="0.35">
      <c r="N47" s="213"/>
      <c r="O47" s="97" t="s">
        <v>68</v>
      </c>
      <c r="P47" s="110"/>
      <c r="Q47" s="110">
        <v>4098</v>
      </c>
      <c r="R47" s="110">
        <v>910</v>
      </c>
      <c r="S47" s="110">
        <f t="shared" si="1"/>
        <v>0</v>
      </c>
      <c r="T47" s="110">
        <v>910</v>
      </c>
      <c r="U47" s="110">
        <f t="shared" si="2"/>
        <v>773.5</v>
      </c>
      <c r="V47" s="110">
        <v>2457</v>
      </c>
      <c r="W47" s="110">
        <f t="shared" si="3"/>
        <v>301.5</v>
      </c>
      <c r="X47" s="110">
        <v>3060</v>
      </c>
      <c r="Y47" s="110">
        <f t="shared" si="4"/>
        <v>528</v>
      </c>
      <c r="Z47" s="110">
        <v>4116</v>
      </c>
      <c r="AA47" s="110">
        <f t="shared" si="5"/>
        <v>0</v>
      </c>
      <c r="AB47" s="110">
        <v>4116</v>
      </c>
      <c r="AC47" s="110">
        <f t="shared" si="6"/>
        <v>0</v>
      </c>
      <c r="AD47" s="110">
        <v>4116</v>
      </c>
      <c r="AE47" s="111">
        <f t="shared" si="7"/>
        <v>18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257</v>
      </c>
      <c r="R48" s="112">
        <v>7</v>
      </c>
      <c r="S48" s="112">
        <f t="shared" si="1"/>
        <v>0</v>
      </c>
      <c r="T48" s="112">
        <v>7</v>
      </c>
      <c r="U48" s="112">
        <f t="shared" si="2"/>
        <v>42</v>
      </c>
      <c r="V48" s="112">
        <v>91</v>
      </c>
      <c r="W48" s="112">
        <f t="shared" si="3"/>
        <v>0</v>
      </c>
      <c r="X48" s="112">
        <v>91</v>
      </c>
      <c r="Y48" s="112">
        <f t="shared" si="4"/>
        <v>0</v>
      </c>
      <c r="Z48" s="112">
        <v>91</v>
      </c>
      <c r="AA48" s="112">
        <f t="shared" si="5"/>
        <v>0</v>
      </c>
      <c r="AB48" s="112">
        <v>91</v>
      </c>
      <c r="AC48" s="112">
        <f t="shared" si="6"/>
        <v>0</v>
      </c>
      <c r="AD48" s="112">
        <v>91</v>
      </c>
      <c r="AE48" s="113">
        <f t="shared" si="7"/>
        <v>-166</v>
      </c>
    </row>
    <row r="49" spans="14:31" ht="15.6" customHeight="1" x14ac:dyDescent="0.3">
      <c r="N49" s="212"/>
      <c r="O49" s="94" t="s">
        <v>66</v>
      </c>
      <c r="P49" s="108"/>
      <c r="Q49" s="108">
        <v>297</v>
      </c>
      <c r="R49" s="108">
        <v>2</v>
      </c>
      <c r="S49" s="108">
        <f t="shared" si="1"/>
        <v>0</v>
      </c>
      <c r="T49" s="108">
        <v>2</v>
      </c>
      <c r="U49" s="108">
        <f t="shared" si="2"/>
        <v>69.5</v>
      </c>
      <c r="V49" s="108">
        <v>141</v>
      </c>
      <c r="W49" s="108">
        <f t="shared" si="3"/>
        <v>0</v>
      </c>
      <c r="X49" s="108">
        <v>141</v>
      </c>
      <c r="Y49" s="108">
        <f t="shared" si="4"/>
        <v>0</v>
      </c>
      <c r="Z49" s="108">
        <v>141</v>
      </c>
      <c r="AA49" s="108">
        <f t="shared" si="5"/>
        <v>0</v>
      </c>
      <c r="AB49" s="108">
        <v>141</v>
      </c>
      <c r="AC49" s="108">
        <f t="shared" si="6"/>
        <v>0</v>
      </c>
      <c r="AD49" s="108">
        <v>141</v>
      </c>
      <c r="AE49" s="109">
        <f t="shared" si="7"/>
        <v>-156</v>
      </c>
    </row>
    <row r="50" spans="14:31" ht="15.6" customHeight="1" x14ac:dyDescent="0.3">
      <c r="N50" s="212"/>
      <c r="O50" s="95" t="s">
        <v>67</v>
      </c>
      <c r="P50" s="106"/>
      <c r="Q50" s="106">
        <v>2067</v>
      </c>
      <c r="R50" s="106">
        <v>216</v>
      </c>
      <c r="S50" s="106">
        <f t="shared" si="1"/>
        <v>409.5</v>
      </c>
      <c r="T50" s="106">
        <v>1035</v>
      </c>
      <c r="U50" s="106">
        <f t="shared" si="2"/>
        <v>75.5</v>
      </c>
      <c r="V50" s="106">
        <v>1186</v>
      </c>
      <c r="W50" s="106">
        <f t="shared" si="3"/>
        <v>101.5</v>
      </c>
      <c r="X50" s="106">
        <v>1389</v>
      </c>
      <c r="Y50" s="106">
        <f t="shared" si="4"/>
        <v>0</v>
      </c>
      <c r="Z50" s="106">
        <v>1389</v>
      </c>
      <c r="AA50" s="106">
        <f t="shared" si="5"/>
        <v>0</v>
      </c>
      <c r="AB50" s="106">
        <v>1389</v>
      </c>
      <c r="AC50" s="106">
        <f t="shared" si="6"/>
        <v>0</v>
      </c>
      <c r="AD50" s="106">
        <v>1389</v>
      </c>
      <c r="AE50" s="107">
        <f t="shared" si="7"/>
        <v>-678</v>
      </c>
    </row>
    <row r="51" spans="14:31" ht="15.6" customHeight="1" x14ac:dyDescent="0.3">
      <c r="N51" s="212"/>
      <c r="O51" s="94" t="s">
        <v>68</v>
      </c>
      <c r="P51" s="108"/>
      <c r="Q51" s="108">
        <v>1981</v>
      </c>
      <c r="R51" s="108">
        <v>9</v>
      </c>
      <c r="S51" s="108">
        <f t="shared" si="1"/>
        <v>2.5</v>
      </c>
      <c r="T51" s="108">
        <v>14</v>
      </c>
      <c r="U51" s="108">
        <f t="shared" si="2"/>
        <v>154.5</v>
      </c>
      <c r="V51" s="108">
        <v>323</v>
      </c>
      <c r="W51" s="108">
        <f t="shared" si="3"/>
        <v>136.5</v>
      </c>
      <c r="X51" s="108">
        <v>596</v>
      </c>
      <c r="Y51" s="108">
        <f t="shared" si="4"/>
        <v>0.5</v>
      </c>
      <c r="Z51" s="108">
        <v>597</v>
      </c>
      <c r="AA51" s="108">
        <f t="shared" si="5"/>
        <v>0</v>
      </c>
      <c r="AB51" s="108">
        <v>597</v>
      </c>
      <c r="AC51" s="108">
        <f t="shared" si="6"/>
        <v>0</v>
      </c>
      <c r="AD51" s="108">
        <v>597</v>
      </c>
      <c r="AE51" s="109">
        <f t="shared" si="7"/>
        <v>-1384</v>
      </c>
    </row>
    <row r="52" spans="14:31" ht="15.6" customHeight="1" x14ac:dyDescent="0.3">
      <c r="N52" s="212"/>
      <c r="O52" s="95" t="s">
        <v>69</v>
      </c>
      <c r="P52" s="106"/>
      <c r="Q52" s="106">
        <v>2538</v>
      </c>
      <c r="R52" s="106">
        <v>534</v>
      </c>
      <c r="S52" s="106">
        <f t="shared" si="1"/>
        <v>97.5</v>
      </c>
      <c r="T52" s="106">
        <v>729</v>
      </c>
      <c r="U52" s="106">
        <f t="shared" si="2"/>
        <v>240</v>
      </c>
      <c r="V52" s="106">
        <v>1209</v>
      </c>
      <c r="W52" s="106">
        <f t="shared" si="3"/>
        <v>61</v>
      </c>
      <c r="X52" s="106">
        <v>1331</v>
      </c>
      <c r="Y52" s="106">
        <f t="shared" si="4"/>
        <v>1</v>
      </c>
      <c r="Z52" s="106">
        <v>1333</v>
      </c>
      <c r="AA52" s="106">
        <f t="shared" si="5"/>
        <v>0</v>
      </c>
      <c r="AB52" s="106">
        <v>1333</v>
      </c>
      <c r="AC52" s="106">
        <f t="shared" si="6"/>
        <v>0</v>
      </c>
      <c r="AD52" s="106">
        <v>1333</v>
      </c>
      <c r="AE52" s="107">
        <f t="shared" si="7"/>
        <v>-1205</v>
      </c>
    </row>
    <row r="53" spans="14:31" ht="15.6" customHeight="1" x14ac:dyDescent="0.3">
      <c r="N53" s="212"/>
      <c r="O53" s="94" t="s">
        <v>70</v>
      </c>
      <c r="P53" s="108"/>
      <c r="Q53" s="108">
        <v>1597</v>
      </c>
      <c r="R53" s="108">
        <v>6</v>
      </c>
      <c r="S53" s="108">
        <f t="shared" si="1"/>
        <v>0</v>
      </c>
      <c r="T53" s="108">
        <v>6</v>
      </c>
      <c r="U53" s="108">
        <f t="shared" si="2"/>
        <v>272</v>
      </c>
      <c r="V53" s="108">
        <v>550</v>
      </c>
      <c r="W53" s="108">
        <f t="shared" si="3"/>
        <v>88.5</v>
      </c>
      <c r="X53" s="108">
        <v>727</v>
      </c>
      <c r="Y53" s="108">
        <f t="shared" si="4"/>
        <v>0</v>
      </c>
      <c r="Z53" s="108">
        <v>727</v>
      </c>
      <c r="AA53" s="108">
        <f t="shared" si="5"/>
        <v>0</v>
      </c>
      <c r="AB53" s="108">
        <v>727</v>
      </c>
      <c r="AC53" s="108">
        <f t="shared" si="6"/>
        <v>0</v>
      </c>
      <c r="AD53" s="108">
        <v>727</v>
      </c>
      <c r="AE53" s="109">
        <f t="shared" si="7"/>
        <v>-870</v>
      </c>
    </row>
    <row r="54" spans="14:31" ht="15.6" customHeight="1" x14ac:dyDescent="0.3">
      <c r="N54" s="212"/>
      <c r="O54" s="95" t="s">
        <v>71</v>
      </c>
      <c r="P54" s="106"/>
      <c r="Q54" s="106">
        <v>1099</v>
      </c>
      <c r="R54" s="106">
        <v>656</v>
      </c>
      <c r="S54" s="106">
        <f t="shared" si="1"/>
        <v>0</v>
      </c>
      <c r="T54" s="106">
        <v>656</v>
      </c>
      <c r="U54" s="106">
        <f t="shared" si="2"/>
        <v>136.5</v>
      </c>
      <c r="V54" s="106">
        <v>929</v>
      </c>
      <c r="W54" s="106">
        <f t="shared" si="3"/>
        <v>7.5</v>
      </c>
      <c r="X54" s="106">
        <v>944</v>
      </c>
      <c r="Y54" s="106">
        <f t="shared" si="4"/>
        <v>0</v>
      </c>
      <c r="Z54" s="106">
        <v>944</v>
      </c>
      <c r="AA54" s="106">
        <f t="shared" si="5"/>
        <v>0</v>
      </c>
      <c r="AB54" s="106">
        <v>944</v>
      </c>
      <c r="AC54" s="106">
        <f t="shared" si="6"/>
        <v>0</v>
      </c>
      <c r="AD54" s="106">
        <v>944</v>
      </c>
      <c r="AE54" s="107">
        <f t="shared" si="7"/>
        <v>-155</v>
      </c>
    </row>
    <row r="55" spans="14:31" ht="15.6" customHeight="1" x14ac:dyDescent="0.3">
      <c r="N55" s="212"/>
      <c r="O55" s="94" t="s">
        <v>72</v>
      </c>
      <c r="P55" s="108"/>
      <c r="Q55" s="108">
        <v>385</v>
      </c>
      <c r="R55" s="108">
        <v>6</v>
      </c>
      <c r="S55" s="108">
        <f t="shared" si="1"/>
        <v>0</v>
      </c>
      <c r="T55" s="108">
        <v>6</v>
      </c>
      <c r="U55" s="108">
        <f t="shared" si="2"/>
        <v>0</v>
      </c>
      <c r="V55" s="108">
        <v>6</v>
      </c>
      <c r="W55" s="108">
        <f t="shared" si="3"/>
        <v>0</v>
      </c>
      <c r="X55" s="108">
        <v>6</v>
      </c>
      <c r="Y55" s="108">
        <f t="shared" si="4"/>
        <v>82</v>
      </c>
      <c r="Z55" s="108">
        <v>170</v>
      </c>
      <c r="AA55" s="108">
        <f t="shared" si="5"/>
        <v>0</v>
      </c>
      <c r="AB55" s="108">
        <v>170</v>
      </c>
      <c r="AC55" s="108">
        <f t="shared" si="6"/>
        <v>0</v>
      </c>
      <c r="AD55" s="108">
        <v>170</v>
      </c>
      <c r="AE55" s="109">
        <f t="shared" si="7"/>
        <v>-215</v>
      </c>
    </row>
    <row r="56" spans="14:31" ht="15.6" customHeight="1" thickBot="1" x14ac:dyDescent="0.35">
      <c r="N56" s="213"/>
      <c r="O56" s="99" t="s">
        <v>73</v>
      </c>
      <c r="P56" s="114"/>
      <c r="Q56" s="114">
        <v>288</v>
      </c>
      <c r="R56" s="114">
        <v>0</v>
      </c>
      <c r="S56" s="114">
        <f t="shared" si="1"/>
        <v>2</v>
      </c>
      <c r="T56" s="114">
        <v>4</v>
      </c>
      <c r="U56" s="114">
        <f t="shared" si="2"/>
        <v>97.5</v>
      </c>
      <c r="V56" s="114">
        <v>199</v>
      </c>
      <c r="W56" s="114">
        <f t="shared" si="3"/>
        <v>18.5</v>
      </c>
      <c r="X56" s="114">
        <v>236</v>
      </c>
      <c r="Y56" s="114">
        <f t="shared" si="4"/>
        <v>0</v>
      </c>
      <c r="Z56" s="114">
        <v>236</v>
      </c>
      <c r="AA56" s="114">
        <f t="shared" si="5"/>
        <v>0</v>
      </c>
      <c r="AB56" s="114">
        <v>236</v>
      </c>
      <c r="AC56" s="114">
        <f t="shared" si="6"/>
        <v>0</v>
      </c>
      <c r="AD56" s="114">
        <v>236</v>
      </c>
      <c r="AE56" s="115">
        <f t="shared" si="7"/>
        <v>-52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4997</v>
      </c>
      <c r="R57" s="104">
        <v>1010</v>
      </c>
      <c r="S57" s="104">
        <f t="shared" si="1"/>
        <v>686</v>
      </c>
      <c r="T57" s="104">
        <v>2382</v>
      </c>
      <c r="U57" s="104">
        <f t="shared" si="2"/>
        <v>205.5</v>
      </c>
      <c r="V57" s="104">
        <v>2793</v>
      </c>
      <c r="W57" s="104">
        <f t="shared" si="3"/>
        <v>27.5</v>
      </c>
      <c r="X57" s="104">
        <v>2848</v>
      </c>
      <c r="Y57" s="104">
        <f t="shared" si="4"/>
        <v>0</v>
      </c>
      <c r="Z57" s="104">
        <v>2848</v>
      </c>
      <c r="AA57" s="104">
        <f t="shared" si="5"/>
        <v>0</v>
      </c>
      <c r="AB57" s="104">
        <v>2848</v>
      </c>
      <c r="AC57" s="104">
        <f t="shared" si="6"/>
        <v>0</v>
      </c>
      <c r="AD57" s="104">
        <v>2848</v>
      </c>
      <c r="AE57" s="105">
        <f t="shared" si="7"/>
        <v>-2149</v>
      </c>
    </row>
    <row r="58" spans="14:31" ht="15.6" customHeight="1" x14ac:dyDescent="0.3">
      <c r="N58" s="212"/>
      <c r="O58" s="95" t="s">
        <v>66</v>
      </c>
      <c r="P58" s="106"/>
      <c r="Q58" s="106">
        <v>4146</v>
      </c>
      <c r="R58" s="106">
        <v>1184</v>
      </c>
      <c r="S58" s="106">
        <f t="shared" si="1"/>
        <v>289.5</v>
      </c>
      <c r="T58" s="106">
        <v>1763</v>
      </c>
      <c r="U58" s="106">
        <f t="shared" si="2"/>
        <v>207</v>
      </c>
      <c r="V58" s="106">
        <v>2177</v>
      </c>
      <c r="W58" s="106">
        <f t="shared" si="3"/>
        <v>460</v>
      </c>
      <c r="X58" s="106">
        <v>3097</v>
      </c>
      <c r="Y58" s="106">
        <f t="shared" si="4"/>
        <v>0</v>
      </c>
      <c r="Z58" s="106">
        <v>3097</v>
      </c>
      <c r="AA58" s="106">
        <f t="shared" si="5"/>
        <v>0</v>
      </c>
      <c r="AB58" s="106">
        <v>3097</v>
      </c>
      <c r="AC58" s="106">
        <f t="shared" si="6"/>
        <v>0</v>
      </c>
      <c r="AD58" s="106">
        <v>3097</v>
      </c>
      <c r="AE58" s="107">
        <f t="shared" si="7"/>
        <v>-1049</v>
      </c>
    </row>
    <row r="59" spans="14:31" ht="15.6" customHeight="1" x14ac:dyDescent="0.3">
      <c r="N59" s="212"/>
      <c r="O59" s="94" t="s">
        <v>67</v>
      </c>
      <c r="P59" s="108"/>
      <c r="Q59" s="108">
        <v>2687</v>
      </c>
      <c r="R59" s="108">
        <v>85</v>
      </c>
      <c r="S59" s="108">
        <f t="shared" si="1"/>
        <v>212</v>
      </c>
      <c r="T59" s="108">
        <v>509</v>
      </c>
      <c r="U59" s="108">
        <f t="shared" si="2"/>
        <v>209.5</v>
      </c>
      <c r="V59" s="108">
        <v>928</v>
      </c>
      <c r="W59" s="108">
        <f t="shared" si="3"/>
        <v>538.5</v>
      </c>
      <c r="X59" s="108">
        <v>2005</v>
      </c>
      <c r="Y59" s="108">
        <f t="shared" si="4"/>
        <v>0</v>
      </c>
      <c r="Z59" s="108">
        <v>2005</v>
      </c>
      <c r="AA59" s="108">
        <f t="shared" si="5"/>
        <v>0</v>
      </c>
      <c r="AB59" s="108">
        <v>2005</v>
      </c>
      <c r="AC59" s="108">
        <f t="shared" si="6"/>
        <v>0</v>
      </c>
      <c r="AD59" s="108">
        <v>2005</v>
      </c>
      <c r="AE59" s="109">
        <f t="shared" si="7"/>
        <v>-682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8647</v>
      </c>
      <c r="R61" s="104">
        <v>1207</v>
      </c>
      <c r="S61" s="104">
        <f t="shared" si="1"/>
        <v>169.5</v>
      </c>
      <c r="T61" s="104">
        <v>1546</v>
      </c>
      <c r="U61" s="104">
        <f t="shared" si="2"/>
        <v>0</v>
      </c>
      <c r="V61" s="104">
        <v>1546</v>
      </c>
      <c r="W61" s="104">
        <f t="shared" si="3"/>
        <v>306</v>
      </c>
      <c r="X61" s="104">
        <v>2158</v>
      </c>
      <c r="Y61" s="104">
        <f t="shared" si="4"/>
        <v>435</v>
      </c>
      <c r="Z61" s="104">
        <v>3028</v>
      </c>
      <c r="AA61" s="104">
        <f t="shared" si="5"/>
        <v>0</v>
      </c>
      <c r="AB61" s="104">
        <v>3028</v>
      </c>
      <c r="AC61" s="104">
        <f t="shared" si="6"/>
        <v>0</v>
      </c>
      <c r="AD61" s="104">
        <v>3028</v>
      </c>
      <c r="AE61" s="105">
        <f t="shared" si="7"/>
        <v>-5619</v>
      </c>
    </row>
    <row r="62" spans="14:31" ht="15.6" customHeight="1" x14ac:dyDescent="0.3">
      <c r="N62" s="212"/>
      <c r="O62" s="95" t="s">
        <v>66</v>
      </c>
      <c r="P62" s="106"/>
      <c r="Q62" s="106">
        <v>8210</v>
      </c>
      <c r="R62" s="106">
        <v>2109</v>
      </c>
      <c r="S62" s="106">
        <f t="shared" si="1"/>
        <v>608.5</v>
      </c>
      <c r="T62" s="106">
        <v>3326</v>
      </c>
      <c r="U62" s="106">
        <f t="shared" si="2"/>
        <v>112.5</v>
      </c>
      <c r="V62" s="106">
        <v>3551</v>
      </c>
      <c r="W62" s="106">
        <f t="shared" si="3"/>
        <v>91.5</v>
      </c>
      <c r="X62" s="106">
        <v>3734</v>
      </c>
      <c r="Y62" s="106">
        <f t="shared" si="4"/>
        <v>175</v>
      </c>
      <c r="Z62" s="106">
        <v>4084</v>
      </c>
      <c r="AA62" s="106">
        <f t="shared" si="5"/>
        <v>370</v>
      </c>
      <c r="AB62" s="106">
        <v>4824</v>
      </c>
      <c r="AC62" s="106">
        <f t="shared" si="6"/>
        <v>0</v>
      </c>
      <c r="AD62" s="106">
        <v>4824</v>
      </c>
      <c r="AE62" s="107">
        <f t="shared" si="7"/>
        <v>-3386</v>
      </c>
    </row>
    <row r="63" spans="14:31" ht="15.6" customHeight="1" x14ac:dyDescent="0.3">
      <c r="N63" s="212"/>
      <c r="O63" s="94" t="s">
        <v>67</v>
      </c>
      <c r="P63" s="108"/>
      <c r="Q63" s="108">
        <v>6046</v>
      </c>
      <c r="R63" s="108">
        <v>538</v>
      </c>
      <c r="S63" s="108">
        <f t="shared" si="1"/>
        <v>604</v>
      </c>
      <c r="T63" s="108">
        <v>1746</v>
      </c>
      <c r="U63" s="108">
        <f t="shared" si="2"/>
        <v>237.5</v>
      </c>
      <c r="V63" s="108">
        <v>2221</v>
      </c>
      <c r="W63" s="108">
        <f t="shared" si="3"/>
        <v>375</v>
      </c>
      <c r="X63" s="108">
        <v>2971</v>
      </c>
      <c r="Y63" s="108">
        <f t="shared" si="4"/>
        <v>65.5</v>
      </c>
      <c r="Z63" s="108">
        <v>3102</v>
      </c>
      <c r="AA63" s="108">
        <f t="shared" si="5"/>
        <v>236.5</v>
      </c>
      <c r="AB63" s="108">
        <v>3575</v>
      </c>
      <c r="AC63" s="108">
        <f t="shared" si="6"/>
        <v>0</v>
      </c>
      <c r="AD63" s="108">
        <v>3575</v>
      </c>
      <c r="AE63" s="109">
        <f t="shared" si="7"/>
        <v>-2471</v>
      </c>
    </row>
    <row r="64" spans="14:31" ht="15.6" customHeight="1" thickBot="1" x14ac:dyDescent="0.35">
      <c r="N64" s="213"/>
      <c r="O64" s="99" t="s">
        <v>68</v>
      </c>
      <c r="P64" s="114"/>
      <c r="Q64" s="114">
        <v>3294</v>
      </c>
      <c r="R64" s="114">
        <v>230</v>
      </c>
      <c r="S64" s="114">
        <f t="shared" si="1"/>
        <v>68.5</v>
      </c>
      <c r="T64" s="114">
        <v>367</v>
      </c>
      <c r="U64" s="114">
        <f t="shared" si="2"/>
        <v>133</v>
      </c>
      <c r="V64" s="114">
        <v>633</v>
      </c>
      <c r="W64" s="114">
        <f t="shared" si="3"/>
        <v>0</v>
      </c>
      <c r="X64" s="114">
        <v>633</v>
      </c>
      <c r="Y64" s="114">
        <f t="shared" si="4"/>
        <v>94</v>
      </c>
      <c r="Z64" s="114">
        <v>821</v>
      </c>
      <c r="AA64" s="114">
        <f t="shared" si="5"/>
        <v>76.5</v>
      </c>
      <c r="AB64" s="114">
        <v>974</v>
      </c>
      <c r="AC64" s="114">
        <f t="shared" si="6"/>
        <v>0</v>
      </c>
      <c r="AD64" s="114">
        <v>974</v>
      </c>
      <c r="AE64" s="115">
        <f t="shared" si="7"/>
        <v>-2320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63" priority="11" operator="lessThan">
      <formula>0</formula>
    </cfRule>
    <cfRule type="cellIs" dxfId="1462" priority="12" operator="greaterThan">
      <formula>0</formula>
    </cfRule>
  </conditionalFormatting>
  <conditionalFormatting sqref="R25:AC25">
    <cfRule type="cellIs" dxfId="1461" priority="9" operator="lessThan">
      <formula>0</formula>
    </cfRule>
    <cfRule type="cellIs" dxfId="1460" priority="10" operator="greaterThan">
      <formula>0</formula>
    </cfRule>
  </conditionalFormatting>
  <conditionalFormatting sqref="R26 T26 V26 X26 Z26 AB26">
    <cfRule type="cellIs" dxfId="1459" priority="7" operator="lessThan">
      <formula>0</formula>
    </cfRule>
    <cfRule type="cellIs" dxfId="1458" priority="8" operator="greaterThan">
      <formula>0</formula>
    </cfRule>
  </conditionalFormatting>
  <conditionalFormatting sqref="AD24:AE24">
    <cfRule type="cellIs" dxfId="1457" priority="5" operator="lessThan">
      <formula>0</formula>
    </cfRule>
    <cfRule type="cellIs" dxfId="1456" priority="6" operator="greaterThan">
      <formula>0</formula>
    </cfRule>
  </conditionalFormatting>
  <conditionalFormatting sqref="AD25:AE25">
    <cfRule type="cellIs" dxfId="1455" priority="3" operator="lessThan">
      <formula>0</formula>
    </cfRule>
    <cfRule type="cellIs" dxfId="1454" priority="4" operator="greaterThan">
      <formula>0</formula>
    </cfRule>
  </conditionalFormatting>
  <conditionalFormatting sqref="AD26">
    <cfRule type="cellIs" dxfId="1453" priority="1" operator="lessThan">
      <formula>0</formula>
    </cfRule>
    <cfRule type="cellIs" dxfId="1452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44397</v>
      </c>
    </row>
    <row r="3" spans="2:42" ht="18.75" customHeight="1" thickBot="1" x14ac:dyDescent="0.35">
      <c r="B3" t="s">
        <v>1</v>
      </c>
      <c r="C3" s="3">
        <f>C2+1</f>
        <v>44398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5526</v>
      </c>
      <c r="E6" s="18" t="s">
        <v>22</v>
      </c>
      <c r="F6" s="119">
        <v>20943</v>
      </c>
      <c r="G6" s="117">
        <v>17062.48775</v>
      </c>
      <c r="H6" s="117">
        <v>14880.283332940009</v>
      </c>
      <c r="I6" s="19">
        <f>G6+H6</f>
        <v>31942.771082940009</v>
      </c>
      <c r="J6" s="119">
        <v>20914</v>
      </c>
      <c r="K6" s="117">
        <v>17088.097375000001</v>
      </c>
      <c r="L6" s="117">
        <v>15100.60861616</v>
      </c>
      <c r="M6" s="19">
        <f>K6+L6</f>
        <v>32188.705991160001</v>
      </c>
      <c r="N6" s="85">
        <v>71</v>
      </c>
      <c r="O6" s="85">
        <v>56</v>
      </c>
      <c r="P6" s="92"/>
      <c r="Q6" s="20">
        <f>J6-P6</f>
        <v>20914</v>
      </c>
      <c r="R6" s="21">
        <v>2959</v>
      </c>
      <c r="S6" s="20">
        <f>IF(R6&gt;0,(R6-R7-$Q6),"")</f>
        <v>-17955</v>
      </c>
      <c r="T6" s="21">
        <v>6289</v>
      </c>
      <c r="U6" s="20">
        <f>IF(T6&gt;0,(T6-T7-$Q6),"")</f>
        <v>-14627</v>
      </c>
      <c r="V6" s="21">
        <v>8157</v>
      </c>
      <c r="W6" s="20">
        <f>IF(V6&gt;0,(V6-V7-$Q6),"")</f>
        <v>-12759</v>
      </c>
      <c r="X6" s="21">
        <v>10864</v>
      </c>
      <c r="Y6" s="20">
        <f>IF(X6&gt;0,(X6-X7-$Q6),"")</f>
        <v>-10052</v>
      </c>
      <c r="Z6" s="21">
        <v>14015</v>
      </c>
      <c r="AA6" s="20">
        <f>IF(Z6&gt;0,(Z6-Z7-$Q6),"")</f>
        <v>-7334</v>
      </c>
      <c r="AB6" s="21">
        <v>14015</v>
      </c>
      <c r="AC6" s="22">
        <f>IF(AB6&gt;0,(AB6-AB7-$Q6),"")</f>
        <v>-7334</v>
      </c>
      <c r="AD6" s="21">
        <v>14015</v>
      </c>
      <c r="AE6" s="22">
        <f>IF(AD6&gt;0,(AD6-AD7-$Q6),"")</f>
        <v>-7334</v>
      </c>
    </row>
    <row r="7" spans="2:42" x14ac:dyDescent="0.3">
      <c r="B7" s="16" t="s">
        <v>23</v>
      </c>
      <c r="C7" s="17">
        <v>2901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0</v>
      </c>
      <c r="S7" s="24"/>
      <c r="T7" s="25">
        <v>2</v>
      </c>
      <c r="U7" s="24"/>
      <c r="V7" s="25">
        <v>2</v>
      </c>
      <c r="W7" s="24"/>
      <c r="X7" s="25">
        <v>2</v>
      </c>
      <c r="Y7" s="24"/>
      <c r="Z7" s="25">
        <v>435</v>
      </c>
      <c r="AA7" s="24"/>
      <c r="AB7" s="25">
        <v>435</v>
      </c>
      <c r="AC7" s="26"/>
      <c r="AD7" s="25">
        <v>435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2531</v>
      </c>
      <c r="E8" s="29" t="s">
        <v>27</v>
      </c>
      <c r="F8" s="119">
        <v>14765</v>
      </c>
      <c r="G8" s="117">
        <v>6302.0124999999998</v>
      </c>
      <c r="H8" s="117">
        <v>1415.083862</v>
      </c>
      <c r="I8" s="19">
        <f>G8+H8</f>
        <v>7717.0963620000002</v>
      </c>
      <c r="J8" s="119">
        <v>14273</v>
      </c>
      <c r="K8" s="117">
        <v>6072.4510000000009</v>
      </c>
      <c r="L8" s="117">
        <v>1344.0186256</v>
      </c>
      <c r="M8" s="19">
        <f>K8+L8</f>
        <v>7416.4696256000007</v>
      </c>
      <c r="N8" s="87">
        <v>23</v>
      </c>
      <c r="O8" s="87">
        <v>18</v>
      </c>
      <c r="P8" s="92"/>
      <c r="Q8" s="20">
        <f>J8-P8</f>
        <v>14273</v>
      </c>
      <c r="R8" s="21">
        <v>1000</v>
      </c>
      <c r="S8" s="20">
        <f>IF(R8&gt;0,(R8-R9-$Q8),"")</f>
        <v>-13273</v>
      </c>
      <c r="T8" s="21">
        <v>1781</v>
      </c>
      <c r="U8" s="20">
        <f>IF(T8&gt;0,(T8-T9-$Q8),"")</f>
        <v>-12492</v>
      </c>
      <c r="V8" s="21">
        <v>3252</v>
      </c>
      <c r="W8" s="20">
        <f>IF(V8&gt;0,(V8-V9-$Q8),"")</f>
        <v>-11021</v>
      </c>
      <c r="X8" s="21">
        <v>6166</v>
      </c>
      <c r="Y8" s="20">
        <f>IF(X8&gt;0,(X8-X9-$Q8),"")</f>
        <v>-8107</v>
      </c>
      <c r="Z8" s="21">
        <v>12745</v>
      </c>
      <c r="AA8" s="20">
        <f>IF(Z8&gt;0,(Z8-Z9-$Q8),"")</f>
        <v>-1528</v>
      </c>
      <c r="AB8" s="21">
        <v>13588</v>
      </c>
      <c r="AC8" s="22">
        <f>IF(AB8&gt;0,(AB8-AB9-$Q8),"")</f>
        <v>-685</v>
      </c>
      <c r="AD8" s="21">
        <v>13588</v>
      </c>
      <c r="AE8" s="22">
        <f>IF(AD8&gt;0,(AD8-AD9-$Q8),"")</f>
        <v>-685</v>
      </c>
    </row>
    <row r="9" spans="2:42" x14ac:dyDescent="0.3">
      <c r="B9" s="28" t="s">
        <v>28</v>
      </c>
      <c r="C9" s="17">
        <v>1597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4601</v>
      </c>
      <c r="E10" s="18" t="s">
        <v>31</v>
      </c>
      <c r="F10" s="119">
        <v>20161</v>
      </c>
      <c r="G10" s="117">
        <v>15392.10025</v>
      </c>
      <c r="H10" s="117">
        <v>1941.865225</v>
      </c>
      <c r="I10" s="19">
        <f>G10+H10</f>
        <v>17333.965475000001</v>
      </c>
      <c r="J10" s="119">
        <v>19926</v>
      </c>
      <c r="K10" s="117">
        <v>15101.977625</v>
      </c>
      <c r="L10" s="117">
        <v>1966.6670225</v>
      </c>
      <c r="M10" s="19">
        <f>K10+L10</f>
        <v>17068.644647500001</v>
      </c>
      <c r="N10" s="88">
        <v>41</v>
      </c>
      <c r="O10" s="88">
        <v>29</v>
      </c>
      <c r="P10" s="92"/>
      <c r="Q10" s="20">
        <f>J10-P10</f>
        <v>19926</v>
      </c>
      <c r="R10" s="21">
        <v>3243</v>
      </c>
      <c r="S10" s="20">
        <f>IF(R10&gt;0,(R10-R11-$Q10),"")</f>
        <v>-16835</v>
      </c>
      <c r="T10" s="21">
        <v>5258</v>
      </c>
      <c r="U10" s="20">
        <f>IF(T10&gt;0,(T10-T11-$Q10),"")</f>
        <v>-15576</v>
      </c>
      <c r="V10" s="21">
        <v>8832</v>
      </c>
      <c r="W10" s="20">
        <f>IF(V10&gt;0,(V10-V11-$Q10),"")</f>
        <v>-12415</v>
      </c>
      <c r="X10" s="21">
        <v>11231</v>
      </c>
      <c r="Y10" s="20">
        <f>IF(X10&gt;0,(X10-X11-$Q10),"")</f>
        <v>-10803</v>
      </c>
      <c r="Z10" s="21">
        <v>12780</v>
      </c>
      <c r="AA10" s="20">
        <f>IF(Z10&gt;0,(Z10-Z11-$Q10),"")</f>
        <v>-8888</v>
      </c>
      <c r="AB10" s="21">
        <v>15015</v>
      </c>
      <c r="AC10" s="22">
        <f>IF(AB10&gt;0,(AB10-AB11-$Q10),"")</f>
        <v>-6848</v>
      </c>
      <c r="AD10" s="21">
        <v>15015</v>
      </c>
      <c r="AE10" s="22">
        <f>IF(AD10&gt;0,(AD10-AD11-$Q10),"")</f>
        <v>-6848</v>
      </c>
    </row>
    <row r="11" spans="2:42" x14ac:dyDescent="0.3">
      <c r="B11" s="16" t="s">
        <v>32</v>
      </c>
      <c r="C11" s="17">
        <v>2156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152</v>
      </c>
      <c r="S11" s="24"/>
      <c r="T11" s="30">
        <v>908</v>
      </c>
      <c r="U11" s="24"/>
      <c r="V11" s="30">
        <v>1321</v>
      </c>
      <c r="W11" s="24"/>
      <c r="X11" s="30">
        <v>2108</v>
      </c>
      <c r="Y11" s="24"/>
      <c r="Z11" s="30">
        <v>1742</v>
      </c>
      <c r="AA11" s="24"/>
      <c r="AB11" s="30">
        <v>1937</v>
      </c>
      <c r="AC11" s="26"/>
      <c r="AD11" s="30">
        <v>1937</v>
      </c>
      <c r="AE11" s="26"/>
    </row>
    <row r="12" spans="2:42" x14ac:dyDescent="0.3">
      <c r="B12" s="16" t="s">
        <v>34</v>
      </c>
      <c r="C12" s="17">
        <v>1743</v>
      </c>
      <c r="E12" s="29" t="s">
        <v>35</v>
      </c>
      <c r="F12" s="119">
        <v>15152</v>
      </c>
      <c r="G12" s="117">
        <v>12188.236999999999</v>
      </c>
      <c r="H12" s="117">
        <v>17098.690439919999</v>
      </c>
      <c r="I12" s="19">
        <f>G12+H12</f>
        <v>29286.92743992</v>
      </c>
      <c r="J12" s="119">
        <v>15013</v>
      </c>
      <c r="K12" s="117">
        <v>11911.30675</v>
      </c>
      <c r="L12" s="117">
        <v>16248.26814444</v>
      </c>
      <c r="M12" s="19">
        <f>K12+L12</f>
        <v>28159.57489444</v>
      </c>
      <c r="N12" s="88">
        <v>46</v>
      </c>
      <c r="O12" s="88">
        <v>30</v>
      </c>
      <c r="P12" s="92"/>
      <c r="Q12" s="20">
        <f>J12-P12</f>
        <v>15013</v>
      </c>
      <c r="R12" s="21">
        <v>2973</v>
      </c>
      <c r="S12" s="20">
        <f>IF(R12&gt;0,(R12-R13-$Q12),"")</f>
        <v>-12673</v>
      </c>
      <c r="T12" s="21">
        <v>5296</v>
      </c>
      <c r="U12" s="20">
        <f>IF(T12&gt;0,(T12-T13-$Q12),"")</f>
        <v>-10496</v>
      </c>
      <c r="V12" s="21">
        <v>6488</v>
      </c>
      <c r="W12" s="20">
        <f>IF(V12&gt;0,(V12-V13-$Q12),"")</f>
        <v>-9334</v>
      </c>
      <c r="X12" s="21">
        <v>7149</v>
      </c>
      <c r="Y12" s="20">
        <f>IF(X12&gt;0,(X12-X13-$Q12),"")</f>
        <v>-9209</v>
      </c>
      <c r="Z12" s="21">
        <v>7874</v>
      </c>
      <c r="AA12" s="20">
        <f>IF(Z12&gt;0,(Z12-Z13-$Q12),"")</f>
        <v>-8484</v>
      </c>
      <c r="AB12" s="21">
        <v>7874</v>
      </c>
      <c r="AC12" s="22">
        <f>IF(AB12&gt;0,(AB12-AB13-$Q12),"")</f>
        <v>-8484</v>
      </c>
      <c r="AD12" s="21">
        <v>7874</v>
      </c>
      <c r="AE12" s="22">
        <f>IF(AD12&gt;0,(AD12-AD13-$Q12),"")</f>
        <v>-8484</v>
      </c>
    </row>
    <row r="13" spans="2:42" x14ac:dyDescent="0.3">
      <c r="B13" s="16" t="s">
        <v>36</v>
      </c>
      <c r="C13" s="17">
        <v>5229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16</v>
      </c>
      <c r="P13" s="93" t="s">
        <v>37</v>
      </c>
      <c r="Q13" s="24"/>
      <c r="R13" s="30">
        <v>633</v>
      </c>
      <c r="S13" s="24"/>
      <c r="T13" s="30">
        <v>779</v>
      </c>
      <c r="U13" s="24"/>
      <c r="V13" s="30">
        <v>809</v>
      </c>
      <c r="W13" s="24"/>
      <c r="X13" s="30">
        <v>1345</v>
      </c>
      <c r="Y13" s="24"/>
      <c r="Z13" s="30">
        <v>1345</v>
      </c>
      <c r="AA13" s="24"/>
      <c r="AB13" s="30">
        <v>1345</v>
      </c>
      <c r="AC13" s="26"/>
      <c r="AD13" s="30">
        <v>1345</v>
      </c>
      <c r="AE13" s="26"/>
    </row>
    <row r="14" spans="2:42" x14ac:dyDescent="0.3">
      <c r="B14" s="16" t="s">
        <v>38</v>
      </c>
      <c r="C14" s="17">
        <v>10068</v>
      </c>
      <c r="E14" s="18" t="s">
        <v>39</v>
      </c>
      <c r="F14" s="119">
        <v>19233</v>
      </c>
      <c r="G14" s="117">
        <v>18235.9375</v>
      </c>
      <c r="H14" s="117">
        <v>20655.27165435499</v>
      </c>
      <c r="I14" s="19">
        <f>G14+H14</f>
        <v>38891.20915435499</v>
      </c>
      <c r="J14" s="119">
        <v>19544</v>
      </c>
      <c r="K14" s="117">
        <v>18614.03125</v>
      </c>
      <c r="L14" s="117">
        <v>21005.057913594999</v>
      </c>
      <c r="M14" s="19">
        <f>K14+L14</f>
        <v>39619.089163594996</v>
      </c>
      <c r="N14" s="88">
        <v>65</v>
      </c>
      <c r="O14" s="88">
        <v>46</v>
      </c>
      <c r="P14" s="92"/>
      <c r="Q14" s="20">
        <f>J14-P14</f>
        <v>19544</v>
      </c>
      <c r="R14" s="21">
        <v>3284</v>
      </c>
      <c r="S14" s="20">
        <f>IF(R14&gt;0,(R14-R15-$Q14),"")</f>
        <v>-18966</v>
      </c>
      <c r="T14" s="21">
        <v>6359</v>
      </c>
      <c r="U14" s="20">
        <f>IF(T14&gt;0,(T14-T15-$Q14),"")</f>
        <v>-18469</v>
      </c>
      <c r="V14" s="21">
        <v>8090</v>
      </c>
      <c r="W14" s="20">
        <f>IF(V14&gt;0,(V14-V15-$Q14),"")</f>
        <v>-18213</v>
      </c>
      <c r="X14" s="21">
        <v>10974</v>
      </c>
      <c r="Y14" s="20">
        <f>IF(X14&gt;0,(X14-X15-$Q14),"")</f>
        <v>-17447</v>
      </c>
      <c r="Z14" s="21">
        <v>12765</v>
      </c>
      <c r="AA14" s="20">
        <f>IF(Z14&gt;0,(Z14-Z15-$Q14),"")</f>
        <v>-16317</v>
      </c>
      <c r="AB14" s="21">
        <v>13199</v>
      </c>
      <c r="AC14" s="22">
        <f>IF(AB14&gt;0,(AB14-AB15-$Q14),"")</f>
        <v>-15933</v>
      </c>
      <c r="AD14" s="21">
        <v>13271</v>
      </c>
      <c r="AE14" s="22">
        <f>IF(AD14&gt;0,(AD14-AD15-$Q14),"")</f>
        <v>-15861</v>
      </c>
    </row>
    <row r="15" spans="2:42" ht="15" customHeight="1" thickBot="1" x14ac:dyDescent="0.35">
      <c r="B15" s="16" t="s">
        <v>40</v>
      </c>
      <c r="C15" s="17">
        <v>2749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2706</v>
      </c>
      <c r="S15" s="24"/>
      <c r="T15" s="25">
        <v>5284</v>
      </c>
      <c r="U15" s="24"/>
      <c r="V15" s="25">
        <v>6759</v>
      </c>
      <c r="W15" s="24"/>
      <c r="X15" s="25">
        <v>8877</v>
      </c>
      <c r="Y15" s="24"/>
      <c r="Z15" s="25">
        <v>9538</v>
      </c>
      <c r="AA15" s="24"/>
      <c r="AB15" s="25">
        <v>9588</v>
      </c>
      <c r="AC15" s="26"/>
      <c r="AD15" s="25">
        <v>9588</v>
      </c>
      <c r="AE15" s="26"/>
    </row>
    <row r="16" spans="2:42" ht="15" customHeight="1" thickBot="1" x14ac:dyDescent="0.35">
      <c r="B16" s="28" t="s">
        <v>42</v>
      </c>
      <c r="C16" s="17">
        <v>12429</v>
      </c>
      <c r="E16" s="84"/>
      <c r="F16" s="31">
        <f t="shared" ref="F16:M16" si="0">SUM(F6:F15)</f>
        <v>90254</v>
      </c>
      <c r="G16" s="31">
        <f t="shared" si="0"/>
        <v>69180.774999999994</v>
      </c>
      <c r="H16" s="31">
        <f t="shared" si="0"/>
        <v>55991.194514215</v>
      </c>
      <c r="I16" s="32">
        <f t="shared" si="0"/>
        <v>125171.96951421502</v>
      </c>
      <c r="J16" s="33">
        <f t="shared" si="0"/>
        <v>89670</v>
      </c>
      <c r="K16" s="33">
        <f t="shared" si="0"/>
        <v>68787.864000000001</v>
      </c>
      <c r="L16" s="33">
        <f t="shared" si="0"/>
        <v>55664.620322294999</v>
      </c>
      <c r="M16" s="33">
        <f t="shared" si="0"/>
        <v>124452.484322295</v>
      </c>
      <c r="N16" s="31">
        <f>SUM(N14,N12,N10,N8,N6)</f>
        <v>246</v>
      </c>
      <c r="O16" s="31">
        <f>SUM(O14,O12,O10,O8,O6)</f>
        <v>179</v>
      </c>
      <c r="P16" s="34">
        <f>SUM(P6:P15)</f>
        <v>0</v>
      </c>
      <c r="Q16" s="34">
        <f>SUM(Q6:Q15)</f>
        <v>89670</v>
      </c>
      <c r="R16" s="35">
        <f>R6+R8+R10+R12+R14-R7-R9-R11-R13-R15</f>
        <v>9968</v>
      </c>
      <c r="S16" s="36">
        <f>IF(R16&gt;1,(R16-$Q16),"")</f>
        <v>-79702</v>
      </c>
      <c r="T16" s="35">
        <f>T6+T8+T10+T12+T14-T7-T9-T11-T13-T15</f>
        <v>18010</v>
      </c>
      <c r="U16" s="36">
        <f>IF(T16&gt;1,(T16-$Q16),"")</f>
        <v>-71660</v>
      </c>
      <c r="V16" s="35">
        <f>V6+V8+V10+V12+V14-V7-V9-V11-V13-V15</f>
        <v>25928</v>
      </c>
      <c r="W16" s="36">
        <f>IF(V16&gt;1,(V16-$Q16),"")</f>
        <v>-63742</v>
      </c>
      <c r="X16" s="35">
        <f>X6+X8+X10+X12+X14-X7-X9-X11-X13-X15</f>
        <v>34052</v>
      </c>
      <c r="Y16" s="36">
        <f>IF(X16&gt;1,(X16-$Q16),"")</f>
        <v>-55618</v>
      </c>
      <c r="Z16" s="35">
        <f>Z6+Z8+Z10+Z12+Z14-Z7-Z9-Z11-Z13-Z15</f>
        <v>47119</v>
      </c>
      <c r="AA16" s="36">
        <f>IF(Z16&gt;1,(Z16-$Q16),"")</f>
        <v>-42551</v>
      </c>
      <c r="AB16" s="35">
        <f>AB6+AB8+AB10+AB12+AB14-AB7-AB9-AB11-AB13-AB15</f>
        <v>50386</v>
      </c>
      <c r="AC16" s="37">
        <f>IF(AB16&gt;1,(AB16-$Q16),"")</f>
        <v>-39284</v>
      </c>
      <c r="AD16" s="35">
        <f>AD6+AD8+AD10+AD12+AD14-AD7-AD9-AD11-AD13-AD15</f>
        <v>50458</v>
      </c>
      <c r="AE16" s="37">
        <f>IF(AD16&gt;1,(AD16-$Q16),"")</f>
        <v>-39212</v>
      </c>
    </row>
    <row r="17" spans="2:43" s="4" customFormat="1" ht="15" customHeight="1" thickBot="1" x14ac:dyDescent="0.35">
      <c r="B17" s="43" t="s">
        <v>47</v>
      </c>
      <c r="C17" s="17">
        <v>1174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67</v>
      </c>
      <c r="P17" s="38" t="s">
        <v>44</v>
      </c>
      <c r="Q17" s="39"/>
      <c r="R17" s="40">
        <f>R15+R13+R11+R9+R7</f>
        <v>3491</v>
      </c>
      <c r="S17" s="41"/>
      <c r="T17" s="40">
        <f>T15+T13+T11+T9+T7</f>
        <v>6973</v>
      </c>
      <c r="U17" s="41"/>
      <c r="V17" s="40">
        <f>V15+V13+V11+V9+V7</f>
        <v>8891</v>
      </c>
      <c r="W17" s="41"/>
      <c r="X17" s="40">
        <f>X15+X13+X11+X9+X7</f>
        <v>12332</v>
      </c>
      <c r="Y17" s="41"/>
      <c r="Z17" s="40">
        <f>Z15+Z13+Z11+Z9+Z7</f>
        <v>13060</v>
      </c>
      <c r="AA17" s="41"/>
      <c r="AB17" s="40">
        <f>AB15+AB13+AB11+AB9+AB7</f>
        <v>13305</v>
      </c>
      <c r="AC17" s="42"/>
      <c r="AD17" s="40">
        <f>AD15+AD13+AD11+AD9+AD7</f>
        <v>13305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555</v>
      </c>
      <c r="P18" s="45" t="s">
        <v>46</v>
      </c>
      <c r="Q18" s="46"/>
      <c r="R18" s="47">
        <f>IF(R16&gt;0,(R16)/2,"")</f>
        <v>4984</v>
      </c>
      <c r="S18" s="46"/>
      <c r="T18" s="47">
        <f>IF(T16&gt;0,(T16-R16)/2,"")</f>
        <v>4021</v>
      </c>
      <c r="U18" s="46"/>
      <c r="V18" s="47">
        <f>IF(V16&gt;0,(V16-T16)/2,"")</f>
        <v>3959</v>
      </c>
      <c r="W18" s="46"/>
      <c r="X18" s="47">
        <f>IF(X16&gt;0,(X16-V16)/2,"")</f>
        <v>4062</v>
      </c>
      <c r="Y18" s="46"/>
      <c r="Z18" s="47">
        <f>IF(Z16&gt;0,(Z16-X16)/2,"")</f>
        <v>6533.5</v>
      </c>
      <c r="AA18" s="46"/>
      <c r="AB18" s="47">
        <f>IF(AB16&gt;0,(AB16-Z16)/2,"")</f>
        <v>1633.5</v>
      </c>
      <c r="AC18" s="48"/>
      <c r="AD18" s="47">
        <f>IF(AD16&gt;0,(AD16-AB16)/2,"")</f>
        <v>36</v>
      </c>
      <c r="AE18" s="48"/>
    </row>
    <row r="19" spans="2:43" ht="15" customHeight="1" thickBot="1" x14ac:dyDescent="0.35">
      <c r="B19" s="16" t="s">
        <v>50</v>
      </c>
      <c r="C19" s="17">
        <v>8393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1083</v>
      </c>
      <c r="L20" s="4"/>
      <c r="M20" s="4"/>
      <c r="Q20" s="51" t="s">
        <v>49</v>
      </c>
      <c r="R20" s="35">
        <v>4817</v>
      </c>
      <c r="S20" s="36"/>
      <c r="T20" s="35">
        <v>9673</v>
      </c>
      <c r="U20" s="36"/>
      <c r="V20" s="35">
        <v>15525</v>
      </c>
      <c r="W20" s="36"/>
      <c r="X20" s="35">
        <v>25489</v>
      </c>
      <c r="Y20" s="36"/>
      <c r="Z20" s="35">
        <v>34861</v>
      </c>
      <c r="AA20" s="36"/>
      <c r="AB20" s="35">
        <v>39483</v>
      </c>
      <c r="AC20" s="37"/>
      <c r="AD20" s="35">
        <v>39483</v>
      </c>
      <c r="AE20" s="37">
        <v>39483</v>
      </c>
    </row>
    <row r="21" spans="2:43" ht="15" customHeight="1" thickBot="1" x14ac:dyDescent="0.35">
      <c r="B21" s="57" t="s">
        <v>52</v>
      </c>
      <c r="C21" s="58">
        <v>4389</v>
      </c>
      <c r="I21" s="53"/>
      <c r="L21" s="4"/>
      <c r="M21" s="4"/>
      <c r="Q21" s="52"/>
      <c r="R21" s="40">
        <v>5033</v>
      </c>
      <c r="S21" s="41"/>
      <c r="T21" s="40">
        <v>8851</v>
      </c>
      <c r="U21" s="41"/>
      <c r="V21" s="40">
        <v>10551</v>
      </c>
      <c r="W21" s="41"/>
      <c r="X21" s="40">
        <v>11960</v>
      </c>
      <c r="Y21" s="41"/>
      <c r="Z21" s="40">
        <v>12949</v>
      </c>
      <c r="AA21" s="41"/>
      <c r="AB21" s="40">
        <v>13033</v>
      </c>
      <c r="AC21" s="42"/>
      <c r="AD21" s="40">
        <v>13033</v>
      </c>
      <c r="AE21" s="42"/>
    </row>
    <row r="22" spans="2:43" ht="15" customHeight="1" thickBot="1" x14ac:dyDescent="0.35">
      <c r="L22" s="4"/>
      <c r="M22" s="4"/>
      <c r="Q22" s="54"/>
      <c r="R22" s="55">
        <v>2408.5</v>
      </c>
      <c r="S22" s="55"/>
      <c r="T22" s="55">
        <v>2428</v>
      </c>
      <c r="U22" s="55"/>
      <c r="V22" s="55">
        <v>2926</v>
      </c>
      <c r="W22" s="55"/>
      <c r="X22" s="55">
        <v>4982</v>
      </c>
      <c r="Y22" s="55"/>
      <c r="Z22" s="55">
        <v>4686</v>
      </c>
      <c r="AA22" s="55"/>
      <c r="AB22" s="55">
        <v>2311</v>
      </c>
      <c r="AC22" s="56"/>
      <c r="AD22" s="55">
        <v>0</v>
      </c>
      <c r="AE22" s="56"/>
    </row>
    <row r="23" spans="2:43" ht="15" customHeight="1" thickBot="1" x14ac:dyDescent="0.3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L24" s="4"/>
      <c r="M24" s="4"/>
      <c r="Q24" s="59" t="s">
        <v>53</v>
      </c>
      <c r="R24" s="60">
        <f>IF(R16&gt;0,R16-R20,"")</f>
        <v>5151</v>
      </c>
      <c r="S24" s="60"/>
      <c r="T24" s="60">
        <f>IF(T16&gt;0,T16-T20,"")</f>
        <v>8337</v>
      </c>
      <c r="U24" s="60"/>
      <c r="V24" s="60">
        <f>IF(V16&gt;0,V16-V20,"")</f>
        <v>10403</v>
      </c>
      <c r="W24" s="60"/>
      <c r="X24" s="60">
        <f>IF(X16&gt;0,X16-X20,"")</f>
        <v>8563</v>
      </c>
      <c r="Y24" s="60"/>
      <c r="Z24" s="60">
        <f>IF(Z16&gt;0,Z16-Z20,"")</f>
        <v>12258</v>
      </c>
      <c r="AA24" s="60"/>
      <c r="AB24" s="60">
        <f>IF(AB16&gt;0,AB16-AB20,"")</f>
        <v>10903</v>
      </c>
      <c r="AC24" s="61"/>
      <c r="AD24" s="60">
        <f>IF(AD16&gt;0,AD16-AD20,"")</f>
        <v>10975</v>
      </c>
      <c r="AE24" s="61"/>
    </row>
    <row r="25" spans="2:43" x14ac:dyDescent="0.3">
      <c r="L25" s="4"/>
      <c r="M25" s="4"/>
      <c r="Q25" s="62"/>
      <c r="R25" s="63">
        <f>IF(R17&gt;=0,R17-R21,"")</f>
        <v>-1542</v>
      </c>
      <c r="S25" s="64"/>
      <c r="T25" s="63">
        <f>IF(T17&gt;=0,T17-T21,"")</f>
        <v>-1878</v>
      </c>
      <c r="U25" s="64"/>
      <c r="V25" s="63">
        <f>IF(V17&gt;=0,V17-V21,"")</f>
        <v>-1660</v>
      </c>
      <c r="W25" s="64"/>
      <c r="X25" s="63">
        <f>IF(X17&gt;=0,X17-X21,"")</f>
        <v>372</v>
      </c>
      <c r="Y25" s="64"/>
      <c r="Z25" s="63">
        <f>IF(Z17&gt;=0,Z17-Z21,"")</f>
        <v>111</v>
      </c>
      <c r="AA25" s="64"/>
      <c r="AB25" s="63">
        <f>IF(AB17&gt;=0,AB17-AB21,"")</f>
        <v>272</v>
      </c>
      <c r="AC25" s="65"/>
      <c r="AD25" s="63">
        <f>IF(AD17&gt;=0,AD17-AD21,"")</f>
        <v>272</v>
      </c>
      <c r="AE25" s="65"/>
    </row>
    <row r="26" spans="2:43" ht="15" customHeight="1" thickBot="1" x14ac:dyDescent="0.35">
      <c r="L26" s="4"/>
      <c r="M26" s="4"/>
      <c r="Q26" s="66"/>
      <c r="R26" s="67">
        <f>IFERROR(IF(R18&gt;0,R18-R22,""),"")</f>
        <v>2575.5</v>
      </c>
      <c r="S26" s="55"/>
      <c r="T26" s="67">
        <f>IFERROR(IF(T18&gt;0,T18-T22,""),"")</f>
        <v>1593</v>
      </c>
      <c r="U26" s="55"/>
      <c r="V26" s="67">
        <f>IFERROR(IF(V18&gt;0,V18-V22,""),"")</f>
        <v>1033</v>
      </c>
      <c r="W26" s="55"/>
      <c r="X26" s="67">
        <f>IFERROR(IF(X18&gt;0,X18-X22,""),"")</f>
        <v>-920</v>
      </c>
      <c r="Y26" s="55"/>
      <c r="Z26" s="67">
        <f>IFERROR(IF(Z18&gt;0,Z18-Z22,""),"")</f>
        <v>1847.5</v>
      </c>
      <c r="AA26" s="55"/>
      <c r="AB26" s="67">
        <f>IFERROR(IF(AB18&gt;0,AB18-AB22,""),"")</f>
        <v>-677.5</v>
      </c>
      <c r="AC26" s="56"/>
      <c r="AD26" s="67">
        <f>IFERROR(IF(AD18&gt;0,AD18-AD22,""),"")</f>
        <v>36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3">
      <c r="B29" s="74" t="s">
        <v>55</v>
      </c>
      <c r="C29" s="122">
        <v>10459</v>
      </c>
      <c r="D29" s="76">
        <f>C14</f>
        <v>10068</v>
      </c>
      <c r="E29" s="77">
        <f>D29-C29</f>
        <v>-391</v>
      </c>
      <c r="M29" s="4"/>
      <c r="O29" s="4"/>
    </row>
    <row r="30" spans="2:43" x14ac:dyDescent="0.3">
      <c r="B30" s="74" t="s">
        <v>56</v>
      </c>
      <c r="C30" s="122">
        <v>35209</v>
      </c>
      <c r="D30" s="76">
        <f>C7+C15+C16+C17+C18</f>
        <v>19808</v>
      </c>
      <c r="E30" s="77">
        <f>D30-C30</f>
        <v>-15401</v>
      </c>
      <c r="J30" s="53"/>
      <c r="L30" s="53"/>
      <c r="M30" s="4"/>
      <c r="O30" s="4"/>
    </row>
    <row r="31" spans="2:43" x14ac:dyDescent="0.3">
      <c r="B31" s="74" t="s">
        <v>21</v>
      </c>
      <c r="C31" s="122">
        <v>5526</v>
      </c>
      <c r="D31" s="76">
        <f>C6</f>
        <v>5526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13729</v>
      </c>
      <c r="D32" s="76">
        <f>C10+C11+C12+C13</f>
        <v>13729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14340</v>
      </c>
      <c r="D33" s="76">
        <f>C19+C20+C21</f>
        <v>13865</v>
      </c>
      <c r="E33" s="77">
        <f>D33-C33</f>
        <v>-475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3974</v>
      </c>
      <c r="D34" s="80">
        <f>SUM(C8+C9)</f>
        <v>4128</v>
      </c>
      <c r="E34" s="81">
        <f>C34-D34</f>
        <v>-154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3077</v>
      </c>
      <c r="R35" s="104">
        <v>0</v>
      </c>
      <c r="S35" s="104">
        <f t="shared" ref="S35:S64" si="1">IF(T35&gt;0,(T35-R35)/2,"")</f>
        <v>343.5</v>
      </c>
      <c r="T35" s="104">
        <v>687</v>
      </c>
      <c r="U35" s="104">
        <f t="shared" ref="U35:U64" si="2">IF(V35&gt;0,(V35-T35)/2,"")</f>
        <v>487.5</v>
      </c>
      <c r="V35" s="104">
        <v>1662</v>
      </c>
      <c r="W35" s="104">
        <f t="shared" ref="W35:W64" si="3">IF(X35&gt;0,(X35-V35)/2,"")</f>
        <v>-83</v>
      </c>
      <c r="X35" s="104">
        <v>1496</v>
      </c>
      <c r="Y35" s="104">
        <f t="shared" ref="Y35:Y64" si="4">IF(Z35&gt;0,(Z35-X35)/2,"")</f>
        <v>13.5</v>
      </c>
      <c r="Z35" s="104">
        <v>1523</v>
      </c>
      <c r="AA35" s="104">
        <f t="shared" ref="AA35:AA64" si="5">IF(AB35&gt;0,(AB35-Z35)/2,"")</f>
        <v>0</v>
      </c>
      <c r="AB35" s="104">
        <v>1523</v>
      </c>
      <c r="AC35" s="104">
        <f t="shared" ref="AC35:AC64" si="6">IF(AD35&gt;0,(AD35-AB35)/2,"")</f>
        <v>0</v>
      </c>
      <c r="AD35" s="104">
        <v>1523</v>
      </c>
      <c r="AE35" s="105">
        <f t="shared" ref="AE35:AE64" si="7">AD35-Q35</f>
        <v>-1554</v>
      </c>
    </row>
    <row r="36" spans="2:31" ht="15.6" customHeight="1" x14ac:dyDescent="0.3">
      <c r="N36" s="212"/>
      <c r="O36" s="95" t="s">
        <v>66</v>
      </c>
      <c r="P36" s="106"/>
      <c r="Q36" s="106">
        <v>1430</v>
      </c>
      <c r="R36" s="106">
        <v>0</v>
      </c>
      <c r="S36" s="106">
        <f t="shared" si="1"/>
        <v>263.5</v>
      </c>
      <c r="T36" s="106">
        <v>527</v>
      </c>
      <c r="U36" s="106">
        <f t="shared" si="2"/>
        <v>-188.5</v>
      </c>
      <c r="V36" s="106">
        <v>150</v>
      </c>
      <c r="W36" s="106">
        <f t="shared" si="3"/>
        <v>92.5</v>
      </c>
      <c r="X36" s="106">
        <v>335</v>
      </c>
      <c r="Y36" s="106">
        <f t="shared" si="4"/>
        <v>35.5</v>
      </c>
      <c r="Z36" s="106">
        <v>406</v>
      </c>
      <c r="AA36" s="106">
        <f t="shared" si="5"/>
        <v>0</v>
      </c>
      <c r="AB36" s="106">
        <v>406</v>
      </c>
      <c r="AC36" s="106">
        <f t="shared" si="6"/>
        <v>0</v>
      </c>
      <c r="AD36" s="106">
        <v>406</v>
      </c>
      <c r="AE36" s="107">
        <f t="shared" si="7"/>
        <v>-1024</v>
      </c>
    </row>
    <row r="37" spans="2:31" ht="15.6" customHeight="1" x14ac:dyDescent="0.3">
      <c r="N37" s="212"/>
      <c r="O37" s="94" t="s">
        <v>67</v>
      </c>
      <c r="P37" s="108"/>
      <c r="Q37" s="108">
        <v>2644</v>
      </c>
      <c r="R37" s="108">
        <v>819</v>
      </c>
      <c r="S37" s="108">
        <f t="shared" si="1"/>
        <v>0</v>
      </c>
      <c r="T37" s="108">
        <v>819</v>
      </c>
      <c r="U37" s="108">
        <f t="shared" si="2"/>
        <v>0</v>
      </c>
      <c r="V37" s="108">
        <v>819</v>
      </c>
      <c r="W37" s="108">
        <f t="shared" si="3"/>
        <v>210</v>
      </c>
      <c r="X37" s="108">
        <v>1239</v>
      </c>
      <c r="Y37" s="108">
        <f t="shared" si="4"/>
        <v>492.5</v>
      </c>
      <c r="Z37" s="108">
        <v>2224</v>
      </c>
      <c r="AA37" s="108">
        <f t="shared" si="5"/>
        <v>0</v>
      </c>
      <c r="AB37" s="108">
        <v>2224</v>
      </c>
      <c r="AC37" s="108">
        <f t="shared" si="6"/>
        <v>0</v>
      </c>
      <c r="AD37" s="108">
        <v>2224</v>
      </c>
      <c r="AE37" s="109">
        <f t="shared" si="7"/>
        <v>-420</v>
      </c>
    </row>
    <row r="38" spans="2:31" ht="15.6" customHeight="1" x14ac:dyDescent="0.3">
      <c r="N38" s="212"/>
      <c r="O38" s="95" t="s">
        <v>68</v>
      </c>
      <c r="P38" s="106"/>
      <c r="Q38" s="106">
        <v>3022</v>
      </c>
      <c r="R38" s="106">
        <v>725</v>
      </c>
      <c r="S38" s="106">
        <f t="shared" si="1"/>
        <v>247.5</v>
      </c>
      <c r="T38" s="106">
        <v>1220</v>
      </c>
      <c r="U38" s="106">
        <f t="shared" si="2"/>
        <v>231</v>
      </c>
      <c r="V38" s="106">
        <v>1682</v>
      </c>
      <c r="W38" s="106">
        <f t="shared" si="3"/>
        <v>264.5</v>
      </c>
      <c r="X38" s="106">
        <v>2211</v>
      </c>
      <c r="Y38" s="106">
        <f t="shared" si="4"/>
        <v>0</v>
      </c>
      <c r="Z38" s="106">
        <v>2211</v>
      </c>
      <c r="AA38" s="106">
        <f t="shared" si="5"/>
        <v>0</v>
      </c>
      <c r="AB38" s="106">
        <v>2211</v>
      </c>
      <c r="AC38" s="106">
        <f t="shared" si="6"/>
        <v>0</v>
      </c>
      <c r="AD38" s="106">
        <v>2211</v>
      </c>
      <c r="AE38" s="107">
        <f t="shared" si="7"/>
        <v>-811</v>
      </c>
    </row>
    <row r="39" spans="2:31" ht="15.6" customHeight="1" x14ac:dyDescent="0.3">
      <c r="N39" s="212"/>
      <c r="O39" s="94" t="s">
        <v>69</v>
      </c>
      <c r="P39" s="108"/>
      <c r="Q39" s="108">
        <v>2490</v>
      </c>
      <c r="R39" s="108">
        <v>307</v>
      </c>
      <c r="S39" s="108">
        <f t="shared" si="1"/>
        <v>0</v>
      </c>
      <c r="T39" s="108">
        <v>307</v>
      </c>
      <c r="U39" s="108">
        <f t="shared" si="2"/>
        <v>242.5</v>
      </c>
      <c r="V39" s="108">
        <v>792</v>
      </c>
      <c r="W39" s="108">
        <f t="shared" si="3"/>
        <v>352.5</v>
      </c>
      <c r="X39" s="108">
        <v>1497</v>
      </c>
      <c r="Y39" s="108">
        <f t="shared" si="4"/>
        <v>0</v>
      </c>
      <c r="Z39" s="108">
        <v>1497</v>
      </c>
      <c r="AA39" s="108">
        <f t="shared" si="5"/>
        <v>0</v>
      </c>
      <c r="AB39" s="108">
        <v>1497</v>
      </c>
      <c r="AC39" s="108">
        <f t="shared" si="6"/>
        <v>0</v>
      </c>
      <c r="AD39" s="108">
        <v>1497</v>
      </c>
      <c r="AE39" s="109">
        <f t="shared" si="7"/>
        <v>-993</v>
      </c>
    </row>
    <row r="40" spans="2:31" ht="15.6" customHeight="1" x14ac:dyDescent="0.3">
      <c r="N40" s="212"/>
      <c r="O40" s="95" t="s">
        <v>70</v>
      </c>
      <c r="P40" s="106"/>
      <c r="Q40" s="106">
        <v>3498</v>
      </c>
      <c r="R40" s="106">
        <v>615</v>
      </c>
      <c r="S40" s="106">
        <f t="shared" si="1"/>
        <v>295</v>
      </c>
      <c r="T40" s="106">
        <v>1205</v>
      </c>
      <c r="U40" s="106">
        <f t="shared" si="2"/>
        <v>153.5</v>
      </c>
      <c r="V40" s="106">
        <v>1512</v>
      </c>
      <c r="W40" s="106">
        <f t="shared" si="3"/>
        <v>162</v>
      </c>
      <c r="X40" s="106">
        <v>1836</v>
      </c>
      <c r="Y40" s="106">
        <f t="shared" si="4"/>
        <v>558</v>
      </c>
      <c r="Z40" s="106">
        <v>2952</v>
      </c>
      <c r="AA40" s="106">
        <f t="shared" si="5"/>
        <v>0</v>
      </c>
      <c r="AB40" s="106">
        <v>2952</v>
      </c>
      <c r="AC40" s="106">
        <f t="shared" si="6"/>
        <v>0</v>
      </c>
      <c r="AD40" s="106">
        <v>2952</v>
      </c>
      <c r="AE40" s="107">
        <f t="shared" si="7"/>
        <v>-546</v>
      </c>
    </row>
    <row r="41" spans="2:31" ht="15.6" customHeight="1" x14ac:dyDescent="0.3">
      <c r="N41" s="212"/>
      <c r="O41" s="94" t="s">
        <v>71</v>
      </c>
      <c r="P41" s="108"/>
      <c r="Q41" s="108">
        <v>1247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3.5</v>
      </c>
      <c r="V41" s="108">
        <v>7</v>
      </c>
      <c r="W41" s="108">
        <f t="shared" si="3"/>
        <v>0</v>
      </c>
      <c r="X41" s="108">
        <v>7</v>
      </c>
      <c r="Y41" s="108">
        <f t="shared" si="4"/>
        <v>225.5</v>
      </c>
      <c r="Z41" s="108">
        <v>458</v>
      </c>
      <c r="AA41" s="108">
        <f t="shared" si="5"/>
        <v>0</v>
      </c>
      <c r="AB41" s="108">
        <v>458</v>
      </c>
      <c r="AC41" s="108">
        <f t="shared" si="6"/>
        <v>0</v>
      </c>
      <c r="AD41" s="108">
        <v>458</v>
      </c>
      <c r="AE41" s="109">
        <f t="shared" si="7"/>
        <v>-789</v>
      </c>
    </row>
    <row r="42" spans="2:31" ht="15.6" customHeight="1" x14ac:dyDescent="0.3">
      <c r="N42" s="212"/>
      <c r="O42" s="95" t="s">
        <v>72</v>
      </c>
      <c r="P42" s="106"/>
      <c r="Q42" s="106">
        <v>1733</v>
      </c>
      <c r="R42" s="106">
        <v>0</v>
      </c>
      <c r="S42" s="106">
        <f t="shared" si="1"/>
        <v>287.5</v>
      </c>
      <c r="T42" s="106">
        <v>575</v>
      </c>
      <c r="U42" s="106">
        <f t="shared" si="2"/>
        <v>4.5</v>
      </c>
      <c r="V42" s="106">
        <v>584</v>
      </c>
      <c r="W42" s="106">
        <f t="shared" si="3"/>
        <v>0</v>
      </c>
      <c r="X42" s="106">
        <v>584</v>
      </c>
      <c r="Y42" s="106">
        <f t="shared" si="4"/>
        <v>193.5</v>
      </c>
      <c r="Z42" s="106">
        <v>971</v>
      </c>
      <c r="AA42" s="106">
        <f t="shared" si="5"/>
        <v>0</v>
      </c>
      <c r="AB42" s="106">
        <v>971</v>
      </c>
      <c r="AC42" s="106">
        <f t="shared" si="6"/>
        <v>0</v>
      </c>
      <c r="AD42" s="106">
        <v>971</v>
      </c>
      <c r="AE42" s="107">
        <f t="shared" si="7"/>
        <v>-762</v>
      </c>
    </row>
    <row r="43" spans="2:31" ht="15.6" customHeight="1" thickBot="1" x14ac:dyDescent="0.35">
      <c r="N43" s="213"/>
      <c r="O43" s="97" t="s">
        <v>73</v>
      </c>
      <c r="P43" s="110"/>
      <c r="Q43" s="110">
        <v>1773</v>
      </c>
      <c r="R43" s="110">
        <v>493</v>
      </c>
      <c r="S43" s="110">
        <f t="shared" si="1"/>
        <v>228</v>
      </c>
      <c r="T43" s="110">
        <v>949</v>
      </c>
      <c r="U43" s="110">
        <f t="shared" si="2"/>
        <v>0</v>
      </c>
      <c r="V43" s="110">
        <v>949</v>
      </c>
      <c r="W43" s="110">
        <f t="shared" si="3"/>
        <v>355</v>
      </c>
      <c r="X43" s="110">
        <v>1659</v>
      </c>
      <c r="Y43" s="110">
        <f t="shared" si="4"/>
        <v>57</v>
      </c>
      <c r="Z43" s="110">
        <v>1773</v>
      </c>
      <c r="AA43" s="110">
        <f t="shared" si="5"/>
        <v>0</v>
      </c>
      <c r="AB43" s="110">
        <v>1773</v>
      </c>
      <c r="AC43" s="110">
        <f t="shared" si="6"/>
        <v>0</v>
      </c>
      <c r="AD43" s="110">
        <v>1773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4555</v>
      </c>
      <c r="R44" s="112">
        <v>1000</v>
      </c>
      <c r="S44" s="112">
        <f t="shared" si="1"/>
        <v>390.5</v>
      </c>
      <c r="T44" s="112">
        <v>1781</v>
      </c>
      <c r="U44" s="112">
        <f t="shared" si="2"/>
        <v>0</v>
      </c>
      <c r="V44" s="112">
        <v>1781</v>
      </c>
      <c r="W44" s="112">
        <f t="shared" si="3"/>
        <v>0</v>
      </c>
      <c r="X44" s="112">
        <v>1781</v>
      </c>
      <c r="Y44" s="112">
        <f t="shared" si="4"/>
        <v>1387</v>
      </c>
      <c r="Z44" s="112">
        <v>4555</v>
      </c>
      <c r="AA44" s="112">
        <f t="shared" si="5"/>
        <v>0</v>
      </c>
      <c r="AB44" s="112">
        <v>4555</v>
      </c>
      <c r="AC44" s="112">
        <f t="shared" si="6"/>
        <v>0</v>
      </c>
      <c r="AD44" s="112">
        <v>4555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3633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1184.5</v>
      </c>
      <c r="X45" s="108">
        <v>2369</v>
      </c>
      <c r="Y45" s="108">
        <f t="shared" si="4"/>
        <v>632</v>
      </c>
      <c r="Z45" s="108">
        <v>3633</v>
      </c>
      <c r="AA45" s="108">
        <f t="shared" si="5"/>
        <v>0</v>
      </c>
      <c r="AB45" s="108">
        <v>3633</v>
      </c>
      <c r="AC45" s="108">
        <f t="shared" si="6"/>
        <v>0</v>
      </c>
      <c r="AD45" s="108">
        <v>3633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2239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>
        <f t="shared" si="4"/>
        <v>355.5</v>
      </c>
      <c r="Z46" s="106">
        <v>711</v>
      </c>
      <c r="AA46" s="106">
        <f t="shared" si="5"/>
        <v>421.5</v>
      </c>
      <c r="AB46" s="106">
        <v>1554</v>
      </c>
      <c r="AC46" s="106">
        <f t="shared" si="6"/>
        <v>0</v>
      </c>
      <c r="AD46" s="106">
        <v>1554</v>
      </c>
      <c r="AE46" s="107">
        <f t="shared" si="7"/>
        <v>-685</v>
      </c>
    </row>
    <row r="47" spans="2:31" ht="15.6" customHeight="1" thickBot="1" x14ac:dyDescent="0.35">
      <c r="N47" s="213"/>
      <c r="O47" s="97" t="s">
        <v>68</v>
      </c>
      <c r="P47" s="110"/>
      <c r="Q47" s="110">
        <v>3846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735.5</v>
      </c>
      <c r="V47" s="110">
        <v>1471</v>
      </c>
      <c r="W47" s="110">
        <f t="shared" si="3"/>
        <v>272.5</v>
      </c>
      <c r="X47" s="110">
        <v>2016</v>
      </c>
      <c r="Y47" s="110">
        <f t="shared" si="4"/>
        <v>915</v>
      </c>
      <c r="Z47" s="110">
        <v>3846</v>
      </c>
      <c r="AA47" s="110">
        <f t="shared" si="5"/>
        <v>0</v>
      </c>
      <c r="AB47" s="110">
        <v>3846</v>
      </c>
      <c r="AC47" s="110">
        <f t="shared" si="6"/>
        <v>0</v>
      </c>
      <c r="AD47" s="110">
        <v>3846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2130</v>
      </c>
      <c r="R48" s="112">
        <v>968</v>
      </c>
      <c r="S48" s="112">
        <f t="shared" si="1"/>
        <v>444.5</v>
      </c>
      <c r="T48" s="112">
        <v>1857</v>
      </c>
      <c r="U48" s="112">
        <f t="shared" si="2"/>
        <v>0</v>
      </c>
      <c r="V48" s="112">
        <v>1857</v>
      </c>
      <c r="W48" s="112">
        <f t="shared" si="3"/>
        <v>26</v>
      </c>
      <c r="X48" s="112">
        <v>1909</v>
      </c>
      <c r="Y48" s="112">
        <f t="shared" si="4"/>
        <v>0</v>
      </c>
      <c r="Z48" s="112">
        <v>1909</v>
      </c>
      <c r="AA48" s="112">
        <f t="shared" si="5"/>
        <v>0</v>
      </c>
      <c r="AB48" s="112">
        <v>1909</v>
      </c>
      <c r="AC48" s="112">
        <f t="shared" si="6"/>
        <v>0</v>
      </c>
      <c r="AD48" s="112">
        <v>1909</v>
      </c>
      <c r="AE48" s="113">
        <f t="shared" si="7"/>
        <v>-221</v>
      </c>
    </row>
    <row r="49" spans="14:31" ht="15.6" customHeight="1" x14ac:dyDescent="0.3">
      <c r="N49" s="212"/>
      <c r="O49" s="94" t="s">
        <v>66</v>
      </c>
      <c r="P49" s="108"/>
      <c r="Q49" s="108">
        <v>3688</v>
      </c>
      <c r="R49" s="108">
        <v>901</v>
      </c>
      <c r="S49" s="108">
        <f t="shared" si="1"/>
        <v>0</v>
      </c>
      <c r="T49" s="108">
        <v>901</v>
      </c>
      <c r="U49" s="108">
        <f t="shared" si="2"/>
        <v>542.5</v>
      </c>
      <c r="V49" s="108">
        <v>1986</v>
      </c>
      <c r="W49" s="108">
        <f t="shared" si="3"/>
        <v>187</v>
      </c>
      <c r="X49" s="108">
        <v>2360</v>
      </c>
      <c r="Y49" s="108">
        <f t="shared" si="4"/>
        <v>519.5</v>
      </c>
      <c r="Z49" s="108">
        <v>3399</v>
      </c>
      <c r="AA49" s="108">
        <f t="shared" si="5"/>
        <v>80</v>
      </c>
      <c r="AB49" s="108">
        <v>3559</v>
      </c>
      <c r="AC49" s="108">
        <f t="shared" si="6"/>
        <v>0</v>
      </c>
      <c r="AD49" s="108">
        <v>3559</v>
      </c>
      <c r="AE49" s="109">
        <f t="shared" si="7"/>
        <v>-129</v>
      </c>
    </row>
    <row r="50" spans="14:31" ht="15.6" customHeight="1" x14ac:dyDescent="0.3">
      <c r="N50" s="212"/>
      <c r="O50" s="95" t="s">
        <v>67</v>
      </c>
      <c r="P50" s="106"/>
      <c r="Q50" s="106">
        <v>1969</v>
      </c>
      <c r="R50" s="106">
        <v>162</v>
      </c>
      <c r="S50" s="106">
        <f t="shared" si="1"/>
        <v>177</v>
      </c>
      <c r="T50" s="106">
        <v>516</v>
      </c>
      <c r="U50" s="106">
        <f t="shared" si="2"/>
        <v>148.5</v>
      </c>
      <c r="V50" s="106">
        <v>813</v>
      </c>
      <c r="W50" s="106">
        <f t="shared" si="3"/>
        <v>180.5</v>
      </c>
      <c r="X50" s="106">
        <v>1174</v>
      </c>
      <c r="Y50" s="106">
        <f t="shared" si="4"/>
        <v>30.5</v>
      </c>
      <c r="Z50" s="106">
        <v>1235</v>
      </c>
      <c r="AA50" s="106">
        <f t="shared" si="5"/>
        <v>1.5</v>
      </c>
      <c r="AB50" s="106">
        <v>1238</v>
      </c>
      <c r="AC50" s="106">
        <f t="shared" si="6"/>
        <v>0</v>
      </c>
      <c r="AD50" s="106">
        <v>1238</v>
      </c>
      <c r="AE50" s="107">
        <f t="shared" si="7"/>
        <v>-731</v>
      </c>
    </row>
    <row r="51" spans="14:31" ht="15.6" customHeight="1" x14ac:dyDescent="0.3">
      <c r="N51" s="212"/>
      <c r="O51" s="94" t="s">
        <v>68</v>
      </c>
      <c r="P51" s="108"/>
      <c r="Q51" s="108">
        <v>2786</v>
      </c>
      <c r="R51" s="108">
        <v>6</v>
      </c>
      <c r="S51" s="108">
        <f t="shared" si="1"/>
        <v>103.5</v>
      </c>
      <c r="T51" s="108">
        <v>213</v>
      </c>
      <c r="U51" s="108">
        <f t="shared" si="2"/>
        <v>492</v>
      </c>
      <c r="V51" s="108">
        <v>1197</v>
      </c>
      <c r="W51" s="108">
        <f t="shared" si="3"/>
        <v>61</v>
      </c>
      <c r="X51" s="108">
        <v>1319</v>
      </c>
      <c r="Y51" s="108">
        <f t="shared" si="4"/>
        <v>56.5</v>
      </c>
      <c r="Z51" s="108">
        <v>1432</v>
      </c>
      <c r="AA51" s="108">
        <f t="shared" si="5"/>
        <v>154.5</v>
      </c>
      <c r="AB51" s="108">
        <v>1741</v>
      </c>
      <c r="AC51" s="108">
        <f t="shared" si="6"/>
        <v>0</v>
      </c>
      <c r="AD51" s="108">
        <v>1741</v>
      </c>
      <c r="AE51" s="109">
        <f t="shared" si="7"/>
        <v>-1045</v>
      </c>
    </row>
    <row r="52" spans="14:31" ht="15.6" customHeight="1" x14ac:dyDescent="0.3">
      <c r="N52" s="212"/>
      <c r="O52" s="95" t="s">
        <v>69</v>
      </c>
      <c r="P52" s="106"/>
      <c r="Q52" s="106">
        <v>2550</v>
      </c>
      <c r="R52" s="106">
        <v>0</v>
      </c>
      <c r="S52" s="106">
        <f t="shared" si="1"/>
        <v>134</v>
      </c>
      <c r="T52" s="106">
        <v>268</v>
      </c>
      <c r="U52" s="106">
        <f t="shared" si="2"/>
        <v>4</v>
      </c>
      <c r="V52" s="106">
        <v>276</v>
      </c>
      <c r="W52" s="106">
        <f t="shared" si="3"/>
        <v>406.5</v>
      </c>
      <c r="X52" s="106">
        <v>1089</v>
      </c>
      <c r="Y52" s="106">
        <f t="shared" si="4"/>
        <v>-53.5</v>
      </c>
      <c r="Z52" s="106">
        <v>982</v>
      </c>
      <c r="AA52" s="106">
        <f t="shared" si="5"/>
        <v>141.5</v>
      </c>
      <c r="AB52" s="106">
        <v>1265</v>
      </c>
      <c r="AC52" s="106">
        <f t="shared" si="6"/>
        <v>0</v>
      </c>
      <c r="AD52" s="106">
        <v>1265</v>
      </c>
      <c r="AE52" s="107">
        <f t="shared" si="7"/>
        <v>-1285</v>
      </c>
    </row>
    <row r="53" spans="14:31" ht="15.6" customHeight="1" x14ac:dyDescent="0.3">
      <c r="N53" s="212"/>
      <c r="O53" s="94" t="s">
        <v>70</v>
      </c>
      <c r="P53" s="108"/>
      <c r="Q53" s="108">
        <v>1705</v>
      </c>
      <c r="R53" s="108">
        <v>3</v>
      </c>
      <c r="S53" s="108">
        <f t="shared" si="1"/>
        <v>0</v>
      </c>
      <c r="T53" s="108">
        <v>3</v>
      </c>
      <c r="U53" s="108">
        <f t="shared" si="2"/>
        <v>0</v>
      </c>
      <c r="V53" s="108">
        <v>3</v>
      </c>
      <c r="W53" s="108">
        <f t="shared" si="3"/>
        <v>0</v>
      </c>
      <c r="X53" s="108">
        <v>3</v>
      </c>
      <c r="Y53" s="108">
        <f t="shared" si="4"/>
        <v>0</v>
      </c>
      <c r="Z53" s="108">
        <v>3</v>
      </c>
      <c r="AA53" s="108">
        <f t="shared" si="5"/>
        <v>528</v>
      </c>
      <c r="AB53" s="108">
        <v>1059</v>
      </c>
      <c r="AC53" s="108">
        <f t="shared" si="6"/>
        <v>0</v>
      </c>
      <c r="AD53" s="108">
        <v>1059</v>
      </c>
      <c r="AE53" s="109">
        <f t="shared" si="7"/>
        <v>-646</v>
      </c>
    </row>
    <row r="54" spans="14:31" ht="15.6" customHeight="1" x14ac:dyDescent="0.3">
      <c r="N54" s="212"/>
      <c r="O54" s="95" t="s">
        <v>71</v>
      </c>
      <c r="P54" s="106"/>
      <c r="Q54" s="106">
        <v>1970</v>
      </c>
      <c r="R54" s="106">
        <v>0</v>
      </c>
      <c r="S54" s="106">
        <f t="shared" si="1"/>
        <v>148.5</v>
      </c>
      <c r="T54" s="106">
        <v>297</v>
      </c>
      <c r="U54" s="106">
        <f t="shared" si="2"/>
        <v>0</v>
      </c>
      <c r="V54" s="106">
        <v>297</v>
      </c>
      <c r="W54" s="106">
        <f t="shared" si="3"/>
        <v>330</v>
      </c>
      <c r="X54" s="106">
        <v>957</v>
      </c>
      <c r="Y54" s="106">
        <f t="shared" si="4"/>
        <v>168.5</v>
      </c>
      <c r="Z54" s="106">
        <v>1294</v>
      </c>
      <c r="AA54" s="106">
        <f t="shared" si="5"/>
        <v>0</v>
      </c>
      <c r="AB54" s="106">
        <v>1294</v>
      </c>
      <c r="AC54" s="106">
        <f t="shared" si="6"/>
        <v>0</v>
      </c>
      <c r="AD54" s="106">
        <v>1294</v>
      </c>
      <c r="AE54" s="107">
        <f t="shared" si="7"/>
        <v>-676</v>
      </c>
    </row>
    <row r="55" spans="14:31" ht="15.6" customHeight="1" x14ac:dyDescent="0.3">
      <c r="N55" s="212"/>
      <c r="O55" s="94" t="s">
        <v>72</v>
      </c>
      <c r="P55" s="108"/>
      <c r="Q55" s="108">
        <v>2828</v>
      </c>
      <c r="R55" s="108">
        <v>1203</v>
      </c>
      <c r="S55" s="108">
        <f t="shared" si="1"/>
        <v>0</v>
      </c>
      <c r="T55" s="108">
        <v>1203</v>
      </c>
      <c r="U55" s="108">
        <f t="shared" si="2"/>
        <v>600</v>
      </c>
      <c r="V55" s="108">
        <v>2403</v>
      </c>
      <c r="W55" s="108">
        <f t="shared" si="3"/>
        <v>0</v>
      </c>
      <c r="X55" s="108">
        <v>2403</v>
      </c>
      <c r="Y55" s="108">
        <f t="shared" si="4"/>
        <v>53</v>
      </c>
      <c r="Z55" s="108">
        <v>2509</v>
      </c>
      <c r="AA55" s="108">
        <f t="shared" si="5"/>
        <v>88</v>
      </c>
      <c r="AB55" s="108">
        <v>2685</v>
      </c>
      <c r="AC55" s="108">
        <f t="shared" si="6"/>
        <v>0</v>
      </c>
      <c r="AD55" s="108">
        <v>2685</v>
      </c>
      <c r="AE55" s="109">
        <f t="shared" si="7"/>
        <v>-143</v>
      </c>
    </row>
    <row r="56" spans="14:31" ht="15.6" customHeight="1" thickBot="1" x14ac:dyDescent="0.35">
      <c r="N56" s="213"/>
      <c r="O56" s="99" t="s">
        <v>73</v>
      </c>
      <c r="P56" s="114"/>
      <c r="Q56" s="114">
        <v>300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8.5</v>
      </c>
      <c r="X56" s="114">
        <v>17</v>
      </c>
      <c r="Y56" s="114">
        <f t="shared" si="4"/>
        <v>0</v>
      </c>
      <c r="Z56" s="114">
        <v>17</v>
      </c>
      <c r="AA56" s="114">
        <f t="shared" si="5"/>
        <v>124</v>
      </c>
      <c r="AB56" s="114">
        <v>265</v>
      </c>
      <c r="AC56" s="114">
        <f t="shared" si="6"/>
        <v>0</v>
      </c>
      <c r="AD56" s="114">
        <v>265</v>
      </c>
      <c r="AE56" s="115">
        <f t="shared" si="7"/>
        <v>-35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5313</v>
      </c>
      <c r="R57" s="104">
        <v>1192</v>
      </c>
      <c r="S57" s="104">
        <f t="shared" si="1"/>
        <v>543.5</v>
      </c>
      <c r="T57" s="104">
        <v>2279</v>
      </c>
      <c r="U57" s="104">
        <f t="shared" si="2"/>
        <v>242.5</v>
      </c>
      <c r="V57" s="104">
        <v>2764</v>
      </c>
      <c r="W57" s="104">
        <f t="shared" si="3"/>
        <v>-58.5</v>
      </c>
      <c r="X57" s="104">
        <v>2647</v>
      </c>
      <c r="Y57" s="104">
        <f t="shared" si="4"/>
        <v>27.5</v>
      </c>
      <c r="Z57" s="104">
        <v>2702</v>
      </c>
      <c r="AA57" s="104">
        <f t="shared" si="5"/>
        <v>0</v>
      </c>
      <c r="AB57" s="104">
        <v>2702</v>
      </c>
      <c r="AC57" s="104">
        <f t="shared" si="6"/>
        <v>0</v>
      </c>
      <c r="AD57" s="104">
        <v>2702</v>
      </c>
      <c r="AE57" s="105">
        <f t="shared" si="7"/>
        <v>-2611</v>
      </c>
    </row>
    <row r="58" spans="14:31" ht="15.6" customHeight="1" x14ac:dyDescent="0.3">
      <c r="N58" s="212"/>
      <c r="O58" s="95" t="s">
        <v>66</v>
      </c>
      <c r="P58" s="106"/>
      <c r="Q58" s="106">
        <v>4414</v>
      </c>
      <c r="R58" s="106">
        <v>1232</v>
      </c>
      <c r="S58" s="106">
        <f t="shared" si="1"/>
        <v>545</v>
      </c>
      <c r="T58" s="106">
        <v>2322</v>
      </c>
      <c r="U58" s="106">
        <f t="shared" si="2"/>
        <v>218.5</v>
      </c>
      <c r="V58" s="106">
        <v>2759</v>
      </c>
      <c r="W58" s="106">
        <f t="shared" si="3"/>
        <v>-130</v>
      </c>
      <c r="X58" s="106">
        <v>2499</v>
      </c>
      <c r="Y58" s="106">
        <f t="shared" si="4"/>
        <v>0</v>
      </c>
      <c r="Z58" s="106">
        <v>2499</v>
      </c>
      <c r="AA58" s="106">
        <f t="shared" si="5"/>
        <v>0</v>
      </c>
      <c r="AB58" s="106">
        <v>2499</v>
      </c>
      <c r="AC58" s="106">
        <f t="shared" si="6"/>
        <v>0</v>
      </c>
      <c r="AD58" s="106">
        <v>2499</v>
      </c>
      <c r="AE58" s="107">
        <f t="shared" si="7"/>
        <v>-1915</v>
      </c>
    </row>
    <row r="59" spans="14:31" ht="15.6" customHeight="1" x14ac:dyDescent="0.3">
      <c r="N59" s="212"/>
      <c r="O59" s="94" t="s">
        <v>67</v>
      </c>
      <c r="P59" s="108"/>
      <c r="Q59" s="108">
        <v>5286</v>
      </c>
      <c r="R59" s="108">
        <v>549</v>
      </c>
      <c r="S59" s="108">
        <f t="shared" si="1"/>
        <v>73</v>
      </c>
      <c r="T59" s="108">
        <v>695</v>
      </c>
      <c r="U59" s="108">
        <f t="shared" si="2"/>
        <v>135</v>
      </c>
      <c r="V59" s="108">
        <v>965</v>
      </c>
      <c r="W59" s="108">
        <f t="shared" si="3"/>
        <v>519</v>
      </c>
      <c r="X59" s="108">
        <v>2003</v>
      </c>
      <c r="Y59" s="108">
        <f t="shared" si="4"/>
        <v>335</v>
      </c>
      <c r="Z59" s="108">
        <v>2673</v>
      </c>
      <c r="AA59" s="108">
        <f t="shared" si="5"/>
        <v>0</v>
      </c>
      <c r="AB59" s="108">
        <v>2673</v>
      </c>
      <c r="AC59" s="108">
        <f t="shared" si="6"/>
        <v>0</v>
      </c>
      <c r="AD59" s="108">
        <v>2673</v>
      </c>
      <c r="AE59" s="109">
        <f t="shared" si="7"/>
        <v>-2613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4780</v>
      </c>
      <c r="R61" s="104">
        <v>1569</v>
      </c>
      <c r="S61" s="104">
        <f t="shared" si="1"/>
        <v>84</v>
      </c>
      <c r="T61" s="104">
        <v>1737</v>
      </c>
      <c r="U61" s="104">
        <f t="shared" si="2"/>
        <v>244</v>
      </c>
      <c r="V61" s="104">
        <v>2225</v>
      </c>
      <c r="W61" s="104">
        <f t="shared" si="3"/>
        <v>452.5</v>
      </c>
      <c r="X61" s="104">
        <v>3130</v>
      </c>
      <c r="Y61" s="104">
        <f t="shared" si="4"/>
        <v>152.5</v>
      </c>
      <c r="Z61" s="104">
        <v>3435</v>
      </c>
      <c r="AA61" s="104">
        <f t="shared" si="5"/>
        <v>0</v>
      </c>
      <c r="AB61" s="104">
        <v>3435</v>
      </c>
      <c r="AC61" s="104">
        <f t="shared" si="6"/>
        <v>0</v>
      </c>
      <c r="AD61" s="104">
        <v>3435</v>
      </c>
      <c r="AE61" s="105">
        <f t="shared" si="7"/>
        <v>-1345</v>
      </c>
    </row>
    <row r="62" spans="14:31" ht="15.6" customHeight="1" x14ac:dyDescent="0.3">
      <c r="N62" s="212"/>
      <c r="O62" s="95" t="s">
        <v>66</v>
      </c>
      <c r="P62" s="106"/>
      <c r="Q62" s="106">
        <v>7024</v>
      </c>
      <c r="R62" s="106">
        <v>1190</v>
      </c>
      <c r="S62" s="106">
        <f t="shared" si="1"/>
        <v>752.5</v>
      </c>
      <c r="T62" s="106">
        <v>2695</v>
      </c>
      <c r="U62" s="106">
        <f t="shared" si="2"/>
        <v>401.5</v>
      </c>
      <c r="V62" s="106">
        <v>3498</v>
      </c>
      <c r="W62" s="106">
        <f t="shared" si="3"/>
        <v>182</v>
      </c>
      <c r="X62" s="106">
        <v>3862</v>
      </c>
      <c r="Y62" s="106">
        <f t="shared" si="4"/>
        <v>377</v>
      </c>
      <c r="Z62" s="106">
        <v>4616</v>
      </c>
      <c r="AA62" s="106">
        <f t="shared" si="5"/>
        <v>160</v>
      </c>
      <c r="AB62" s="106">
        <v>4936</v>
      </c>
      <c r="AC62" s="106">
        <f t="shared" si="6"/>
        <v>36</v>
      </c>
      <c r="AD62" s="106">
        <v>5008</v>
      </c>
      <c r="AE62" s="107">
        <f t="shared" si="7"/>
        <v>-2016</v>
      </c>
    </row>
    <row r="63" spans="14:31" ht="15.6" customHeight="1" x14ac:dyDescent="0.3">
      <c r="N63" s="212"/>
      <c r="O63" s="94" t="s">
        <v>67</v>
      </c>
      <c r="P63" s="108"/>
      <c r="Q63" s="108">
        <v>4566</v>
      </c>
      <c r="R63" s="108">
        <v>54</v>
      </c>
      <c r="S63" s="108">
        <f t="shared" si="1"/>
        <v>564</v>
      </c>
      <c r="T63" s="108">
        <v>1182</v>
      </c>
      <c r="U63" s="108">
        <f t="shared" si="2"/>
        <v>210</v>
      </c>
      <c r="V63" s="108">
        <v>1602</v>
      </c>
      <c r="W63" s="108">
        <f t="shared" si="3"/>
        <v>615</v>
      </c>
      <c r="X63" s="108">
        <v>2832</v>
      </c>
      <c r="Y63" s="108">
        <f t="shared" si="4"/>
        <v>241.5</v>
      </c>
      <c r="Z63" s="108">
        <v>3315</v>
      </c>
      <c r="AA63" s="108">
        <f t="shared" si="5"/>
        <v>0</v>
      </c>
      <c r="AB63" s="108">
        <v>3315</v>
      </c>
      <c r="AC63" s="108">
        <f t="shared" si="6"/>
        <v>0</v>
      </c>
      <c r="AD63" s="108">
        <v>3315</v>
      </c>
      <c r="AE63" s="109">
        <f t="shared" si="7"/>
        <v>-1251</v>
      </c>
    </row>
    <row r="64" spans="14:31" ht="15.6" customHeight="1" thickBot="1" x14ac:dyDescent="0.35">
      <c r="N64" s="213"/>
      <c r="O64" s="99" t="s">
        <v>68</v>
      </c>
      <c r="P64" s="114"/>
      <c r="Q64" s="114">
        <v>2755</v>
      </c>
      <c r="R64" s="114">
        <v>468</v>
      </c>
      <c r="S64" s="114">
        <f t="shared" si="1"/>
        <v>137</v>
      </c>
      <c r="T64" s="114">
        <v>742</v>
      </c>
      <c r="U64" s="114">
        <f t="shared" si="2"/>
        <v>10</v>
      </c>
      <c r="V64" s="114">
        <v>762</v>
      </c>
      <c r="W64" s="114">
        <f t="shared" si="3"/>
        <v>85.5</v>
      </c>
      <c r="X64" s="114">
        <v>933</v>
      </c>
      <c r="Y64" s="114">
        <f t="shared" si="4"/>
        <v>90</v>
      </c>
      <c r="Z64" s="114">
        <v>1113</v>
      </c>
      <c r="AA64" s="114">
        <f t="shared" si="5"/>
        <v>0</v>
      </c>
      <c r="AB64" s="114">
        <v>1113</v>
      </c>
      <c r="AC64" s="114">
        <f t="shared" si="6"/>
        <v>0</v>
      </c>
      <c r="AD64" s="114">
        <v>1113</v>
      </c>
      <c r="AE64" s="115">
        <f t="shared" si="7"/>
        <v>-1642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51" priority="11" operator="lessThan">
      <formula>0</formula>
    </cfRule>
    <cfRule type="cellIs" dxfId="1450" priority="12" operator="greaterThan">
      <formula>0</formula>
    </cfRule>
  </conditionalFormatting>
  <conditionalFormatting sqref="R25:AC25">
    <cfRule type="cellIs" dxfId="1449" priority="9" operator="lessThan">
      <formula>0</formula>
    </cfRule>
    <cfRule type="cellIs" dxfId="1448" priority="10" operator="greaterThan">
      <formula>0</formula>
    </cfRule>
  </conditionalFormatting>
  <conditionalFormatting sqref="R26 T26 V26 X26 Z26 AB26">
    <cfRule type="cellIs" dxfId="1447" priority="7" operator="lessThan">
      <formula>0</formula>
    </cfRule>
    <cfRule type="cellIs" dxfId="1446" priority="8" operator="greaterThan">
      <formula>0</formula>
    </cfRule>
  </conditionalFormatting>
  <conditionalFormatting sqref="AD24:AE24">
    <cfRule type="cellIs" dxfId="1445" priority="5" operator="lessThan">
      <formula>0</formula>
    </cfRule>
    <cfRule type="cellIs" dxfId="1444" priority="6" operator="greaterThan">
      <formula>0</formula>
    </cfRule>
  </conditionalFormatting>
  <conditionalFormatting sqref="AD25:AE25">
    <cfRule type="cellIs" dxfId="1443" priority="3" operator="lessThan">
      <formula>0</formula>
    </cfRule>
    <cfRule type="cellIs" dxfId="1442" priority="4" operator="greaterThan">
      <formula>0</formula>
    </cfRule>
  </conditionalFormatting>
  <conditionalFormatting sqref="AD26">
    <cfRule type="cellIs" dxfId="1441" priority="1" operator="lessThan">
      <formula>0</formula>
    </cfRule>
    <cfRule type="cellIs" dxfId="144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44398</v>
      </c>
    </row>
    <row r="3" spans="2:42" ht="18.75" customHeight="1" thickBot="1" x14ac:dyDescent="0.35">
      <c r="B3" t="s">
        <v>1</v>
      </c>
      <c r="C3" s="3">
        <f>C2+1</f>
        <v>44399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21649</v>
      </c>
      <c r="G6" s="117">
        <v>17663.437125</v>
      </c>
      <c r="H6" s="117">
        <v>14747.74579874001</v>
      </c>
      <c r="I6" s="19">
        <f>G6+H6</f>
        <v>32411.182923740009</v>
      </c>
      <c r="J6" s="119">
        <v>21293</v>
      </c>
      <c r="K6" s="117">
        <v>17204.924250000011</v>
      </c>
      <c r="L6" s="117">
        <v>14052.13257775999</v>
      </c>
      <c r="M6" s="19">
        <f>K6+L6</f>
        <v>31257.056827760003</v>
      </c>
      <c r="N6" s="85">
        <v>74</v>
      </c>
      <c r="O6" s="85">
        <v>58</v>
      </c>
      <c r="P6" s="92"/>
      <c r="Q6" s="20">
        <f>J6-P6</f>
        <v>21293</v>
      </c>
      <c r="R6" s="21">
        <v>2828</v>
      </c>
      <c r="S6" s="20">
        <f>IF(R6&gt;0,(R6-R7-$Q6),"")</f>
        <v>-18483</v>
      </c>
      <c r="T6" s="21">
        <v>5176</v>
      </c>
      <c r="U6" s="20">
        <f>IF(T6&gt;0,(T6-T7-$Q6),"")</f>
        <v>-16135</v>
      </c>
      <c r="V6" s="21">
        <v>9057</v>
      </c>
      <c r="W6" s="20">
        <f>IF(V6&gt;0,(V6-V7-$Q6),"")</f>
        <v>-12254</v>
      </c>
      <c r="X6" s="21">
        <v>13428</v>
      </c>
      <c r="Y6" s="20">
        <f>IF(X6&gt;0,(X6-X7-$Q6),"")</f>
        <v>-7900</v>
      </c>
      <c r="Z6" s="21">
        <v>16449</v>
      </c>
      <c r="AA6" s="20">
        <f>IF(Z6&gt;0,(Z6-Z7-$Q6),"")</f>
        <v>-5104</v>
      </c>
      <c r="AB6" s="21">
        <v>16449</v>
      </c>
      <c r="AC6" s="22">
        <f>IF(AB6&gt;0,(AB6-AB7-$Q6),"")</f>
        <v>-5104</v>
      </c>
      <c r="AD6" s="21">
        <v>16449</v>
      </c>
      <c r="AE6" s="22">
        <f>IF(AD6&gt;0,(AD6-AD7-$Q6),"")</f>
        <v>-5104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18</v>
      </c>
      <c r="S7" s="24"/>
      <c r="T7" s="25">
        <v>18</v>
      </c>
      <c r="U7" s="24"/>
      <c r="V7" s="25">
        <v>18</v>
      </c>
      <c r="W7" s="24"/>
      <c r="X7" s="25">
        <v>35</v>
      </c>
      <c r="Y7" s="24"/>
      <c r="Z7" s="25">
        <v>260</v>
      </c>
      <c r="AA7" s="24"/>
      <c r="AB7" s="25">
        <v>260</v>
      </c>
      <c r="AC7" s="26"/>
      <c r="AD7" s="25">
        <v>260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2635</v>
      </c>
      <c r="E8" s="29" t="s">
        <v>27</v>
      </c>
      <c r="F8" s="119">
        <v>16265</v>
      </c>
      <c r="G8" s="117">
        <v>6912.744999999999</v>
      </c>
      <c r="H8" s="117">
        <v>1515.328223</v>
      </c>
      <c r="I8" s="19">
        <f>G8+H8</f>
        <v>8428.0732229999994</v>
      </c>
      <c r="J8" s="119">
        <v>16515</v>
      </c>
      <c r="K8" s="117">
        <v>6972.0595000000012</v>
      </c>
      <c r="L8" s="117">
        <v>1514.4882482</v>
      </c>
      <c r="M8" s="19">
        <f>K8+L8</f>
        <v>8486.5477482000006</v>
      </c>
      <c r="N8" s="87">
        <v>23</v>
      </c>
      <c r="O8" s="87">
        <v>19</v>
      </c>
      <c r="P8" s="92"/>
      <c r="Q8" s="20">
        <f>J8-P8</f>
        <v>16515</v>
      </c>
      <c r="R8" s="21">
        <v>1999</v>
      </c>
      <c r="S8" s="20">
        <f>IF(R8&gt;0,(R8-R9-$Q8),"")</f>
        <v>-14546</v>
      </c>
      <c r="T8" s="21">
        <v>2949</v>
      </c>
      <c r="U8" s="20">
        <f>IF(T8&gt;0,(T8-T9-$Q8),"")</f>
        <v>-13596</v>
      </c>
      <c r="V8" s="21">
        <v>2949</v>
      </c>
      <c r="W8" s="20">
        <f>IF(V8&gt;0,(V8-V9-$Q8),"")</f>
        <v>-13596</v>
      </c>
      <c r="X8" s="21">
        <v>6513</v>
      </c>
      <c r="Y8" s="20">
        <f>IF(X8&gt;0,(X8-X9-$Q8),"")</f>
        <v>-10032</v>
      </c>
      <c r="Z8" s="21">
        <v>13492</v>
      </c>
      <c r="AA8" s="20">
        <f>IF(Z8&gt;0,(Z8-Z9-$Q8),"")</f>
        <v>-3057</v>
      </c>
      <c r="AB8" s="21">
        <v>15974</v>
      </c>
      <c r="AC8" s="22">
        <f>IF(AB8&gt;0,(AB8-AB9-$Q8),"")</f>
        <v>-575</v>
      </c>
      <c r="AD8" s="21">
        <v>15974</v>
      </c>
      <c r="AE8" s="22">
        <f>IF(AD8&gt;0,(AD8-AD9-$Q8),"")</f>
        <v>-575</v>
      </c>
    </row>
    <row r="9" spans="2:42" x14ac:dyDescent="0.3">
      <c r="B9" s="28" t="s">
        <v>28</v>
      </c>
      <c r="C9" s="17">
        <v>2096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30</v>
      </c>
      <c r="S9" s="24"/>
      <c r="T9" s="30">
        <v>30</v>
      </c>
      <c r="U9" s="24"/>
      <c r="V9" s="30">
        <v>30</v>
      </c>
      <c r="W9" s="24"/>
      <c r="X9" s="30">
        <v>30</v>
      </c>
      <c r="Y9" s="24"/>
      <c r="Z9" s="30">
        <v>34</v>
      </c>
      <c r="AA9" s="24"/>
      <c r="AB9" s="30">
        <v>34</v>
      </c>
      <c r="AC9" s="26"/>
      <c r="AD9" s="30">
        <v>34</v>
      </c>
      <c r="AE9" s="26"/>
    </row>
    <row r="10" spans="2:42" x14ac:dyDescent="0.3">
      <c r="B10" s="16" t="s">
        <v>30</v>
      </c>
      <c r="C10" s="17">
        <v>4849</v>
      </c>
      <c r="E10" s="18" t="s">
        <v>31</v>
      </c>
      <c r="F10" s="119">
        <v>10291</v>
      </c>
      <c r="G10" s="117">
        <v>8142.6555000000026</v>
      </c>
      <c r="H10" s="117">
        <v>1904.05045</v>
      </c>
      <c r="I10" s="19">
        <f>G10+H10</f>
        <v>10046.705950000003</v>
      </c>
      <c r="J10" s="119">
        <v>9912</v>
      </c>
      <c r="K10" s="117">
        <v>7804.2655000000004</v>
      </c>
      <c r="L10" s="117">
        <v>1813.1321849999999</v>
      </c>
      <c r="M10" s="19">
        <f>K10+L10</f>
        <v>9617.3976849999999</v>
      </c>
      <c r="N10" s="88">
        <v>45</v>
      </c>
      <c r="O10" s="88">
        <v>38</v>
      </c>
      <c r="P10" s="92"/>
      <c r="Q10" s="20">
        <f>J10-P10</f>
        <v>9912</v>
      </c>
      <c r="R10" s="21">
        <v>1088</v>
      </c>
      <c r="S10" s="20">
        <f>IF(R10&gt;0,(R10-R11-$Q10),"")</f>
        <v>-9889</v>
      </c>
      <c r="T10" s="21">
        <v>2266</v>
      </c>
      <c r="U10" s="20">
        <f>IF(T10&gt;0,(T10-T11-$Q10),"")</f>
        <v>-9143</v>
      </c>
      <c r="V10" s="21">
        <v>3602</v>
      </c>
      <c r="W10" s="20">
        <f>IF(V10&gt;0,(V10-V11-$Q10),"")</f>
        <v>-7869</v>
      </c>
      <c r="X10" s="21">
        <v>5801</v>
      </c>
      <c r="Y10" s="20">
        <f>IF(X10&gt;0,(X10-X11-$Q10),"")</f>
        <v>-6600</v>
      </c>
      <c r="Z10" s="21">
        <v>5990</v>
      </c>
      <c r="AA10" s="20">
        <f>IF(Z10&gt;0,(Z10-Z11-$Q10),"")</f>
        <v>-6411</v>
      </c>
      <c r="AB10" s="21">
        <v>5990</v>
      </c>
      <c r="AC10" s="22">
        <f>IF(AB10&gt;0,(AB10-AB11-$Q10),"")</f>
        <v>-6411</v>
      </c>
      <c r="AD10" s="21">
        <v>5990</v>
      </c>
      <c r="AE10" s="22">
        <f>IF(AD10&gt;0,(AD10-AD11-$Q10),"")</f>
        <v>-6411</v>
      </c>
    </row>
    <row r="11" spans="2:42" x14ac:dyDescent="0.3">
      <c r="B11" s="16" t="s">
        <v>32</v>
      </c>
      <c r="C11" s="17">
        <v>2203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1065</v>
      </c>
      <c r="S11" s="24"/>
      <c r="T11" s="30">
        <v>1497</v>
      </c>
      <c r="U11" s="24"/>
      <c r="V11" s="30">
        <v>1559</v>
      </c>
      <c r="W11" s="24"/>
      <c r="X11" s="30">
        <v>2489</v>
      </c>
      <c r="Y11" s="24"/>
      <c r="Z11" s="30">
        <v>2489</v>
      </c>
      <c r="AA11" s="24"/>
      <c r="AB11" s="30">
        <v>2489</v>
      </c>
      <c r="AC11" s="26"/>
      <c r="AD11" s="30">
        <v>2489</v>
      </c>
      <c r="AE11" s="26"/>
    </row>
    <row r="12" spans="2:42" x14ac:dyDescent="0.3">
      <c r="B12" s="16" t="s">
        <v>34</v>
      </c>
      <c r="C12" s="17">
        <v>1826</v>
      </c>
      <c r="E12" s="29" t="s">
        <v>35</v>
      </c>
      <c r="F12" s="119">
        <v>14503</v>
      </c>
      <c r="G12" s="117">
        <v>11746.589</v>
      </c>
      <c r="H12" s="117">
        <v>16264.44270594</v>
      </c>
      <c r="I12" s="19">
        <f>G12+H12</f>
        <v>28011.03170594</v>
      </c>
      <c r="J12" s="119">
        <v>14167</v>
      </c>
      <c r="K12" s="117">
        <v>11188.69925</v>
      </c>
      <c r="L12" s="117">
        <v>14457.20459520001</v>
      </c>
      <c r="M12" s="19">
        <f>K12+L12</f>
        <v>25645.90384520001</v>
      </c>
      <c r="N12" s="88">
        <v>51</v>
      </c>
      <c r="O12" s="88">
        <v>39</v>
      </c>
      <c r="P12" s="92"/>
      <c r="Q12" s="20">
        <f>J12-P12</f>
        <v>14167</v>
      </c>
      <c r="R12" s="21">
        <v>1347</v>
      </c>
      <c r="S12" s="20">
        <f>IF(R12&gt;0,(R12-R13-$Q12),"")</f>
        <v>-13523</v>
      </c>
      <c r="T12" s="21">
        <v>4030</v>
      </c>
      <c r="U12" s="20">
        <f>IF(T12&gt;0,(T12-T13-$Q12),"")</f>
        <v>-10840</v>
      </c>
      <c r="V12" s="21">
        <v>5451</v>
      </c>
      <c r="W12" s="20">
        <f>IF(V12&gt;0,(V12-V13-$Q12),"")</f>
        <v>-9512</v>
      </c>
      <c r="X12" s="21">
        <v>6931</v>
      </c>
      <c r="Y12" s="20">
        <f>IF(X12&gt;0,(X12-X13-$Q12),"")</f>
        <v>-8496</v>
      </c>
      <c r="Z12" s="21">
        <v>7911</v>
      </c>
      <c r="AA12" s="20">
        <f>IF(Z12&gt;0,(Z12-Z13-$Q12),"")</f>
        <v>-7481</v>
      </c>
      <c r="AB12" s="21">
        <v>7911</v>
      </c>
      <c r="AC12" s="22">
        <f>IF(AB12&gt;0,(AB12-AB13-$Q12),"")</f>
        <v>-7481</v>
      </c>
      <c r="AD12" s="21">
        <v>7911</v>
      </c>
      <c r="AE12" s="22">
        <f>IF(AD12&gt;0,(AD12-AD13-$Q12),"")</f>
        <v>-7481</v>
      </c>
    </row>
    <row r="13" spans="2:42" x14ac:dyDescent="0.3">
      <c r="B13" s="16" t="s">
        <v>36</v>
      </c>
      <c r="C13" s="17">
        <v>5041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703</v>
      </c>
      <c r="S13" s="24"/>
      <c r="T13" s="30">
        <v>703</v>
      </c>
      <c r="U13" s="24"/>
      <c r="V13" s="30">
        <v>796</v>
      </c>
      <c r="W13" s="24"/>
      <c r="X13" s="30">
        <v>1260</v>
      </c>
      <c r="Y13" s="24"/>
      <c r="Z13" s="30">
        <v>1225</v>
      </c>
      <c r="AA13" s="24"/>
      <c r="AB13" s="30">
        <v>1225</v>
      </c>
      <c r="AC13" s="26"/>
      <c r="AD13" s="30">
        <v>1225</v>
      </c>
      <c r="AE13" s="26"/>
    </row>
    <row r="14" spans="2:42" x14ac:dyDescent="0.3">
      <c r="B14" s="16" t="s">
        <v>38</v>
      </c>
      <c r="C14" s="17">
        <v>11839</v>
      </c>
      <c r="E14" s="18" t="s">
        <v>39</v>
      </c>
      <c r="F14" s="119">
        <v>17604</v>
      </c>
      <c r="G14" s="117">
        <v>17180.40625</v>
      </c>
      <c r="H14" s="117">
        <v>20041.17801891001</v>
      </c>
      <c r="I14" s="19">
        <f>G14+H14</f>
        <v>37221.58426891001</v>
      </c>
      <c r="J14" s="119">
        <v>17604</v>
      </c>
      <c r="K14" s="117">
        <v>17180.40625</v>
      </c>
      <c r="L14" s="117">
        <v>20016.17801891001</v>
      </c>
      <c r="M14" s="19">
        <f>K14+L14</f>
        <v>37196.58426891001</v>
      </c>
      <c r="N14" s="88">
        <v>73</v>
      </c>
      <c r="O14" s="88">
        <v>60</v>
      </c>
      <c r="P14" s="92"/>
      <c r="Q14" s="20">
        <f>J14-P14</f>
        <v>17604</v>
      </c>
      <c r="R14" s="21">
        <v>3775</v>
      </c>
      <c r="S14" s="20">
        <f>IF(R14&gt;0,(R14-R15-$Q14),"")</f>
        <v>-16637</v>
      </c>
      <c r="T14" s="21">
        <v>8044</v>
      </c>
      <c r="U14" s="20">
        <f>IF(T14&gt;0,(T14-T15-$Q14),"")</f>
        <v>-16115</v>
      </c>
      <c r="V14" s="21">
        <v>10066</v>
      </c>
      <c r="W14" s="20">
        <f>IF(V14&gt;0,(V14-V15-$Q14),"")</f>
        <v>-15670</v>
      </c>
      <c r="X14" s="21">
        <v>11343</v>
      </c>
      <c r="Y14" s="20">
        <f>IF(X14&gt;0,(X14-X15-$Q14),"")</f>
        <v>-15028</v>
      </c>
      <c r="Z14" s="21">
        <v>11487</v>
      </c>
      <c r="AA14" s="20">
        <f>IF(Z14&gt;0,(Z14-Z15-$Q14),"")</f>
        <v>-14884</v>
      </c>
      <c r="AB14" s="21">
        <v>11487</v>
      </c>
      <c r="AC14" s="22">
        <f>IF(AB14&gt;0,(AB14-AB15-$Q14),"")</f>
        <v>-14884</v>
      </c>
      <c r="AD14" s="21">
        <v>11487</v>
      </c>
      <c r="AE14" s="22">
        <f>IF(AD14&gt;0,(AD14-AD15-$Q14),"")</f>
        <v>-14884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2808</v>
      </c>
      <c r="S15" s="24"/>
      <c r="T15" s="25">
        <v>6555</v>
      </c>
      <c r="U15" s="24"/>
      <c r="V15" s="25">
        <v>8132</v>
      </c>
      <c r="W15" s="24"/>
      <c r="X15" s="25">
        <v>8767</v>
      </c>
      <c r="Y15" s="24"/>
      <c r="Z15" s="25">
        <v>8767</v>
      </c>
      <c r="AA15" s="24"/>
      <c r="AB15" s="25">
        <v>8767</v>
      </c>
      <c r="AC15" s="26"/>
      <c r="AD15" s="25">
        <v>8767</v>
      </c>
      <c r="AE15" s="26"/>
    </row>
    <row r="16" spans="2:42" ht="15" customHeight="1" thickBot="1" x14ac:dyDescent="0.35">
      <c r="B16" s="28" t="s">
        <v>42</v>
      </c>
      <c r="C16" s="17">
        <v>11461</v>
      </c>
      <c r="E16" s="84"/>
      <c r="F16" s="31">
        <f t="shared" ref="F16:M16" si="0">SUM(F6:F15)</f>
        <v>80312</v>
      </c>
      <c r="G16" s="31">
        <f t="shared" si="0"/>
        <v>61645.832875</v>
      </c>
      <c r="H16" s="31">
        <f t="shared" si="0"/>
        <v>54472.745196590025</v>
      </c>
      <c r="I16" s="32">
        <f t="shared" si="0"/>
        <v>116118.57807159002</v>
      </c>
      <c r="J16" s="33">
        <f t="shared" si="0"/>
        <v>79491</v>
      </c>
      <c r="K16" s="33">
        <f t="shared" si="0"/>
        <v>60350.354750000013</v>
      </c>
      <c r="L16" s="33">
        <f t="shared" si="0"/>
        <v>51853.135625070012</v>
      </c>
      <c r="M16" s="33">
        <f t="shared" si="0"/>
        <v>112203.49037507002</v>
      </c>
      <c r="N16" s="31">
        <f>SUM(N14,N12,N10,N8,N6)</f>
        <v>266</v>
      </c>
      <c r="O16" s="31">
        <f>SUM(O14,O12,O10,O8,O6)</f>
        <v>214</v>
      </c>
      <c r="P16" s="34">
        <f>SUM(P6:P15)</f>
        <v>0</v>
      </c>
      <c r="Q16" s="34">
        <f>SUM(Q6:Q15)</f>
        <v>79491</v>
      </c>
      <c r="R16" s="35">
        <f>R6+R8+R10+R12+R14-R7-R9-R11-R13-R15</f>
        <v>6413</v>
      </c>
      <c r="S16" s="36">
        <f>IF(R16&gt;1,(R16-$Q16),"")</f>
        <v>-73078</v>
      </c>
      <c r="T16" s="35">
        <f>T6+T8+T10+T12+T14-T7-T9-T11-T13-T15</f>
        <v>13662</v>
      </c>
      <c r="U16" s="36">
        <f>IF(T16&gt;1,(T16-$Q16),"")</f>
        <v>-65829</v>
      </c>
      <c r="V16" s="35">
        <f>V6+V8+V10+V12+V14-V7-V9-V11-V13-V15</f>
        <v>20590</v>
      </c>
      <c r="W16" s="36">
        <f>IF(V16&gt;1,(V16-$Q16),"")</f>
        <v>-58901</v>
      </c>
      <c r="X16" s="35">
        <f>X6+X8+X10+X12+X14-X7-X9-X11-X13-X15</f>
        <v>31435</v>
      </c>
      <c r="Y16" s="36">
        <f>IF(X16&gt;1,(X16-$Q16),"")</f>
        <v>-48056</v>
      </c>
      <c r="Z16" s="35">
        <f>Z6+Z8+Z10+Z12+Z14-Z7-Z9-Z11-Z13-Z15</f>
        <v>42554</v>
      </c>
      <c r="AA16" s="36">
        <f>IF(Z16&gt;1,(Z16-$Q16),"")</f>
        <v>-36937</v>
      </c>
      <c r="AB16" s="35">
        <f>AB6+AB8+AB10+AB12+AB14-AB7-AB9-AB11-AB13-AB15</f>
        <v>45036</v>
      </c>
      <c r="AC16" s="37">
        <f>IF(AB16&gt;1,(AB16-$Q16),"")</f>
        <v>-34455</v>
      </c>
      <c r="AD16" s="35">
        <f>AD6+AD8+AD10+AD12+AD14-AD7-AD9-AD11-AD13-AD15</f>
        <v>45036</v>
      </c>
      <c r="AE16" s="37">
        <f>IF(AD16&gt;1,(AD16-$Q16),"")</f>
        <v>-34455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4624</v>
      </c>
      <c r="S17" s="41"/>
      <c r="T17" s="40">
        <f>T15+T13+T11+T9+T7</f>
        <v>8803</v>
      </c>
      <c r="U17" s="41"/>
      <c r="V17" s="40">
        <f>V15+V13+V11+V9+V7</f>
        <v>10535</v>
      </c>
      <c r="W17" s="41"/>
      <c r="X17" s="40">
        <f>X15+X13+X11+X9+X7</f>
        <v>12581</v>
      </c>
      <c r="Y17" s="41"/>
      <c r="Z17" s="40">
        <f>Z15+Z13+Z11+Z9+Z7</f>
        <v>12775</v>
      </c>
      <c r="AA17" s="41"/>
      <c r="AB17" s="40">
        <f>AB15+AB13+AB11+AB9+AB7</f>
        <v>12775</v>
      </c>
      <c r="AC17" s="42"/>
      <c r="AD17" s="40">
        <f>AD15+AD13+AD11+AD9+AD7</f>
        <v>12775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3206.5</v>
      </c>
      <c r="S18" s="46"/>
      <c r="T18" s="47">
        <f>IF(T16&gt;0,(T16-R16)/2,"")</f>
        <v>3624.5</v>
      </c>
      <c r="U18" s="46"/>
      <c r="V18" s="47">
        <f>IF(V16&gt;0,(V16-T16)/2,"")</f>
        <v>3464</v>
      </c>
      <c r="W18" s="46"/>
      <c r="X18" s="47">
        <f>IF(X16&gt;0,(X16-V16)/2,"")</f>
        <v>5422.5</v>
      </c>
      <c r="Y18" s="46"/>
      <c r="Z18" s="47">
        <f>IF(Z16&gt;0,(Z16-X16)/2,"")</f>
        <v>5559.5</v>
      </c>
      <c r="AA18" s="46"/>
      <c r="AB18" s="47">
        <f>IF(AB16&gt;0,(AB16-Z16)/2,"")</f>
        <v>1241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8863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2536</v>
      </c>
      <c r="L20" s="4"/>
      <c r="M20" s="4"/>
      <c r="Q20" s="51" t="s">
        <v>49</v>
      </c>
      <c r="R20" s="35">
        <v>9968</v>
      </c>
      <c r="S20" s="36"/>
      <c r="T20" s="35">
        <v>18010</v>
      </c>
      <c r="U20" s="36"/>
      <c r="V20" s="35">
        <v>25928</v>
      </c>
      <c r="W20" s="36"/>
      <c r="X20" s="35">
        <v>34052</v>
      </c>
      <c r="Y20" s="36"/>
      <c r="Z20" s="35">
        <v>47119</v>
      </c>
      <c r="AA20" s="36"/>
      <c r="AB20" s="35">
        <v>50386</v>
      </c>
      <c r="AC20" s="37"/>
      <c r="AD20" s="35">
        <v>50458</v>
      </c>
      <c r="AE20" s="37">
        <v>-39212</v>
      </c>
    </row>
    <row r="21" spans="2:43" ht="15" customHeight="1" thickBot="1" x14ac:dyDescent="0.35">
      <c r="B21" s="57" t="s">
        <v>52</v>
      </c>
      <c r="C21" s="58">
        <v>4571</v>
      </c>
      <c r="M21" s="4"/>
      <c r="Q21" s="52"/>
      <c r="R21" s="40">
        <v>3491</v>
      </c>
      <c r="S21" s="41"/>
      <c r="T21" s="40">
        <v>6973</v>
      </c>
      <c r="U21" s="41"/>
      <c r="V21" s="40">
        <v>8891</v>
      </c>
      <c r="W21" s="41"/>
      <c r="X21" s="40">
        <v>12332</v>
      </c>
      <c r="Y21" s="41"/>
      <c r="Z21" s="40">
        <v>13060</v>
      </c>
      <c r="AA21" s="41"/>
      <c r="AB21" s="40">
        <v>13305</v>
      </c>
      <c r="AC21" s="42"/>
      <c r="AD21" s="40">
        <v>13305</v>
      </c>
      <c r="AE21" s="42"/>
    </row>
    <row r="22" spans="2:43" ht="15" customHeight="1" thickBot="1" x14ac:dyDescent="0.35">
      <c r="M22" s="4"/>
      <c r="Q22" s="54"/>
      <c r="R22" s="55">
        <v>4984</v>
      </c>
      <c r="S22" s="55"/>
      <c r="T22" s="55">
        <v>4021</v>
      </c>
      <c r="U22" s="55"/>
      <c r="V22" s="55">
        <v>3959</v>
      </c>
      <c r="W22" s="55"/>
      <c r="X22" s="55">
        <v>4062</v>
      </c>
      <c r="Y22" s="55"/>
      <c r="Z22" s="55">
        <v>6533.5</v>
      </c>
      <c r="AA22" s="55"/>
      <c r="AB22" s="55">
        <v>1633.5</v>
      </c>
      <c r="AC22" s="56"/>
      <c r="AD22" s="55">
        <v>36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-3555</v>
      </c>
      <c r="S24" s="60"/>
      <c r="T24" s="60">
        <f>IF(T16&gt;0,T16-T20,"")</f>
        <v>-4348</v>
      </c>
      <c r="U24" s="60"/>
      <c r="V24" s="60">
        <f>IF(V16&gt;0,V16-V20,"")</f>
        <v>-5338</v>
      </c>
      <c r="W24" s="60"/>
      <c r="X24" s="60">
        <f>IF(X16&gt;0,X16-X20,"")</f>
        <v>-2617</v>
      </c>
      <c r="Y24" s="60"/>
      <c r="Z24" s="60">
        <f>IF(Z16&gt;0,Z16-Z20,"")</f>
        <v>-4565</v>
      </c>
      <c r="AA24" s="60"/>
      <c r="AB24" s="60">
        <f>IF(AB16&gt;0,AB16-AB20,"")</f>
        <v>-5350</v>
      </c>
      <c r="AC24" s="61"/>
      <c r="AD24" s="60">
        <f>IF(AD16&gt;0,AD16-AD20,"")</f>
        <v>-5422</v>
      </c>
      <c r="AE24" s="61"/>
    </row>
    <row r="25" spans="2:43" x14ac:dyDescent="0.3">
      <c r="M25" s="4"/>
      <c r="Q25" s="62"/>
      <c r="R25" s="63">
        <f>IF(R17&gt;=0,R17-R21,"")</f>
        <v>1133</v>
      </c>
      <c r="S25" s="64"/>
      <c r="T25" s="63">
        <f>IF(T17&gt;=0,T17-T21,"")</f>
        <v>1830</v>
      </c>
      <c r="U25" s="64"/>
      <c r="V25" s="63">
        <f>IF(V17&gt;=0,V17-V21,"")</f>
        <v>1644</v>
      </c>
      <c r="W25" s="64"/>
      <c r="X25" s="63">
        <f>IF(X17&gt;=0,X17-X21,"")</f>
        <v>249</v>
      </c>
      <c r="Y25" s="64"/>
      <c r="Z25" s="63">
        <f>IF(Z17&gt;=0,Z17-Z21,"")</f>
        <v>-285</v>
      </c>
      <c r="AA25" s="64"/>
      <c r="AB25" s="63">
        <f>IF(AB17&gt;=0,AB17-AB21,"")</f>
        <v>-530</v>
      </c>
      <c r="AC25" s="65"/>
      <c r="AD25" s="63">
        <f>IF(AD17&gt;=0,AD17-AD21,"")</f>
        <v>-530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-1777.5</v>
      </c>
      <c r="S26" s="55"/>
      <c r="T26" s="67">
        <f>IFERROR(IF(T18&gt;0,T18-T22,""),"")</f>
        <v>-396.5</v>
      </c>
      <c r="U26" s="55"/>
      <c r="V26" s="67">
        <f>IFERROR(IF(V18&gt;0,V18-V22,""),"")</f>
        <v>-495</v>
      </c>
      <c r="W26" s="55"/>
      <c r="X26" s="67">
        <f>IFERROR(IF(X18&gt;0,X18-X22,""),"")</f>
        <v>1360.5</v>
      </c>
      <c r="Y26" s="55"/>
      <c r="Z26" s="67">
        <f>IFERROR(IF(Z18&gt;0,Z18-Z22,""),"")</f>
        <v>-974</v>
      </c>
      <c r="AA26" s="55"/>
      <c r="AB26" s="67">
        <f>IFERROR(IF(AB18&gt;0,AB18-AB22,""),"")</f>
        <v>-392.5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12164</v>
      </c>
      <c r="D29" s="76">
        <f>C14</f>
        <v>11839</v>
      </c>
      <c r="E29" s="77">
        <f>D29-C29</f>
        <v>-325</v>
      </c>
      <c r="O29" s="4"/>
    </row>
    <row r="30" spans="2:43" x14ac:dyDescent="0.3">
      <c r="B30" s="74" t="s">
        <v>56</v>
      </c>
      <c r="C30" s="122">
        <v>26391</v>
      </c>
      <c r="D30" s="76">
        <f>C7+C15+C16+C17+C18</f>
        <v>11461</v>
      </c>
      <c r="E30" s="77">
        <f>D30-C30</f>
        <v>-14930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13919</v>
      </c>
      <c r="D32" s="76">
        <f>C10+C11+C12+C13</f>
        <v>13919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15715</v>
      </c>
      <c r="D33" s="76">
        <f>C19+C20+C21</f>
        <v>15970</v>
      </c>
      <c r="E33" s="77">
        <f>D33-C33</f>
        <v>255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4731</v>
      </c>
      <c r="D34" s="80">
        <f>SUM(C8+C9)</f>
        <v>4731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2169</v>
      </c>
      <c r="R35" s="104">
        <v>685</v>
      </c>
      <c r="S35" s="104">
        <f t="shared" ref="S35:S64" si="1">IF(T35&gt;0,(T35-R35)/2,"")</f>
        <v>257</v>
      </c>
      <c r="T35" s="104">
        <v>1199</v>
      </c>
      <c r="U35" s="104">
        <f t="shared" ref="U35:U64" si="2">IF(V35&gt;0,(V35-T35)/2,"")</f>
        <v>472.5</v>
      </c>
      <c r="V35" s="104">
        <v>2144</v>
      </c>
      <c r="W35" s="104">
        <f t="shared" ref="W35:W64" si="3">IF(X35&gt;0,(X35-V35)/2,"")</f>
        <v>9.5</v>
      </c>
      <c r="X35" s="104">
        <v>2163</v>
      </c>
      <c r="Y35" s="104">
        <f t="shared" ref="Y35:Y64" si="4">IF(Z35&gt;0,(Z35-X35)/2,"")</f>
        <v>2.5</v>
      </c>
      <c r="Z35" s="104">
        <v>2168</v>
      </c>
      <c r="AA35" s="104">
        <f t="shared" ref="AA35:AA64" si="5">IF(AB35&gt;0,(AB35-Z35)/2,"")</f>
        <v>0</v>
      </c>
      <c r="AB35" s="104">
        <v>2168</v>
      </c>
      <c r="AC35" s="104">
        <f t="shared" ref="AC35:AC64" si="6">IF(AD35&gt;0,(AD35-AB35)/2,"")</f>
        <v>0</v>
      </c>
      <c r="AD35" s="104">
        <v>2168</v>
      </c>
      <c r="AE35" s="105">
        <f t="shared" ref="AE35:AE64" si="7">AD35-Q35</f>
        <v>-1</v>
      </c>
    </row>
    <row r="36" spans="2:31" ht="15.6" customHeight="1" x14ac:dyDescent="0.3">
      <c r="N36" s="212"/>
      <c r="O36" s="95" t="s">
        <v>66</v>
      </c>
      <c r="P36" s="106"/>
      <c r="Q36" s="106">
        <v>1454</v>
      </c>
      <c r="R36" s="106">
        <v>560</v>
      </c>
      <c r="S36" s="106">
        <f t="shared" si="1"/>
        <v>35.5</v>
      </c>
      <c r="T36" s="106">
        <v>631</v>
      </c>
      <c r="U36" s="106">
        <f t="shared" si="2"/>
        <v>84.5</v>
      </c>
      <c r="V36" s="106">
        <v>800</v>
      </c>
      <c r="W36" s="106">
        <f t="shared" si="3"/>
        <v>299.5</v>
      </c>
      <c r="X36" s="106">
        <v>1399</v>
      </c>
      <c r="Y36" s="106">
        <f t="shared" si="4"/>
        <v>27.5</v>
      </c>
      <c r="Z36" s="106">
        <v>1454</v>
      </c>
      <c r="AA36" s="106">
        <f t="shared" si="5"/>
        <v>0</v>
      </c>
      <c r="AB36" s="106">
        <v>1454</v>
      </c>
      <c r="AC36" s="106">
        <f t="shared" si="6"/>
        <v>0</v>
      </c>
      <c r="AD36" s="106">
        <v>1454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2569</v>
      </c>
      <c r="R37" s="108">
        <v>420</v>
      </c>
      <c r="S37" s="108">
        <f t="shared" si="1"/>
        <v>179.5</v>
      </c>
      <c r="T37" s="108">
        <v>779</v>
      </c>
      <c r="U37" s="108">
        <f t="shared" si="2"/>
        <v>0</v>
      </c>
      <c r="V37" s="108">
        <v>779</v>
      </c>
      <c r="W37" s="108">
        <f t="shared" si="3"/>
        <v>210</v>
      </c>
      <c r="X37" s="108">
        <v>1199</v>
      </c>
      <c r="Y37" s="108">
        <f t="shared" si="4"/>
        <v>768.5</v>
      </c>
      <c r="Z37" s="108">
        <v>2736</v>
      </c>
      <c r="AA37" s="108">
        <f t="shared" si="5"/>
        <v>0</v>
      </c>
      <c r="AB37" s="108">
        <v>2736</v>
      </c>
      <c r="AC37" s="108">
        <f t="shared" si="6"/>
        <v>0</v>
      </c>
      <c r="AD37" s="108">
        <v>2736</v>
      </c>
      <c r="AE37" s="109">
        <f t="shared" si="7"/>
        <v>167</v>
      </c>
    </row>
    <row r="38" spans="2:31" ht="15.6" customHeight="1" x14ac:dyDescent="0.3">
      <c r="N38" s="212"/>
      <c r="O38" s="95" t="s">
        <v>68</v>
      </c>
      <c r="P38" s="106"/>
      <c r="Q38" s="106">
        <v>3939</v>
      </c>
      <c r="R38" s="106">
        <v>715</v>
      </c>
      <c r="S38" s="106">
        <f t="shared" si="1"/>
        <v>267.5</v>
      </c>
      <c r="T38" s="106">
        <v>1250</v>
      </c>
      <c r="U38" s="106">
        <f t="shared" si="2"/>
        <v>388</v>
      </c>
      <c r="V38" s="106">
        <v>2026</v>
      </c>
      <c r="W38" s="106">
        <f t="shared" si="3"/>
        <v>267.5</v>
      </c>
      <c r="X38" s="106">
        <v>2561</v>
      </c>
      <c r="Y38" s="106">
        <f t="shared" si="4"/>
        <v>432</v>
      </c>
      <c r="Z38" s="106">
        <v>3425</v>
      </c>
      <c r="AA38" s="106">
        <f t="shared" si="5"/>
        <v>0</v>
      </c>
      <c r="AB38" s="106">
        <v>3425</v>
      </c>
      <c r="AC38" s="106">
        <f t="shared" si="6"/>
        <v>0</v>
      </c>
      <c r="AD38" s="106">
        <v>3425</v>
      </c>
      <c r="AE38" s="107">
        <f t="shared" si="7"/>
        <v>-514</v>
      </c>
    </row>
    <row r="39" spans="2:31" ht="15.6" customHeight="1" x14ac:dyDescent="0.3">
      <c r="N39" s="212"/>
      <c r="O39" s="94" t="s">
        <v>69</v>
      </c>
      <c r="P39" s="108"/>
      <c r="Q39" s="108">
        <v>2582</v>
      </c>
      <c r="R39" s="108">
        <v>13</v>
      </c>
      <c r="S39" s="108">
        <f t="shared" si="1"/>
        <v>156.5</v>
      </c>
      <c r="T39" s="108">
        <v>326</v>
      </c>
      <c r="U39" s="108">
        <f t="shared" si="2"/>
        <v>255</v>
      </c>
      <c r="V39" s="108">
        <v>836</v>
      </c>
      <c r="W39" s="108">
        <f t="shared" si="3"/>
        <v>341</v>
      </c>
      <c r="X39" s="108">
        <v>1518</v>
      </c>
      <c r="Y39" s="108">
        <f t="shared" si="4"/>
        <v>0</v>
      </c>
      <c r="Z39" s="108">
        <v>1518</v>
      </c>
      <c r="AA39" s="108">
        <f t="shared" si="5"/>
        <v>0</v>
      </c>
      <c r="AB39" s="108">
        <v>1518</v>
      </c>
      <c r="AC39" s="108">
        <f t="shared" si="6"/>
        <v>0</v>
      </c>
      <c r="AD39" s="108">
        <v>1518</v>
      </c>
      <c r="AE39" s="109">
        <f t="shared" si="7"/>
        <v>-1064</v>
      </c>
    </row>
    <row r="40" spans="2:31" ht="15.6" customHeight="1" x14ac:dyDescent="0.3">
      <c r="N40" s="212"/>
      <c r="O40" s="95" t="s">
        <v>70</v>
      </c>
      <c r="P40" s="106"/>
      <c r="Q40" s="106">
        <v>3943</v>
      </c>
      <c r="R40" s="106">
        <v>13</v>
      </c>
      <c r="S40" s="106">
        <f t="shared" si="1"/>
        <v>0</v>
      </c>
      <c r="T40" s="106">
        <v>13</v>
      </c>
      <c r="U40" s="106">
        <f t="shared" si="2"/>
        <v>0</v>
      </c>
      <c r="V40" s="106">
        <v>13</v>
      </c>
      <c r="W40" s="106">
        <f t="shared" si="3"/>
        <v>664</v>
      </c>
      <c r="X40" s="106">
        <v>1341</v>
      </c>
      <c r="Y40" s="106">
        <f t="shared" si="4"/>
        <v>88.5</v>
      </c>
      <c r="Z40" s="106">
        <v>1518</v>
      </c>
      <c r="AA40" s="106">
        <f t="shared" si="5"/>
        <v>0</v>
      </c>
      <c r="AB40" s="106">
        <v>1518</v>
      </c>
      <c r="AC40" s="106">
        <f t="shared" si="6"/>
        <v>0</v>
      </c>
      <c r="AD40" s="106">
        <v>1518</v>
      </c>
      <c r="AE40" s="107">
        <f t="shared" si="7"/>
        <v>-2425</v>
      </c>
    </row>
    <row r="41" spans="2:31" ht="15.6" customHeight="1" x14ac:dyDescent="0.3">
      <c r="N41" s="212"/>
      <c r="O41" s="94" t="s">
        <v>71</v>
      </c>
      <c r="P41" s="108"/>
      <c r="Q41" s="108">
        <v>1203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381</v>
      </c>
      <c r="V41" s="108">
        <v>762</v>
      </c>
      <c r="W41" s="108">
        <f t="shared" si="3"/>
        <v>0</v>
      </c>
      <c r="X41" s="108">
        <v>762</v>
      </c>
      <c r="Y41" s="108">
        <f t="shared" si="4"/>
        <v>188.5</v>
      </c>
      <c r="Z41" s="108">
        <v>1139</v>
      </c>
      <c r="AA41" s="108">
        <f t="shared" si="5"/>
        <v>0</v>
      </c>
      <c r="AB41" s="108">
        <v>1139</v>
      </c>
      <c r="AC41" s="108">
        <f t="shared" si="6"/>
        <v>0</v>
      </c>
      <c r="AD41" s="108">
        <v>1139</v>
      </c>
      <c r="AE41" s="109">
        <f t="shared" si="7"/>
        <v>-64</v>
      </c>
    </row>
    <row r="42" spans="2:31" ht="15.6" customHeight="1" x14ac:dyDescent="0.3">
      <c r="N42" s="212"/>
      <c r="O42" s="95" t="s">
        <v>72</v>
      </c>
      <c r="P42" s="106"/>
      <c r="Q42" s="106">
        <v>1708</v>
      </c>
      <c r="R42" s="106">
        <v>0</v>
      </c>
      <c r="S42" s="106">
        <f t="shared" si="1"/>
        <v>278</v>
      </c>
      <c r="T42" s="106">
        <v>556</v>
      </c>
      <c r="U42" s="106">
        <f t="shared" si="2"/>
        <v>0</v>
      </c>
      <c r="V42" s="106">
        <v>556</v>
      </c>
      <c r="W42" s="106">
        <f t="shared" si="3"/>
        <v>392.5</v>
      </c>
      <c r="X42" s="106">
        <v>1341</v>
      </c>
      <c r="Y42" s="106">
        <f t="shared" si="4"/>
        <v>3</v>
      </c>
      <c r="Z42" s="106">
        <v>1347</v>
      </c>
      <c r="AA42" s="106">
        <f t="shared" si="5"/>
        <v>0</v>
      </c>
      <c r="AB42" s="106">
        <v>1347</v>
      </c>
      <c r="AC42" s="106">
        <f t="shared" si="6"/>
        <v>0</v>
      </c>
      <c r="AD42" s="106">
        <v>1347</v>
      </c>
      <c r="AE42" s="107">
        <f t="shared" si="7"/>
        <v>-361</v>
      </c>
    </row>
    <row r="43" spans="2:31" ht="15.6" customHeight="1" thickBot="1" x14ac:dyDescent="0.35">
      <c r="N43" s="213"/>
      <c r="O43" s="97" t="s">
        <v>73</v>
      </c>
      <c r="P43" s="110"/>
      <c r="Q43" s="110">
        <v>1726</v>
      </c>
      <c r="R43" s="110">
        <v>422</v>
      </c>
      <c r="S43" s="110">
        <f t="shared" si="1"/>
        <v>0</v>
      </c>
      <c r="T43" s="110">
        <v>422</v>
      </c>
      <c r="U43" s="110">
        <f t="shared" si="2"/>
        <v>359.5</v>
      </c>
      <c r="V43" s="110">
        <v>1141</v>
      </c>
      <c r="W43" s="110">
        <f t="shared" si="3"/>
        <v>1.5</v>
      </c>
      <c r="X43" s="110">
        <v>1144</v>
      </c>
      <c r="Y43" s="110">
        <f t="shared" si="4"/>
        <v>0</v>
      </c>
      <c r="Z43" s="110">
        <v>1144</v>
      </c>
      <c r="AA43" s="110">
        <f t="shared" si="5"/>
        <v>0</v>
      </c>
      <c r="AB43" s="110">
        <v>1144</v>
      </c>
      <c r="AC43" s="110">
        <f t="shared" si="6"/>
        <v>0</v>
      </c>
      <c r="AD43" s="110">
        <v>1144</v>
      </c>
      <c r="AE43" s="111">
        <f t="shared" si="7"/>
        <v>-582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5188</v>
      </c>
      <c r="R44" s="112">
        <v>1000</v>
      </c>
      <c r="S44" s="112">
        <f t="shared" si="1"/>
        <v>475</v>
      </c>
      <c r="T44" s="112">
        <v>1950</v>
      </c>
      <c r="U44" s="112">
        <f t="shared" si="2"/>
        <v>0</v>
      </c>
      <c r="V44" s="112">
        <v>1950</v>
      </c>
      <c r="W44" s="112">
        <f t="shared" si="3"/>
        <v>0</v>
      </c>
      <c r="X44" s="112">
        <v>1950</v>
      </c>
      <c r="Y44" s="112">
        <f t="shared" si="4"/>
        <v>1604</v>
      </c>
      <c r="Z44" s="112">
        <v>5158</v>
      </c>
      <c r="AA44" s="112">
        <f t="shared" si="5"/>
        <v>0</v>
      </c>
      <c r="AB44" s="112">
        <v>5158</v>
      </c>
      <c r="AC44" s="112">
        <f t="shared" si="6"/>
        <v>0</v>
      </c>
      <c r="AD44" s="112">
        <v>5158</v>
      </c>
      <c r="AE44" s="113">
        <f t="shared" si="7"/>
        <v>-30</v>
      </c>
    </row>
    <row r="45" spans="2:31" ht="15.6" customHeight="1" x14ac:dyDescent="0.3">
      <c r="N45" s="212"/>
      <c r="O45" s="94" t="s">
        <v>66</v>
      </c>
      <c r="P45" s="108"/>
      <c r="Q45" s="108">
        <v>4221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803</v>
      </c>
      <c r="X45" s="108">
        <v>1606</v>
      </c>
      <c r="Y45" s="108">
        <f t="shared" si="4"/>
        <v>572</v>
      </c>
      <c r="Z45" s="108">
        <v>2750</v>
      </c>
      <c r="AA45" s="108">
        <f t="shared" si="5"/>
        <v>735.5</v>
      </c>
      <c r="AB45" s="108">
        <v>4221</v>
      </c>
      <c r="AC45" s="108">
        <f t="shared" si="6"/>
        <v>0</v>
      </c>
      <c r="AD45" s="108">
        <v>4221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2799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160.5</v>
      </c>
      <c r="X46" s="106">
        <v>321</v>
      </c>
      <c r="Y46" s="106">
        <f t="shared" si="4"/>
        <v>463</v>
      </c>
      <c r="Z46" s="106">
        <v>1247</v>
      </c>
      <c r="AA46" s="106">
        <f t="shared" si="5"/>
        <v>505.5</v>
      </c>
      <c r="AB46" s="106">
        <v>2258</v>
      </c>
      <c r="AC46" s="106">
        <f t="shared" si="6"/>
        <v>0</v>
      </c>
      <c r="AD46" s="106">
        <v>2258</v>
      </c>
      <c r="AE46" s="107">
        <f t="shared" si="7"/>
        <v>-541</v>
      </c>
    </row>
    <row r="47" spans="2:31" ht="15.6" customHeight="1" thickBot="1" x14ac:dyDescent="0.35">
      <c r="N47" s="213"/>
      <c r="O47" s="97" t="s">
        <v>68</v>
      </c>
      <c r="P47" s="110"/>
      <c r="Q47" s="110">
        <v>4307</v>
      </c>
      <c r="R47" s="110">
        <v>999</v>
      </c>
      <c r="S47" s="110">
        <f t="shared" si="1"/>
        <v>0</v>
      </c>
      <c r="T47" s="110">
        <v>999</v>
      </c>
      <c r="U47" s="110">
        <f t="shared" si="2"/>
        <v>0</v>
      </c>
      <c r="V47" s="110">
        <v>999</v>
      </c>
      <c r="W47" s="110">
        <f t="shared" si="3"/>
        <v>818.5</v>
      </c>
      <c r="X47" s="110">
        <v>2636</v>
      </c>
      <c r="Y47" s="110">
        <f t="shared" si="4"/>
        <v>850.5</v>
      </c>
      <c r="Z47" s="110">
        <v>4337</v>
      </c>
      <c r="AA47" s="110">
        <f t="shared" si="5"/>
        <v>0</v>
      </c>
      <c r="AB47" s="110">
        <v>4337</v>
      </c>
      <c r="AC47" s="110">
        <f t="shared" si="6"/>
        <v>0</v>
      </c>
      <c r="AD47" s="110">
        <v>4337</v>
      </c>
      <c r="AE47" s="111">
        <f t="shared" si="7"/>
        <v>30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319</v>
      </c>
      <c r="R48" s="112">
        <v>1</v>
      </c>
      <c r="S48" s="112">
        <f t="shared" si="1"/>
        <v>0</v>
      </c>
      <c r="T48" s="112">
        <v>1</v>
      </c>
      <c r="U48" s="112">
        <f t="shared" si="2"/>
        <v>54</v>
      </c>
      <c r="V48" s="112">
        <v>109</v>
      </c>
      <c r="W48" s="112">
        <f t="shared" si="3"/>
        <v>73</v>
      </c>
      <c r="X48" s="112">
        <v>255</v>
      </c>
      <c r="Y48" s="112">
        <f t="shared" si="4"/>
        <v>0</v>
      </c>
      <c r="Z48" s="112">
        <v>255</v>
      </c>
      <c r="AA48" s="112">
        <f t="shared" si="5"/>
        <v>0</v>
      </c>
      <c r="AB48" s="112">
        <v>255</v>
      </c>
      <c r="AC48" s="112">
        <f t="shared" si="6"/>
        <v>0</v>
      </c>
      <c r="AD48" s="112">
        <v>255</v>
      </c>
      <c r="AE48" s="113">
        <f t="shared" si="7"/>
        <v>-64</v>
      </c>
    </row>
    <row r="49" spans="14:31" ht="15.6" customHeight="1" x14ac:dyDescent="0.3">
      <c r="N49" s="212"/>
      <c r="O49" s="94" t="s">
        <v>66</v>
      </c>
      <c r="P49" s="108"/>
      <c r="Q49" s="108">
        <v>328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164</v>
      </c>
      <c r="V49" s="108">
        <v>328</v>
      </c>
      <c r="W49" s="108">
        <f t="shared" si="3"/>
        <v>9.5</v>
      </c>
      <c r="X49" s="108">
        <v>347</v>
      </c>
      <c r="Y49" s="108">
        <f t="shared" si="4"/>
        <v>0</v>
      </c>
      <c r="Z49" s="108">
        <v>347</v>
      </c>
      <c r="AA49" s="108">
        <f t="shared" si="5"/>
        <v>0</v>
      </c>
      <c r="AB49" s="108">
        <v>347</v>
      </c>
      <c r="AC49" s="108">
        <f t="shared" si="6"/>
        <v>0</v>
      </c>
      <c r="AD49" s="108">
        <v>347</v>
      </c>
      <c r="AE49" s="109">
        <f t="shared" si="7"/>
        <v>19</v>
      </c>
    </row>
    <row r="50" spans="14:31" ht="15.6" customHeight="1" x14ac:dyDescent="0.3">
      <c r="N50" s="212"/>
      <c r="O50" s="95" t="s">
        <v>67</v>
      </c>
      <c r="P50" s="106"/>
      <c r="Q50" s="106">
        <v>1883</v>
      </c>
      <c r="R50" s="106">
        <v>286</v>
      </c>
      <c r="S50" s="106">
        <f t="shared" si="1"/>
        <v>216</v>
      </c>
      <c r="T50" s="106">
        <v>718</v>
      </c>
      <c r="U50" s="106">
        <f t="shared" si="2"/>
        <v>99.5</v>
      </c>
      <c r="V50" s="106">
        <v>917</v>
      </c>
      <c r="W50" s="106">
        <f t="shared" si="3"/>
        <v>144.5</v>
      </c>
      <c r="X50" s="106">
        <v>1206</v>
      </c>
      <c r="Y50" s="106">
        <f t="shared" si="4"/>
        <v>0</v>
      </c>
      <c r="Z50" s="106">
        <v>1206</v>
      </c>
      <c r="AA50" s="106">
        <f t="shared" si="5"/>
        <v>0</v>
      </c>
      <c r="AB50" s="106">
        <v>1206</v>
      </c>
      <c r="AC50" s="106">
        <f t="shared" si="6"/>
        <v>0</v>
      </c>
      <c r="AD50" s="106">
        <v>1206</v>
      </c>
      <c r="AE50" s="107">
        <f t="shared" si="7"/>
        <v>-677</v>
      </c>
    </row>
    <row r="51" spans="14:31" ht="15.6" customHeight="1" x14ac:dyDescent="0.3">
      <c r="N51" s="212"/>
      <c r="O51" s="94" t="s">
        <v>68</v>
      </c>
      <c r="P51" s="108"/>
      <c r="Q51" s="108">
        <v>1123</v>
      </c>
      <c r="R51" s="108">
        <v>10</v>
      </c>
      <c r="S51" s="108">
        <f t="shared" si="1"/>
        <v>0</v>
      </c>
      <c r="T51" s="108">
        <v>10</v>
      </c>
      <c r="U51" s="108">
        <f t="shared" si="2"/>
        <v>139</v>
      </c>
      <c r="V51" s="108">
        <v>288</v>
      </c>
      <c r="W51" s="108">
        <f t="shared" si="3"/>
        <v>196</v>
      </c>
      <c r="X51" s="108">
        <v>680</v>
      </c>
      <c r="Y51" s="108">
        <f t="shared" si="4"/>
        <v>0</v>
      </c>
      <c r="Z51" s="108">
        <v>680</v>
      </c>
      <c r="AA51" s="108">
        <f t="shared" si="5"/>
        <v>0</v>
      </c>
      <c r="AB51" s="108">
        <v>680</v>
      </c>
      <c r="AC51" s="108">
        <f t="shared" si="6"/>
        <v>0</v>
      </c>
      <c r="AD51" s="108">
        <v>680</v>
      </c>
      <c r="AE51" s="109">
        <f t="shared" si="7"/>
        <v>-443</v>
      </c>
    </row>
    <row r="52" spans="14:31" ht="15.6" customHeight="1" x14ac:dyDescent="0.3">
      <c r="N52" s="212"/>
      <c r="O52" s="95" t="s">
        <v>69</v>
      </c>
      <c r="P52" s="106"/>
      <c r="Q52" s="106">
        <v>2665</v>
      </c>
      <c r="R52" s="106">
        <v>779</v>
      </c>
      <c r="S52" s="106">
        <f t="shared" si="1"/>
        <v>8</v>
      </c>
      <c r="T52" s="106">
        <v>795</v>
      </c>
      <c r="U52" s="106">
        <f t="shared" si="2"/>
        <v>-49.5</v>
      </c>
      <c r="V52" s="106">
        <v>696</v>
      </c>
      <c r="W52" s="106">
        <f t="shared" si="3"/>
        <v>290.5</v>
      </c>
      <c r="X52" s="106">
        <v>1277</v>
      </c>
      <c r="Y52" s="106">
        <f t="shared" si="4"/>
        <v>94.5</v>
      </c>
      <c r="Z52" s="106">
        <v>1466</v>
      </c>
      <c r="AA52" s="106">
        <f t="shared" si="5"/>
        <v>0</v>
      </c>
      <c r="AB52" s="106">
        <v>1466</v>
      </c>
      <c r="AC52" s="106">
        <f t="shared" si="6"/>
        <v>0</v>
      </c>
      <c r="AD52" s="106">
        <v>1466</v>
      </c>
      <c r="AE52" s="107">
        <f t="shared" si="7"/>
        <v>-1199</v>
      </c>
    </row>
    <row r="53" spans="14:31" ht="15.6" customHeight="1" x14ac:dyDescent="0.3">
      <c r="N53" s="212"/>
      <c r="O53" s="94" t="s">
        <v>70</v>
      </c>
      <c r="P53" s="108"/>
      <c r="Q53" s="108">
        <v>1749</v>
      </c>
      <c r="R53" s="108">
        <v>3</v>
      </c>
      <c r="S53" s="108">
        <f t="shared" si="1"/>
        <v>0</v>
      </c>
      <c r="T53" s="108">
        <v>3</v>
      </c>
      <c r="U53" s="108">
        <f t="shared" si="2"/>
        <v>0</v>
      </c>
      <c r="V53" s="108">
        <v>3</v>
      </c>
      <c r="W53" s="108">
        <f t="shared" si="3"/>
        <v>255.5</v>
      </c>
      <c r="X53" s="108">
        <v>514</v>
      </c>
      <c r="Y53" s="108">
        <f t="shared" si="4"/>
        <v>0</v>
      </c>
      <c r="Z53" s="108">
        <v>514</v>
      </c>
      <c r="AA53" s="108">
        <f t="shared" si="5"/>
        <v>0</v>
      </c>
      <c r="AB53" s="108">
        <v>514</v>
      </c>
      <c r="AC53" s="108">
        <f t="shared" si="6"/>
        <v>0</v>
      </c>
      <c r="AD53" s="108">
        <v>514</v>
      </c>
      <c r="AE53" s="109">
        <f t="shared" si="7"/>
        <v>-1235</v>
      </c>
    </row>
    <row r="54" spans="14:31" ht="15.6" customHeight="1" x14ac:dyDescent="0.3">
      <c r="N54" s="212"/>
      <c r="O54" s="95" t="s">
        <v>71</v>
      </c>
      <c r="P54" s="106"/>
      <c r="Q54" s="106">
        <v>1074</v>
      </c>
      <c r="R54" s="106">
        <v>0</v>
      </c>
      <c r="S54" s="106">
        <f t="shared" si="1"/>
        <v>365</v>
      </c>
      <c r="T54" s="106">
        <v>730</v>
      </c>
      <c r="U54" s="106">
        <f t="shared" si="2"/>
        <v>168.5</v>
      </c>
      <c r="V54" s="106">
        <v>1067</v>
      </c>
      <c r="W54" s="106">
        <f t="shared" si="3"/>
        <v>-39</v>
      </c>
      <c r="X54" s="106">
        <v>989</v>
      </c>
      <c r="Y54" s="106">
        <f t="shared" si="4"/>
        <v>0</v>
      </c>
      <c r="Z54" s="106">
        <v>989</v>
      </c>
      <c r="AA54" s="106">
        <f t="shared" si="5"/>
        <v>0</v>
      </c>
      <c r="AB54" s="106">
        <v>989</v>
      </c>
      <c r="AC54" s="106">
        <f t="shared" si="6"/>
        <v>0</v>
      </c>
      <c r="AD54" s="106">
        <v>989</v>
      </c>
      <c r="AE54" s="107">
        <f t="shared" si="7"/>
        <v>-85</v>
      </c>
    </row>
    <row r="55" spans="14:31" ht="15.6" customHeight="1" x14ac:dyDescent="0.3">
      <c r="N55" s="212"/>
      <c r="O55" s="94" t="s">
        <v>72</v>
      </c>
      <c r="P55" s="108"/>
      <c r="Q55" s="108">
        <v>441</v>
      </c>
      <c r="R55" s="108">
        <v>9</v>
      </c>
      <c r="S55" s="108">
        <f t="shared" si="1"/>
        <v>0</v>
      </c>
      <c r="T55" s="108">
        <v>9</v>
      </c>
      <c r="U55" s="108">
        <f t="shared" si="2"/>
        <v>0</v>
      </c>
      <c r="V55" s="108">
        <v>9</v>
      </c>
      <c r="W55" s="108">
        <f t="shared" si="3"/>
        <v>96.5</v>
      </c>
      <c r="X55" s="108">
        <v>202</v>
      </c>
      <c r="Y55" s="108">
        <f t="shared" si="4"/>
        <v>0</v>
      </c>
      <c r="Z55" s="108">
        <v>202</v>
      </c>
      <c r="AA55" s="108">
        <f t="shared" si="5"/>
        <v>0</v>
      </c>
      <c r="AB55" s="108">
        <v>202</v>
      </c>
      <c r="AC55" s="108">
        <f t="shared" si="6"/>
        <v>0</v>
      </c>
      <c r="AD55" s="108">
        <v>202</v>
      </c>
      <c r="AE55" s="109">
        <f t="shared" si="7"/>
        <v>-239</v>
      </c>
    </row>
    <row r="56" spans="14:31" ht="15.6" customHeight="1" thickBot="1" x14ac:dyDescent="0.35">
      <c r="N56" s="213"/>
      <c r="O56" s="99" t="s">
        <v>73</v>
      </c>
      <c r="P56" s="114"/>
      <c r="Q56" s="114">
        <v>330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92.5</v>
      </c>
      <c r="V56" s="114">
        <v>185</v>
      </c>
      <c r="W56" s="114">
        <f t="shared" si="3"/>
        <v>73</v>
      </c>
      <c r="X56" s="114">
        <v>331</v>
      </c>
      <c r="Y56" s="114">
        <f t="shared" si="4"/>
        <v>0</v>
      </c>
      <c r="Z56" s="114">
        <v>331</v>
      </c>
      <c r="AA56" s="114">
        <f t="shared" si="5"/>
        <v>0</v>
      </c>
      <c r="AB56" s="114">
        <v>331</v>
      </c>
      <c r="AC56" s="114">
        <f t="shared" si="6"/>
        <v>0</v>
      </c>
      <c r="AD56" s="114">
        <v>331</v>
      </c>
      <c r="AE56" s="115">
        <f t="shared" si="7"/>
        <v>1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5187</v>
      </c>
      <c r="R57" s="104">
        <v>474</v>
      </c>
      <c r="S57" s="104">
        <f t="shared" si="1"/>
        <v>244</v>
      </c>
      <c r="T57" s="104">
        <v>962</v>
      </c>
      <c r="U57" s="104">
        <f t="shared" si="2"/>
        <v>334.5</v>
      </c>
      <c r="V57" s="104">
        <v>1631</v>
      </c>
      <c r="W57" s="104">
        <f t="shared" si="3"/>
        <v>770</v>
      </c>
      <c r="X57" s="104">
        <v>3171</v>
      </c>
      <c r="Y57" s="104">
        <f t="shared" si="4"/>
        <v>274</v>
      </c>
      <c r="Z57" s="104">
        <v>3719</v>
      </c>
      <c r="AA57" s="104">
        <f t="shared" si="5"/>
        <v>0</v>
      </c>
      <c r="AB57" s="104">
        <v>3719</v>
      </c>
      <c r="AC57" s="104">
        <f t="shared" si="6"/>
        <v>0</v>
      </c>
      <c r="AD57" s="104">
        <v>3719</v>
      </c>
      <c r="AE57" s="105">
        <f t="shared" si="7"/>
        <v>-1468</v>
      </c>
    </row>
    <row r="58" spans="14:31" ht="15.6" customHeight="1" x14ac:dyDescent="0.3">
      <c r="N58" s="212"/>
      <c r="O58" s="95" t="s">
        <v>66</v>
      </c>
      <c r="P58" s="106"/>
      <c r="Q58" s="106">
        <v>4604</v>
      </c>
      <c r="R58" s="106">
        <v>277</v>
      </c>
      <c r="S58" s="106">
        <f t="shared" si="1"/>
        <v>973.5</v>
      </c>
      <c r="T58" s="106">
        <v>2224</v>
      </c>
      <c r="U58" s="106">
        <f t="shared" si="2"/>
        <v>228.5</v>
      </c>
      <c r="V58" s="106">
        <v>2681</v>
      </c>
      <c r="W58" s="106">
        <f t="shared" si="3"/>
        <v>-288</v>
      </c>
      <c r="X58" s="106">
        <v>2105</v>
      </c>
      <c r="Y58" s="106">
        <f t="shared" si="4"/>
        <v>200</v>
      </c>
      <c r="Z58" s="106">
        <v>2505</v>
      </c>
      <c r="AA58" s="106">
        <f t="shared" si="5"/>
        <v>0</v>
      </c>
      <c r="AB58" s="106">
        <v>2505</v>
      </c>
      <c r="AC58" s="106">
        <f t="shared" si="6"/>
        <v>0</v>
      </c>
      <c r="AD58" s="106">
        <v>2505</v>
      </c>
      <c r="AE58" s="107">
        <f t="shared" si="7"/>
        <v>-2099</v>
      </c>
    </row>
    <row r="59" spans="14:31" ht="15.6" customHeight="1" x14ac:dyDescent="0.3">
      <c r="N59" s="212"/>
      <c r="O59" s="94" t="s">
        <v>67</v>
      </c>
      <c r="P59" s="108"/>
      <c r="Q59" s="108">
        <v>4376</v>
      </c>
      <c r="R59" s="108">
        <v>596</v>
      </c>
      <c r="S59" s="108">
        <f t="shared" si="1"/>
        <v>124</v>
      </c>
      <c r="T59" s="108">
        <v>844</v>
      </c>
      <c r="U59" s="108">
        <f t="shared" si="2"/>
        <v>147.5</v>
      </c>
      <c r="V59" s="108">
        <v>1139</v>
      </c>
      <c r="W59" s="108">
        <f t="shared" si="3"/>
        <v>258</v>
      </c>
      <c r="X59" s="108">
        <v>1655</v>
      </c>
      <c r="Y59" s="108">
        <f t="shared" si="4"/>
        <v>16</v>
      </c>
      <c r="Z59" s="108">
        <v>1687</v>
      </c>
      <c r="AA59" s="108">
        <f t="shared" si="5"/>
        <v>0</v>
      </c>
      <c r="AB59" s="108">
        <v>1687</v>
      </c>
      <c r="AC59" s="108">
        <f t="shared" si="6"/>
        <v>0</v>
      </c>
      <c r="AD59" s="108">
        <v>1687</v>
      </c>
      <c r="AE59" s="109">
        <f t="shared" si="7"/>
        <v>-2689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5869</v>
      </c>
      <c r="R61" s="104">
        <v>812</v>
      </c>
      <c r="S61" s="104">
        <f t="shared" si="1"/>
        <v>642.5</v>
      </c>
      <c r="T61" s="104">
        <v>2097</v>
      </c>
      <c r="U61" s="104">
        <f t="shared" si="2"/>
        <v>383.5</v>
      </c>
      <c r="V61" s="104">
        <v>2864</v>
      </c>
      <c r="W61" s="104">
        <f t="shared" si="3"/>
        <v>140.5</v>
      </c>
      <c r="X61" s="104">
        <v>3145</v>
      </c>
      <c r="Y61" s="104">
        <f t="shared" si="4"/>
        <v>0</v>
      </c>
      <c r="Z61" s="104">
        <v>3145</v>
      </c>
      <c r="AA61" s="104">
        <f t="shared" si="5"/>
        <v>0</v>
      </c>
      <c r="AB61" s="104">
        <v>3145</v>
      </c>
      <c r="AC61" s="104">
        <f t="shared" si="6"/>
        <v>0</v>
      </c>
      <c r="AD61" s="104">
        <v>3145</v>
      </c>
      <c r="AE61" s="105">
        <f t="shared" si="7"/>
        <v>-2724</v>
      </c>
    </row>
    <row r="62" spans="14:31" ht="15.6" customHeight="1" x14ac:dyDescent="0.3">
      <c r="N62" s="212"/>
      <c r="O62" s="95" t="s">
        <v>66</v>
      </c>
      <c r="P62" s="106"/>
      <c r="Q62" s="106">
        <v>5433</v>
      </c>
      <c r="R62" s="106">
        <v>1527</v>
      </c>
      <c r="S62" s="106">
        <f t="shared" si="1"/>
        <v>848</v>
      </c>
      <c r="T62" s="106">
        <v>3223</v>
      </c>
      <c r="U62" s="106">
        <f t="shared" si="2"/>
        <v>309.5</v>
      </c>
      <c r="V62" s="106">
        <v>3842</v>
      </c>
      <c r="W62" s="106">
        <f t="shared" si="3"/>
        <v>193.5</v>
      </c>
      <c r="X62" s="106">
        <v>4229</v>
      </c>
      <c r="Y62" s="106">
        <f t="shared" si="4"/>
        <v>0</v>
      </c>
      <c r="Z62" s="106">
        <v>4229</v>
      </c>
      <c r="AA62" s="106">
        <f t="shared" si="5"/>
        <v>0</v>
      </c>
      <c r="AB62" s="106">
        <v>4229</v>
      </c>
      <c r="AC62" s="106">
        <f t="shared" si="6"/>
        <v>0</v>
      </c>
      <c r="AD62" s="106">
        <v>4229</v>
      </c>
      <c r="AE62" s="107">
        <f t="shared" si="7"/>
        <v>-1204</v>
      </c>
    </row>
    <row r="63" spans="14:31" ht="15.6" customHeight="1" x14ac:dyDescent="0.3">
      <c r="N63" s="212"/>
      <c r="O63" s="94" t="s">
        <v>67</v>
      </c>
      <c r="P63" s="108"/>
      <c r="Q63" s="108">
        <v>4686</v>
      </c>
      <c r="R63" s="108">
        <v>808</v>
      </c>
      <c r="S63" s="108">
        <f t="shared" si="1"/>
        <v>476.5</v>
      </c>
      <c r="T63" s="108">
        <v>1761</v>
      </c>
      <c r="U63" s="108">
        <f t="shared" si="2"/>
        <v>216.5</v>
      </c>
      <c r="V63" s="108">
        <v>2194</v>
      </c>
      <c r="W63" s="108">
        <f t="shared" si="3"/>
        <v>299.5</v>
      </c>
      <c r="X63" s="108">
        <v>2793</v>
      </c>
      <c r="Y63" s="108">
        <f t="shared" si="4"/>
        <v>72</v>
      </c>
      <c r="Z63" s="108">
        <v>2937</v>
      </c>
      <c r="AA63" s="108">
        <f t="shared" si="5"/>
        <v>0</v>
      </c>
      <c r="AB63" s="108">
        <v>2937</v>
      </c>
      <c r="AC63" s="108">
        <f t="shared" si="6"/>
        <v>0</v>
      </c>
      <c r="AD63" s="108">
        <v>2937</v>
      </c>
      <c r="AE63" s="109">
        <f t="shared" si="7"/>
        <v>-1749</v>
      </c>
    </row>
    <row r="64" spans="14:31" ht="15.6" customHeight="1" thickBot="1" x14ac:dyDescent="0.35">
      <c r="N64" s="213"/>
      <c r="O64" s="99" t="s">
        <v>68</v>
      </c>
      <c r="P64" s="114"/>
      <c r="Q64" s="114">
        <v>1200</v>
      </c>
      <c r="R64" s="114">
        <v>628</v>
      </c>
      <c r="S64" s="114">
        <f t="shared" si="1"/>
        <v>44.5</v>
      </c>
      <c r="T64" s="114">
        <v>717</v>
      </c>
      <c r="U64" s="114">
        <f t="shared" si="2"/>
        <v>101.5</v>
      </c>
      <c r="V64" s="114">
        <v>920</v>
      </c>
      <c r="W64" s="114">
        <f t="shared" si="3"/>
        <v>5</v>
      </c>
      <c r="X64" s="114">
        <v>930</v>
      </c>
      <c r="Y64" s="114">
        <f t="shared" si="4"/>
        <v>0</v>
      </c>
      <c r="Z64" s="114">
        <v>930</v>
      </c>
      <c r="AA64" s="114">
        <f t="shared" si="5"/>
        <v>0</v>
      </c>
      <c r="AB64" s="114">
        <v>930</v>
      </c>
      <c r="AC64" s="114">
        <f t="shared" si="6"/>
        <v>0</v>
      </c>
      <c r="AD64" s="114">
        <v>930</v>
      </c>
      <c r="AE64" s="115">
        <f t="shared" si="7"/>
        <v>-270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39" priority="11" operator="lessThan">
      <formula>0</formula>
    </cfRule>
    <cfRule type="cellIs" dxfId="1438" priority="12" operator="greaterThan">
      <formula>0</formula>
    </cfRule>
  </conditionalFormatting>
  <conditionalFormatting sqref="R25:AC25">
    <cfRule type="cellIs" dxfId="1437" priority="9" operator="lessThan">
      <formula>0</formula>
    </cfRule>
    <cfRule type="cellIs" dxfId="1436" priority="10" operator="greaterThan">
      <formula>0</formula>
    </cfRule>
  </conditionalFormatting>
  <conditionalFormatting sqref="R26 T26 V26 X26 Z26 AB26">
    <cfRule type="cellIs" dxfId="1435" priority="7" operator="lessThan">
      <formula>0</formula>
    </cfRule>
    <cfRule type="cellIs" dxfId="1434" priority="8" operator="greaterThan">
      <formula>0</formula>
    </cfRule>
  </conditionalFormatting>
  <conditionalFormatting sqref="AD24:AE24">
    <cfRule type="cellIs" dxfId="1433" priority="5" operator="lessThan">
      <formula>0</formula>
    </cfRule>
    <cfRule type="cellIs" dxfId="1432" priority="6" operator="greaterThan">
      <formula>0</formula>
    </cfRule>
  </conditionalFormatting>
  <conditionalFormatting sqref="AD25:AE25">
    <cfRule type="cellIs" dxfId="1431" priority="3" operator="lessThan">
      <formula>0</formula>
    </cfRule>
    <cfRule type="cellIs" dxfId="1430" priority="4" operator="greaterThan">
      <formula>0</formula>
    </cfRule>
  </conditionalFormatting>
  <conditionalFormatting sqref="AD26">
    <cfRule type="cellIs" dxfId="1429" priority="1" operator="lessThan">
      <formula>0</formula>
    </cfRule>
    <cfRule type="cellIs" dxfId="142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tabColor theme="1"/>
    <pageSetUpPr fitToPage="1"/>
  </sheetPr>
  <dimension ref="B1:AQ64"/>
  <sheetViews>
    <sheetView topLeftCell="A2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44399</v>
      </c>
    </row>
    <row r="3" spans="2:42" ht="18.75" customHeight="1" thickBot="1" x14ac:dyDescent="0.35">
      <c r="B3" t="s">
        <v>1</v>
      </c>
      <c r="C3" s="3">
        <f>C2+1</f>
        <v>44400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6184</v>
      </c>
      <c r="E6" s="18" t="s">
        <v>22</v>
      </c>
      <c r="F6" s="119">
        <v>22433</v>
      </c>
      <c r="G6" s="117">
        <v>18211.883125</v>
      </c>
      <c r="H6" s="117">
        <v>16348.353869060011</v>
      </c>
      <c r="I6" s="19">
        <f>G6+H6</f>
        <v>34560.236994060011</v>
      </c>
      <c r="J6" s="119">
        <v>20914</v>
      </c>
      <c r="K6" s="117">
        <v>17088.097375000001</v>
      </c>
      <c r="L6" s="117">
        <v>15263.498466159999</v>
      </c>
      <c r="M6" s="19">
        <f>K6+L6</f>
        <v>32351.59584116</v>
      </c>
      <c r="N6" s="85">
        <v>69</v>
      </c>
      <c r="O6" s="85">
        <v>51</v>
      </c>
      <c r="P6" s="92"/>
      <c r="Q6" s="20">
        <f>J6-P6</f>
        <v>20914</v>
      </c>
      <c r="R6" s="21">
        <v>500</v>
      </c>
      <c r="S6" s="20">
        <f>IF(R6&gt;0,(R6-R7-$Q6),"")</f>
        <v>-20429</v>
      </c>
      <c r="T6" s="21">
        <v>5294</v>
      </c>
      <c r="U6" s="20">
        <f>IF(T6&gt;0,(T6-T7-$Q6),"")</f>
        <v>-15698</v>
      </c>
      <c r="V6" s="21">
        <v>10254</v>
      </c>
      <c r="W6" s="20">
        <f>IF(V6&gt;0,(V6-V7-$Q6),"")</f>
        <v>-10936</v>
      </c>
      <c r="X6" s="21">
        <v>12938</v>
      </c>
      <c r="Y6" s="20">
        <f>IF(X6&gt;0,(X6-X7-$Q6),"")</f>
        <v>-8304</v>
      </c>
      <c r="Z6" s="21">
        <v>16867</v>
      </c>
      <c r="AA6" s="20">
        <f>IF(Z6&gt;0,(Z6-Z7-$Q6),"")</f>
        <v>-5459</v>
      </c>
      <c r="AB6" s="21">
        <v>17522</v>
      </c>
      <c r="AC6" s="22">
        <f>IF(AB6&gt;0,(AB6-AB7-$Q6),"")</f>
        <v>-4804</v>
      </c>
      <c r="AD6" s="21">
        <v>17522</v>
      </c>
      <c r="AE6" s="22">
        <f>IF(AD6&gt;0,(AD6-AD7-$Q6),"")</f>
        <v>-4804</v>
      </c>
    </row>
    <row r="7" spans="2:42" x14ac:dyDescent="0.3">
      <c r="B7" s="16" t="s">
        <v>23</v>
      </c>
      <c r="C7" s="17">
        <v>2305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15</v>
      </c>
      <c r="S7" s="24"/>
      <c r="T7" s="25">
        <v>78</v>
      </c>
      <c r="U7" s="24"/>
      <c r="V7" s="25">
        <v>276</v>
      </c>
      <c r="W7" s="24"/>
      <c r="X7" s="25">
        <v>328</v>
      </c>
      <c r="Y7" s="24"/>
      <c r="Z7" s="25">
        <v>1412</v>
      </c>
      <c r="AA7" s="24"/>
      <c r="AB7" s="25">
        <v>1412</v>
      </c>
      <c r="AC7" s="26"/>
      <c r="AD7" s="25">
        <v>1412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2723</v>
      </c>
      <c r="E8" s="29" t="s">
        <v>27</v>
      </c>
      <c r="F8" s="119">
        <v>15250</v>
      </c>
      <c r="G8" s="117">
        <v>6461.5550000000003</v>
      </c>
      <c r="H8" s="117">
        <v>1409.6708665000001</v>
      </c>
      <c r="I8" s="19">
        <f>G8+H8</f>
        <v>7871.2258665000008</v>
      </c>
      <c r="J8" s="119">
        <v>14273</v>
      </c>
      <c r="K8" s="117">
        <v>6072.4510000000009</v>
      </c>
      <c r="L8" s="117">
        <v>1344.0186256</v>
      </c>
      <c r="M8" s="19">
        <f>K8+L8</f>
        <v>7416.4696256000007</v>
      </c>
      <c r="N8" s="87">
        <v>23</v>
      </c>
      <c r="O8" s="87">
        <v>22</v>
      </c>
      <c r="P8" s="92"/>
      <c r="Q8" s="20">
        <f>J8-P8</f>
        <v>14273</v>
      </c>
      <c r="R8" s="21">
        <v>1080</v>
      </c>
      <c r="S8" s="20">
        <f>IF(R8&gt;0,(R8-R9-$Q8),"")</f>
        <v>-13193</v>
      </c>
      <c r="T8" s="21">
        <v>1080</v>
      </c>
      <c r="U8" s="20">
        <f>IF(T8&gt;0,(T8-T9-$Q8),"")</f>
        <v>-13193</v>
      </c>
      <c r="V8" s="21">
        <v>1781</v>
      </c>
      <c r="W8" s="20">
        <f>IF(V8&gt;0,(V8-V9-$Q8),"")</f>
        <v>-12492</v>
      </c>
      <c r="X8" s="21">
        <v>8651</v>
      </c>
      <c r="Y8" s="20">
        <f>IF(X8&gt;0,(X8-X9-$Q8),"")</f>
        <v>-5739</v>
      </c>
      <c r="Z8" s="21">
        <v>13437</v>
      </c>
      <c r="AA8" s="20">
        <f>IF(Z8&gt;0,(Z8-Z9-$Q8),"")</f>
        <v>-953</v>
      </c>
      <c r="AB8" s="21">
        <v>13437</v>
      </c>
      <c r="AC8" s="22">
        <f>IF(AB8&gt;0,(AB8-AB9-$Q8),"")</f>
        <v>-953</v>
      </c>
      <c r="AD8" s="21">
        <v>13437</v>
      </c>
      <c r="AE8" s="22">
        <f>IF(AD8&gt;0,(AD8-AD9-$Q8),"")</f>
        <v>-953</v>
      </c>
    </row>
    <row r="9" spans="2:42" x14ac:dyDescent="0.3">
      <c r="B9" s="28" t="s">
        <v>28</v>
      </c>
      <c r="C9" s="17">
        <v>1928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117</v>
      </c>
      <c r="Y9" s="24"/>
      <c r="Z9" s="30">
        <v>117</v>
      </c>
      <c r="AA9" s="24"/>
      <c r="AB9" s="30">
        <v>117</v>
      </c>
      <c r="AC9" s="26"/>
      <c r="AD9" s="30">
        <v>117</v>
      </c>
      <c r="AE9" s="26"/>
    </row>
    <row r="10" spans="2:42" x14ac:dyDescent="0.3">
      <c r="B10" s="16" t="s">
        <v>30</v>
      </c>
      <c r="C10" s="17">
        <v>6798</v>
      </c>
      <c r="E10" s="18" t="s">
        <v>31</v>
      </c>
      <c r="F10" s="119">
        <v>20394</v>
      </c>
      <c r="G10" s="117">
        <v>15522.00575</v>
      </c>
      <c r="H10" s="117">
        <v>1938.8124749999999</v>
      </c>
      <c r="I10" s="19">
        <f>G10+H10</f>
        <v>17460.818224999999</v>
      </c>
      <c r="J10" s="119">
        <v>23535</v>
      </c>
      <c r="K10" s="117">
        <v>17321.123625</v>
      </c>
      <c r="L10" s="117">
        <v>1966.6670225</v>
      </c>
      <c r="M10" s="19">
        <f>K10+L10</f>
        <v>19287.790647500002</v>
      </c>
      <c r="N10" s="88">
        <v>46</v>
      </c>
      <c r="O10" s="88">
        <v>36</v>
      </c>
      <c r="P10" s="92"/>
      <c r="Q10" s="20">
        <f>J10-P10</f>
        <v>23535</v>
      </c>
      <c r="R10" s="21">
        <v>3591</v>
      </c>
      <c r="S10" s="20">
        <f>IF(R10&gt;0,(R10-R11-$Q10),"")</f>
        <v>-20063</v>
      </c>
      <c r="T10" s="21">
        <v>3831</v>
      </c>
      <c r="U10" s="20">
        <f>IF(T10&gt;0,(T10-T11-$Q10),"")</f>
        <v>-19797</v>
      </c>
      <c r="V10" s="21">
        <v>6284</v>
      </c>
      <c r="W10" s="20">
        <f>IF(V10&gt;0,(V10-V11-$Q10),"")</f>
        <v>-17540</v>
      </c>
      <c r="X10" s="21">
        <v>9604</v>
      </c>
      <c r="Y10" s="20">
        <f>IF(X10&gt;0,(X10-X11-$Q10),"")</f>
        <v>-14371</v>
      </c>
      <c r="Z10" s="21">
        <v>12306</v>
      </c>
      <c r="AA10" s="20">
        <f>IF(Z10&gt;0,(Z10-Z11-$Q10),"")</f>
        <v>-11924</v>
      </c>
      <c r="AB10" s="21">
        <v>12554</v>
      </c>
      <c r="AC10" s="22">
        <f>IF(AB10&gt;0,(AB10-AB11-$Q10),"")</f>
        <v>-11729</v>
      </c>
      <c r="AD10" s="21">
        <v>12554</v>
      </c>
      <c r="AE10" s="22">
        <f>IF(AD10&gt;0,(AD10-AD11-$Q10),"")</f>
        <v>-11729</v>
      </c>
    </row>
    <row r="11" spans="2:42" x14ac:dyDescent="0.3">
      <c r="B11" s="16" t="s">
        <v>32</v>
      </c>
      <c r="C11" s="17">
        <v>2099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119</v>
      </c>
      <c r="S11" s="24"/>
      <c r="T11" s="30">
        <v>93</v>
      </c>
      <c r="U11" s="24"/>
      <c r="V11" s="30">
        <v>289</v>
      </c>
      <c r="W11" s="24"/>
      <c r="X11" s="30">
        <v>440</v>
      </c>
      <c r="Y11" s="24"/>
      <c r="Z11" s="30">
        <v>695</v>
      </c>
      <c r="AA11" s="24"/>
      <c r="AB11" s="30">
        <v>748</v>
      </c>
      <c r="AC11" s="26"/>
      <c r="AD11" s="30">
        <v>748</v>
      </c>
      <c r="AE11" s="26"/>
    </row>
    <row r="12" spans="2:42" x14ac:dyDescent="0.3">
      <c r="B12" s="16" t="s">
        <v>34</v>
      </c>
      <c r="C12" s="17">
        <v>1762</v>
      </c>
      <c r="E12" s="29" t="s">
        <v>35</v>
      </c>
      <c r="F12" s="119">
        <v>17242</v>
      </c>
      <c r="G12" s="117">
        <v>12983.986999999999</v>
      </c>
      <c r="H12" s="117">
        <v>17939.50007762</v>
      </c>
      <c r="I12" s="19">
        <f>G12+H12</f>
        <v>30923.487077619997</v>
      </c>
      <c r="J12" s="119">
        <v>15956</v>
      </c>
      <c r="K12" s="117">
        <v>12603.34175</v>
      </c>
      <c r="L12" s="117">
        <v>18334.403235799989</v>
      </c>
      <c r="M12" s="19">
        <f>K12+L12</f>
        <v>30937.744985799989</v>
      </c>
      <c r="N12" s="88">
        <v>48</v>
      </c>
      <c r="O12" s="88">
        <v>39</v>
      </c>
      <c r="P12" s="92"/>
      <c r="Q12" s="20">
        <f>J12-P12</f>
        <v>15956</v>
      </c>
      <c r="R12" s="21">
        <v>1871</v>
      </c>
      <c r="S12" s="20">
        <f>IF(R12&gt;0,(R12-R13-$Q12),"")</f>
        <v>-14329</v>
      </c>
      <c r="T12" s="21">
        <v>3170</v>
      </c>
      <c r="U12" s="20">
        <f>IF(T12&gt;0,(T12-T13-$Q12),"")</f>
        <v>-13079</v>
      </c>
      <c r="V12" s="21">
        <v>5874</v>
      </c>
      <c r="W12" s="20">
        <f>IF(V12&gt;0,(V12-V13-$Q12),"")</f>
        <v>-10702</v>
      </c>
      <c r="X12" s="21">
        <v>7936</v>
      </c>
      <c r="Y12" s="20">
        <f>IF(X12&gt;0,(X12-X13-$Q12),"")</f>
        <v>-8791</v>
      </c>
      <c r="Z12" s="21">
        <v>10550</v>
      </c>
      <c r="AA12" s="20">
        <f>IF(Z12&gt;0,(Z12-Z13-$Q12),"")</f>
        <v>-6602</v>
      </c>
      <c r="AB12" s="21">
        <v>10282</v>
      </c>
      <c r="AC12" s="22">
        <f>IF(AB12&gt;0,(AB12-AB13-$Q12),"")</f>
        <v>-6838</v>
      </c>
      <c r="AD12" s="21">
        <v>10282</v>
      </c>
      <c r="AE12" s="22">
        <f>IF(AD12&gt;0,(AD12-AD13-$Q12),"")</f>
        <v>-6838</v>
      </c>
    </row>
    <row r="13" spans="2:42" x14ac:dyDescent="0.3">
      <c r="B13" s="16" t="s">
        <v>36</v>
      </c>
      <c r="C13" s="17">
        <v>5175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244</v>
      </c>
      <c r="S13" s="24"/>
      <c r="T13" s="30">
        <v>293</v>
      </c>
      <c r="U13" s="24"/>
      <c r="V13" s="30">
        <v>620</v>
      </c>
      <c r="W13" s="24"/>
      <c r="X13" s="30">
        <v>771</v>
      </c>
      <c r="Y13" s="24"/>
      <c r="Z13" s="30">
        <v>1196</v>
      </c>
      <c r="AA13" s="24"/>
      <c r="AB13" s="30">
        <v>1164</v>
      </c>
      <c r="AC13" s="26"/>
      <c r="AD13" s="30">
        <v>1164</v>
      </c>
      <c r="AE13" s="26"/>
    </row>
    <row r="14" spans="2:42" x14ac:dyDescent="0.3">
      <c r="B14" s="16" t="s">
        <v>38</v>
      </c>
      <c r="C14" s="17">
        <v>12313</v>
      </c>
      <c r="E14" s="18" t="s">
        <v>39</v>
      </c>
      <c r="F14" s="119">
        <v>26923</v>
      </c>
      <c r="G14" s="117">
        <v>19631.96875</v>
      </c>
      <c r="H14" s="117">
        <v>24183.285816540021</v>
      </c>
      <c r="I14" s="19">
        <f>G14+H14</f>
        <v>43815.254566540025</v>
      </c>
      <c r="J14" s="119">
        <v>28561</v>
      </c>
      <c r="K14" s="117">
        <v>31790.5625</v>
      </c>
      <c r="L14" s="117">
        <v>35074.531952955003</v>
      </c>
      <c r="M14" s="19">
        <f>K14+L14</f>
        <v>66865.094452955003</v>
      </c>
      <c r="N14" s="88">
        <v>61</v>
      </c>
      <c r="O14" s="88">
        <v>51</v>
      </c>
      <c r="P14" s="92"/>
      <c r="Q14" s="20">
        <f>J14-P14</f>
        <v>28561</v>
      </c>
      <c r="R14" s="21">
        <v>4861</v>
      </c>
      <c r="S14" s="20">
        <f>IF(R14&gt;0,(R14-R15-$Q14),"")</f>
        <v>-24248</v>
      </c>
      <c r="T14" s="21">
        <v>9185</v>
      </c>
      <c r="U14" s="20">
        <f>IF(T14&gt;0,(T14-T15-$Q14),"")</f>
        <v>-21069</v>
      </c>
      <c r="V14" s="21">
        <v>11362</v>
      </c>
      <c r="W14" s="20">
        <f>IF(V14&gt;0,(V14-V15-$Q14),"")</f>
        <v>-19688</v>
      </c>
      <c r="X14" s="21">
        <v>14105</v>
      </c>
      <c r="Y14" s="20">
        <f>IF(X14&gt;0,(X14-X15-$Q14),"")</f>
        <v>-17477</v>
      </c>
      <c r="Z14" s="21">
        <v>16386</v>
      </c>
      <c r="AA14" s="20">
        <f>IF(Z14&gt;0,(Z14-Z15-$Q14),"")</f>
        <v>-15862</v>
      </c>
      <c r="AB14" s="21">
        <v>16810</v>
      </c>
      <c r="AC14" s="22">
        <f>IF(AB14&gt;0,(AB14-AB15-$Q14),"")</f>
        <v>-15728</v>
      </c>
      <c r="AD14" s="21">
        <v>16810</v>
      </c>
      <c r="AE14" s="22">
        <f>IF(AD14&gt;0,(AD14-AD15-$Q14),"")</f>
        <v>-15728</v>
      </c>
    </row>
    <row r="15" spans="2:42" ht="15" customHeight="1" thickBot="1" x14ac:dyDescent="0.3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548</v>
      </c>
      <c r="S15" s="24"/>
      <c r="T15" s="25">
        <v>1693</v>
      </c>
      <c r="U15" s="24"/>
      <c r="V15" s="25">
        <v>2489</v>
      </c>
      <c r="W15" s="24"/>
      <c r="X15" s="25">
        <v>3021</v>
      </c>
      <c r="Y15" s="24"/>
      <c r="Z15" s="25">
        <v>3687</v>
      </c>
      <c r="AA15" s="24"/>
      <c r="AB15" s="25">
        <v>3977</v>
      </c>
      <c r="AC15" s="26"/>
      <c r="AD15" s="25">
        <v>3977</v>
      </c>
      <c r="AE15" s="26"/>
    </row>
    <row r="16" spans="2:42" ht="15" customHeight="1" thickBot="1" x14ac:dyDescent="0.35">
      <c r="B16" s="28" t="s">
        <v>42</v>
      </c>
      <c r="C16" s="17">
        <v>13988</v>
      </c>
      <c r="E16" s="84"/>
      <c r="F16" s="31">
        <f t="shared" ref="F16:M16" si="0">SUM(F6:F15)</f>
        <v>102242</v>
      </c>
      <c r="G16" s="31">
        <f t="shared" si="0"/>
        <v>72811.399624999991</v>
      </c>
      <c r="H16" s="31">
        <f t="shared" si="0"/>
        <v>61819.623104720027</v>
      </c>
      <c r="I16" s="32">
        <f t="shared" si="0"/>
        <v>134631.02272972005</v>
      </c>
      <c r="J16" s="33">
        <f t="shared" si="0"/>
        <v>103239</v>
      </c>
      <c r="K16" s="33">
        <f t="shared" si="0"/>
        <v>84875.576250000013</v>
      </c>
      <c r="L16" s="33">
        <f t="shared" si="0"/>
        <v>71983.119303015003</v>
      </c>
      <c r="M16" s="33">
        <f t="shared" si="0"/>
        <v>156858.69555301499</v>
      </c>
      <c r="N16" s="31">
        <f>SUM(N14,N12,N10,N8,N6)</f>
        <v>247</v>
      </c>
      <c r="O16" s="31">
        <f>SUM(O14,O12,O10,O8,O6)</f>
        <v>199</v>
      </c>
      <c r="P16" s="34">
        <f>SUM(P6:P15)</f>
        <v>0</v>
      </c>
      <c r="Q16" s="34">
        <f>SUM(Q6:Q15)</f>
        <v>103239</v>
      </c>
      <c r="R16" s="35">
        <f>R6+R8+R10+R12+R14-R7-R9-R11-R13-R15</f>
        <v>10977</v>
      </c>
      <c r="S16" s="36">
        <f>IF(R16&gt;1,(R16-$Q16),"")</f>
        <v>-92262</v>
      </c>
      <c r="T16" s="35">
        <f>T6+T8+T10+T12+T14-T7-T9-T11-T13-T15</f>
        <v>20403</v>
      </c>
      <c r="U16" s="36">
        <f>IF(T16&gt;1,(T16-$Q16),"")</f>
        <v>-82836</v>
      </c>
      <c r="V16" s="35">
        <f>V6+V8+V10+V12+V14-V7-V9-V11-V13-V15</f>
        <v>31881</v>
      </c>
      <c r="W16" s="36">
        <f>IF(V16&gt;1,(V16-$Q16),"")</f>
        <v>-71358</v>
      </c>
      <c r="X16" s="35">
        <f>X6+X8+X10+X12+X14-X7-X9-X11-X13-X15</f>
        <v>48557</v>
      </c>
      <c r="Y16" s="36">
        <f>IF(X16&gt;1,(X16-$Q16),"")</f>
        <v>-54682</v>
      </c>
      <c r="Z16" s="35">
        <f>Z6+Z8+Z10+Z12+Z14-Z7-Z9-Z11-Z13-Z15</f>
        <v>62439</v>
      </c>
      <c r="AA16" s="36">
        <f>IF(Z16&gt;1,(Z16-$Q16),"")</f>
        <v>-40800</v>
      </c>
      <c r="AB16" s="35">
        <f>AB6+AB8+AB10+AB12+AB14-AB7-AB9-AB11-AB13-AB15</f>
        <v>63187</v>
      </c>
      <c r="AC16" s="37">
        <f>IF(AB16&gt;1,(AB16-$Q16),"")</f>
        <v>-40052</v>
      </c>
      <c r="AD16" s="35">
        <f>AD6+AD8+AD10+AD12+AD14-AD7-AD9-AD11-AD13-AD15</f>
        <v>63187</v>
      </c>
      <c r="AE16" s="37">
        <f>IF(AD16&gt;1,(AD16-$Q16),"")</f>
        <v>-40052</v>
      </c>
    </row>
    <row r="17" spans="2:43" s="4" customFormat="1" ht="15" customHeight="1" thickBot="1" x14ac:dyDescent="0.35">
      <c r="B17" s="43" t="s">
        <v>47</v>
      </c>
      <c r="C17" s="17">
        <v>1120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48</v>
      </c>
      <c r="P17" s="38" t="s">
        <v>44</v>
      </c>
      <c r="Q17" s="39"/>
      <c r="R17" s="40">
        <f>R15+R13+R11+R9+R7</f>
        <v>926</v>
      </c>
      <c r="S17" s="41"/>
      <c r="T17" s="40">
        <f>T15+T13+T11+T9+T7</f>
        <v>2157</v>
      </c>
      <c r="U17" s="41"/>
      <c r="V17" s="40">
        <f>V15+V13+V11+V9+V7</f>
        <v>3674</v>
      </c>
      <c r="W17" s="41"/>
      <c r="X17" s="40">
        <f>X15+X13+X11+X9+X7</f>
        <v>4677</v>
      </c>
      <c r="Y17" s="41"/>
      <c r="Z17" s="40">
        <f>Z15+Z13+Z11+Z9+Z7</f>
        <v>7107</v>
      </c>
      <c r="AA17" s="41"/>
      <c r="AB17" s="40">
        <f>AB15+AB13+AB11+AB9+AB7</f>
        <v>7418</v>
      </c>
      <c r="AC17" s="42"/>
      <c r="AD17" s="40">
        <f>AD15+AD13+AD11+AD9+AD7</f>
        <v>7418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5488.5</v>
      </c>
      <c r="S18" s="46"/>
      <c r="T18" s="47">
        <f>IF(T16&gt;0,(T16-R16)/2,"")</f>
        <v>4713</v>
      </c>
      <c r="U18" s="46"/>
      <c r="V18" s="47">
        <f>IF(V16&gt;0,(V16-T16)/2,"")</f>
        <v>5739</v>
      </c>
      <c r="W18" s="46"/>
      <c r="X18" s="47">
        <f>IF(X16&gt;0,(X16-V16)/2,"")</f>
        <v>8338</v>
      </c>
      <c r="Y18" s="46"/>
      <c r="Z18" s="47">
        <f>IF(Z16&gt;0,(Z16-X16)/2,"")</f>
        <v>6941</v>
      </c>
      <c r="AA18" s="46"/>
      <c r="AB18" s="47">
        <f>IF(AB16&gt;0,(AB16-Z16)/2,"")</f>
        <v>374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7577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2672</v>
      </c>
      <c r="L20" s="4"/>
      <c r="M20" s="4"/>
      <c r="Q20" s="51" t="s">
        <v>49</v>
      </c>
      <c r="R20" s="35">
        <v>6413</v>
      </c>
      <c r="S20" s="36"/>
      <c r="T20" s="35">
        <v>13662</v>
      </c>
      <c r="U20" s="36"/>
      <c r="V20" s="35">
        <v>20590</v>
      </c>
      <c r="W20" s="36"/>
      <c r="X20" s="35">
        <v>31435</v>
      </c>
      <c r="Y20" s="36"/>
      <c r="Z20" s="35">
        <v>42554</v>
      </c>
      <c r="AA20" s="36"/>
      <c r="AB20" s="35">
        <v>45036</v>
      </c>
      <c r="AC20" s="37"/>
      <c r="AD20" s="35">
        <v>45036</v>
      </c>
      <c r="AE20" s="37">
        <v>-34455</v>
      </c>
    </row>
    <row r="21" spans="2:43" ht="15" customHeight="1" thickBot="1" x14ac:dyDescent="0.35">
      <c r="B21" s="57" t="s">
        <v>52</v>
      </c>
      <c r="C21" s="58">
        <v>4181</v>
      </c>
      <c r="M21" s="4"/>
      <c r="Q21" s="52"/>
      <c r="R21" s="40">
        <v>4624</v>
      </c>
      <c r="S21" s="41"/>
      <c r="T21" s="40">
        <v>8803</v>
      </c>
      <c r="U21" s="41"/>
      <c r="V21" s="40">
        <v>10535</v>
      </c>
      <c r="W21" s="41"/>
      <c r="X21" s="40">
        <v>12581</v>
      </c>
      <c r="Y21" s="41"/>
      <c r="Z21" s="40">
        <v>12775</v>
      </c>
      <c r="AA21" s="41"/>
      <c r="AB21" s="40">
        <v>12775</v>
      </c>
      <c r="AC21" s="42"/>
      <c r="AD21" s="40">
        <v>12775</v>
      </c>
      <c r="AE21" s="42"/>
    </row>
    <row r="22" spans="2:43" ht="15" customHeight="1" thickBot="1" x14ac:dyDescent="0.35">
      <c r="M22" s="4"/>
      <c r="Q22" s="54"/>
      <c r="R22" s="55">
        <v>3206.5</v>
      </c>
      <c r="S22" s="55"/>
      <c r="T22" s="55">
        <v>3624.5</v>
      </c>
      <c r="U22" s="55"/>
      <c r="V22" s="55">
        <v>3464</v>
      </c>
      <c r="W22" s="55"/>
      <c r="X22" s="55">
        <v>5422.5</v>
      </c>
      <c r="Y22" s="55"/>
      <c r="Z22" s="55">
        <v>5559.5</v>
      </c>
      <c r="AA22" s="55"/>
      <c r="AB22" s="55">
        <v>1241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4564</v>
      </c>
      <c r="S24" s="60"/>
      <c r="T24" s="60">
        <f>IF(T16&gt;0,T16-T20,"")</f>
        <v>6741</v>
      </c>
      <c r="U24" s="60"/>
      <c r="V24" s="60">
        <f>IF(V16&gt;0,V16-V20,"")</f>
        <v>11291</v>
      </c>
      <c r="W24" s="60"/>
      <c r="X24" s="60">
        <f>IF(X16&gt;0,X16-X20,"")</f>
        <v>17122</v>
      </c>
      <c r="Y24" s="60"/>
      <c r="Z24" s="60">
        <f>IF(Z16&gt;0,Z16-Z20,"")</f>
        <v>19885</v>
      </c>
      <c r="AA24" s="60"/>
      <c r="AB24" s="60">
        <f>IF(AB16&gt;0,AB16-AB20,"")</f>
        <v>18151</v>
      </c>
      <c r="AC24" s="61"/>
      <c r="AD24" s="60">
        <f>IF(AD16&gt;0,AD16-AD20,"")</f>
        <v>18151</v>
      </c>
      <c r="AE24" s="61"/>
    </row>
    <row r="25" spans="2:43" x14ac:dyDescent="0.3">
      <c r="M25" s="4"/>
      <c r="Q25" s="62"/>
      <c r="R25" s="63">
        <f>IF(R17&gt;=0,R17-R21,"")</f>
        <v>-3698</v>
      </c>
      <c r="S25" s="64"/>
      <c r="T25" s="63">
        <f>IF(T17&gt;=0,T17-T21,"")</f>
        <v>-6646</v>
      </c>
      <c r="U25" s="64"/>
      <c r="V25" s="63">
        <f>IF(V17&gt;=0,V17-V21,"")</f>
        <v>-6861</v>
      </c>
      <c r="W25" s="64"/>
      <c r="X25" s="63">
        <f>IF(X17&gt;=0,X17-X21,"")</f>
        <v>-7904</v>
      </c>
      <c r="Y25" s="64"/>
      <c r="Z25" s="63">
        <f>IF(Z17&gt;=0,Z17-Z21,"")</f>
        <v>-5668</v>
      </c>
      <c r="AA25" s="64"/>
      <c r="AB25" s="63">
        <f>IF(AB17&gt;=0,AB17-AB21,"")</f>
        <v>-5357</v>
      </c>
      <c r="AC25" s="65"/>
      <c r="AD25" s="63">
        <f>IF(AD17&gt;=0,AD17-AD21,"")</f>
        <v>-5357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2282</v>
      </c>
      <c r="S26" s="55"/>
      <c r="T26" s="67">
        <f>IFERROR(IF(T18&gt;0,T18-T22,""),"")</f>
        <v>1088.5</v>
      </c>
      <c r="U26" s="55"/>
      <c r="V26" s="67">
        <f>IFERROR(IF(V18&gt;0,V18-V22,""),"")</f>
        <v>2275</v>
      </c>
      <c r="W26" s="55"/>
      <c r="X26" s="67">
        <f>IFERROR(IF(X18&gt;0,X18-X22,""),"")</f>
        <v>2915.5</v>
      </c>
      <c r="Y26" s="55"/>
      <c r="Z26" s="67">
        <f>IFERROR(IF(Z18&gt;0,Z18-Z22,""),"")</f>
        <v>1381.5</v>
      </c>
      <c r="AA26" s="55"/>
      <c r="AB26" s="67">
        <f>IFERROR(IF(AB18&gt;0,AB18-AB22,""),"")</f>
        <v>-867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11822</v>
      </c>
      <c r="D29" s="76">
        <f>C14</f>
        <v>12313</v>
      </c>
      <c r="E29" s="77">
        <f>D29-C29</f>
        <v>491</v>
      </c>
      <c r="O29" s="4"/>
    </row>
    <row r="30" spans="2:43" x14ac:dyDescent="0.3">
      <c r="B30" s="74" t="s">
        <v>56</v>
      </c>
      <c r="C30" s="122">
        <v>35609</v>
      </c>
      <c r="D30" s="76">
        <f>C7+C15+C16+C17+C18</f>
        <v>20594</v>
      </c>
      <c r="E30" s="77">
        <f>D30-C30</f>
        <v>-15015</v>
      </c>
      <c r="J30" s="53"/>
      <c r="O30" s="4"/>
    </row>
    <row r="31" spans="2:43" x14ac:dyDescent="0.3">
      <c r="B31" s="74" t="s">
        <v>21</v>
      </c>
      <c r="C31" s="122">
        <v>6184</v>
      </c>
      <c r="D31" s="76">
        <f>C6</f>
        <v>6184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15834</v>
      </c>
      <c r="D32" s="76">
        <f>C10+C11+C12+C13</f>
        <v>15834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14750</v>
      </c>
      <c r="D33" s="76">
        <f>C19+C20+C21</f>
        <v>14430</v>
      </c>
      <c r="E33" s="77">
        <f>D33-C33</f>
        <v>-320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4651</v>
      </c>
      <c r="D34" s="80">
        <f>SUM(C8+C9)</f>
        <v>4651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3077</v>
      </c>
      <c r="R35" s="104">
        <v>0</v>
      </c>
      <c r="S35" s="104">
        <f t="shared" ref="S35:S64" si="1">IF(T35&gt;0,(T35-R35)/2,"")</f>
        <v>383.5</v>
      </c>
      <c r="T35" s="104">
        <v>767</v>
      </c>
      <c r="U35" s="104">
        <f t="shared" ref="U35:U64" si="2">IF(V35&gt;0,(V35-T35)/2,"")</f>
        <v>415</v>
      </c>
      <c r="V35" s="104">
        <v>1597</v>
      </c>
      <c r="W35" s="104">
        <f t="shared" ref="W35:W64" si="3">IF(X35&gt;0,(X35-V35)/2,"")</f>
        <v>272</v>
      </c>
      <c r="X35" s="104">
        <v>2141</v>
      </c>
      <c r="Y35" s="104">
        <f t="shared" ref="Y35:Y64" si="4">IF(Z35&gt;0,(Z35-X35)/2,"")</f>
        <v>25.5</v>
      </c>
      <c r="Z35" s="104">
        <v>2192</v>
      </c>
      <c r="AA35" s="104">
        <f t="shared" ref="AA35:AA64" si="5">IF(AB35&gt;0,(AB35-Z35)/2,"")</f>
        <v>6.5</v>
      </c>
      <c r="AB35" s="104">
        <v>2205</v>
      </c>
      <c r="AC35" s="104">
        <f t="shared" ref="AC35:AC64" si="6">IF(AD35&gt;0,(AD35-AB35)/2,"")</f>
        <v>0</v>
      </c>
      <c r="AD35" s="104">
        <v>2205</v>
      </c>
      <c r="AE35" s="105">
        <f t="shared" ref="AE35:AE64" si="7">AD35-Q35</f>
        <v>-872</v>
      </c>
    </row>
    <row r="36" spans="2:31" ht="15.6" customHeight="1" x14ac:dyDescent="0.3">
      <c r="N36" s="212"/>
      <c r="O36" s="95" t="s">
        <v>66</v>
      </c>
      <c r="P36" s="106"/>
      <c r="Q36" s="106">
        <v>1430</v>
      </c>
      <c r="R36" s="106">
        <v>0</v>
      </c>
      <c r="S36" s="106">
        <f t="shared" si="1"/>
        <v>265.5</v>
      </c>
      <c r="T36" s="106">
        <v>531</v>
      </c>
      <c r="U36" s="106">
        <f t="shared" si="2"/>
        <v>86</v>
      </c>
      <c r="V36" s="106">
        <v>703</v>
      </c>
      <c r="W36" s="106">
        <f t="shared" si="3"/>
        <v>169.5</v>
      </c>
      <c r="X36" s="106">
        <v>1042</v>
      </c>
      <c r="Y36" s="106">
        <f t="shared" si="4"/>
        <v>33</v>
      </c>
      <c r="Z36" s="106">
        <v>1108</v>
      </c>
      <c r="AA36" s="106">
        <f t="shared" si="5"/>
        <v>0</v>
      </c>
      <c r="AB36" s="106">
        <v>1108</v>
      </c>
      <c r="AC36" s="106">
        <f t="shared" si="6"/>
        <v>0</v>
      </c>
      <c r="AD36" s="106">
        <v>1108</v>
      </c>
      <c r="AE36" s="107">
        <f t="shared" si="7"/>
        <v>-322</v>
      </c>
    </row>
    <row r="37" spans="2:31" ht="15.6" customHeight="1" x14ac:dyDescent="0.3">
      <c r="N37" s="212"/>
      <c r="O37" s="94" t="s">
        <v>67</v>
      </c>
      <c r="P37" s="108"/>
      <c r="Q37" s="108">
        <v>2644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0</v>
      </c>
      <c r="V37" s="108">
        <v>420</v>
      </c>
      <c r="W37" s="108">
        <f t="shared" si="3"/>
        <v>19.5</v>
      </c>
      <c r="X37" s="108">
        <v>459</v>
      </c>
      <c r="Y37" s="108">
        <f t="shared" si="4"/>
        <v>856</v>
      </c>
      <c r="Z37" s="108">
        <v>2171</v>
      </c>
      <c r="AA37" s="108">
        <f t="shared" si="5"/>
        <v>108</v>
      </c>
      <c r="AB37" s="108">
        <v>2387</v>
      </c>
      <c r="AC37" s="108">
        <f t="shared" si="6"/>
        <v>0</v>
      </c>
      <c r="AD37" s="108">
        <v>2387</v>
      </c>
      <c r="AE37" s="109">
        <f t="shared" si="7"/>
        <v>-257</v>
      </c>
    </row>
    <row r="38" spans="2:31" ht="15.6" customHeight="1" x14ac:dyDescent="0.3">
      <c r="N38" s="212"/>
      <c r="O38" s="95" t="s">
        <v>68</v>
      </c>
      <c r="P38" s="106"/>
      <c r="Q38" s="106">
        <v>3022</v>
      </c>
      <c r="R38" s="106">
        <v>2</v>
      </c>
      <c r="S38" s="106">
        <f t="shared" si="1"/>
        <v>633.5</v>
      </c>
      <c r="T38" s="106">
        <v>1269</v>
      </c>
      <c r="U38" s="106">
        <f t="shared" si="2"/>
        <v>384.5</v>
      </c>
      <c r="V38" s="106">
        <v>2038</v>
      </c>
      <c r="W38" s="106">
        <f t="shared" si="3"/>
        <v>265</v>
      </c>
      <c r="X38" s="106">
        <v>2568</v>
      </c>
      <c r="Y38" s="106">
        <f t="shared" si="4"/>
        <v>242.5</v>
      </c>
      <c r="Z38" s="106">
        <v>3053</v>
      </c>
      <c r="AA38" s="106">
        <f t="shared" si="5"/>
        <v>0</v>
      </c>
      <c r="AB38" s="106">
        <v>3053</v>
      </c>
      <c r="AC38" s="106">
        <f t="shared" si="6"/>
        <v>0</v>
      </c>
      <c r="AD38" s="106">
        <v>3053</v>
      </c>
      <c r="AE38" s="107">
        <f t="shared" si="7"/>
        <v>31</v>
      </c>
    </row>
    <row r="39" spans="2:31" ht="15.6" customHeight="1" x14ac:dyDescent="0.3">
      <c r="N39" s="212"/>
      <c r="O39" s="94" t="s">
        <v>69</v>
      </c>
      <c r="P39" s="108"/>
      <c r="Q39" s="108">
        <v>2490</v>
      </c>
      <c r="R39" s="108">
        <v>5</v>
      </c>
      <c r="S39" s="108">
        <f t="shared" si="1"/>
        <v>0</v>
      </c>
      <c r="T39" s="108">
        <v>5</v>
      </c>
      <c r="U39" s="108">
        <f t="shared" si="2"/>
        <v>806</v>
      </c>
      <c r="V39" s="108">
        <v>1617</v>
      </c>
      <c r="W39" s="108">
        <f t="shared" si="3"/>
        <v>0</v>
      </c>
      <c r="X39" s="108">
        <v>1617</v>
      </c>
      <c r="Y39" s="108">
        <f t="shared" si="4"/>
        <v>179.5</v>
      </c>
      <c r="Z39" s="108">
        <v>1976</v>
      </c>
      <c r="AA39" s="108">
        <f t="shared" si="5"/>
        <v>0</v>
      </c>
      <c r="AB39" s="108">
        <v>1976</v>
      </c>
      <c r="AC39" s="108">
        <f t="shared" si="6"/>
        <v>0</v>
      </c>
      <c r="AD39" s="108">
        <v>1976</v>
      </c>
      <c r="AE39" s="109">
        <f t="shared" si="7"/>
        <v>-514</v>
      </c>
    </row>
    <row r="40" spans="2:31" ht="15.6" customHeight="1" x14ac:dyDescent="0.3">
      <c r="N40" s="212"/>
      <c r="O40" s="95" t="s">
        <v>70</v>
      </c>
      <c r="P40" s="106"/>
      <c r="Q40" s="106">
        <v>3498</v>
      </c>
      <c r="R40" s="106">
        <v>25</v>
      </c>
      <c r="S40" s="106">
        <f t="shared" si="1"/>
        <v>403</v>
      </c>
      <c r="T40" s="106">
        <v>831</v>
      </c>
      <c r="U40" s="106">
        <f t="shared" si="2"/>
        <v>20</v>
      </c>
      <c r="V40" s="106">
        <v>871</v>
      </c>
      <c r="W40" s="106">
        <f t="shared" si="3"/>
        <v>0</v>
      </c>
      <c r="X40" s="106">
        <v>871</v>
      </c>
      <c r="Y40" s="106">
        <f t="shared" si="4"/>
        <v>628</v>
      </c>
      <c r="Z40" s="106">
        <v>2127</v>
      </c>
      <c r="AA40" s="106">
        <f t="shared" si="5"/>
        <v>213</v>
      </c>
      <c r="AB40" s="106">
        <v>2553</v>
      </c>
      <c r="AC40" s="106">
        <f t="shared" si="6"/>
        <v>0</v>
      </c>
      <c r="AD40" s="106">
        <v>2553</v>
      </c>
      <c r="AE40" s="107">
        <f t="shared" si="7"/>
        <v>-945</v>
      </c>
    </row>
    <row r="41" spans="2:31" ht="15.6" customHeight="1" x14ac:dyDescent="0.3">
      <c r="N41" s="212"/>
      <c r="O41" s="94" t="s">
        <v>71</v>
      </c>
      <c r="P41" s="108"/>
      <c r="Q41" s="108">
        <v>1247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394.5</v>
      </c>
      <c r="V41" s="108">
        <v>789</v>
      </c>
      <c r="W41" s="108">
        <f t="shared" si="3"/>
        <v>166.5</v>
      </c>
      <c r="X41" s="108">
        <v>1122</v>
      </c>
      <c r="Y41" s="108">
        <f t="shared" si="4"/>
        <v>0</v>
      </c>
      <c r="Z41" s="108">
        <v>1122</v>
      </c>
      <c r="AA41" s="108">
        <f t="shared" si="5"/>
        <v>0</v>
      </c>
      <c r="AB41" s="108">
        <v>1122</v>
      </c>
      <c r="AC41" s="108">
        <f t="shared" si="6"/>
        <v>0</v>
      </c>
      <c r="AD41" s="108">
        <v>1122</v>
      </c>
      <c r="AE41" s="109">
        <f t="shared" si="7"/>
        <v>-125</v>
      </c>
    </row>
    <row r="42" spans="2:31" ht="15.6" customHeight="1" x14ac:dyDescent="0.3">
      <c r="N42" s="212"/>
      <c r="O42" s="95" t="s">
        <v>72</v>
      </c>
      <c r="P42" s="106"/>
      <c r="Q42" s="106">
        <v>1733</v>
      </c>
      <c r="R42" s="106">
        <v>0</v>
      </c>
      <c r="S42" s="106">
        <f t="shared" si="1"/>
        <v>272.5</v>
      </c>
      <c r="T42" s="106">
        <v>545</v>
      </c>
      <c r="U42" s="106">
        <f t="shared" si="2"/>
        <v>0</v>
      </c>
      <c r="V42" s="106">
        <v>545</v>
      </c>
      <c r="W42" s="106">
        <f t="shared" si="3"/>
        <v>382.5</v>
      </c>
      <c r="X42" s="106">
        <v>1310</v>
      </c>
      <c r="Y42" s="106">
        <f t="shared" si="4"/>
        <v>0</v>
      </c>
      <c r="Z42" s="106">
        <v>1310</v>
      </c>
      <c r="AA42" s="106">
        <f t="shared" si="5"/>
        <v>0</v>
      </c>
      <c r="AB42" s="106">
        <v>1310</v>
      </c>
      <c r="AC42" s="106">
        <f t="shared" si="6"/>
        <v>0</v>
      </c>
      <c r="AD42" s="106">
        <v>1310</v>
      </c>
      <c r="AE42" s="107">
        <f t="shared" si="7"/>
        <v>-423</v>
      </c>
    </row>
    <row r="43" spans="2:31" ht="15.6" customHeight="1" thickBot="1" x14ac:dyDescent="0.35">
      <c r="N43" s="213"/>
      <c r="O43" s="97" t="s">
        <v>73</v>
      </c>
      <c r="P43" s="110"/>
      <c r="Q43" s="110">
        <v>1773</v>
      </c>
      <c r="R43" s="110">
        <v>468</v>
      </c>
      <c r="S43" s="110">
        <f t="shared" si="1"/>
        <v>229</v>
      </c>
      <c r="T43" s="110">
        <v>926</v>
      </c>
      <c r="U43" s="110">
        <f t="shared" si="2"/>
        <v>374</v>
      </c>
      <c r="V43" s="110">
        <v>1674</v>
      </c>
      <c r="W43" s="110">
        <f t="shared" si="3"/>
        <v>67</v>
      </c>
      <c r="X43" s="110">
        <v>1808</v>
      </c>
      <c r="Y43" s="110">
        <f t="shared" si="4"/>
        <v>0</v>
      </c>
      <c r="Z43" s="110">
        <v>1808</v>
      </c>
      <c r="AA43" s="110">
        <f t="shared" si="5"/>
        <v>0</v>
      </c>
      <c r="AB43" s="110">
        <v>1808</v>
      </c>
      <c r="AC43" s="110">
        <f t="shared" si="6"/>
        <v>0</v>
      </c>
      <c r="AD43" s="110">
        <v>1808</v>
      </c>
      <c r="AE43" s="111">
        <f t="shared" si="7"/>
        <v>35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4555</v>
      </c>
      <c r="R44" s="112">
        <v>1080</v>
      </c>
      <c r="S44" s="112">
        <f t="shared" si="1"/>
        <v>0</v>
      </c>
      <c r="T44" s="112">
        <v>1080</v>
      </c>
      <c r="U44" s="112">
        <f t="shared" si="2"/>
        <v>350.5</v>
      </c>
      <c r="V44" s="112">
        <v>1781</v>
      </c>
      <c r="W44" s="112">
        <f t="shared" si="3"/>
        <v>957.5</v>
      </c>
      <c r="X44" s="112">
        <v>3696</v>
      </c>
      <c r="Y44" s="112">
        <f t="shared" si="4"/>
        <v>488</v>
      </c>
      <c r="Z44" s="112">
        <v>4672</v>
      </c>
      <c r="AA44" s="112">
        <f t="shared" si="5"/>
        <v>0</v>
      </c>
      <c r="AB44" s="112">
        <v>4672</v>
      </c>
      <c r="AC44" s="112">
        <f t="shared" si="6"/>
        <v>0</v>
      </c>
      <c r="AD44" s="112">
        <v>4672</v>
      </c>
      <c r="AE44" s="113">
        <f t="shared" si="7"/>
        <v>117</v>
      </c>
    </row>
    <row r="45" spans="2:31" ht="15.6" customHeight="1" x14ac:dyDescent="0.3">
      <c r="N45" s="212"/>
      <c r="O45" s="94" t="s">
        <v>66</v>
      </c>
      <c r="P45" s="108"/>
      <c r="Q45" s="108">
        <v>3633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1184.5</v>
      </c>
      <c r="X45" s="108">
        <v>2369</v>
      </c>
      <c r="Y45" s="108">
        <f t="shared" si="4"/>
        <v>632</v>
      </c>
      <c r="Z45" s="108">
        <v>3633</v>
      </c>
      <c r="AA45" s="108">
        <f t="shared" si="5"/>
        <v>0</v>
      </c>
      <c r="AB45" s="108">
        <v>3633</v>
      </c>
      <c r="AC45" s="108">
        <f t="shared" si="6"/>
        <v>0</v>
      </c>
      <c r="AD45" s="108">
        <v>3633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2239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138.5</v>
      </c>
      <c r="X46" s="106">
        <v>277</v>
      </c>
      <c r="Y46" s="106">
        <f t="shared" si="4"/>
        <v>777</v>
      </c>
      <c r="Z46" s="106">
        <v>1831</v>
      </c>
      <c r="AA46" s="106">
        <f t="shared" si="5"/>
        <v>0</v>
      </c>
      <c r="AB46" s="106">
        <v>1831</v>
      </c>
      <c r="AC46" s="106">
        <f t="shared" si="6"/>
        <v>0</v>
      </c>
      <c r="AD46" s="106">
        <v>1831</v>
      </c>
      <c r="AE46" s="107">
        <f t="shared" si="7"/>
        <v>-408</v>
      </c>
    </row>
    <row r="47" spans="2:31" ht="15.6" customHeight="1" thickBot="1" x14ac:dyDescent="0.35">
      <c r="N47" s="213"/>
      <c r="O47" s="97" t="s">
        <v>68</v>
      </c>
      <c r="P47" s="110"/>
      <c r="Q47" s="110">
        <v>3846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1154.5</v>
      </c>
      <c r="X47" s="110">
        <v>2309</v>
      </c>
      <c r="Y47" s="110">
        <f t="shared" si="4"/>
        <v>496</v>
      </c>
      <c r="Z47" s="110">
        <v>3301</v>
      </c>
      <c r="AA47" s="110">
        <f t="shared" si="5"/>
        <v>0</v>
      </c>
      <c r="AB47" s="110">
        <v>3301</v>
      </c>
      <c r="AC47" s="110">
        <f t="shared" si="6"/>
        <v>0</v>
      </c>
      <c r="AD47" s="110">
        <v>3301</v>
      </c>
      <c r="AE47" s="111">
        <f t="shared" si="7"/>
        <v>-545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2249</v>
      </c>
      <c r="R48" s="112">
        <v>964</v>
      </c>
      <c r="S48" s="112">
        <f t="shared" si="1"/>
        <v>368</v>
      </c>
      <c r="T48" s="112">
        <v>1700</v>
      </c>
      <c r="U48" s="112">
        <f t="shared" si="2"/>
        <v>12.5</v>
      </c>
      <c r="V48" s="112">
        <v>1725</v>
      </c>
      <c r="W48" s="112">
        <f t="shared" si="3"/>
        <v>53</v>
      </c>
      <c r="X48" s="112">
        <v>1831</v>
      </c>
      <c r="Y48" s="112">
        <f t="shared" si="4"/>
        <v>0</v>
      </c>
      <c r="Z48" s="112">
        <v>1831</v>
      </c>
      <c r="AA48" s="112">
        <f t="shared" si="5"/>
        <v>32.5</v>
      </c>
      <c r="AB48" s="112">
        <v>1896</v>
      </c>
      <c r="AC48" s="112">
        <f t="shared" si="6"/>
        <v>0</v>
      </c>
      <c r="AD48" s="112">
        <v>1896</v>
      </c>
      <c r="AE48" s="113">
        <f t="shared" si="7"/>
        <v>-353</v>
      </c>
    </row>
    <row r="49" spans="14:31" ht="15.6" customHeight="1" x14ac:dyDescent="0.3">
      <c r="N49" s="212"/>
      <c r="O49" s="94" t="s">
        <v>66</v>
      </c>
      <c r="P49" s="108"/>
      <c r="Q49" s="108">
        <v>3688</v>
      </c>
      <c r="R49" s="108">
        <v>4</v>
      </c>
      <c r="S49" s="108">
        <f t="shared" si="1"/>
        <v>68.5</v>
      </c>
      <c r="T49" s="108">
        <v>141</v>
      </c>
      <c r="U49" s="108">
        <f t="shared" si="2"/>
        <v>0</v>
      </c>
      <c r="V49" s="108">
        <v>141</v>
      </c>
      <c r="W49" s="108">
        <f t="shared" si="3"/>
        <v>877</v>
      </c>
      <c r="X49" s="108">
        <v>1895</v>
      </c>
      <c r="Y49" s="108">
        <f t="shared" si="4"/>
        <v>194</v>
      </c>
      <c r="Z49" s="108">
        <v>2283</v>
      </c>
      <c r="AA49" s="108">
        <f t="shared" si="5"/>
        <v>0</v>
      </c>
      <c r="AB49" s="108">
        <v>2283</v>
      </c>
      <c r="AC49" s="108">
        <f t="shared" si="6"/>
        <v>0</v>
      </c>
      <c r="AD49" s="108">
        <v>2283</v>
      </c>
      <c r="AE49" s="109">
        <f t="shared" si="7"/>
        <v>-1405</v>
      </c>
    </row>
    <row r="50" spans="14:31" ht="15.6" customHeight="1" x14ac:dyDescent="0.3">
      <c r="N50" s="212"/>
      <c r="O50" s="95" t="s">
        <v>67</v>
      </c>
      <c r="P50" s="106"/>
      <c r="Q50" s="106">
        <v>3582</v>
      </c>
      <c r="R50" s="106">
        <v>580</v>
      </c>
      <c r="S50" s="106">
        <f t="shared" si="1"/>
        <v>-143.5</v>
      </c>
      <c r="T50" s="106">
        <v>293</v>
      </c>
      <c r="U50" s="106">
        <f t="shared" si="2"/>
        <v>258.5</v>
      </c>
      <c r="V50" s="106">
        <v>810</v>
      </c>
      <c r="W50" s="106">
        <f t="shared" si="3"/>
        <v>154</v>
      </c>
      <c r="X50" s="106">
        <v>1118</v>
      </c>
      <c r="Y50" s="106">
        <f t="shared" si="4"/>
        <v>0</v>
      </c>
      <c r="Z50" s="106">
        <v>1118</v>
      </c>
      <c r="AA50" s="106">
        <f t="shared" si="5"/>
        <v>0</v>
      </c>
      <c r="AB50" s="106">
        <v>1118</v>
      </c>
      <c r="AC50" s="106">
        <f t="shared" si="6"/>
        <v>0</v>
      </c>
      <c r="AD50" s="106">
        <v>1118</v>
      </c>
      <c r="AE50" s="107">
        <f t="shared" si="7"/>
        <v>-2464</v>
      </c>
    </row>
    <row r="51" spans="14:31" ht="15.6" customHeight="1" x14ac:dyDescent="0.3">
      <c r="N51" s="212"/>
      <c r="O51" s="94" t="s">
        <v>68</v>
      </c>
      <c r="P51" s="108"/>
      <c r="Q51" s="108">
        <v>2947</v>
      </c>
      <c r="R51" s="108">
        <v>309</v>
      </c>
      <c r="S51" s="108">
        <f t="shared" si="1"/>
        <v>-134.5</v>
      </c>
      <c r="T51" s="108">
        <v>40</v>
      </c>
      <c r="U51" s="108">
        <f t="shared" si="2"/>
        <v>151</v>
      </c>
      <c r="V51" s="108">
        <v>342</v>
      </c>
      <c r="W51" s="108">
        <f t="shared" si="3"/>
        <v>0</v>
      </c>
      <c r="X51" s="108">
        <v>342</v>
      </c>
      <c r="Y51" s="108">
        <f t="shared" si="4"/>
        <v>279.5</v>
      </c>
      <c r="Z51" s="108">
        <v>901</v>
      </c>
      <c r="AA51" s="108">
        <f t="shared" si="5"/>
        <v>0</v>
      </c>
      <c r="AB51" s="108">
        <v>901</v>
      </c>
      <c r="AC51" s="108">
        <f t="shared" si="6"/>
        <v>0</v>
      </c>
      <c r="AD51" s="108">
        <v>901</v>
      </c>
      <c r="AE51" s="109">
        <f t="shared" si="7"/>
        <v>-2046</v>
      </c>
    </row>
    <row r="52" spans="14:31" ht="15.6" customHeight="1" x14ac:dyDescent="0.3">
      <c r="N52" s="212"/>
      <c r="O52" s="95" t="s">
        <v>69</v>
      </c>
      <c r="P52" s="106"/>
      <c r="Q52" s="106">
        <v>4266</v>
      </c>
      <c r="R52" s="106">
        <v>168</v>
      </c>
      <c r="S52" s="106">
        <f t="shared" si="1"/>
        <v>8.5</v>
      </c>
      <c r="T52" s="106">
        <v>185</v>
      </c>
      <c r="U52" s="106">
        <f t="shared" si="2"/>
        <v>224.5</v>
      </c>
      <c r="V52" s="106">
        <v>634</v>
      </c>
      <c r="W52" s="106">
        <f t="shared" si="3"/>
        <v>86</v>
      </c>
      <c r="X52" s="106">
        <v>806</v>
      </c>
      <c r="Y52" s="106">
        <f t="shared" si="4"/>
        <v>214.5</v>
      </c>
      <c r="Z52" s="106">
        <v>1235</v>
      </c>
      <c r="AA52" s="106">
        <f t="shared" si="5"/>
        <v>91.5</v>
      </c>
      <c r="AB52" s="106">
        <v>1418</v>
      </c>
      <c r="AC52" s="106">
        <f t="shared" si="6"/>
        <v>0</v>
      </c>
      <c r="AD52" s="106">
        <v>1418</v>
      </c>
      <c r="AE52" s="107">
        <f t="shared" si="7"/>
        <v>-2848</v>
      </c>
    </row>
    <row r="53" spans="14:31" ht="15.6" customHeight="1" x14ac:dyDescent="0.3">
      <c r="N53" s="212"/>
      <c r="O53" s="94" t="s">
        <v>70</v>
      </c>
      <c r="P53" s="108"/>
      <c r="Q53" s="108">
        <v>1705</v>
      </c>
      <c r="R53" s="108">
        <v>5</v>
      </c>
      <c r="S53" s="108">
        <f t="shared" si="1"/>
        <v>2.5</v>
      </c>
      <c r="T53" s="108">
        <v>10</v>
      </c>
      <c r="U53" s="108">
        <f t="shared" si="2"/>
        <v>0</v>
      </c>
      <c r="V53" s="108">
        <v>10</v>
      </c>
      <c r="W53" s="108">
        <f t="shared" si="3"/>
        <v>0</v>
      </c>
      <c r="X53" s="108">
        <v>10</v>
      </c>
      <c r="Y53" s="108">
        <f t="shared" si="4"/>
        <v>435.5</v>
      </c>
      <c r="Z53" s="108">
        <v>881</v>
      </c>
      <c r="AA53" s="108">
        <f t="shared" si="5"/>
        <v>0</v>
      </c>
      <c r="AB53" s="108">
        <v>881</v>
      </c>
      <c r="AC53" s="108">
        <f t="shared" si="6"/>
        <v>0</v>
      </c>
      <c r="AD53" s="108">
        <v>881</v>
      </c>
      <c r="AE53" s="109">
        <f t="shared" si="7"/>
        <v>-824</v>
      </c>
    </row>
    <row r="54" spans="14:31" ht="15.6" customHeight="1" x14ac:dyDescent="0.3">
      <c r="N54" s="212"/>
      <c r="O54" s="95" t="s">
        <v>71</v>
      </c>
      <c r="P54" s="106"/>
      <c r="Q54" s="106">
        <v>1970</v>
      </c>
      <c r="R54" s="106">
        <v>341</v>
      </c>
      <c r="S54" s="106">
        <f t="shared" si="1"/>
        <v>-53.5</v>
      </c>
      <c r="T54" s="106">
        <v>234</v>
      </c>
      <c r="U54" s="106">
        <f t="shared" si="2"/>
        <v>0</v>
      </c>
      <c r="V54" s="106">
        <v>234</v>
      </c>
      <c r="W54" s="106">
        <f t="shared" si="3"/>
        <v>477.5</v>
      </c>
      <c r="X54" s="106">
        <v>1189</v>
      </c>
      <c r="Y54" s="106">
        <f t="shared" si="4"/>
        <v>0</v>
      </c>
      <c r="Z54" s="106">
        <v>1189</v>
      </c>
      <c r="AA54" s="106">
        <f t="shared" si="5"/>
        <v>0</v>
      </c>
      <c r="AB54" s="106">
        <v>1189</v>
      </c>
      <c r="AC54" s="106">
        <f t="shared" si="6"/>
        <v>0</v>
      </c>
      <c r="AD54" s="106">
        <v>1189</v>
      </c>
      <c r="AE54" s="107">
        <f t="shared" si="7"/>
        <v>-781</v>
      </c>
    </row>
    <row r="55" spans="14:31" ht="15.6" customHeight="1" x14ac:dyDescent="0.3">
      <c r="N55" s="212"/>
      <c r="O55" s="94" t="s">
        <v>72</v>
      </c>
      <c r="P55" s="108"/>
      <c r="Q55" s="108">
        <v>2828</v>
      </c>
      <c r="R55" s="108">
        <v>1220</v>
      </c>
      <c r="S55" s="108">
        <f t="shared" si="1"/>
        <v>0</v>
      </c>
      <c r="T55" s="108">
        <v>1220</v>
      </c>
      <c r="U55" s="108">
        <f t="shared" si="2"/>
        <v>580</v>
      </c>
      <c r="V55" s="108">
        <v>2380</v>
      </c>
      <c r="W55" s="108">
        <f t="shared" si="3"/>
        <v>12.5</v>
      </c>
      <c r="X55" s="108">
        <v>2405</v>
      </c>
      <c r="Y55" s="108">
        <f t="shared" si="4"/>
        <v>88</v>
      </c>
      <c r="Z55" s="108">
        <v>2581</v>
      </c>
      <c r="AA55" s="108">
        <f t="shared" si="5"/>
        <v>0</v>
      </c>
      <c r="AB55" s="108">
        <v>2581</v>
      </c>
      <c r="AC55" s="108">
        <f t="shared" si="6"/>
        <v>0</v>
      </c>
      <c r="AD55" s="108">
        <v>2581</v>
      </c>
      <c r="AE55" s="109">
        <f t="shared" si="7"/>
        <v>-247</v>
      </c>
    </row>
    <row r="56" spans="14:31" ht="15.6" customHeight="1" thickBot="1" x14ac:dyDescent="0.35">
      <c r="N56" s="213"/>
      <c r="O56" s="99" t="s">
        <v>73</v>
      </c>
      <c r="P56" s="114"/>
      <c r="Q56" s="114">
        <v>300</v>
      </c>
      <c r="R56" s="114">
        <v>0</v>
      </c>
      <c r="S56" s="114">
        <f t="shared" si="1"/>
        <v>4</v>
      </c>
      <c r="T56" s="114">
        <v>8</v>
      </c>
      <c r="U56" s="114">
        <f t="shared" si="2"/>
        <v>0</v>
      </c>
      <c r="V56" s="114">
        <v>8</v>
      </c>
      <c r="W56" s="114">
        <f t="shared" si="3"/>
        <v>0</v>
      </c>
      <c r="X56" s="114">
        <v>8</v>
      </c>
      <c r="Y56" s="114">
        <f t="shared" si="4"/>
        <v>139.5</v>
      </c>
      <c r="Z56" s="114">
        <v>287</v>
      </c>
      <c r="AA56" s="114">
        <f t="shared" si="5"/>
        <v>0</v>
      </c>
      <c r="AB56" s="114">
        <v>287</v>
      </c>
      <c r="AC56" s="114">
        <f t="shared" si="6"/>
        <v>0</v>
      </c>
      <c r="AD56" s="114">
        <v>287</v>
      </c>
      <c r="AE56" s="115">
        <f t="shared" si="7"/>
        <v>-13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5323</v>
      </c>
      <c r="R57" s="104">
        <v>686</v>
      </c>
      <c r="S57" s="104">
        <f t="shared" si="1"/>
        <v>476</v>
      </c>
      <c r="T57" s="104">
        <v>1638</v>
      </c>
      <c r="U57" s="104">
        <f t="shared" si="2"/>
        <v>589</v>
      </c>
      <c r="V57" s="104">
        <v>2816</v>
      </c>
      <c r="W57" s="104">
        <f t="shared" si="3"/>
        <v>141</v>
      </c>
      <c r="X57" s="104">
        <v>3098</v>
      </c>
      <c r="Y57" s="104">
        <f t="shared" si="4"/>
        <v>43</v>
      </c>
      <c r="Z57" s="104">
        <v>3184</v>
      </c>
      <c r="AA57" s="104">
        <f t="shared" si="5"/>
        <v>0</v>
      </c>
      <c r="AB57" s="104">
        <v>3184</v>
      </c>
      <c r="AC57" s="104">
        <f t="shared" si="6"/>
        <v>0</v>
      </c>
      <c r="AD57" s="104">
        <v>3184</v>
      </c>
      <c r="AE57" s="105">
        <f t="shared" si="7"/>
        <v>-2139</v>
      </c>
    </row>
    <row r="58" spans="14:31" ht="15.6" customHeight="1" x14ac:dyDescent="0.3">
      <c r="N58" s="212"/>
      <c r="O58" s="95" t="s">
        <v>66</v>
      </c>
      <c r="P58" s="106"/>
      <c r="Q58" s="106">
        <v>4762</v>
      </c>
      <c r="R58" s="106">
        <v>462</v>
      </c>
      <c r="S58" s="106">
        <f t="shared" si="1"/>
        <v>173.5</v>
      </c>
      <c r="T58" s="106">
        <v>809</v>
      </c>
      <c r="U58" s="106">
        <f t="shared" si="2"/>
        <v>468</v>
      </c>
      <c r="V58" s="106">
        <v>1745</v>
      </c>
      <c r="W58" s="106">
        <f t="shared" si="3"/>
        <v>542.5</v>
      </c>
      <c r="X58" s="106">
        <v>2830</v>
      </c>
      <c r="Y58" s="106">
        <f t="shared" si="4"/>
        <v>0</v>
      </c>
      <c r="Z58" s="106">
        <v>2830</v>
      </c>
      <c r="AA58" s="106">
        <f t="shared" si="5"/>
        <v>-134</v>
      </c>
      <c r="AB58" s="106">
        <v>2562</v>
      </c>
      <c r="AC58" s="106">
        <f t="shared" si="6"/>
        <v>0</v>
      </c>
      <c r="AD58" s="106">
        <v>2562</v>
      </c>
      <c r="AE58" s="107">
        <f t="shared" si="7"/>
        <v>-2200</v>
      </c>
    </row>
    <row r="59" spans="14:31" ht="15.6" customHeight="1" x14ac:dyDescent="0.3">
      <c r="N59" s="212"/>
      <c r="O59" s="94" t="s">
        <v>67</v>
      </c>
      <c r="P59" s="108"/>
      <c r="Q59" s="108">
        <v>5871</v>
      </c>
      <c r="R59" s="108">
        <v>723</v>
      </c>
      <c r="S59" s="108">
        <f t="shared" si="1"/>
        <v>0</v>
      </c>
      <c r="T59" s="108">
        <v>723</v>
      </c>
      <c r="U59" s="108">
        <f t="shared" si="2"/>
        <v>295</v>
      </c>
      <c r="V59" s="108">
        <v>1313</v>
      </c>
      <c r="W59" s="108">
        <f t="shared" si="3"/>
        <v>347.5</v>
      </c>
      <c r="X59" s="108">
        <v>2008</v>
      </c>
      <c r="Y59" s="108">
        <f t="shared" si="4"/>
        <v>1264</v>
      </c>
      <c r="Z59" s="108">
        <v>4536</v>
      </c>
      <c r="AA59" s="108">
        <f t="shared" si="5"/>
        <v>0</v>
      </c>
      <c r="AB59" s="108">
        <v>4536</v>
      </c>
      <c r="AC59" s="108">
        <f t="shared" si="6"/>
        <v>0</v>
      </c>
      <c r="AD59" s="108">
        <v>4536</v>
      </c>
      <c r="AE59" s="109">
        <f t="shared" si="7"/>
        <v>-1335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7333</v>
      </c>
      <c r="R61" s="104">
        <v>278</v>
      </c>
      <c r="S61" s="104">
        <f t="shared" si="1"/>
        <v>432.5</v>
      </c>
      <c r="T61" s="104">
        <v>1143</v>
      </c>
      <c r="U61" s="104">
        <f t="shared" si="2"/>
        <v>266.5</v>
      </c>
      <c r="V61" s="104">
        <v>1676</v>
      </c>
      <c r="W61" s="104">
        <f t="shared" si="3"/>
        <v>1072.5</v>
      </c>
      <c r="X61" s="104">
        <v>3821</v>
      </c>
      <c r="Y61" s="104">
        <f t="shared" si="4"/>
        <v>368</v>
      </c>
      <c r="Z61" s="104">
        <v>4557</v>
      </c>
      <c r="AA61" s="104">
        <f t="shared" si="5"/>
        <v>0</v>
      </c>
      <c r="AB61" s="104">
        <v>4557</v>
      </c>
      <c r="AC61" s="104">
        <f t="shared" si="6"/>
        <v>0</v>
      </c>
      <c r="AD61" s="104">
        <v>4557</v>
      </c>
      <c r="AE61" s="105">
        <f t="shared" si="7"/>
        <v>-2776</v>
      </c>
    </row>
    <row r="62" spans="14:31" ht="15.6" customHeight="1" x14ac:dyDescent="0.3">
      <c r="N62" s="212"/>
      <c r="O62" s="95" t="s">
        <v>66</v>
      </c>
      <c r="P62" s="106"/>
      <c r="Q62" s="106">
        <v>10681</v>
      </c>
      <c r="R62" s="106">
        <v>2847</v>
      </c>
      <c r="S62" s="106">
        <f t="shared" si="1"/>
        <v>689.5</v>
      </c>
      <c r="T62" s="106">
        <v>4226</v>
      </c>
      <c r="U62" s="106">
        <f t="shared" si="2"/>
        <v>404</v>
      </c>
      <c r="V62" s="106">
        <v>5034</v>
      </c>
      <c r="W62" s="106">
        <f t="shared" si="3"/>
        <v>-8</v>
      </c>
      <c r="X62" s="106">
        <v>5018</v>
      </c>
      <c r="Y62" s="106">
        <f t="shared" si="4"/>
        <v>389</v>
      </c>
      <c r="Z62" s="106">
        <v>5796</v>
      </c>
      <c r="AA62" s="106">
        <f t="shared" si="5"/>
        <v>74</v>
      </c>
      <c r="AB62" s="106">
        <v>5944</v>
      </c>
      <c r="AC62" s="106">
        <f t="shared" si="6"/>
        <v>0</v>
      </c>
      <c r="AD62" s="106">
        <v>5944</v>
      </c>
      <c r="AE62" s="107">
        <f t="shared" si="7"/>
        <v>-4737</v>
      </c>
    </row>
    <row r="63" spans="14:31" ht="15.6" customHeight="1" x14ac:dyDescent="0.3">
      <c r="N63" s="212"/>
      <c r="O63" s="94" t="s">
        <v>67</v>
      </c>
      <c r="P63" s="108"/>
      <c r="Q63" s="108">
        <v>7554</v>
      </c>
      <c r="R63" s="108">
        <v>1578</v>
      </c>
      <c r="S63" s="108">
        <f t="shared" si="1"/>
        <v>642.5</v>
      </c>
      <c r="T63" s="108">
        <v>2863</v>
      </c>
      <c r="U63" s="108">
        <f t="shared" si="2"/>
        <v>237</v>
      </c>
      <c r="V63" s="108">
        <v>3337</v>
      </c>
      <c r="W63" s="108">
        <f t="shared" si="3"/>
        <v>163</v>
      </c>
      <c r="X63" s="108">
        <v>3663</v>
      </c>
      <c r="Y63" s="108">
        <f t="shared" si="4"/>
        <v>322</v>
      </c>
      <c r="Z63" s="108">
        <v>4307</v>
      </c>
      <c r="AA63" s="108">
        <f t="shared" si="5"/>
        <v>0</v>
      </c>
      <c r="AB63" s="108">
        <v>4307</v>
      </c>
      <c r="AC63" s="108">
        <f t="shared" si="6"/>
        <v>0</v>
      </c>
      <c r="AD63" s="108">
        <v>4307</v>
      </c>
      <c r="AE63" s="109">
        <f t="shared" si="7"/>
        <v>-3247</v>
      </c>
    </row>
    <row r="64" spans="14:31" ht="15.6" customHeight="1" thickBot="1" x14ac:dyDescent="0.35">
      <c r="N64" s="213"/>
      <c r="O64" s="99" t="s">
        <v>68</v>
      </c>
      <c r="P64" s="114"/>
      <c r="Q64" s="114">
        <v>2333</v>
      </c>
      <c r="R64" s="114">
        <v>158</v>
      </c>
      <c r="S64" s="114">
        <f t="shared" si="1"/>
        <v>354</v>
      </c>
      <c r="T64" s="114">
        <v>866</v>
      </c>
      <c r="U64" s="114">
        <f t="shared" si="2"/>
        <v>72.5</v>
      </c>
      <c r="V64" s="114">
        <v>1011</v>
      </c>
      <c r="W64" s="114">
        <f t="shared" si="3"/>
        <v>84</v>
      </c>
      <c r="X64" s="114">
        <v>1179</v>
      </c>
      <c r="Y64" s="114">
        <f t="shared" si="4"/>
        <v>61.5</v>
      </c>
      <c r="Z64" s="114">
        <v>1302</v>
      </c>
      <c r="AA64" s="114">
        <f t="shared" si="5"/>
        <v>138</v>
      </c>
      <c r="AB64" s="114">
        <v>1578</v>
      </c>
      <c r="AC64" s="114">
        <f t="shared" si="6"/>
        <v>0</v>
      </c>
      <c r="AD64" s="114">
        <v>1578</v>
      </c>
      <c r="AE64" s="115">
        <f t="shared" si="7"/>
        <v>-755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27" priority="11" operator="lessThan">
      <formula>0</formula>
    </cfRule>
    <cfRule type="cellIs" dxfId="1426" priority="12" operator="greaterThan">
      <formula>0</formula>
    </cfRule>
  </conditionalFormatting>
  <conditionalFormatting sqref="R25:AC25">
    <cfRule type="cellIs" dxfId="1425" priority="9" operator="lessThan">
      <formula>0</formula>
    </cfRule>
    <cfRule type="cellIs" dxfId="1424" priority="10" operator="greaterThan">
      <formula>0</formula>
    </cfRule>
  </conditionalFormatting>
  <conditionalFormatting sqref="R26 T26 V26 X26 Z26 AB26">
    <cfRule type="cellIs" dxfId="1423" priority="7" operator="lessThan">
      <formula>0</formula>
    </cfRule>
    <cfRule type="cellIs" dxfId="1422" priority="8" operator="greaterThan">
      <formula>0</formula>
    </cfRule>
  </conditionalFormatting>
  <conditionalFormatting sqref="AD24:AE24">
    <cfRule type="cellIs" dxfId="1421" priority="5" operator="lessThan">
      <formula>0</formula>
    </cfRule>
    <cfRule type="cellIs" dxfId="1420" priority="6" operator="greaterThan">
      <formula>0</formula>
    </cfRule>
  </conditionalFormatting>
  <conditionalFormatting sqref="AD25:AE25">
    <cfRule type="cellIs" dxfId="1419" priority="3" operator="lessThan">
      <formula>0</formula>
    </cfRule>
    <cfRule type="cellIs" dxfId="1418" priority="4" operator="greaterThan">
      <formula>0</formula>
    </cfRule>
  </conditionalFormatting>
  <conditionalFormatting sqref="AD26">
    <cfRule type="cellIs" dxfId="1417" priority="1" operator="lessThan">
      <formula>0</formula>
    </cfRule>
    <cfRule type="cellIs" dxfId="141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44400</v>
      </c>
    </row>
    <row r="3" spans="2:42" ht="18.75" customHeight="1" thickBot="1" x14ac:dyDescent="0.35">
      <c r="B3" t="s">
        <v>1</v>
      </c>
      <c r="C3" s="3">
        <f>C2+1</f>
        <v>44401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21107</v>
      </c>
      <c r="G6" s="117">
        <v>17278.961374999999</v>
      </c>
      <c r="H6" s="117">
        <v>14260.63361673999</v>
      </c>
      <c r="I6" s="19">
        <f>G6+H6</f>
        <v>31539.594991739988</v>
      </c>
      <c r="J6" s="119">
        <v>21425</v>
      </c>
      <c r="K6" s="117">
        <v>17417.205999999991</v>
      </c>
      <c r="L6" s="117">
        <v>14421.621414380001</v>
      </c>
      <c r="M6" s="19">
        <f>K6+L6</f>
        <v>31838.827414379994</v>
      </c>
      <c r="N6" s="85">
        <v>69</v>
      </c>
      <c r="O6" s="85">
        <v>57</v>
      </c>
      <c r="P6" s="92"/>
      <c r="Q6" s="20">
        <f>J6-P6</f>
        <v>21425</v>
      </c>
      <c r="R6" s="21">
        <v>77</v>
      </c>
      <c r="S6" s="20">
        <f>IF(R6&gt;0,(R6-R7-$Q6),"")</f>
        <v>-21348</v>
      </c>
      <c r="T6" s="21">
        <v>5944</v>
      </c>
      <c r="U6" s="20">
        <f>IF(T6&gt;0,(T6-T7-$Q6),"")</f>
        <v>-15481</v>
      </c>
      <c r="V6" s="21">
        <v>5511</v>
      </c>
      <c r="W6" s="20">
        <f>IF(V6&gt;0,(V6-V7-$Q6),"")</f>
        <v>-15914</v>
      </c>
      <c r="X6" s="21">
        <v>7740</v>
      </c>
      <c r="Y6" s="20">
        <f>IF(X6&gt;0,(X6-X7-$Q6),"")</f>
        <v>-13773</v>
      </c>
      <c r="Z6" s="21">
        <v>15497</v>
      </c>
      <c r="AA6" s="20">
        <f>IF(Z6&gt;0,(Z6-Z7-$Q6),"")</f>
        <v>-6428</v>
      </c>
      <c r="AB6" s="21">
        <v>15497</v>
      </c>
      <c r="AC6" s="22">
        <f>IF(AB6&gt;0,(AB6-AB7-$Q6),"")</f>
        <v>-6428</v>
      </c>
      <c r="AD6" s="21">
        <v>15497</v>
      </c>
      <c r="AE6" s="22">
        <f>IF(AD6&gt;0,(AD6-AD7-$Q6),"")</f>
        <v>-6428</v>
      </c>
    </row>
    <row r="7" spans="2:42" x14ac:dyDescent="0.3">
      <c r="B7" s="16" t="s">
        <v>23</v>
      </c>
      <c r="C7" s="17">
        <v>288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88</v>
      </c>
      <c r="Y7" s="24"/>
      <c r="Z7" s="25">
        <v>500</v>
      </c>
      <c r="AA7" s="24"/>
      <c r="AB7" s="25">
        <v>500</v>
      </c>
      <c r="AC7" s="26"/>
      <c r="AD7" s="25">
        <v>500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3029</v>
      </c>
      <c r="E8" s="29" t="s">
        <v>27</v>
      </c>
      <c r="F8" s="119">
        <v>11815</v>
      </c>
      <c r="G8" s="117">
        <v>5010.6824999999999</v>
      </c>
      <c r="H8" s="117">
        <v>1083.783275</v>
      </c>
      <c r="I8" s="19">
        <f>G8+H8</f>
        <v>6094.4657749999997</v>
      </c>
      <c r="J8" s="119">
        <v>12432</v>
      </c>
      <c r="K8" s="117">
        <v>5253.9245000000001</v>
      </c>
      <c r="L8" s="117">
        <v>1125.9025377</v>
      </c>
      <c r="M8" s="19">
        <f>K8+L8</f>
        <v>6379.8270376999999</v>
      </c>
      <c r="N8" s="87">
        <v>23</v>
      </c>
      <c r="O8" s="87">
        <v>22</v>
      </c>
      <c r="P8" s="92"/>
      <c r="Q8" s="20">
        <f>J8-P8</f>
        <v>12432</v>
      </c>
      <c r="R8" s="21">
        <v>1133</v>
      </c>
      <c r="S8" s="20">
        <f>IF(R8&gt;0,(R8-R9-$Q8),"")</f>
        <v>-11299</v>
      </c>
      <c r="T8" s="21">
        <v>2334</v>
      </c>
      <c r="U8" s="20">
        <f>IF(T8&gt;0,(T8-T9-$Q8),"")</f>
        <v>-10098</v>
      </c>
      <c r="V8" s="21">
        <v>3538</v>
      </c>
      <c r="W8" s="20">
        <f>IF(V8&gt;0,(V8-V9-$Q8),"")</f>
        <v>-8894</v>
      </c>
      <c r="X8" s="21">
        <v>8289</v>
      </c>
      <c r="Y8" s="20">
        <f>IF(X8&gt;0,(X8-X9-$Q8),"")</f>
        <v>-4143</v>
      </c>
      <c r="Z8" s="21">
        <v>10155</v>
      </c>
      <c r="AA8" s="20">
        <f>IF(Z8&gt;0,(Z8-Z9-$Q8),"")</f>
        <v>-2277</v>
      </c>
      <c r="AB8" s="21">
        <v>10155</v>
      </c>
      <c r="AC8" s="22">
        <f>IF(AB8&gt;0,(AB8-AB9-$Q8),"")</f>
        <v>-2277</v>
      </c>
      <c r="AD8" s="21">
        <v>10155</v>
      </c>
      <c r="AE8" s="22">
        <f>IF(AD8&gt;0,(AD8-AD9-$Q8),"")</f>
        <v>-2277</v>
      </c>
    </row>
    <row r="9" spans="2:42" x14ac:dyDescent="0.3">
      <c r="B9" s="28" t="s">
        <v>28</v>
      </c>
      <c r="C9" s="17">
        <v>1705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5474</v>
      </c>
      <c r="E10" s="18" t="s">
        <v>31</v>
      </c>
      <c r="F10" s="119">
        <v>10466</v>
      </c>
      <c r="G10" s="117">
        <v>8272.2518750000017</v>
      </c>
      <c r="H10" s="117">
        <v>1892.445475</v>
      </c>
      <c r="I10" s="19">
        <f>G10+H10</f>
        <v>10164.697350000002</v>
      </c>
      <c r="J10" s="119">
        <v>10209</v>
      </c>
      <c r="K10" s="117">
        <v>7932.4473750000016</v>
      </c>
      <c r="L10" s="117">
        <v>1812.2241675</v>
      </c>
      <c r="M10" s="19">
        <f>K10+L10</f>
        <v>9744.671542500002</v>
      </c>
      <c r="N10" s="88">
        <v>51</v>
      </c>
      <c r="O10" s="88">
        <v>38</v>
      </c>
      <c r="P10" s="92"/>
      <c r="Q10" s="20">
        <f>J10-P10</f>
        <v>10209</v>
      </c>
      <c r="R10" s="21">
        <v>1683</v>
      </c>
      <c r="S10" s="20">
        <f>IF(R10&gt;0,(R10-R11-$Q10),"")</f>
        <v>-9048</v>
      </c>
      <c r="T10" s="21">
        <v>6483</v>
      </c>
      <c r="U10" s="20">
        <f>IF(T10&gt;0,(T10-T11-$Q10),"")</f>
        <v>-8682</v>
      </c>
      <c r="V10" s="21">
        <v>9019</v>
      </c>
      <c r="W10" s="20">
        <f>IF(V10&gt;0,(V10-V11-$Q10),"")</f>
        <v>-6300</v>
      </c>
      <c r="X10" s="21">
        <v>11856</v>
      </c>
      <c r="Y10" s="20">
        <f>IF(X10&gt;0,(X10-X11-$Q10),"")</f>
        <v>-5196</v>
      </c>
      <c r="Z10" s="21">
        <v>11856</v>
      </c>
      <c r="AA10" s="20">
        <f>IF(Z10&gt;0,(Z10-Z11-$Q10),"")</f>
        <v>-5196</v>
      </c>
      <c r="AB10" s="21">
        <v>11856</v>
      </c>
      <c r="AC10" s="22">
        <f>IF(AB10&gt;0,(AB10-AB11-$Q10),"")</f>
        <v>-5196</v>
      </c>
      <c r="AD10" s="21">
        <v>11856</v>
      </c>
      <c r="AE10" s="22">
        <f>IF(AD10&gt;0,(AD10-AD11-$Q10),"")</f>
        <v>-5196</v>
      </c>
    </row>
    <row r="11" spans="2:42" x14ac:dyDescent="0.3">
      <c r="B11" s="16" t="s">
        <v>32</v>
      </c>
      <c r="C11" s="17">
        <v>2185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522</v>
      </c>
      <c r="S11" s="24"/>
      <c r="T11" s="30">
        <v>4956</v>
      </c>
      <c r="U11" s="24"/>
      <c r="V11" s="30">
        <v>5110</v>
      </c>
      <c r="W11" s="24"/>
      <c r="X11" s="30">
        <v>6843</v>
      </c>
      <c r="Y11" s="24"/>
      <c r="Z11" s="30">
        <v>6843</v>
      </c>
      <c r="AA11" s="24"/>
      <c r="AB11" s="30">
        <v>6843</v>
      </c>
      <c r="AC11" s="26"/>
      <c r="AD11" s="30">
        <v>6843</v>
      </c>
      <c r="AE11" s="26"/>
    </row>
    <row r="12" spans="2:42" x14ac:dyDescent="0.3">
      <c r="B12" s="16" t="s">
        <v>34</v>
      </c>
      <c r="C12" s="17">
        <v>1728</v>
      </c>
      <c r="E12" s="29" t="s">
        <v>35</v>
      </c>
      <c r="F12" s="119">
        <v>13932</v>
      </c>
      <c r="G12" s="117">
        <v>12144.944</v>
      </c>
      <c r="H12" s="117">
        <v>17077.655603380001</v>
      </c>
      <c r="I12" s="19">
        <f>G12+H12</f>
        <v>29222.59960338</v>
      </c>
      <c r="J12" s="119">
        <v>13368</v>
      </c>
      <c r="K12" s="117">
        <v>12048.598749999999</v>
      </c>
      <c r="L12" s="117">
        <v>16023.83585724001</v>
      </c>
      <c r="M12" s="19">
        <f>K12+L12</f>
        <v>28072.434607240008</v>
      </c>
      <c r="N12" s="88">
        <v>56</v>
      </c>
      <c r="O12" s="88">
        <v>48</v>
      </c>
      <c r="P12" s="92"/>
      <c r="Q12" s="20">
        <f>J12-P12</f>
        <v>13368</v>
      </c>
      <c r="R12" s="21">
        <v>1758</v>
      </c>
      <c r="S12" s="20">
        <f>IF(R12&gt;0,(R12-R13-$Q12),"")</f>
        <v>-12446</v>
      </c>
      <c r="T12" s="21">
        <v>3794</v>
      </c>
      <c r="U12" s="20">
        <f>IF(T12&gt;0,(T12-T13-$Q12),"")</f>
        <v>-10781</v>
      </c>
      <c r="V12" s="21">
        <v>6735</v>
      </c>
      <c r="W12" s="20">
        <f>IF(V12&gt;0,(V12-V13-$Q12),"")</f>
        <v>-7840</v>
      </c>
      <c r="X12" s="21">
        <v>9688</v>
      </c>
      <c r="Y12" s="20">
        <f>IF(X12&gt;0,(X12-X13-$Q12),"")</f>
        <v>-4934</v>
      </c>
      <c r="Z12" s="21">
        <v>10046</v>
      </c>
      <c r="AA12" s="20">
        <f>IF(Z12&gt;0,(Z12-Z13-$Q12),"")</f>
        <v>-4576</v>
      </c>
      <c r="AB12" s="21">
        <v>10046</v>
      </c>
      <c r="AC12" s="22">
        <f>IF(AB12&gt;0,(AB12-AB13-$Q12),"")</f>
        <v>-4576</v>
      </c>
      <c r="AD12" s="21">
        <v>10046</v>
      </c>
      <c r="AE12" s="22">
        <f>IF(AD12&gt;0,(AD12-AD13-$Q12),"")</f>
        <v>-4576</v>
      </c>
    </row>
    <row r="13" spans="2:42" x14ac:dyDescent="0.3">
      <c r="B13" s="16" t="s">
        <v>36</v>
      </c>
      <c r="C13" s="17">
        <v>5047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836</v>
      </c>
      <c r="S13" s="24"/>
      <c r="T13" s="30">
        <v>1207</v>
      </c>
      <c r="U13" s="24"/>
      <c r="V13" s="30">
        <v>1207</v>
      </c>
      <c r="W13" s="24"/>
      <c r="X13" s="30">
        <v>1254</v>
      </c>
      <c r="Y13" s="24"/>
      <c r="Z13" s="30">
        <v>1254</v>
      </c>
      <c r="AA13" s="24"/>
      <c r="AB13" s="30">
        <v>1254</v>
      </c>
      <c r="AC13" s="26"/>
      <c r="AD13" s="30">
        <v>1254</v>
      </c>
      <c r="AE13" s="26"/>
    </row>
    <row r="14" spans="2:42" x14ac:dyDescent="0.3">
      <c r="B14" s="16" t="s">
        <v>38</v>
      </c>
      <c r="C14" s="17">
        <v>11621</v>
      </c>
      <c r="E14" s="18" t="s">
        <v>39</v>
      </c>
      <c r="F14" s="119">
        <v>23762</v>
      </c>
      <c r="G14" s="117">
        <v>19564.84375</v>
      </c>
      <c r="H14" s="117">
        <v>22918.663942529991</v>
      </c>
      <c r="I14" s="19">
        <f>G14+H14</f>
        <v>42483.507692529995</v>
      </c>
      <c r="J14" s="119">
        <v>23889</v>
      </c>
      <c r="K14" s="117">
        <v>19759.46875</v>
      </c>
      <c r="L14" s="117">
        <v>23074.665564430001</v>
      </c>
      <c r="M14" s="19">
        <f>K14+L14</f>
        <v>42834.134314430004</v>
      </c>
      <c r="N14" s="88">
        <v>64</v>
      </c>
      <c r="O14" s="88">
        <v>54</v>
      </c>
      <c r="P14" s="92"/>
      <c r="Q14" s="20">
        <f>J14-P14</f>
        <v>23889</v>
      </c>
      <c r="R14" s="21">
        <v>5330</v>
      </c>
      <c r="S14" s="20">
        <f>IF(R14&gt;0,(R14-R15-$Q14),"")</f>
        <v>-23383</v>
      </c>
      <c r="T14" s="21">
        <v>9659</v>
      </c>
      <c r="U14" s="20">
        <f>IF(T14&gt;0,(T14-T15-$Q14),"")</f>
        <v>-22577</v>
      </c>
      <c r="V14" s="21">
        <v>10889</v>
      </c>
      <c r="W14" s="20">
        <f>IF(V14&gt;0,(V14-V15-$Q14),"")</f>
        <v>-22050</v>
      </c>
      <c r="X14" s="21">
        <v>13560</v>
      </c>
      <c r="Y14" s="20">
        <f>IF(X14&gt;0,(X14-X15-$Q14),"")</f>
        <v>-20632</v>
      </c>
      <c r="Z14" s="21">
        <v>15260</v>
      </c>
      <c r="AA14" s="20">
        <f>IF(Z14&gt;0,(Z14-Z15-$Q14),"")</f>
        <v>-18937</v>
      </c>
      <c r="AB14" s="21">
        <v>15263</v>
      </c>
      <c r="AC14" s="22">
        <f>IF(AB14&gt;0,(AB14-AB15-$Q14),"")</f>
        <v>-18934</v>
      </c>
      <c r="AD14" s="21">
        <v>15263</v>
      </c>
      <c r="AE14" s="22">
        <f>IF(AD14&gt;0,(AD14-AD15-$Q14),"")</f>
        <v>-18934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4824</v>
      </c>
      <c r="S15" s="24"/>
      <c r="T15" s="25">
        <v>8347</v>
      </c>
      <c r="U15" s="24"/>
      <c r="V15" s="25">
        <v>9050</v>
      </c>
      <c r="W15" s="24"/>
      <c r="X15" s="25">
        <v>10303</v>
      </c>
      <c r="Y15" s="24"/>
      <c r="Z15" s="25">
        <v>10308</v>
      </c>
      <c r="AA15" s="24"/>
      <c r="AB15" s="25">
        <v>10308</v>
      </c>
      <c r="AC15" s="26"/>
      <c r="AD15" s="25">
        <v>10308</v>
      </c>
      <c r="AE15" s="26"/>
    </row>
    <row r="16" spans="2:42" ht="15" customHeight="1" thickBot="1" x14ac:dyDescent="0.35">
      <c r="B16" s="28" t="s">
        <v>42</v>
      </c>
      <c r="C16" s="17">
        <v>12403</v>
      </c>
      <c r="E16" s="84"/>
      <c r="F16" s="31">
        <f t="shared" ref="F16:M16" si="0">SUM(F6:F15)</f>
        <v>81082</v>
      </c>
      <c r="G16" s="31">
        <f t="shared" si="0"/>
        <v>62271.683499999999</v>
      </c>
      <c r="H16" s="31">
        <f t="shared" si="0"/>
        <v>57233.181912649976</v>
      </c>
      <c r="I16" s="32">
        <f t="shared" si="0"/>
        <v>119504.86541264999</v>
      </c>
      <c r="J16" s="33">
        <f t="shared" si="0"/>
        <v>81323</v>
      </c>
      <c r="K16" s="33">
        <f t="shared" si="0"/>
        <v>62411.645374999993</v>
      </c>
      <c r="L16" s="33">
        <f t="shared" si="0"/>
        <v>56458.249541250014</v>
      </c>
      <c r="M16" s="33">
        <f t="shared" si="0"/>
        <v>118869.89491625001</v>
      </c>
      <c r="N16" s="31">
        <f>SUM(N14,N12,N10,N8,N6)</f>
        <v>263</v>
      </c>
      <c r="O16" s="31">
        <f>SUM(O14,O12,O10,O8,O6)</f>
        <v>219</v>
      </c>
      <c r="P16" s="34">
        <f>SUM(P6:P15)</f>
        <v>0</v>
      </c>
      <c r="Q16" s="34">
        <f>SUM(Q6:Q15)</f>
        <v>81323</v>
      </c>
      <c r="R16" s="35">
        <f>R6+R8+R10+R12+R14-R7-R9-R11-R13-R15</f>
        <v>3799</v>
      </c>
      <c r="S16" s="36">
        <f>IF(R16&gt;1,(R16-$Q16),"")</f>
        <v>-77524</v>
      </c>
      <c r="T16" s="35">
        <f>T6+T8+T10+T12+T14-T7-T9-T11-T13-T15</f>
        <v>13704</v>
      </c>
      <c r="U16" s="36">
        <f>IF(T16&gt;1,(T16-$Q16),"")</f>
        <v>-67619</v>
      </c>
      <c r="V16" s="35">
        <f>V6+V8+V10+V12+V14-V7-V9-V11-V13-V15</f>
        <v>20325</v>
      </c>
      <c r="W16" s="36">
        <f>IF(V16&gt;1,(V16-$Q16),"")</f>
        <v>-60998</v>
      </c>
      <c r="X16" s="35">
        <f>X6+X8+X10+X12+X14-X7-X9-X11-X13-X15</f>
        <v>32645</v>
      </c>
      <c r="Y16" s="36">
        <f>IF(X16&gt;1,(X16-$Q16),"")</f>
        <v>-48678</v>
      </c>
      <c r="Z16" s="35">
        <f>Z6+Z8+Z10+Z12+Z14-Z7-Z9-Z11-Z13-Z15</f>
        <v>43909</v>
      </c>
      <c r="AA16" s="36">
        <f>IF(Z16&gt;1,(Z16-$Q16),"")</f>
        <v>-37414</v>
      </c>
      <c r="AB16" s="35">
        <f>AB6+AB8+AB10+AB12+AB14-AB7-AB9-AB11-AB13-AB15</f>
        <v>43912</v>
      </c>
      <c r="AC16" s="37">
        <f>IF(AB16&gt;1,(AB16-$Q16),"")</f>
        <v>-37411</v>
      </c>
      <c r="AD16" s="35">
        <f>AD6+AD8+AD10+AD12+AD14-AD7-AD9-AD11-AD13-AD15</f>
        <v>43912</v>
      </c>
      <c r="AE16" s="37">
        <f>IF(AD16&gt;1,(AD16-$Q16),"")</f>
        <v>-37411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6182</v>
      </c>
      <c r="S17" s="41"/>
      <c r="T17" s="40">
        <f>T15+T13+T11+T9+T7</f>
        <v>14510</v>
      </c>
      <c r="U17" s="41"/>
      <c r="V17" s="40">
        <f>V15+V13+V11+V9+V7</f>
        <v>15367</v>
      </c>
      <c r="W17" s="41"/>
      <c r="X17" s="40">
        <f>X15+X13+X11+X9+X7</f>
        <v>18488</v>
      </c>
      <c r="Y17" s="41"/>
      <c r="Z17" s="40">
        <f>Z15+Z13+Z11+Z9+Z7</f>
        <v>18905</v>
      </c>
      <c r="AA17" s="41"/>
      <c r="AB17" s="40">
        <f>AB15+AB13+AB11+AB9+AB7</f>
        <v>18905</v>
      </c>
      <c r="AC17" s="42"/>
      <c r="AD17" s="40">
        <f>AD15+AD13+AD11+AD9+AD7</f>
        <v>18905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1899.5</v>
      </c>
      <c r="S18" s="46"/>
      <c r="T18" s="47">
        <f>IF(T16&gt;0,(T16-R16)/2,"")</f>
        <v>4952.5</v>
      </c>
      <c r="U18" s="46"/>
      <c r="V18" s="47">
        <f>IF(V16&gt;0,(V16-T16)/2,"")</f>
        <v>3310.5</v>
      </c>
      <c r="W18" s="46"/>
      <c r="X18" s="47">
        <f>IF(X16&gt;0,(X16-V16)/2,"")</f>
        <v>6160</v>
      </c>
      <c r="Y18" s="46"/>
      <c r="Z18" s="47">
        <f>IF(Z16&gt;0,(Z16-X16)/2,"")</f>
        <v>5632</v>
      </c>
      <c r="AA18" s="46"/>
      <c r="AB18" s="47">
        <f>IF(AB16&gt;0,(AB16-Z16)/2,"")</f>
        <v>1.5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7258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802</v>
      </c>
      <c r="L20" s="4"/>
      <c r="M20" s="4"/>
      <c r="Q20" s="51" t="s">
        <v>49</v>
      </c>
      <c r="R20" s="35">
        <v>10977</v>
      </c>
      <c r="S20" s="36"/>
      <c r="T20" s="35">
        <v>20403</v>
      </c>
      <c r="U20" s="36"/>
      <c r="V20" s="35">
        <v>31881</v>
      </c>
      <c r="W20" s="36"/>
      <c r="X20" s="35">
        <v>48557</v>
      </c>
      <c r="Y20" s="36"/>
      <c r="Z20" s="35">
        <v>62439</v>
      </c>
      <c r="AA20" s="36"/>
      <c r="AB20" s="35">
        <v>63187</v>
      </c>
      <c r="AC20" s="37"/>
      <c r="AD20" s="35">
        <v>63187</v>
      </c>
      <c r="AE20" s="37">
        <v>-40052</v>
      </c>
    </row>
    <row r="21" spans="2:43" ht="15" customHeight="1" thickBot="1" x14ac:dyDescent="0.35">
      <c r="B21" s="57" t="s">
        <v>52</v>
      </c>
      <c r="C21" s="58">
        <v>3981</v>
      </c>
      <c r="M21" s="4"/>
      <c r="Q21" s="52"/>
      <c r="R21" s="40">
        <v>926</v>
      </c>
      <c r="S21" s="41"/>
      <c r="T21" s="40">
        <v>2157</v>
      </c>
      <c r="U21" s="41"/>
      <c r="V21" s="40">
        <v>3674</v>
      </c>
      <c r="W21" s="41"/>
      <c r="X21" s="40">
        <v>4677</v>
      </c>
      <c r="Y21" s="41"/>
      <c r="Z21" s="40">
        <v>7107</v>
      </c>
      <c r="AA21" s="41"/>
      <c r="AB21" s="40">
        <v>7418</v>
      </c>
      <c r="AC21" s="42"/>
      <c r="AD21" s="40">
        <v>7418</v>
      </c>
      <c r="AE21" s="42"/>
    </row>
    <row r="22" spans="2:43" ht="15" customHeight="1" thickBot="1" x14ac:dyDescent="0.35">
      <c r="M22" s="4"/>
      <c r="Q22" s="54"/>
      <c r="R22" s="55">
        <v>5488.5</v>
      </c>
      <c r="S22" s="55"/>
      <c r="T22" s="55">
        <v>4713</v>
      </c>
      <c r="U22" s="55"/>
      <c r="V22" s="55">
        <v>5739</v>
      </c>
      <c r="W22" s="55"/>
      <c r="X22" s="55">
        <v>8338</v>
      </c>
      <c r="Y22" s="55"/>
      <c r="Z22" s="55">
        <v>6941</v>
      </c>
      <c r="AA22" s="55"/>
      <c r="AB22" s="55">
        <v>374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-7178</v>
      </c>
      <c r="S24" s="60"/>
      <c r="T24" s="60">
        <f>IF(T16&gt;0,T16-T20,"")</f>
        <v>-6699</v>
      </c>
      <c r="U24" s="60"/>
      <c r="V24" s="60">
        <f>IF(V16&gt;0,V16-V20,"")</f>
        <v>-11556</v>
      </c>
      <c r="W24" s="60"/>
      <c r="X24" s="60">
        <f>IF(X16&gt;0,X16-X20,"")</f>
        <v>-15912</v>
      </c>
      <c r="Y24" s="60"/>
      <c r="Z24" s="60">
        <f>IF(Z16&gt;0,Z16-Z20,"")</f>
        <v>-18530</v>
      </c>
      <c r="AA24" s="60"/>
      <c r="AB24" s="60">
        <f>IF(AB16&gt;0,AB16-AB20,"")</f>
        <v>-19275</v>
      </c>
      <c r="AC24" s="61"/>
      <c r="AD24" s="60">
        <f>IF(AD16&gt;0,AD16-AD20,"")</f>
        <v>-19275</v>
      </c>
      <c r="AE24" s="61"/>
    </row>
    <row r="25" spans="2:43" x14ac:dyDescent="0.3">
      <c r="M25" s="4"/>
      <c r="Q25" s="62"/>
      <c r="R25" s="63">
        <f>IF(R17&gt;=0,R17-R21,"")</f>
        <v>5256</v>
      </c>
      <c r="S25" s="64"/>
      <c r="T25" s="63">
        <f>IF(T17&gt;=0,T17-T21,"")</f>
        <v>12353</v>
      </c>
      <c r="U25" s="64"/>
      <c r="V25" s="63">
        <f>IF(V17&gt;=0,V17-V21,"")</f>
        <v>11693</v>
      </c>
      <c r="W25" s="64"/>
      <c r="X25" s="63">
        <f>IF(X17&gt;=0,X17-X21,"")</f>
        <v>13811</v>
      </c>
      <c r="Y25" s="64"/>
      <c r="Z25" s="63">
        <f>IF(Z17&gt;=0,Z17-Z21,"")</f>
        <v>11798</v>
      </c>
      <c r="AA25" s="64"/>
      <c r="AB25" s="63">
        <f>IF(AB17&gt;=0,AB17-AB21,"")</f>
        <v>11487</v>
      </c>
      <c r="AC25" s="65"/>
      <c r="AD25" s="63">
        <f>IF(AD17&gt;=0,AD17-AD21,"")</f>
        <v>11487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-3589</v>
      </c>
      <c r="S26" s="55"/>
      <c r="T26" s="67">
        <f>IFERROR(IF(T18&gt;0,T18-T22,""),"")</f>
        <v>239.5</v>
      </c>
      <c r="U26" s="55"/>
      <c r="V26" s="67">
        <f>IFERROR(IF(V18&gt;0,V18-V22,""),"")</f>
        <v>-2428.5</v>
      </c>
      <c r="W26" s="55"/>
      <c r="X26" s="67">
        <f>IFERROR(IF(X18&gt;0,X18-X22,""),"")</f>
        <v>-2178</v>
      </c>
      <c r="Y26" s="55"/>
      <c r="Z26" s="67">
        <f>IFERROR(IF(Z18&gt;0,Z18-Z22,""),"")</f>
        <v>-1309</v>
      </c>
      <c r="AA26" s="55"/>
      <c r="AB26" s="67">
        <f>IFERROR(IF(AB18&gt;0,AB18-AB22,""),"")</f>
        <v>-372.5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11760</v>
      </c>
      <c r="D29" s="76">
        <f>C14</f>
        <v>11621</v>
      </c>
      <c r="E29" s="77">
        <f>D29-C29</f>
        <v>-139</v>
      </c>
      <c r="O29" s="4"/>
    </row>
    <row r="30" spans="2:43" x14ac:dyDescent="0.3">
      <c r="B30" s="74" t="s">
        <v>56</v>
      </c>
      <c r="C30" s="122">
        <v>28807</v>
      </c>
      <c r="D30" s="76">
        <f>C7+C15+C16+C17+C18</f>
        <v>12691</v>
      </c>
      <c r="E30" s="77">
        <f>D30-C30</f>
        <v>-16116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14434</v>
      </c>
      <c r="D32" s="76">
        <f>C10+C11+C12+C13</f>
        <v>14434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11430</v>
      </c>
      <c r="D33" s="76">
        <f>C19+C20+C21</f>
        <v>12041</v>
      </c>
      <c r="E33" s="77">
        <f>D33-C33</f>
        <v>611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4734</v>
      </c>
      <c r="D34" s="80">
        <f>SUM(C8+C9)</f>
        <v>4734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2203</v>
      </c>
      <c r="R35" s="104">
        <v>1</v>
      </c>
      <c r="S35" s="104">
        <f t="shared" ref="S35:S64" si="1">IF(T35&gt;0,(T35-R35)/2,"")</f>
        <v>332.5</v>
      </c>
      <c r="T35" s="104">
        <v>666</v>
      </c>
      <c r="U35" s="104">
        <f t="shared" ref="U35:U64" si="2">IF(V35&gt;0,(V35-T35)/2,"")</f>
        <v>262</v>
      </c>
      <c r="V35" s="104">
        <v>1190</v>
      </c>
      <c r="W35" s="104">
        <f t="shared" ref="W35:W64" si="3">IF(X35&gt;0,(X35-V35)/2,"")</f>
        <v>0</v>
      </c>
      <c r="X35" s="104">
        <v>1190</v>
      </c>
      <c r="Y35" s="104">
        <f t="shared" ref="Y35:Y64" si="4">IF(Z35&gt;0,(Z35-X35)/2,"")</f>
        <v>474.5</v>
      </c>
      <c r="Z35" s="104">
        <v>2139</v>
      </c>
      <c r="AA35" s="104">
        <f t="shared" ref="AA35:AA64" si="5">IF(AB35&gt;0,(AB35-Z35)/2,"")</f>
        <v>0</v>
      </c>
      <c r="AB35" s="104">
        <v>2139</v>
      </c>
      <c r="AC35" s="104">
        <f t="shared" ref="AC35:AC64" si="6">IF(AD35&gt;0,(AD35-AB35)/2,"")</f>
        <v>0</v>
      </c>
      <c r="AD35" s="104">
        <v>2139</v>
      </c>
      <c r="AE35" s="105">
        <f t="shared" ref="AE35:AE64" si="7">AD35-Q35</f>
        <v>-64</v>
      </c>
    </row>
    <row r="36" spans="2:31" ht="15.6" customHeight="1" x14ac:dyDescent="0.3">
      <c r="N36" s="212"/>
      <c r="O36" s="95" t="s">
        <v>66</v>
      </c>
      <c r="P36" s="106"/>
      <c r="Q36" s="106">
        <v>1362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50</v>
      </c>
      <c r="X36" s="106">
        <v>100</v>
      </c>
      <c r="Y36" s="106">
        <f t="shared" si="4"/>
        <v>631.5</v>
      </c>
      <c r="Z36" s="106">
        <v>1363</v>
      </c>
      <c r="AA36" s="106">
        <f t="shared" si="5"/>
        <v>0</v>
      </c>
      <c r="AB36" s="106">
        <v>1363</v>
      </c>
      <c r="AC36" s="106">
        <f t="shared" si="6"/>
        <v>0</v>
      </c>
      <c r="AD36" s="106">
        <v>1363</v>
      </c>
      <c r="AE36" s="107">
        <f t="shared" si="7"/>
        <v>1</v>
      </c>
    </row>
    <row r="37" spans="2:31" ht="15.6" customHeight="1" x14ac:dyDescent="0.3">
      <c r="N37" s="212"/>
      <c r="O37" s="94" t="s">
        <v>67</v>
      </c>
      <c r="P37" s="108"/>
      <c r="Q37" s="108">
        <v>2599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-203</v>
      </c>
      <c r="V37" s="108">
        <v>14</v>
      </c>
      <c r="W37" s="108">
        <f t="shared" si="3"/>
        <v>210</v>
      </c>
      <c r="X37" s="108">
        <v>434</v>
      </c>
      <c r="Y37" s="108">
        <f t="shared" si="4"/>
        <v>704</v>
      </c>
      <c r="Z37" s="108">
        <v>1842</v>
      </c>
      <c r="AA37" s="108">
        <f t="shared" si="5"/>
        <v>0</v>
      </c>
      <c r="AB37" s="108">
        <v>1842</v>
      </c>
      <c r="AC37" s="108">
        <f t="shared" si="6"/>
        <v>0</v>
      </c>
      <c r="AD37" s="108">
        <v>1842</v>
      </c>
      <c r="AE37" s="109">
        <f t="shared" si="7"/>
        <v>-757</v>
      </c>
    </row>
    <row r="38" spans="2:31" ht="15.6" customHeight="1" x14ac:dyDescent="0.3">
      <c r="N38" s="212"/>
      <c r="O38" s="95" t="s">
        <v>68</v>
      </c>
      <c r="P38" s="106"/>
      <c r="Q38" s="106">
        <v>4004</v>
      </c>
      <c r="R38" s="106">
        <v>0</v>
      </c>
      <c r="S38" s="106">
        <f t="shared" si="1"/>
        <v>359</v>
      </c>
      <c r="T38" s="106">
        <v>718</v>
      </c>
      <c r="U38" s="106">
        <f t="shared" si="2"/>
        <v>-191.5</v>
      </c>
      <c r="V38" s="106">
        <v>335</v>
      </c>
      <c r="W38" s="106">
        <f t="shared" si="3"/>
        <v>283</v>
      </c>
      <c r="X38" s="106">
        <v>901</v>
      </c>
      <c r="Y38" s="106">
        <f t="shared" si="4"/>
        <v>830</v>
      </c>
      <c r="Z38" s="106">
        <v>2561</v>
      </c>
      <c r="AA38" s="106">
        <f t="shared" si="5"/>
        <v>0</v>
      </c>
      <c r="AB38" s="106">
        <v>2561</v>
      </c>
      <c r="AC38" s="106">
        <f t="shared" si="6"/>
        <v>0</v>
      </c>
      <c r="AD38" s="106">
        <v>2561</v>
      </c>
      <c r="AE38" s="107">
        <f t="shared" si="7"/>
        <v>-1443</v>
      </c>
    </row>
    <row r="39" spans="2:31" ht="15.6" customHeight="1" x14ac:dyDescent="0.3">
      <c r="N39" s="212"/>
      <c r="O39" s="94" t="s">
        <v>69</v>
      </c>
      <c r="P39" s="108"/>
      <c r="Q39" s="108">
        <v>2661</v>
      </c>
      <c r="R39" s="108">
        <v>5</v>
      </c>
      <c r="S39" s="108">
        <f t="shared" si="1"/>
        <v>535</v>
      </c>
      <c r="T39" s="108">
        <v>1075</v>
      </c>
      <c r="U39" s="108">
        <f t="shared" si="2"/>
        <v>0</v>
      </c>
      <c r="V39" s="108">
        <v>1075</v>
      </c>
      <c r="W39" s="108">
        <f t="shared" si="3"/>
        <v>0</v>
      </c>
      <c r="X39" s="108">
        <v>1075</v>
      </c>
      <c r="Y39" s="108">
        <f t="shared" si="4"/>
        <v>374.5</v>
      </c>
      <c r="Z39" s="108">
        <v>1824</v>
      </c>
      <c r="AA39" s="108">
        <f t="shared" si="5"/>
        <v>0</v>
      </c>
      <c r="AB39" s="108">
        <v>1824</v>
      </c>
      <c r="AC39" s="108">
        <f t="shared" si="6"/>
        <v>0</v>
      </c>
      <c r="AD39" s="108">
        <v>1824</v>
      </c>
      <c r="AE39" s="109">
        <f t="shared" si="7"/>
        <v>-837</v>
      </c>
    </row>
    <row r="40" spans="2:31" ht="15.6" customHeight="1" x14ac:dyDescent="0.3">
      <c r="N40" s="212"/>
      <c r="O40" s="95" t="s">
        <v>70</v>
      </c>
      <c r="P40" s="106"/>
      <c r="Q40" s="106">
        <v>3979</v>
      </c>
      <c r="R40" s="106">
        <v>71</v>
      </c>
      <c r="S40" s="106">
        <f t="shared" si="1"/>
        <v>345.5</v>
      </c>
      <c r="T40" s="106">
        <v>762</v>
      </c>
      <c r="U40" s="106">
        <f t="shared" si="2"/>
        <v>0</v>
      </c>
      <c r="V40" s="106">
        <v>762</v>
      </c>
      <c r="W40" s="106">
        <f t="shared" si="3"/>
        <v>61.5</v>
      </c>
      <c r="X40" s="106">
        <v>885</v>
      </c>
      <c r="Y40" s="106">
        <f t="shared" si="4"/>
        <v>841</v>
      </c>
      <c r="Z40" s="106">
        <v>2567</v>
      </c>
      <c r="AA40" s="106">
        <f t="shared" si="5"/>
        <v>0</v>
      </c>
      <c r="AB40" s="106">
        <v>2567</v>
      </c>
      <c r="AC40" s="106">
        <f t="shared" si="6"/>
        <v>0</v>
      </c>
      <c r="AD40" s="106">
        <v>2567</v>
      </c>
      <c r="AE40" s="107">
        <f t="shared" si="7"/>
        <v>-1412</v>
      </c>
    </row>
    <row r="41" spans="2:31" ht="15.6" customHeight="1" x14ac:dyDescent="0.3">
      <c r="N41" s="212"/>
      <c r="O41" s="94" t="s">
        <v>71</v>
      </c>
      <c r="P41" s="108"/>
      <c r="Q41" s="108">
        <v>1099</v>
      </c>
      <c r="R41" s="108">
        <v>0</v>
      </c>
      <c r="S41" s="108">
        <f t="shared" si="1"/>
        <v>241.5</v>
      </c>
      <c r="T41" s="108">
        <v>483</v>
      </c>
      <c r="U41" s="108">
        <f t="shared" si="2"/>
        <v>-98.5</v>
      </c>
      <c r="V41" s="108">
        <v>286</v>
      </c>
      <c r="W41" s="108">
        <f t="shared" si="3"/>
        <v>0</v>
      </c>
      <c r="X41" s="108">
        <v>286</v>
      </c>
      <c r="Y41" s="108">
        <f t="shared" si="4"/>
        <v>0</v>
      </c>
      <c r="Z41" s="108">
        <v>286</v>
      </c>
      <c r="AA41" s="108">
        <f t="shared" si="5"/>
        <v>0</v>
      </c>
      <c r="AB41" s="108">
        <v>286</v>
      </c>
      <c r="AC41" s="108">
        <f t="shared" si="6"/>
        <v>0</v>
      </c>
      <c r="AD41" s="108">
        <v>286</v>
      </c>
      <c r="AE41" s="109">
        <f t="shared" si="7"/>
        <v>-813</v>
      </c>
    </row>
    <row r="42" spans="2:31" ht="15.6" customHeight="1" x14ac:dyDescent="0.3">
      <c r="N42" s="212"/>
      <c r="O42" s="95" t="s">
        <v>72</v>
      </c>
      <c r="P42" s="106"/>
      <c r="Q42" s="106">
        <v>1663</v>
      </c>
      <c r="R42" s="106">
        <v>0</v>
      </c>
      <c r="S42" s="106">
        <f t="shared" si="1"/>
        <v>281</v>
      </c>
      <c r="T42" s="106">
        <v>562</v>
      </c>
      <c r="U42" s="106">
        <f t="shared" si="2"/>
        <v>5.5</v>
      </c>
      <c r="V42" s="106">
        <v>573</v>
      </c>
      <c r="W42" s="106">
        <f t="shared" si="3"/>
        <v>187</v>
      </c>
      <c r="X42" s="106">
        <v>947</v>
      </c>
      <c r="Y42" s="106">
        <f t="shared" si="4"/>
        <v>0</v>
      </c>
      <c r="Z42" s="106">
        <v>947</v>
      </c>
      <c r="AA42" s="106">
        <f t="shared" si="5"/>
        <v>0</v>
      </c>
      <c r="AB42" s="106">
        <v>947</v>
      </c>
      <c r="AC42" s="106">
        <f t="shared" si="6"/>
        <v>0</v>
      </c>
      <c r="AD42" s="106">
        <v>947</v>
      </c>
      <c r="AE42" s="107">
        <f t="shared" si="7"/>
        <v>-716</v>
      </c>
    </row>
    <row r="43" spans="2:31" ht="15.6" customHeight="1" thickBot="1" x14ac:dyDescent="0.35">
      <c r="N43" s="213"/>
      <c r="O43" s="97" t="s">
        <v>73</v>
      </c>
      <c r="P43" s="110"/>
      <c r="Q43" s="110">
        <v>1855</v>
      </c>
      <c r="R43" s="110">
        <v>0</v>
      </c>
      <c r="S43" s="110">
        <f t="shared" si="1"/>
        <v>629</v>
      </c>
      <c r="T43" s="110">
        <v>1258</v>
      </c>
      <c r="U43" s="110">
        <f t="shared" si="2"/>
        <v>9</v>
      </c>
      <c r="V43" s="110">
        <v>1276</v>
      </c>
      <c r="W43" s="110">
        <f t="shared" si="3"/>
        <v>323</v>
      </c>
      <c r="X43" s="110">
        <v>1922</v>
      </c>
      <c r="Y43" s="110">
        <f t="shared" si="4"/>
        <v>23</v>
      </c>
      <c r="Z43" s="110">
        <v>1968</v>
      </c>
      <c r="AA43" s="110">
        <f t="shared" si="5"/>
        <v>0</v>
      </c>
      <c r="AB43" s="110">
        <v>1968</v>
      </c>
      <c r="AC43" s="110">
        <f t="shared" si="6"/>
        <v>0</v>
      </c>
      <c r="AD43" s="110">
        <v>1968</v>
      </c>
      <c r="AE43" s="111">
        <f t="shared" si="7"/>
        <v>113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3948</v>
      </c>
      <c r="R44" s="112">
        <v>1000</v>
      </c>
      <c r="S44" s="112">
        <f t="shared" si="1"/>
        <v>0</v>
      </c>
      <c r="T44" s="112">
        <v>1000</v>
      </c>
      <c r="U44" s="112">
        <f t="shared" si="2"/>
        <v>243.5</v>
      </c>
      <c r="V44" s="112">
        <v>1487</v>
      </c>
      <c r="W44" s="112">
        <f t="shared" si="3"/>
        <v>1230.5</v>
      </c>
      <c r="X44" s="112">
        <v>3948</v>
      </c>
      <c r="Y44" s="112">
        <f t="shared" si="4"/>
        <v>0</v>
      </c>
      <c r="Z44" s="112">
        <v>3948</v>
      </c>
      <c r="AA44" s="112">
        <f t="shared" si="5"/>
        <v>0</v>
      </c>
      <c r="AB44" s="112">
        <v>3948</v>
      </c>
      <c r="AC44" s="112">
        <f t="shared" si="6"/>
        <v>0</v>
      </c>
      <c r="AD44" s="112">
        <v>3948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3242</v>
      </c>
      <c r="R45" s="108">
        <v>5</v>
      </c>
      <c r="S45" s="108">
        <f t="shared" si="1"/>
        <v>0</v>
      </c>
      <c r="T45" s="108">
        <v>5</v>
      </c>
      <c r="U45" s="108">
        <f t="shared" si="2"/>
        <v>0</v>
      </c>
      <c r="V45" s="108">
        <v>5</v>
      </c>
      <c r="W45" s="108">
        <f t="shared" si="3"/>
        <v>625</v>
      </c>
      <c r="X45" s="108">
        <v>1255</v>
      </c>
      <c r="Y45" s="108">
        <f t="shared" si="4"/>
        <v>559.5</v>
      </c>
      <c r="Z45" s="108">
        <v>2374</v>
      </c>
      <c r="AA45" s="108">
        <f t="shared" si="5"/>
        <v>0</v>
      </c>
      <c r="AB45" s="108">
        <v>2374</v>
      </c>
      <c r="AC45" s="108">
        <f t="shared" si="6"/>
        <v>0</v>
      </c>
      <c r="AD45" s="108">
        <v>2374</v>
      </c>
      <c r="AE45" s="109">
        <f t="shared" si="7"/>
        <v>-868</v>
      </c>
    </row>
    <row r="46" spans="2:31" ht="15.6" customHeight="1" x14ac:dyDescent="0.3">
      <c r="N46" s="212"/>
      <c r="O46" s="95" t="s">
        <v>67</v>
      </c>
      <c r="P46" s="106"/>
      <c r="Q46" s="106">
        <v>2071</v>
      </c>
      <c r="R46" s="106">
        <v>128</v>
      </c>
      <c r="S46" s="106">
        <f t="shared" si="1"/>
        <v>0</v>
      </c>
      <c r="T46" s="106">
        <v>128</v>
      </c>
      <c r="U46" s="106">
        <f t="shared" si="2"/>
        <v>0</v>
      </c>
      <c r="V46" s="106">
        <v>128</v>
      </c>
      <c r="W46" s="106">
        <f t="shared" si="3"/>
        <v>123.5</v>
      </c>
      <c r="X46" s="106">
        <v>375</v>
      </c>
      <c r="Y46" s="106">
        <f t="shared" si="4"/>
        <v>373.5</v>
      </c>
      <c r="Z46" s="106">
        <v>1122</v>
      </c>
      <c r="AA46" s="106">
        <f t="shared" si="5"/>
        <v>0</v>
      </c>
      <c r="AB46" s="106">
        <v>1122</v>
      </c>
      <c r="AC46" s="106">
        <f t="shared" si="6"/>
        <v>0</v>
      </c>
      <c r="AD46" s="106">
        <v>1122</v>
      </c>
      <c r="AE46" s="107">
        <f t="shared" si="7"/>
        <v>-949</v>
      </c>
    </row>
    <row r="47" spans="2:31" ht="15.6" customHeight="1" thickBot="1" x14ac:dyDescent="0.35">
      <c r="N47" s="213"/>
      <c r="O47" s="97" t="s">
        <v>68</v>
      </c>
      <c r="P47" s="110"/>
      <c r="Q47" s="110">
        <v>3171</v>
      </c>
      <c r="R47" s="110">
        <v>0</v>
      </c>
      <c r="S47" s="110">
        <f t="shared" si="1"/>
        <v>600.5</v>
      </c>
      <c r="T47" s="110">
        <v>1201</v>
      </c>
      <c r="U47" s="110">
        <f t="shared" si="2"/>
        <v>358.5</v>
      </c>
      <c r="V47" s="110">
        <v>1918</v>
      </c>
      <c r="W47" s="110">
        <f t="shared" si="3"/>
        <v>396.5</v>
      </c>
      <c r="X47" s="110">
        <v>2711</v>
      </c>
      <c r="Y47" s="110">
        <f t="shared" si="4"/>
        <v>0</v>
      </c>
      <c r="Z47" s="110">
        <v>2711</v>
      </c>
      <c r="AA47" s="110">
        <f t="shared" si="5"/>
        <v>0</v>
      </c>
      <c r="AB47" s="110">
        <v>2711</v>
      </c>
      <c r="AC47" s="110">
        <f t="shared" si="6"/>
        <v>0</v>
      </c>
      <c r="AD47" s="110">
        <v>2711</v>
      </c>
      <c r="AE47" s="111">
        <f t="shared" si="7"/>
        <v>-460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326</v>
      </c>
      <c r="R48" s="112">
        <v>96</v>
      </c>
      <c r="S48" s="112">
        <f t="shared" si="1"/>
        <v>1</v>
      </c>
      <c r="T48" s="112">
        <v>98</v>
      </c>
      <c r="U48" s="112">
        <f t="shared" si="2"/>
        <v>47</v>
      </c>
      <c r="V48" s="112">
        <v>192</v>
      </c>
      <c r="W48" s="112">
        <f t="shared" si="3"/>
        <v>0</v>
      </c>
      <c r="X48" s="112">
        <v>192</v>
      </c>
      <c r="Y48" s="112">
        <f t="shared" si="4"/>
        <v>0</v>
      </c>
      <c r="Z48" s="112">
        <v>192</v>
      </c>
      <c r="AA48" s="112">
        <f t="shared" si="5"/>
        <v>0</v>
      </c>
      <c r="AB48" s="112">
        <v>192</v>
      </c>
      <c r="AC48" s="112">
        <f t="shared" si="6"/>
        <v>0</v>
      </c>
      <c r="AD48" s="112">
        <v>192</v>
      </c>
      <c r="AE48" s="113">
        <f t="shared" si="7"/>
        <v>-134</v>
      </c>
    </row>
    <row r="49" spans="14:31" ht="15.6" customHeight="1" x14ac:dyDescent="0.3">
      <c r="N49" s="212"/>
      <c r="O49" s="94" t="s">
        <v>66</v>
      </c>
      <c r="P49" s="108"/>
      <c r="Q49" s="108">
        <v>301</v>
      </c>
      <c r="R49" s="108">
        <v>0</v>
      </c>
      <c r="S49" s="108">
        <f t="shared" si="1"/>
        <v>484</v>
      </c>
      <c r="T49" s="108">
        <v>968</v>
      </c>
      <c r="U49" s="108">
        <f t="shared" si="2"/>
        <v>150.5</v>
      </c>
      <c r="V49" s="108">
        <v>1269</v>
      </c>
      <c r="W49" s="108">
        <f t="shared" si="3"/>
        <v>0</v>
      </c>
      <c r="X49" s="108">
        <v>1269</v>
      </c>
      <c r="Y49" s="108">
        <f t="shared" si="4"/>
        <v>0</v>
      </c>
      <c r="Z49" s="108">
        <v>1269</v>
      </c>
      <c r="AA49" s="108">
        <f t="shared" si="5"/>
        <v>0</v>
      </c>
      <c r="AB49" s="108">
        <v>1269</v>
      </c>
      <c r="AC49" s="108">
        <f t="shared" si="6"/>
        <v>0</v>
      </c>
      <c r="AD49" s="108">
        <v>1269</v>
      </c>
      <c r="AE49" s="109">
        <f t="shared" si="7"/>
        <v>968</v>
      </c>
    </row>
    <row r="50" spans="14:31" ht="15.6" customHeight="1" x14ac:dyDescent="0.3">
      <c r="N50" s="212"/>
      <c r="O50" s="95" t="s">
        <v>67</v>
      </c>
      <c r="P50" s="106"/>
      <c r="Q50" s="106">
        <v>2051</v>
      </c>
      <c r="R50" s="106">
        <v>434</v>
      </c>
      <c r="S50" s="106">
        <f t="shared" si="1"/>
        <v>75.5</v>
      </c>
      <c r="T50" s="106">
        <v>585</v>
      </c>
      <c r="U50" s="106">
        <f t="shared" si="2"/>
        <v>72</v>
      </c>
      <c r="V50" s="106">
        <v>729</v>
      </c>
      <c r="W50" s="106">
        <f t="shared" si="3"/>
        <v>186</v>
      </c>
      <c r="X50" s="106">
        <v>1101</v>
      </c>
      <c r="Y50" s="106">
        <f t="shared" si="4"/>
        <v>0</v>
      </c>
      <c r="Z50" s="106">
        <v>1101</v>
      </c>
      <c r="AA50" s="106">
        <f t="shared" si="5"/>
        <v>0</v>
      </c>
      <c r="AB50" s="106">
        <v>1101</v>
      </c>
      <c r="AC50" s="106">
        <f t="shared" si="6"/>
        <v>0</v>
      </c>
      <c r="AD50" s="106">
        <v>1101</v>
      </c>
      <c r="AE50" s="107">
        <f t="shared" si="7"/>
        <v>-950</v>
      </c>
    </row>
    <row r="51" spans="14:31" ht="15.6" customHeight="1" x14ac:dyDescent="0.3">
      <c r="N51" s="212"/>
      <c r="O51" s="94" t="s">
        <v>68</v>
      </c>
      <c r="P51" s="108"/>
      <c r="Q51" s="108">
        <v>1174</v>
      </c>
      <c r="R51" s="108">
        <v>428</v>
      </c>
      <c r="S51" s="108">
        <f t="shared" si="1"/>
        <v>0</v>
      </c>
      <c r="T51" s="108">
        <v>428</v>
      </c>
      <c r="U51" s="108">
        <f t="shared" si="2"/>
        <v>58</v>
      </c>
      <c r="V51" s="108">
        <v>544</v>
      </c>
      <c r="W51" s="108">
        <f t="shared" si="3"/>
        <v>177.5</v>
      </c>
      <c r="X51" s="108">
        <v>899</v>
      </c>
      <c r="Y51" s="108">
        <f t="shared" si="4"/>
        <v>0</v>
      </c>
      <c r="Z51" s="108">
        <v>899</v>
      </c>
      <c r="AA51" s="108">
        <f t="shared" si="5"/>
        <v>0</v>
      </c>
      <c r="AB51" s="108">
        <v>899</v>
      </c>
      <c r="AC51" s="108">
        <f t="shared" si="6"/>
        <v>0</v>
      </c>
      <c r="AD51" s="108">
        <v>899</v>
      </c>
      <c r="AE51" s="109">
        <f t="shared" si="7"/>
        <v>-275</v>
      </c>
    </row>
    <row r="52" spans="14:31" ht="15.6" customHeight="1" x14ac:dyDescent="0.3">
      <c r="N52" s="212"/>
      <c r="O52" s="95" t="s">
        <v>69</v>
      </c>
      <c r="P52" s="106"/>
      <c r="Q52" s="106">
        <v>2908</v>
      </c>
      <c r="R52" s="106">
        <v>5</v>
      </c>
      <c r="S52" s="106">
        <f t="shared" si="1"/>
        <v>15</v>
      </c>
      <c r="T52" s="106">
        <v>35</v>
      </c>
      <c r="U52" s="106">
        <f t="shared" si="2"/>
        <v>0</v>
      </c>
      <c r="V52" s="106">
        <v>35</v>
      </c>
      <c r="W52" s="106">
        <f t="shared" si="3"/>
        <v>946</v>
      </c>
      <c r="X52" s="106">
        <v>1927</v>
      </c>
      <c r="Y52" s="106">
        <f t="shared" si="4"/>
        <v>0</v>
      </c>
      <c r="Z52" s="106">
        <v>1927</v>
      </c>
      <c r="AA52" s="106">
        <f t="shared" si="5"/>
        <v>0</v>
      </c>
      <c r="AB52" s="106">
        <v>1927</v>
      </c>
      <c r="AC52" s="106">
        <f t="shared" si="6"/>
        <v>0</v>
      </c>
      <c r="AD52" s="106">
        <v>1927</v>
      </c>
      <c r="AE52" s="107">
        <f t="shared" si="7"/>
        <v>-981</v>
      </c>
    </row>
    <row r="53" spans="14:31" ht="15.6" customHeight="1" x14ac:dyDescent="0.3">
      <c r="N53" s="212"/>
      <c r="O53" s="94" t="s">
        <v>70</v>
      </c>
      <c r="P53" s="108"/>
      <c r="Q53" s="108">
        <v>1666</v>
      </c>
      <c r="R53" s="108">
        <v>0</v>
      </c>
      <c r="S53" s="108">
        <f t="shared" si="1"/>
        <v>2</v>
      </c>
      <c r="T53" s="108">
        <v>4</v>
      </c>
      <c r="U53" s="108">
        <f t="shared" si="2"/>
        <v>589.5</v>
      </c>
      <c r="V53" s="108">
        <v>1183</v>
      </c>
      <c r="W53" s="108">
        <f t="shared" si="3"/>
        <v>109</v>
      </c>
      <c r="X53" s="108">
        <v>1401</v>
      </c>
      <c r="Y53" s="108">
        <f t="shared" si="4"/>
        <v>0</v>
      </c>
      <c r="Z53" s="108">
        <v>1401</v>
      </c>
      <c r="AA53" s="108">
        <f t="shared" si="5"/>
        <v>0</v>
      </c>
      <c r="AB53" s="108">
        <v>1401</v>
      </c>
      <c r="AC53" s="108">
        <f t="shared" si="6"/>
        <v>0</v>
      </c>
      <c r="AD53" s="108">
        <v>1401</v>
      </c>
      <c r="AE53" s="109">
        <f t="shared" si="7"/>
        <v>-265</v>
      </c>
    </row>
    <row r="54" spans="14:31" ht="15.6" customHeight="1" x14ac:dyDescent="0.3">
      <c r="N54" s="212"/>
      <c r="O54" s="95" t="s">
        <v>71</v>
      </c>
      <c r="P54" s="106"/>
      <c r="Q54" s="106">
        <v>1090</v>
      </c>
      <c r="R54" s="106">
        <v>718</v>
      </c>
      <c r="S54" s="106">
        <f t="shared" si="1"/>
        <v>642.5</v>
      </c>
      <c r="T54" s="106">
        <v>2003</v>
      </c>
      <c r="U54" s="106">
        <f t="shared" si="2"/>
        <v>9.5</v>
      </c>
      <c r="V54" s="106">
        <v>2022</v>
      </c>
      <c r="W54" s="106">
        <f t="shared" si="3"/>
        <v>0</v>
      </c>
      <c r="X54" s="106">
        <v>2022</v>
      </c>
      <c r="Y54" s="106">
        <f t="shared" si="4"/>
        <v>0</v>
      </c>
      <c r="Z54" s="106">
        <v>2022</v>
      </c>
      <c r="AA54" s="106">
        <f t="shared" si="5"/>
        <v>0</v>
      </c>
      <c r="AB54" s="106">
        <v>2022</v>
      </c>
      <c r="AC54" s="106">
        <f t="shared" si="6"/>
        <v>0</v>
      </c>
      <c r="AD54" s="106">
        <v>2022</v>
      </c>
      <c r="AE54" s="107">
        <f t="shared" si="7"/>
        <v>932</v>
      </c>
    </row>
    <row r="55" spans="14:31" ht="15.6" customHeight="1" x14ac:dyDescent="0.3">
      <c r="N55" s="212"/>
      <c r="O55" s="94" t="s">
        <v>72</v>
      </c>
      <c r="P55" s="108"/>
      <c r="Q55" s="108">
        <v>371</v>
      </c>
      <c r="R55" s="108">
        <v>2</v>
      </c>
      <c r="S55" s="108">
        <f t="shared" si="1"/>
        <v>1180</v>
      </c>
      <c r="T55" s="108">
        <v>2362</v>
      </c>
      <c r="U55" s="108">
        <f t="shared" si="2"/>
        <v>180.5</v>
      </c>
      <c r="V55" s="108">
        <v>2723</v>
      </c>
      <c r="W55" s="108">
        <f t="shared" si="3"/>
        <v>0</v>
      </c>
      <c r="X55" s="108">
        <v>2723</v>
      </c>
      <c r="Y55" s="108">
        <f t="shared" si="4"/>
        <v>0</v>
      </c>
      <c r="Z55" s="108">
        <v>2723</v>
      </c>
      <c r="AA55" s="108">
        <f t="shared" si="5"/>
        <v>0</v>
      </c>
      <c r="AB55" s="108">
        <v>2723</v>
      </c>
      <c r="AC55" s="108">
        <f t="shared" si="6"/>
        <v>0</v>
      </c>
      <c r="AD55" s="108">
        <v>2723</v>
      </c>
      <c r="AE55" s="109">
        <f t="shared" si="7"/>
        <v>2352</v>
      </c>
    </row>
    <row r="56" spans="14:31" ht="15.6" customHeight="1" thickBot="1" x14ac:dyDescent="0.35">
      <c r="N56" s="213"/>
      <c r="O56" s="99" t="s">
        <v>73</v>
      </c>
      <c r="P56" s="114"/>
      <c r="Q56" s="114">
        <v>322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161</v>
      </c>
      <c r="V56" s="114">
        <v>322</v>
      </c>
      <c r="W56" s="114">
        <f t="shared" si="3"/>
        <v>0</v>
      </c>
      <c r="X56" s="114">
        <v>322</v>
      </c>
      <c r="Y56" s="114">
        <f t="shared" si="4"/>
        <v>0</v>
      </c>
      <c r="Z56" s="114">
        <v>322</v>
      </c>
      <c r="AA56" s="114">
        <f t="shared" si="5"/>
        <v>0</v>
      </c>
      <c r="AB56" s="114">
        <v>322</v>
      </c>
      <c r="AC56" s="114">
        <f t="shared" si="6"/>
        <v>0</v>
      </c>
      <c r="AD56" s="114">
        <v>322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5080</v>
      </c>
      <c r="R57" s="104">
        <v>472</v>
      </c>
      <c r="S57" s="104">
        <f t="shared" si="1"/>
        <v>390.5</v>
      </c>
      <c r="T57" s="104">
        <v>1253</v>
      </c>
      <c r="U57" s="104">
        <f t="shared" si="2"/>
        <v>779.5</v>
      </c>
      <c r="V57" s="104">
        <v>2812</v>
      </c>
      <c r="W57" s="104">
        <f t="shared" si="3"/>
        <v>198</v>
      </c>
      <c r="X57" s="104">
        <v>3208</v>
      </c>
      <c r="Y57" s="104">
        <f t="shared" si="4"/>
        <v>0</v>
      </c>
      <c r="Z57" s="104">
        <v>3208</v>
      </c>
      <c r="AA57" s="104">
        <f t="shared" si="5"/>
        <v>0</v>
      </c>
      <c r="AB57" s="104">
        <v>3208</v>
      </c>
      <c r="AC57" s="104">
        <f t="shared" si="6"/>
        <v>0</v>
      </c>
      <c r="AD57" s="104">
        <v>3208</v>
      </c>
      <c r="AE57" s="105">
        <f t="shared" si="7"/>
        <v>-1872</v>
      </c>
    </row>
    <row r="58" spans="14:31" ht="15.6" customHeight="1" x14ac:dyDescent="0.3">
      <c r="N58" s="212"/>
      <c r="O58" s="95" t="s">
        <v>66</v>
      </c>
      <c r="P58" s="106"/>
      <c r="Q58" s="106">
        <v>4597</v>
      </c>
      <c r="R58" s="106">
        <v>591</v>
      </c>
      <c r="S58" s="106">
        <f t="shared" si="1"/>
        <v>442</v>
      </c>
      <c r="T58" s="106">
        <v>1475</v>
      </c>
      <c r="U58" s="106">
        <f t="shared" si="2"/>
        <v>556</v>
      </c>
      <c r="V58" s="106">
        <v>2587</v>
      </c>
      <c r="W58" s="106">
        <f t="shared" si="3"/>
        <v>664.5</v>
      </c>
      <c r="X58" s="106">
        <v>3916</v>
      </c>
      <c r="Y58" s="106">
        <f t="shared" si="4"/>
        <v>154</v>
      </c>
      <c r="Z58" s="106">
        <v>4224</v>
      </c>
      <c r="AA58" s="106">
        <f t="shared" si="5"/>
        <v>0</v>
      </c>
      <c r="AB58" s="106">
        <v>4224</v>
      </c>
      <c r="AC58" s="106">
        <f t="shared" si="6"/>
        <v>0</v>
      </c>
      <c r="AD58" s="106">
        <v>4224</v>
      </c>
      <c r="AE58" s="107">
        <f t="shared" si="7"/>
        <v>-373</v>
      </c>
    </row>
    <row r="59" spans="14:31" ht="15.6" customHeight="1" x14ac:dyDescent="0.3">
      <c r="N59" s="212"/>
      <c r="O59" s="94" t="s">
        <v>67</v>
      </c>
      <c r="P59" s="108"/>
      <c r="Q59" s="108">
        <v>3691</v>
      </c>
      <c r="R59" s="108">
        <v>695</v>
      </c>
      <c r="S59" s="108">
        <f t="shared" si="1"/>
        <v>185.5</v>
      </c>
      <c r="T59" s="108">
        <v>1066</v>
      </c>
      <c r="U59" s="108">
        <f t="shared" si="2"/>
        <v>135</v>
      </c>
      <c r="V59" s="108">
        <v>1336</v>
      </c>
      <c r="W59" s="108">
        <f t="shared" si="3"/>
        <v>614</v>
      </c>
      <c r="X59" s="108">
        <v>2564</v>
      </c>
      <c r="Y59" s="108">
        <f t="shared" si="4"/>
        <v>25</v>
      </c>
      <c r="Z59" s="108">
        <v>2614</v>
      </c>
      <c r="AA59" s="108">
        <f t="shared" si="5"/>
        <v>0</v>
      </c>
      <c r="AB59" s="108">
        <v>2614</v>
      </c>
      <c r="AC59" s="108">
        <f t="shared" si="6"/>
        <v>0</v>
      </c>
      <c r="AD59" s="108">
        <v>2614</v>
      </c>
      <c r="AE59" s="109">
        <f t="shared" si="7"/>
        <v>-1077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6199</v>
      </c>
      <c r="R61" s="104">
        <v>1375</v>
      </c>
      <c r="S61" s="104">
        <f t="shared" si="1"/>
        <v>712</v>
      </c>
      <c r="T61" s="104">
        <v>2799</v>
      </c>
      <c r="U61" s="104">
        <f t="shared" si="2"/>
        <v>302.5</v>
      </c>
      <c r="V61" s="104">
        <v>3404</v>
      </c>
      <c r="W61" s="104">
        <f t="shared" si="3"/>
        <v>404.5</v>
      </c>
      <c r="X61" s="104">
        <v>4213</v>
      </c>
      <c r="Y61" s="104">
        <f t="shared" si="4"/>
        <v>1</v>
      </c>
      <c r="Z61" s="104">
        <v>4215</v>
      </c>
      <c r="AA61" s="104">
        <f t="shared" si="5"/>
        <v>0</v>
      </c>
      <c r="AB61" s="104">
        <v>4215</v>
      </c>
      <c r="AC61" s="104">
        <f t="shared" si="6"/>
        <v>0</v>
      </c>
      <c r="AD61" s="104">
        <v>4215</v>
      </c>
      <c r="AE61" s="105">
        <f t="shared" si="7"/>
        <v>-1984</v>
      </c>
    </row>
    <row r="62" spans="14:31" ht="15.6" customHeight="1" x14ac:dyDescent="0.3">
      <c r="N62" s="212"/>
      <c r="O62" s="95" t="s">
        <v>66</v>
      </c>
      <c r="P62" s="106"/>
      <c r="Q62" s="106">
        <v>8131</v>
      </c>
      <c r="R62" s="106">
        <v>2641</v>
      </c>
      <c r="S62" s="106">
        <f t="shared" si="1"/>
        <v>707</v>
      </c>
      <c r="T62" s="106">
        <v>4055</v>
      </c>
      <c r="U62" s="106">
        <f t="shared" si="2"/>
        <v>95</v>
      </c>
      <c r="V62" s="106">
        <v>4245</v>
      </c>
      <c r="W62" s="106">
        <f t="shared" si="3"/>
        <v>208</v>
      </c>
      <c r="X62" s="106">
        <v>4661</v>
      </c>
      <c r="Y62" s="106">
        <f t="shared" si="4"/>
        <v>532</v>
      </c>
      <c r="Z62" s="106">
        <v>5725</v>
      </c>
      <c r="AA62" s="106">
        <f t="shared" si="5"/>
        <v>0</v>
      </c>
      <c r="AB62" s="106">
        <v>5725</v>
      </c>
      <c r="AC62" s="106">
        <f t="shared" si="6"/>
        <v>0</v>
      </c>
      <c r="AD62" s="106">
        <v>5725</v>
      </c>
      <c r="AE62" s="107">
        <f t="shared" si="7"/>
        <v>-2406</v>
      </c>
    </row>
    <row r="63" spans="14:31" ht="15.6" customHeight="1" x14ac:dyDescent="0.3">
      <c r="N63" s="212"/>
      <c r="O63" s="94" t="s">
        <v>67</v>
      </c>
      <c r="P63" s="108"/>
      <c r="Q63" s="108">
        <v>5918</v>
      </c>
      <c r="R63" s="108">
        <v>1018</v>
      </c>
      <c r="S63" s="108">
        <f t="shared" si="1"/>
        <v>540</v>
      </c>
      <c r="T63" s="108">
        <v>2098</v>
      </c>
      <c r="U63" s="108">
        <f t="shared" si="2"/>
        <v>168</v>
      </c>
      <c r="V63" s="108">
        <v>2434</v>
      </c>
      <c r="W63" s="108">
        <f t="shared" si="3"/>
        <v>509</v>
      </c>
      <c r="X63" s="108">
        <v>3452</v>
      </c>
      <c r="Y63" s="108">
        <f t="shared" si="4"/>
        <v>113</v>
      </c>
      <c r="Z63" s="108">
        <v>3678</v>
      </c>
      <c r="AA63" s="108">
        <f t="shared" si="5"/>
        <v>1.5</v>
      </c>
      <c r="AB63" s="108">
        <v>3681</v>
      </c>
      <c r="AC63" s="108">
        <f t="shared" si="6"/>
        <v>0</v>
      </c>
      <c r="AD63" s="108">
        <v>3681</v>
      </c>
      <c r="AE63" s="109">
        <f t="shared" si="7"/>
        <v>-2237</v>
      </c>
    </row>
    <row r="64" spans="14:31" ht="15.6" customHeight="1" thickBot="1" x14ac:dyDescent="0.35">
      <c r="N64" s="213"/>
      <c r="O64" s="99" t="s">
        <v>68</v>
      </c>
      <c r="P64" s="114"/>
      <c r="Q64" s="114">
        <v>3168</v>
      </c>
      <c r="R64" s="114">
        <v>296</v>
      </c>
      <c r="S64" s="114">
        <f t="shared" si="1"/>
        <v>107.5</v>
      </c>
      <c r="T64" s="114">
        <v>511</v>
      </c>
      <c r="U64" s="114">
        <f t="shared" si="2"/>
        <v>27</v>
      </c>
      <c r="V64" s="114">
        <v>565</v>
      </c>
      <c r="W64" s="114">
        <f t="shared" si="3"/>
        <v>214</v>
      </c>
      <c r="X64" s="114">
        <v>993</v>
      </c>
      <c r="Y64" s="114">
        <f t="shared" si="4"/>
        <v>132</v>
      </c>
      <c r="Z64" s="114">
        <v>1257</v>
      </c>
      <c r="AA64" s="114">
        <f t="shared" si="5"/>
        <v>0</v>
      </c>
      <c r="AB64" s="114">
        <v>1257</v>
      </c>
      <c r="AC64" s="114">
        <f t="shared" si="6"/>
        <v>0</v>
      </c>
      <c r="AD64" s="114">
        <v>1257</v>
      </c>
      <c r="AE64" s="115">
        <f t="shared" si="7"/>
        <v>-1911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15" priority="11" operator="lessThan">
      <formula>0</formula>
    </cfRule>
    <cfRule type="cellIs" dxfId="1414" priority="12" operator="greaterThan">
      <formula>0</formula>
    </cfRule>
  </conditionalFormatting>
  <conditionalFormatting sqref="R25:AC25">
    <cfRule type="cellIs" dxfId="1413" priority="9" operator="lessThan">
      <formula>0</formula>
    </cfRule>
    <cfRule type="cellIs" dxfId="1412" priority="10" operator="greaterThan">
      <formula>0</formula>
    </cfRule>
  </conditionalFormatting>
  <conditionalFormatting sqref="R26 T26 V26 X26 Z26 AB26">
    <cfRule type="cellIs" dxfId="1411" priority="7" operator="lessThan">
      <formula>0</formula>
    </cfRule>
    <cfRule type="cellIs" dxfId="1410" priority="8" operator="greaterThan">
      <formula>0</formula>
    </cfRule>
  </conditionalFormatting>
  <conditionalFormatting sqref="AD24:AE24">
    <cfRule type="cellIs" dxfId="1409" priority="5" operator="lessThan">
      <formula>0</formula>
    </cfRule>
    <cfRule type="cellIs" dxfId="1408" priority="6" operator="greaterThan">
      <formula>0</formula>
    </cfRule>
  </conditionalFormatting>
  <conditionalFormatting sqref="AD25:AE25">
    <cfRule type="cellIs" dxfId="1407" priority="3" operator="lessThan">
      <formula>0</formula>
    </cfRule>
    <cfRule type="cellIs" dxfId="1406" priority="4" operator="greaterThan">
      <formula>0</formula>
    </cfRule>
  </conditionalFormatting>
  <conditionalFormatting sqref="AD26">
    <cfRule type="cellIs" dxfId="1405" priority="1" operator="lessThan">
      <formula>0</formula>
    </cfRule>
    <cfRule type="cellIs" dxfId="14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44401</v>
      </c>
    </row>
    <row r="3" spans="2:42" ht="18.75" customHeight="1" thickBot="1" x14ac:dyDescent="0.35">
      <c r="B3" t="s">
        <v>1</v>
      </c>
      <c r="C3" s="3">
        <f>C2+1</f>
        <v>44402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18597</v>
      </c>
      <c r="G6" s="117">
        <v>15740.169374999999</v>
      </c>
      <c r="H6" s="117">
        <v>12268.70721886001</v>
      </c>
      <c r="I6" s="19">
        <f>G6+H6</f>
        <v>28008.876593860012</v>
      </c>
      <c r="J6" s="119">
        <v>18717</v>
      </c>
      <c r="K6" s="117">
        <v>14980.236875000001</v>
      </c>
      <c r="L6" s="117">
        <v>11501.511295340009</v>
      </c>
      <c r="M6" s="19">
        <f>K6+L6</f>
        <v>26481.748170340012</v>
      </c>
      <c r="N6" s="85">
        <v>86</v>
      </c>
      <c r="O6" s="85">
        <v>64</v>
      </c>
      <c r="P6" s="92"/>
      <c r="Q6" s="20">
        <f>J6-P6</f>
        <v>18717</v>
      </c>
      <c r="R6" s="21">
        <v>1251</v>
      </c>
      <c r="S6" s="20">
        <f>IF(R6&gt;0,(R6-R7-$Q6),"")</f>
        <v>-17469</v>
      </c>
      <c r="T6" s="21">
        <v>3110</v>
      </c>
      <c r="U6" s="20">
        <f>IF(T6&gt;0,(T6-T7-$Q6),"")</f>
        <v>-15612</v>
      </c>
      <c r="V6" s="21">
        <v>3241</v>
      </c>
      <c r="W6" s="20">
        <f>IF(V6&gt;0,(V6-V7-$Q6),"")</f>
        <v>-15482</v>
      </c>
      <c r="X6" s="21">
        <v>6790</v>
      </c>
      <c r="Y6" s="20">
        <f>IF(X6&gt;0,(X6-X7-$Q6),"")</f>
        <v>-11936</v>
      </c>
      <c r="Z6" s="21">
        <v>9349</v>
      </c>
      <c r="AA6" s="20">
        <f>IF(Z6&gt;0,(Z6-Z7-$Q6),"")</f>
        <v>-9390</v>
      </c>
      <c r="AB6" s="21">
        <v>9437</v>
      </c>
      <c r="AC6" s="22">
        <f>IF(AB6&gt;0,(AB6-AB7-$Q6),"")</f>
        <v>-9302</v>
      </c>
      <c r="AD6" s="21">
        <v>9437</v>
      </c>
      <c r="AE6" s="22">
        <f>IF(AD6&gt;0,(AD6-AD7-$Q6),"")</f>
        <v>-9302</v>
      </c>
    </row>
    <row r="7" spans="2:42" x14ac:dyDescent="0.3">
      <c r="B7" s="16" t="s">
        <v>23</v>
      </c>
      <c r="C7" s="17">
        <v>2149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22</v>
      </c>
      <c r="P7" s="93" t="s">
        <v>24</v>
      </c>
      <c r="Q7" s="24"/>
      <c r="R7" s="25">
        <v>3</v>
      </c>
      <c r="S7" s="24"/>
      <c r="T7" s="25">
        <v>5</v>
      </c>
      <c r="U7" s="24"/>
      <c r="V7" s="25">
        <v>6</v>
      </c>
      <c r="W7" s="24"/>
      <c r="X7" s="25">
        <v>9</v>
      </c>
      <c r="Y7" s="24"/>
      <c r="Z7" s="25">
        <v>22</v>
      </c>
      <c r="AA7" s="24"/>
      <c r="AB7" s="25">
        <v>22</v>
      </c>
      <c r="AC7" s="26"/>
      <c r="AD7" s="25">
        <v>22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3031</v>
      </c>
      <c r="E8" s="29" t="s">
        <v>27</v>
      </c>
      <c r="F8" s="119">
        <v>14805</v>
      </c>
      <c r="G8" s="117">
        <v>6292.3874999999998</v>
      </c>
      <c r="H8" s="117">
        <v>1384.2453135000001</v>
      </c>
      <c r="I8" s="19">
        <f>G8+H8</f>
        <v>7676.6328135000003</v>
      </c>
      <c r="J8" s="119">
        <v>14943</v>
      </c>
      <c r="K8" s="117">
        <v>6354.9330000000009</v>
      </c>
      <c r="L8" s="117">
        <v>1385.7242165</v>
      </c>
      <c r="M8" s="19">
        <f>K8+L8</f>
        <v>7740.6572165000007</v>
      </c>
      <c r="N8" s="87">
        <v>31</v>
      </c>
      <c r="O8" s="87">
        <v>27</v>
      </c>
      <c r="P8" s="92"/>
      <c r="Q8" s="20">
        <f>J8-P8</f>
        <v>14943</v>
      </c>
      <c r="R8" s="21">
        <v>1000</v>
      </c>
      <c r="S8" s="20">
        <f>IF(R8&gt;0,(R8-R9-$Q8),"")</f>
        <v>-13943</v>
      </c>
      <c r="T8" s="21">
        <v>2644</v>
      </c>
      <c r="U8" s="20">
        <f>IF(T8&gt;0,(T8-T9-$Q8),"")</f>
        <v>-12322</v>
      </c>
      <c r="V8" s="21">
        <v>6310</v>
      </c>
      <c r="W8" s="20">
        <f>IF(V8&gt;0,(V8-V9-$Q8),"")</f>
        <v>-8656</v>
      </c>
      <c r="X8" s="21">
        <v>11537</v>
      </c>
      <c r="Y8" s="20">
        <f>IF(X8&gt;0,(X8-X9-$Q8),"")</f>
        <v>-3429</v>
      </c>
      <c r="Z8" s="21">
        <v>13873</v>
      </c>
      <c r="AA8" s="20">
        <f>IF(Z8&gt;0,(Z8-Z9-$Q8),"")</f>
        <v>-1093</v>
      </c>
      <c r="AB8" s="21">
        <v>13873</v>
      </c>
      <c r="AC8" s="22">
        <f>IF(AB8&gt;0,(AB8-AB9-$Q8),"")</f>
        <v>-1093</v>
      </c>
      <c r="AD8" s="21">
        <v>13873</v>
      </c>
      <c r="AE8" s="22">
        <f>IF(AD8&gt;0,(AD8-AD9-$Q8),"")</f>
        <v>-1093</v>
      </c>
    </row>
    <row r="9" spans="2:42" x14ac:dyDescent="0.3">
      <c r="B9" s="28" t="s">
        <v>28</v>
      </c>
      <c r="C9" s="17">
        <v>1613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23</v>
      </c>
      <c r="U9" s="24"/>
      <c r="V9" s="30">
        <v>23</v>
      </c>
      <c r="W9" s="24"/>
      <c r="X9" s="30">
        <v>23</v>
      </c>
      <c r="Y9" s="24"/>
      <c r="Z9" s="30">
        <v>23</v>
      </c>
      <c r="AA9" s="24"/>
      <c r="AB9" s="30">
        <v>23</v>
      </c>
      <c r="AC9" s="26"/>
      <c r="AD9" s="30">
        <v>23</v>
      </c>
      <c r="AE9" s="26"/>
    </row>
    <row r="10" spans="2:42" x14ac:dyDescent="0.3">
      <c r="B10" s="16" t="s">
        <v>30</v>
      </c>
      <c r="C10" s="17">
        <v>3578</v>
      </c>
      <c r="E10" s="18" t="s">
        <v>31</v>
      </c>
      <c r="F10" s="119">
        <v>17717</v>
      </c>
      <c r="G10" s="117">
        <v>14125.493874999989</v>
      </c>
      <c r="H10" s="117">
        <v>1637.68975</v>
      </c>
      <c r="I10" s="19">
        <f>G10+H10</f>
        <v>15763.183624999989</v>
      </c>
      <c r="J10" s="119">
        <v>17631</v>
      </c>
      <c r="K10" s="117">
        <v>14084.764375000001</v>
      </c>
      <c r="L10" s="117">
        <v>1651.8734449999999</v>
      </c>
      <c r="M10" s="19">
        <f>K10+L10</f>
        <v>15736.63782</v>
      </c>
      <c r="N10" s="88">
        <v>65</v>
      </c>
      <c r="O10" s="88">
        <v>49</v>
      </c>
      <c r="P10" s="92"/>
      <c r="Q10" s="20">
        <f>J10-P10</f>
        <v>17631</v>
      </c>
      <c r="R10" s="21">
        <v>4794</v>
      </c>
      <c r="S10" s="20">
        <f>IF(R10&gt;0,(R10-R11-$Q10),"")</f>
        <v>-13449</v>
      </c>
      <c r="T10" s="21">
        <v>5260</v>
      </c>
      <c r="U10" s="20">
        <f>IF(T10&gt;0,(T10-T11-$Q10),"")</f>
        <v>-12966</v>
      </c>
      <c r="V10" s="21">
        <v>10044</v>
      </c>
      <c r="W10" s="20">
        <f>IF(V10&gt;0,(V10-V11-$Q10),"")</f>
        <v>-9333</v>
      </c>
      <c r="X10" s="21">
        <v>12652</v>
      </c>
      <c r="Y10" s="20">
        <f>IF(X10&gt;0,(X10-X11-$Q10),"")</f>
        <v>-7156</v>
      </c>
      <c r="Z10" s="21">
        <v>14579</v>
      </c>
      <c r="AA10" s="20">
        <f>IF(Z10&gt;0,(Z10-Z11-$Q10),"")</f>
        <v>-5494</v>
      </c>
      <c r="AB10" s="21">
        <v>14579</v>
      </c>
      <c r="AC10" s="22">
        <f>IF(AB10&gt;0,(AB10-AB11-$Q10),"")</f>
        <v>-5494</v>
      </c>
      <c r="AD10" s="21">
        <v>14579</v>
      </c>
      <c r="AE10" s="22">
        <f>IF(AD10&gt;0,(AD10-AD11-$Q10),"")</f>
        <v>-5494</v>
      </c>
    </row>
    <row r="11" spans="2:42" x14ac:dyDescent="0.3">
      <c r="B11" s="16" t="s">
        <v>32</v>
      </c>
      <c r="C11" s="17">
        <v>2094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16</v>
      </c>
      <c r="P11" s="93" t="s">
        <v>33</v>
      </c>
      <c r="Q11" s="24"/>
      <c r="R11" s="30">
        <v>612</v>
      </c>
      <c r="S11" s="24"/>
      <c r="T11" s="30">
        <v>595</v>
      </c>
      <c r="U11" s="24"/>
      <c r="V11" s="30">
        <v>1746</v>
      </c>
      <c r="W11" s="24"/>
      <c r="X11" s="30">
        <v>2177</v>
      </c>
      <c r="Y11" s="24"/>
      <c r="Z11" s="30">
        <v>2442</v>
      </c>
      <c r="AA11" s="24"/>
      <c r="AB11" s="30">
        <v>2442</v>
      </c>
      <c r="AC11" s="26"/>
      <c r="AD11" s="30">
        <v>2442</v>
      </c>
      <c r="AE11" s="26"/>
    </row>
    <row r="12" spans="2:42" x14ac:dyDescent="0.3">
      <c r="B12" s="16" t="s">
        <v>34</v>
      </c>
      <c r="C12" s="17">
        <v>1784</v>
      </c>
      <c r="E12" s="29" t="s">
        <v>35</v>
      </c>
      <c r="F12" s="119">
        <v>10564</v>
      </c>
      <c r="G12" s="117">
        <v>9726.99</v>
      </c>
      <c r="H12" s="117">
        <v>16654.62271458</v>
      </c>
      <c r="I12" s="19">
        <f>G12+H12</f>
        <v>26381.612714579998</v>
      </c>
      <c r="J12" s="119">
        <v>10368</v>
      </c>
      <c r="K12" s="117">
        <v>9401.134</v>
      </c>
      <c r="L12" s="117">
        <v>15306.381571739999</v>
      </c>
      <c r="M12" s="19">
        <f>K12+L12</f>
        <v>24707.515571739998</v>
      </c>
      <c r="N12" s="88">
        <v>59</v>
      </c>
      <c r="O12" s="88">
        <v>48</v>
      </c>
      <c r="P12" s="92"/>
      <c r="Q12" s="20">
        <f>J12-P12</f>
        <v>10368</v>
      </c>
      <c r="R12" s="21">
        <v>2631</v>
      </c>
      <c r="S12" s="20">
        <f>IF(R12&gt;0,(R12-R13-$Q12),"")</f>
        <v>-8308</v>
      </c>
      <c r="T12" s="21">
        <v>4719</v>
      </c>
      <c r="U12" s="20">
        <f>IF(T12&gt;0,(T12-T13-$Q12),"")</f>
        <v>-6484</v>
      </c>
      <c r="V12" s="21">
        <v>7351</v>
      </c>
      <c r="W12" s="20">
        <f>IF(V12&gt;0,(V12-V13-$Q12),"")</f>
        <v>-3876</v>
      </c>
      <c r="X12" s="21">
        <v>7351</v>
      </c>
      <c r="Y12" s="20">
        <f>IF(X12&gt;0,(X12-X13-$Q12),"")</f>
        <v>-3876</v>
      </c>
      <c r="Z12" s="21">
        <v>7351</v>
      </c>
      <c r="AA12" s="20">
        <f>IF(Z12&gt;0,(Z12-Z13-$Q12),"")</f>
        <v>-3876</v>
      </c>
      <c r="AB12" s="21">
        <v>7351</v>
      </c>
      <c r="AC12" s="22">
        <f>IF(AB12&gt;0,(AB12-AB13-$Q12),"")</f>
        <v>-3876</v>
      </c>
      <c r="AD12" s="21">
        <v>7351</v>
      </c>
      <c r="AE12" s="22">
        <f>IF(AD12&gt;0,(AD12-AD13-$Q12),"")</f>
        <v>-3876</v>
      </c>
    </row>
    <row r="13" spans="2:42" x14ac:dyDescent="0.3">
      <c r="B13" s="16" t="s">
        <v>36</v>
      </c>
      <c r="C13" s="17">
        <v>5000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571</v>
      </c>
      <c r="S13" s="24"/>
      <c r="T13" s="30">
        <v>835</v>
      </c>
      <c r="U13" s="24"/>
      <c r="V13" s="30">
        <v>859</v>
      </c>
      <c r="W13" s="24"/>
      <c r="X13" s="30">
        <v>859</v>
      </c>
      <c r="Y13" s="24"/>
      <c r="Z13" s="30">
        <v>859</v>
      </c>
      <c r="AA13" s="24"/>
      <c r="AB13" s="30">
        <v>859</v>
      </c>
      <c r="AC13" s="26"/>
      <c r="AD13" s="30">
        <v>859</v>
      </c>
      <c r="AE13" s="26"/>
    </row>
    <row r="14" spans="2:42" x14ac:dyDescent="0.3">
      <c r="B14" s="16" t="s">
        <v>38</v>
      </c>
      <c r="C14" s="17">
        <v>8414</v>
      </c>
      <c r="E14" s="18" t="s">
        <v>39</v>
      </c>
      <c r="F14" s="119">
        <v>16540</v>
      </c>
      <c r="G14" s="117">
        <v>18141.96875</v>
      </c>
      <c r="H14" s="117">
        <v>20291.822830595011</v>
      </c>
      <c r="I14" s="19">
        <f>G14+H14</f>
        <v>38433.791580595011</v>
      </c>
      <c r="J14" s="119">
        <v>16540</v>
      </c>
      <c r="K14" s="117">
        <v>18141.96875</v>
      </c>
      <c r="L14" s="117">
        <v>20253.928510595</v>
      </c>
      <c r="M14" s="19">
        <f>K14+L14</f>
        <v>38395.897260594997</v>
      </c>
      <c r="N14" s="88">
        <v>83</v>
      </c>
      <c r="O14" s="88">
        <v>64</v>
      </c>
      <c r="P14" s="92"/>
      <c r="Q14" s="20">
        <f>J14-P14</f>
        <v>16540</v>
      </c>
      <c r="R14" s="21">
        <v>3732</v>
      </c>
      <c r="S14" s="20">
        <f>IF(R14&gt;0,(R14-R15-$Q14),"")</f>
        <v>-16243</v>
      </c>
      <c r="T14" s="21">
        <v>7168</v>
      </c>
      <c r="U14" s="20">
        <f>IF(T14&gt;0,(T14-T15-$Q14),"")</f>
        <v>-15564</v>
      </c>
      <c r="V14" s="21">
        <v>8880</v>
      </c>
      <c r="W14" s="20">
        <f>IF(V14&gt;0,(V14-V15-$Q14),"")</f>
        <v>-15420</v>
      </c>
      <c r="X14" s="21">
        <v>11737</v>
      </c>
      <c r="Y14" s="20">
        <f>IF(X14&gt;0,(X14-X15-$Q14),"")</f>
        <v>-13361</v>
      </c>
      <c r="Z14" s="21">
        <v>11737</v>
      </c>
      <c r="AA14" s="20">
        <f>IF(Z14&gt;0,(Z14-Z15-$Q14),"")</f>
        <v>-13361</v>
      </c>
      <c r="AB14" s="21">
        <v>11737</v>
      </c>
      <c r="AC14" s="22">
        <f>IF(AB14&gt;0,(AB14-AB15-$Q14),"")</f>
        <v>-13361</v>
      </c>
      <c r="AD14" s="21">
        <v>11737</v>
      </c>
      <c r="AE14" s="22">
        <f>IF(AD14&gt;0,(AD14-AD15-$Q14),"")</f>
        <v>-13361</v>
      </c>
    </row>
    <row r="15" spans="2:42" ht="15" customHeight="1" thickBot="1" x14ac:dyDescent="0.3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3435</v>
      </c>
      <c r="S15" s="24"/>
      <c r="T15" s="25">
        <v>6192</v>
      </c>
      <c r="U15" s="24"/>
      <c r="V15" s="25">
        <v>7760</v>
      </c>
      <c r="W15" s="24"/>
      <c r="X15" s="25">
        <v>8558</v>
      </c>
      <c r="Y15" s="24"/>
      <c r="Z15" s="25">
        <v>8558</v>
      </c>
      <c r="AA15" s="24"/>
      <c r="AB15" s="25">
        <v>8558</v>
      </c>
      <c r="AC15" s="26"/>
      <c r="AD15" s="25">
        <v>8558</v>
      </c>
      <c r="AE15" s="26"/>
    </row>
    <row r="16" spans="2:42" ht="15" customHeight="1" thickBot="1" x14ac:dyDescent="0.35">
      <c r="B16" s="28" t="s">
        <v>42</v>
      </c>
      <c r="C16" s="17">
        <v>11999</v>
      </c>
      <c r="E16" s="84"/>
      <c r="F16" s="31">
        <f t="shared" ref="F16:M16" si="0">SUM(F6:F15)</f>
        <v>78223</v>
      </c>
      <c r="G16" s="31">
        <f t="shared" si="0"/>
        <v>64027.009499999986</v>
      </c>
      <c r="H16" s="31">
        <f t="shared" si="0"/>
        <v>52237.087827535019</v>
      </c>
      <c r="I16" s="32">
        <f t="shared" si="0"/>
        <v>116264.09732753501</v>
      </c>
      <c r="J16" s="33">
        <f t="shared" si="0"/>
        <v>78199</v>
      </c>
      <c r="K16" s="33">
        <f t="shared" si="0"/>
        <v>62963.036999999997</v>
      </c>
      <c r="L16" s="33">
        <f t="shared" si="0"/>
        <v>50099.419039175009</v>
      </c>
      <c r="M16" s="33">
        <f t="shared" si="0"/>
        <v>113062.45603917501</v>
      </c>
      <c r="N16" s="31">
        <f>SUM(N14,N12,N10,N8,N6)</f>
        <v>324</v>
      </c>
      <c r="O16" s="31">
        <f>SUM(O14,O12,O10,O8,O6)</f>
        <v>252</v>
      </c>
      <c r="P16" s="34">
        <f>SUM(P6:P15)</f>
        <v>0</v>
      </c>
      <c r="Q16" s="34">
        <f>SUM(Q6:Q15)</f>
        <v>78199</v>
      </c>
      <c r="R16" s="35">
        <f>R6+R8+R10+R12+R14-R7-R9-R11-R13-R15</f>
        <v>8787</v>
      </c>
      <c r="S16" s="36">
        <f>IF(R16&gt;1,(R16-$Q16),"")</f>
        <v>-69412</v>
      </c>
      <c r="T16" s="35">
        <f>T6+T8+T10+T12+T14-T7-T9-T11-T13-T15</f>
        <v>15251</v>
      </c>
      <c r="U16" s="36">
        <f>IF(T16&gt;1,(T16-$Q16),"")</f>
        <v>-62948</v>
      </c>
      <c r="V16" s="35">
        <f>V6+V8+V10+V12+V14-V7-V9-V11-V13-V15</f>
        <v>25432</v>
      </c>
      <c r="W16" s="36">
        <f>IF(V16&gt;1,(V16-$Q16),"")</f>
        <v>-52767</v>
      </c>
      <c r="X16" s="35">
        <f>X6+X8+X10+X12+X14-X7-X9-X11-X13-X15</f>
        <v>38441</v>
      </c>
      <c r="Y16" s="36">
        <f>IF(X16&gt;1,(X16-$Q16),"")</f>
        <v>-39758</v>
      </c>
      <c r="Z16" s="35">
        <f>Z6+Z8+Z10+Z12+Z14-Z7-Z9-Z11-Z13-Z15</f>
        <v>44985</v>
      </c>
      <c r="AA16" s="36">
        <f>IF(Z16&gt;1,(Z16-$Q16),"")</f>
        <v>-33214</v>
      </c>
      <c r="AB16" s="35">
        <f>AB6+AB8+AB10+AB12+AB14-AB7-AB9-AB11-AB13-AB15</f>
        <v>45073</v>
      </c>
      <c r="AC16" s="37">
        <f>IF(AB16&gt;1,(AB16-$Q16),"")</f>
        <v>-33126</v>
      </c>
      <c r="AD16" s="35">
        <f>AD6+AD8+AD10+AD12+AD14-AD7-AD9-AD11-AD13-AD15</f>
        <v>45073</v>
      </c>
      <c r="AE16" s="37">
        <f>IF(AD16&gt;1,(AD16-$Q16),"")</f>
        <v>-33126</v>
      </c>
    </row>
    <row r="17" spans="2:43" s="4" customFormat="1" ht="15" customHeight="1" thickBot="1" x14ac:dyDescent="0.35">
      <c r="B17" s="43" t="s">
        <v>47</v>
      </c>
      <c r="C17" s="17">
        <v>1769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72</v>
      </c>
      <c r="P17" s="38" t="s">
        <v>44</v>
      </c>
      <c r="Q17" s="39"/>
      <c r="R17" s="40">
        <f>R15+R13+R11+R9+R7</f>
        <v>4621</v>
      </c>
      <c r="S17" s="41"/>
      <c r="T17" s="40">
        <f>T15+T13+T11+T9+T7</f>
        <v>7650</v>
      </c>
      <c r="U17" s="41"/>
      <c r="V17" s="40">
        <f>V15+V13+V11+V9+V7</f>
        <v>10394</v>
      </c>
      <c r="W17" s="41"/>
      <c r="X17" s="40">
        <f>X15+X13+X11+X9+X7</f>
        <v>11626</v>
      </c>
      <c r="Y17" s="41"/>
      <c r="Z17" s="40">
        <f>Z15+Z13+Z11+Z9+Z7</f>
        <v>11904</v>
      </c>
      <c r="AA17" s="41"/>
      <c r="AB17" s="40">
        <f>AB15+AB13+AB11+AB9+AB7</f>
        <v>11904</v>
      </c>
      <c r="AC17" s="42"/>
      <c r="AD17" s="40">
        <f>AD15+AD13+AD11+AD9+AD7</f>
        <v>11904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4393.5</v>
      </c>
      <c r="S18" s="46"/>
      <c r="T18" s="47">
        <f>IF(T16&gt;0,(T16-R16)/2,"")</f>
        <v>3232</v>
      </c>
      <c r="U18" s="46"/>
      <c r="V18" s="47">
        <f>IF(V16&gt;0,(V16-T16)/2,"")</f>
        <v>5090.5</v>
      </c>
      <c r="W18" s="46"/>
      <c r="X18" s="47">
        <f>IF(X16&gt;0,(X16-V16)/2,"")</f>
        <v>6504.5</v>
      </c>
      <c r="Y18" s="46"/>
      <c r="Z18" s="47">
        <f>IF(Z16&gt;0,(Z16-X16)/2,"")</f>
        <v>3272</v>
      </c>
      <c r="AA18" s="46"/>
      <c r="AB18" s="47">
        <f>IF(AB16&gt;0,(AB16-Z16)/2,"")</f>
        <v>44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8032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2291</v>
      </c>
      <c r="L20" s="4"/>
      <c r="M20" s="4"/>
      <c r="Q20" s="51" t="s">
        <v>49</v>
      </c>
      <c r="R20" s="35">
        <v>3799</v>
      </c>
      <c r="S20" s="36"/>
      <c r="T20" s="35">
        <v>13704</v>
      </c>
      <c r="U20" s="36"/>
      <c r="V20" s="35">
        <v>20325</v>
      </c>
      <c r="W20" s="36"/>
      <c r="X20" s="35">
        <v>32645</v>
      </c>
      <c r="Y20" s="36"/>
      <c r="Z20" s="35">
        <v>43909</v>
      </c>
      <c r="AA20" s="36"/>
      <c r="AB20" s="35">
        <v>43912</v>
      </c>
      <c r="AC20" s="37"/>
      <c r="AD20" s="35">
        <v>43912</v>
      </c>
      <c r="AE20" s="37">
        <v>-37411</v>
      </c>
    </row>
    <row r="21" spans="2:43" ht="15" customHeight="1" thickBot="1" x14ac:dyDescent="0.35">
      <c r="B21" s="57" t="s">
        <v>52</v>
      </c>
      <c r="C21" s="58">
        <v>4136</v>
      </c>
      <c r="M21" s="4"/>
      <c r="Q21" s="52"/>
      <c r="R21" s="40">
        <v>6182</v>
      </c>
      <c r="S21" s="41"/>
      <c r="T21" s="40">
        <v>14510</v>
      </c>
      <c r="U21" s="41"/>
      <c r="V21" s="40">
        <v>15367</v>
      </c>
      <c r="W21" s="41"/>
      <c r="X21" s="40">
        <v>18488</v>
      </c>
      <c r="Y21" s="41"/>
      <c r="Z21" s="40">
        <v>18905</v>
      </c>
      <c r="AA21" s="41"/>
      <c r="AB21" s="40">
        <v>18905</v>
      </c>
      <c r="AC21" s="42"/>
      <c r="AD21" s="40">
        <v>18905</v>
      </c>
      <c r="AE21" s="42"/>
    </row>
    <row r="22" spans="2:43" ht="15" customHeight="1" thickBot="1" x14ac:dyDescent="0.35">
      <c r="M22" s="4"/>
      <c r="Q22" s="54"/>
      <c r="R22" s="55">
        <v>1899.5</v>
      </c>
      <c r="S22" s="55"/>
      <c r="T22" s="55">
        <v>4952.5</v>
      </c>
      <c r="U22" s="55"/>
      <c r="V22" s="55">
        <v>3310.5</v>
      </c>
      <c r="W22" s="55"/>
      <c r="X22" s="55">
        <v>6160</v>
      </c>
      <c r="Y22" s="55"/>
      <c r="Z22" s="55">
        <v>5632</v>
      </c>
      <c r="AA22" s="55"/>
      <c r="AB22" s="55">
        <v>1.5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4988</v>
      </c>
      <c r="S24" s="60"/>
      <c r="T24" s="60">
        <f>IF(T16&gt;0,T16-T20,"")</f>
        <v>1547</v>
      </c>
      <c r="U24" s="60"/>
      <c r="V24" s="60">
        <f>IF(V16&gt;0,V16-V20,"")</f>
        <v>5107</v>
      </c>
      <c r="W24" s="60"/>
      <c r="X24" s="60">
        <f>IF(X16&gt;0,X16-X20,"")</f>
        <v>5796</v>
      </c>
      <c r="Y24" s="60"/>
      <c r="Z24" s="60">
        <f>IF(Z16&gt;0,Z16-Z20,"")</f>
        <v>1076</v>
      </c>
      <c r="AA24" s="60"/>
      <c r="AB24" s="60">
        <f>IF(AB16&gt;0,AB16-AB20,"")</f>
        <v>1161</v>
      </c>
      <c r="AC24" s="61"/>
      <c r="AD24" s="60">
        <f>IF(AD16&gt;0,AD16-AD20,"")</f>
        <v>1161</v>
      </c>
      <c r="AE24" s="61"/>
    </row>
    <row r="25" spans="2:43" x14ac:dyDescent="0.3">
      <c r="M25" s="4"/>
      <c r="Q25" s="62"/>
      <c r="R25" s="63">
        <f>IF(R17&gt;=0,R17-R21,"")</f>
        <v>-1561</v>
      </c>
      <c r="S25" s="64"/>
      <c r="T25" s="63">
        <f>IF(T17&gt;=0,T17-T21,"")</f>
        <v>-6860</v>
      </c>
      <c r="U25" s="64"/>
      <c r="V25" s="63">
        <f>IF(V17&gt;=0,V17-V21,"")</f>
        <v>-4973</v>
      </c>
      <c r="W25" s="64"/>
      <c r="X25" s="63">
        <f>IF(X17&gt;=0,X17-X21,"")</f>
        <v>-6862</v>
      </c>
      <c r="Y25" s="64"/>
      <c r="Z25" s="63">
        <f>IF(Z17&gt;=0,Z17-Z21,"")</f>
        <v>-7001</v>
      </c>
      <c r="AA25" s="64"/>
      <c r="AB25" s="63">
        <f>IF(AB17&gt;=0,AB17-AB21,"")</f>
        <v>-7001</v>
      </c>
      <c r="AC25" s="65"/>
      <c r="AD25" s="63">
        <f>IF(AD17&gt;=0,AD17-AD21,"")</f>
        <v>-7001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2494</v>
      </c>
      <c r="S26" s="55"/>
      <c r="T26" s="67">
        <f>IFERROR(IF(T18&gt;0,T18-T22,""),"")</f>
        <v>-1720.5</v>
      </c>
      <c r="U26" s="55"/>
      <c r="V26" s="67">
        <f>IFERROR(IF(V18&gt;0,V18-V22,""),"")</f>
        <v>1780</v>
      </c>
      <c r="W26" s="55"/>
      <c r="X26" s="67">
        <f>IFERROR(IF(X18&gt;0,X18-X22,""),"")</f>
        <v>344.5</v>
      </c>
      <c r="Y26" s="55"/>
      <c r="Z26" s="67">
        <f>IFERROR(IF(Z18&gt;0,Z18-Z22,""),"")</f>
        <v>-2360</v>
      </c>
      <c r="AA26" s="55"/>
      <c r="AB26" s="67">
        <f>IFERROR(IF(AB18&gt;0,AB18-AB22,""),"")</f>
        <v>42.5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8312</v>
      </c>
      <c r="D29" s="76">
        <f>C14</f>
        <v>8414</v>
      </c>
      <c r="E29" s="77">
        <f>D29-C29</f>
        <v>102</v>
      </c>
      <c r="O29" s="4"/>
    </row>
    <row r="30" spans="2:43" x14ac:dyDescent="0.3">
      <c r="B30" s="74" t="s">
        <v>56</v>
      </c>
      <c r="C30" s="122">
        <v>33845</v>
      </c>
      <c r="D30" s="76">
        <f>C7+C15+C16+C17+C18</f>
        <v>19098</v>
      </c>
      <c r="E30" s="77">
        <f>D30-C30</f>
        <v>-14747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12456</v>
      </c>
      <c r="D32" s="76">
        <f>C10+C11+C12+C13</f>
        <v>12456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14340</v>
      </c>
      <c r="D33" s="76">
        <f>C19+C20+C21</f>
        <v>14459</v>
      </c>
      <c r="E33" s="77">
        <f>D33-C33</f>
        <v>119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4644</v>
      </c>
      <c r="D34" s="80">
        <f>SUM(C8+C9)</f>
        <v>4644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2110</v>
      </c>
      <c r="R35" s="104">
        <v>0</v>
      </c>
      <c r="S35" s="104">
        <f t="shared" ref="S35:S64" si="1">IF(T35&gt;0,(T35-R35)/2,"")</f>
        <v>63.5</v>
      </c>
      <c r="T35" s="104">
        <v>127</v>
      </c>
      <c r="U35" s="104">
        <f t="shared" ref="U35:U64" si="2">IF(V35&gt;0,(V35-T35)/2,"")</f>
        <v>0</v>
      </c>
      <c r="V35" s="104">
        <v>127</v>
      </c>
      <c r="W35" s="104">
        <f t="shared" ref="W35:W64" si="3">IF(X35&gt;0,(X35-V35)/2,"")</f>
        <v>743</v>
      </c>
      <c r="X35" s="104">
        <v>1613</v>
      </c>
      <c r="Y35" s="104">
        <f t="shared" ref="Y35:Y64" si="4">IF(Z35&gt;0,(Z35-X35)/2,"")</f>
        <v>3</v>
      </c>
      <c r="Z35" s="104">
        <v>1619</v>
      </c>
      <c r="AA35" s="104">
        <f t="shared" ref="AA35:AA64" si="5">IF(AB35&gt;0,(AB35-Z35)/2,"")</f>
        <v>29</v>
      </c>
      <c r="AB35" s="104">
        <v>1677</v>
      </c>
      <c r="AC35" s="104">
        <f t="shared" ref="AC35:AC64" si="6">IF(AD35&gt;0,(AD35-AB35)/2,"")</f>
        <v>0</v>
      </c>
      <c r="AD35" s="104">
        <v>1677</v>
      </c>
      <c r="AE35" s="105">
        <f t="shared" ref="AE35:AE64" si="7">AD35-Q35</f>
        <v>-433</v>
      </c>
    </row>
    <row r="36" spans="2:31" ht="15.6" customHeight="1" x14ac:dyDescent="0.3">
      <c r="N36" s="212"/>
      <c r="O36" s="95" t="s">
        <v>66</v>
      </c>
      <c r="P36" s="106"/>
      <c r="Q36" s="106">
        <v>1237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241.5</v>
      </c>
      <c r="V36" s="106">
        <v>483</v>
      </c>
      <c r="W36" s="106">
        <f t="shared" si="3"/>
        <v>54.5</v>
      </c>
      <c r="X36" s="106">
        <v>592</v>
      </c>
      <c r="Y36" s="106">
        <f t="shared" si="4"/>
        <v>42</v>
      </c>
      <c r="Z36" s="106">
        <v>676</v>
      </c>
      <c r="AA36" s="106">
        <f t="shared" si="5"/>
        <v>15</v>
      </c>
      <c r="AB36" s="106">
        <v>706</v>
      </c>
      <c r="AC36" s="106">
        <f t="shared" si="6"/>
        <v>0</v>
      </c>
      <c r="AD36" s="106">
        <v>706</v>
      </c>
      <c r="AE36" s="107">
        <f t="shared" si="7"/>
        <v>-531</v>
      </c>
    </row>
    <row r="37" spans="2:31" ht="15.6" customHeight="1" x14ac:dyDescent="0.3">
      <c r="N37" s="212"/>
      <c r="O37" s="94" t="s">
        <v>67</v>
      </c>
      <c r="P37" s="108"/>
      <c r="Q37" s="108">
        <v>2484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-200</v>
      </c>
      <c r="V37" s="108">
        <v>20</v>
      </c>
      <c r="W37" s="108">
        <f t="shared" si="3"/>
        <v>224.5</v>
      </c>
      <c r="X37" s="108">
        <v>469</v>
      </c>
      <c r="Y37" s="108">
        <f t="shared" si="4"/>
        <v>316.5</v>
      </c>
      <c r="Z37" s="108">
        <v>1102</v>
      </c>
      <c r="AA37" s="108">
        <f t="shared" si="5"/>
        <v>0</v>
      </c>
      <c r="AB37" s="108">
        <v>1102</v>
      </c>
      <c r="AC37" s="108">
        <f t="shared" si="6"/>
        <v>0</v>
      </c>
      <c r="AD37" s="108">
        <v>1102</v>
      </c>
      <c r="AE37" s="109">
        <f t="shared" si="7"/>
        <v>-1382</v>
      </c>
    </row>
    <row r="38" spans="2:31" ht="15.6" customHeight="1" x14ac:dyDescent="0.3">
      <c r="N38" s="212"/>
      <c r="O38" s="95" t="s">
        <v>68</v>
      </c>
      <c r="P38" s="106"/>
      <c r="Q38" s="106">
        <v>3709</v>
      </c>
      <c r="R38" s="106">
        <v>3</v>
      </c>
      <c r="S38" s="106">
        <f t="shared" si="1"/>
        <v>350.5</v>
      </c>
      <c r="T38" s="106">
        <v>704</v>
      </c>
      <c r="U38" s="106">
        <f t="shared" si="2"/>
        <v>6.5</v>
      </c>
      <c r="V38" s="106">
        <v>717</v>
      </c>
      <c r="W38" s="106">
        <f t="shared" si="3"/>
        <v>0</v>
      </c>
      <c r="X38" s="106">
        <v>717</v>
      </c>
      <c r="Y38" s="106">
        <f t="shared" si="4"/>
        <v>522.5</v>
      </c>
      <c r="Z38" s="106">
        <v>1762</v>
      </c>
      <c r="AA38" s="106">
        <f t="shared" si="5"/>
        <v>0</v>
      </c>
      <c r="AB38" s="106">
        <v>1762</v>
      </c>
      <c r="AC38" s="106">
        <f t="shared" si="6"/>
        <v>0</v>
      </c>
      <c r="AD38" s="106">
        <v>1762</v>
      </c>
      <c r="AE38" s="107">
        <f t="shared" si="7"/>
        <v>-1947</v>
      </c>
    </row>
    <row r="39" spans="2:31" ht="15.6" customHeight="1" x14ac:dyDescent="0.3">
      <c r="N39" s="212"/>
      <c r="O39" s="94" t="s">
        <v>69</v>
      </c>
      <c r="P39" s="108"/>
      <c r="Q39" s="108">
        <v>2014</v>
      </c>
      <c r="R39" s="108">
        <v>35</v>
      </c>
      <c r="S39" s="108">
        <f t="shared" si="1"/>
        <v>0</v>
      </c>
      <c r="T39" s="108">
        <v>35</v>
      </c>
      <c r="U39" s="108">
        <f t="shared" si="2"/>
        <v>0</v>
      </c>
      <c r="V39" s="108">
        <v>35</v>
      </c>
      <c r="W39" s="108">
        <f t="shared" si="3"/>
        <v>197</v>
      </c>
      <c r="X39" s="108">
        <v>429</v>
      </c>
      <c r="Y39" s="108">
        <f t="shared" si="4"/>
        <v>395.5</v>
      </c>
      <c r="Z39" s="108">
        <v>1220</v>
      </c>
      <c r="AA39" s="108">
        <f t="shared" si="5"/>
        <v>0</v>
      </c>
      <c r="AB39" s="108">
        <v>1220</v>
      </c>
      <c r="AC39" s="108">
        <f t="shared" si="6"/>
        <v>0</v>
      </c>
      <c r="AD39" s="108">
        <v>1220</v>
      </c>
      <c r="AE39" s="109">
        <f t="shared" si="7"/>
        <v>-794</v>
      </c>
    </row>
    <row r="40" spans="2:31" ht="15.6" customHeight="1" x14ac:dyDescent="0.3">
      <c r="N40" s="212"/>
      <c r="O40" s="95" t="s">
        <v>70</v>
      </c>
      <c r="P40" s="106"/>
      <c r="Q40" s="106">
        <v>2972</v>
      </c>
      <c r="R40" s="106">
        <v>55</v>
      </c>
      <c r="S40" s="106">
        <f t="shared" si="1"/>
        <v>249.5</v>
      </c>
      <c r="T40" s="106">
        <v>554</v>
      </c>
      <c r="U40" s="106">
        <f t="shared" si="2"/>
        <v>0</v>
      </c>
      <c r="V40" s="106">
        <v>554</v>
      </c>
      <c r="W40" s="106">
        <f t="shared" si="3"/>
        <v>327</v>
      </c>
      <c r="X40" s="106">
        <v>1208</v>
      </c>
      <c r="Y40" s="106">
        <f t="shared" si="4"/>
        <v>0</v>
      </c>
      <c r="Z40" s="106">
        <v>1208</v>
      </c>
      <c r="AA40" s="106">
        <f t="shared" si="5"/>
        <v>0</v>
      </c>
      <c r="AB40" s="106">
        <v>1208</v>
      </c>
      <c r="AC40" s="106">
        <f t="shared" si="6"/>
        <v>0</v>
      </c>
      <c r="AD40" s="106">
        <v>1208</v>
      </c>
      <c r="AE40" s="107">
        <f t="shared" si="7"/>
        <v>-1764</v>
      </c>
    </row>
    <row r="41" spans="2:31" ht="15.6" customHeight="1" x14ac:dyDescent="0.3">
      <c r="N41" s="212"/>
      <c r="O41" s="94" t="s">
        <v>71</v>
      </c>
      <c r="P41" s="108"/>
      <c r="Q41" s="108">
        <v>1081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15</v>
      </c>
      <c r="V41" s="108">
        <v>30</v>
      </c>
      <c r="W41" s="108">
        <f t="shared" si="3"/>
        <v>0</v>
      </c>
      <c r="X41" s="108">
        <v>30</v>
      </c>
      <c r="Y41" s="108">
        <f t="shared" si="4"/>
        <v>0</v>
      </c>
      <c r="Z41" s="108">
        <v>30</v>
      </c>
      <c r="AA41" s="108">
        <f t="shared" si="5"/>
        <v>0</v>
      </c>
      <c r="AB41" s="108">
        <v>30</v>
      </c>
      <c r="AC41" s="108">
        <f t="shared" si="6"/>
        <v>0</v>
      </c>
      <c r="AD41" s="108">
        <v>30</v>
      </c>
      <c r="AE41" s="109">
        <f t="shared" si="7"/>
        <v>-1051</v>
      </c>
    </row>
    <row r="42" spans="2:31" ht="15.6" customHeight="1" x14ac:dyDescent="0.3">
      <c r="N42" s="212"/>
      <c r="O42" s="95" t="s">
        <v>72</v>
      </c>
      <c r="P42" s="106"/>
      <c r="Q42" s="106">
        <v>1665</v>
      </c>
      <c r="R42" s="106">
        <v>0</v>
      </c>
      <c r="S42" s="106">
        <f t="shared" si="1"/>
        <v>266</v>
      </c>
      <c r="T42" s="106">
        <v>532</v>
      </c>
      <c r="U42" s="106">
        <f t="shared" si="2"/>
        <v>2.5</v>
      </c>
      <c r="V42" s="106">
        <v>537</v>
      </c>
      <c r="W42" s="106">
        <f t="shared" si="3"/>
        <v>187.5</v>
      </c>
      <c r="X42" s="106">
        <v>912</v>
      </c>
      <c r="Y42" s="106">
        <f t="shared" si="4"/>
        <v>0</v>
      </c>
      <c r="Z42" s="106">
        <v>912</v>
      </c>
      <c r="AA42" s="106">
        <f t="shared" si="5"/>
        <v>0</v>
      </c>
      <c r="AB42" s="106">
        <v>912</v>
      </c>
      <c r="AC42" s="106">
        <f t="shared" si="6"/>
        <v>0</v>
      </c>
      <c r="AD42" s="106">
        <v>912</v>
      </c>
      <c r="AE42" s="107">
        <f t="shared" si="7"/>
        <v>-753</v>
      </c>
    </row>
    <row r="43" spans="2:31" ht="15.6" customHeight="1" thickBot="1" x14ac:dyDescent="0.35">
      <c r="N43" s="213"/>
      <c r="O43" s="97" t="s">
        <v>73</v>
      </c>
      <c r="P43" s="110"/>
      <c r="Q43" s="110">
        <v>1445</v>
      </c>
      <c r="R43" s="110">
        <v>738</v>
      </c>
      <c r="S43" s="110">
        <f t="shared" si="1"/>
        <v>0</v>
      </c>
      <c r="T43" s="110">
        <v>738</v>
      </c>
      <c r="U43" s="110">
        <f t="shared" si="2"/>
        <v>0</v>
      </c>
      <c r="V43" s="110">
        <v>738</v>
      </c>
      <c r="W43" s="110">
        <f t="shared" si="3"/>
        <v>41</v>
      </c>
      <c r="X43" s="110">
        <v>820</v>
      </c>
      <c r="Y43" s="110">
        <f t="shared" si="4"/>
        <v>0</v>
      </c>
      <c r="Z43" s="110">
        <v>820</v>
      </c>
      <c r="AA43" s="110">
        <f t="shared" si="5"/>
        <v>0</v>
      </c>
      <c r="AB43" s="110">
        <v>820</v>
      </c>
      <c r="AC43" s="110">
        <f t="shared" si="6"/>
        <v>0</v>
      </c>
      <c r="AD43" s="110">
        <v>820</v>
      </c>
      <c r="AE43" s="111">
        <f t="shared" si="7"/>
        <v>-625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4634</v>
      </c>
      <c r="R44" s="112">
        <v>1000</v>
      </c>
      <c r="S44" s="112">
        <f t="shared" si="1"/>
        <v>412.5</v>
      </c>
      <c r="T44" s="112">
        <v>1825</v>
      </c>
      <c r="U44" s="112">
        <f t="shared" si="2"/>
        <v>0</v>
      </c>
      <c r="V44" s="112">
        <v>1825</v>
      </c>
      <c r="W44" s="112">
        <f t="shared" si="3"/>
        <v>895.5</v>
      </c>
      <c r="X44" s="112">
        <v>3616</v>
      </c>
      <c r="Y44" s="112">
        <f t="shared" si="4"/>
        <v>520.5</v>
      </c>
      <c r="Z44" s="112">
        <v>4657</v>
      </c>
      <c r="AA44" s="112">
        <f t="shared" si="5"/>
        <v>0</v>
      </c>
      <c r="AB44" s="112">
        <v>4657</v>
      </c>
      <c r="AC44" s="112">
        <f t="shared" si="6"/>
        <v>0</v>
      </c>
      <c r="AD44" s="112">
        <v>4657</v>
      </c>
      <c r="AE44" s="113">
        <f t="shared" si="7"/>
        <v>23</v>
      </c>
    </row>
    <row r="45" spans="2:31" ht="15.6" customHeight="1" x14ac:dyDescent="0.3">
      <c r="N45" s="212"/>
      <c r="O45" s="94" t="s">
        <v>66</v>
      </c>
      <c r="P45" s="108"/>
      <c r="Q45" s="108">
        <v>3776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522</v>
      </c>
      <c r="V45" s="108">
        <v>1044</v>
      </c>
      <c r="W45" s="108">
        <f t="shared" si="3"/>
        <v>718.5</v>
      </c>
      <c r="X45" s="108">
        <v>2481</v>
      </c>
      <c r="Y45" s="108">
        <f t="shared" si="4"/>
        <v>647.5</v>
      </c>
      <c r="Z45" s="108">
        <v>3776</v>
      </c>
      <c r="AA45" s="108">
        <f t="shared" si="5"/>
        <v>0</v>
      </c>
      <c r="AB45" s="108">
        <v>3776</v>
      </c>
      <c r="AC45" s="108">
        <f t="shared" si="6"/>
        <v>0</v>
      </c>
      <c r="AD45" s="108">
        <v>3776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2536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558.5</v>
      </c>
      <c r="V46" s="106">
        <v>1117</v>
      </c>
      <c r="W46" s="106">
        <f t="shared" si="3"/>
        <v>467.5</v>
      </c>
      <c r="X46" s="106">
        <v>2052</v>
      </c>
      <c r="Y46" s="106">
        <f t="shared" si="4"/>
        <v>0</v>
      </c>
      <c r="Z46" s="106">
        <v>2052</v>
      </c>
      <c r="AA46" s="106">
        <f t="shared" si="5"/>
        <v>0</v>
      </c>
      <c r="AB46" s="106">
        <v>2052</v>
      </c>
      <c r="AC46" s="106">
        <f t="shared" si="6"/>
        <v>0</v>
      </c>
      <c r="AD46" s="106">
        <v>2052</v>
      </c>
      <c r="AE46" s="107">
        <f t="shared" si="7"/>
        <v>-484</v>
      </c>
    </row>
    <row r="47" spans="2:31" ht="15.6" customHeight="1" thickBot="1" x14ac:dyDescent="0.35">
      <c r="N47" s="213"/>
      <c r="O47" s="97" t="s">
        <v>68</v>
      </c>
      <c r="P47" s="110"/>
      <c r="Q47" s="110">
        <v>3997</v>
      </c>
      <c r="R47" s="110">
        <v>0</v>
      </c>
      <c r="S47" s="110">
        <f t="shared" si="1"/>
        <v>409.5</v>
      </c>
      <c r="T47" s="110">
        <v>819</v>
      </c>
      <c r="U47" s="110">
        <f t="shared" si="2"/>
        <v>752.5</v>
      </c>
      <c r="V47" s="110">
        <v>2324</v>
      </c>
      <c r="W47" s="110">
        <f t="shared" si="3"/>
        <v>532</v>
      </c>
      <c r="X47" s="110">
        <v>3388</v>
      </c>
      <c r="Y47" s="110">
        <f t="shared" si="4"/>
        <v>0</v>
      </c>
      <c r="Z47" s="110">
        <v>3388</v>
      </c>
      <c r="AA47" s="110">
        <f t="shared" si="5"/>
        <v>0</v>
      </c>
      <c r="AB47" s="110">
        <v>3388</v>
      </c>
      <c r="AC47" s="110">
        <f t="shared" si="6"/>
        <v>0</v>
      </c>
      <c r="AD47" s="110">
        <v>3388</v>
      </c>
      <c r="AE47" s="111">
        <f t="shared" si="7"/>
        <v>-609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2165</v>
      </c>
      <c r="R48" s="112">
        <v>960</v>
      </c>
      <c r="S48" s="112">
        <f t="shared" si="1"/>
        <v>0</v>
      </c>
      <c r="T48" s="112">
        <v>960</v>
      </c>
      <c r="U48" s="112">
        <f t="shared" si="2"/>
        <v>435.5</v>
      </c>
      <c r="V48" s="112">
        <v>1831</v>
      </c>
      <c r="W48" s="112">
        <f t="shared" si="3"/>
        <v>0</v>
      </c>
      <c r="X48" s="112">
        <v>1831</v>
      </c>
      <c r="Y48" s="112">
        <f t="shared" si="4"/>
        <v>72.5</v>
      </c>
      <c r="Z48" s="112">
        <v>1976</v>
      </c>
      <c r="AA48" s="112">
        <f t="shared" si="5"/>
        <v>0</v>
      </c>
      <c r="AB48" s="112">
        <v>1976</v>
      </c>
      <c r="AC48" s="112">
        <f t="shared" si="6"/>
        <v>0</v>
      </c>
      <c r="AD48" s="112">
        <v>1976</v>
      </c>
      <c r="AE48" s="113">
        <f t="shared" si="7"/>
        <v>-189</v>
      </c>
    </row>
    <row r="49" spans="14:31" ht="15.6" customHeight="1" x14ac:dyDescent="0.3">
      <c r="N49" s="212"/>
      <c r="O49" s="94" t="s">
        <v>66</v>
      </c>
      <c r="P49" s="108"/>
      <c r="Q49" s="108">
        <v>3701</v>
      </c>
      <c r="R49" s="108">
        <v>1050</v>
      </c>
      <c r="S49" s="108">
        <f t="shared" si="1"/>
        <v>187</v>
      </c>
      <c r="T49" s="108">
        <v>1424</v>
      </c>
      <c r="U49" s="108">
        <f t="shared" si="2"/>
        <v>514.5</v>
      </c>
      <c r="V49" s="108">
        <v>2453</v>
      </c>
      <c r="W49" s="108">
        <f t="shared" si="3"/>
        <v>360</v>
      </c>
      <c r="X49" s="108">
        <v>3173</v>
      </c>
      <c r="Y49" s="108">
        <f t="shared" si="4"/>
        <v>260</v>
      </c>
      <c r="Z49" s="108">
        <v>3693</v>
      </c>
      <c r="AA49" s="108">
        <f t="shared" si="5"/>
        <v>0</v>
      </c>
      <c r="AB49" s="108">
        <v>3693</v>
      </c>
      <c r="AC49" s="108">
        <f t="shared" si="6"/>
        <v>0</v>
      </c>
      <c r="AD49" s="108">
        <v>3693</v>
      </c>
      <c r="AE49" s="109">
        <f t="shared" si="7"/>
        <v>-8</v>
      </c>
    </row>
    <row r="50" spans="14:31" ht="15.6" customHeight="1" x14ac:dyDescent="0.3">
      <c r="N50" s="212"/>
      <c r="O50" s="95" t="s">
        <v>67</v>
      </c>
      <c r="P50" s="106"/>
      <c r="Q50" s="106">
        <v>1748</v>
      </c>
      <c r="R50" s="106">
        <v>557</v>
      </c>
      <c r="S50" s="106">
        <f t="shared" si="1"/>
        <v>0</v>
      </c>
      <c r="T50" s="106">
        <v>557</v>
      </c>
      <c r="U50" s="106">
        <f t="shared" si="2"/>
        <v>326</v>
      </c>
      <c r="V50" s="106">
        <v>1209</v>
      </c>
      <c r="W50" s="106">
        <f t="shared" si="3"/>
        <v>0</v>
      </c>
      <c r="X50" s="106">
        <v>1209</v>
      </c>
      <c r="Y50" s="106">
        <f t="shared" si="4"/>
        <v>132.5</v>
      </c>
      <c r="Z50" s="106">
        <v>1474</v>
      </c>
      <c r="AA50" s="106">
        <f t="shared" si="5"/>
        <v>0</v>
      </c>
      <c r="AB50" s="106">
        <v>1474</v>
      </c>
      <c r="AC50" s="106">
        <f t="shared" si="6"/>
        <v>0</v>
      </c>
      <c r="AD50" s="106">
        <v>1474</v>
      </c>
      <c r="AE50" s="107">
        <f t="shared" si="7"/>
        <v>-274</v>
      </c>
    </row>
    <row r="51" spans="14:31" ht="15.6" customHeight="1" x14ac:dyDescent="0.3">
      <c r="N51" s="212"/>
      <c r="O51" s="94" t="s">
        <v>68</v>
      </c>
      <c r="P51" s="108"/>
      <c r="Q51" s="108">
        <v>763</v>
      </c>
      <c r="R51" s="108">
        <v>346</v>
      </c>
      <c r="S51" s="108">
        <f t="shared" si="1"/>
        <v>0</v>
      </c>
      <c r="T51" s="108">
        <v>346</v>
      </c>
      <c r="U51" s="108">
        <f t="shared" si="2"/>
        <v>16</v>
      </c>
      <c r="V51" s="108">
        <v>378</v>
      </c>
      <c r="W51" s="108">
        <f t="shared" si="3"/>
        <v>205.5</v>
      </c>
      <c r="X51" s="108">
        <v>789</v>
      </c>
      <c r="Y51" s="108">
        <f t="shared" si="4"/>
        <v>8.5</v>
      </c>
      <c r="Z51" s="108">
        <v>806</v>
      </c>
      <c r="AA51" s="108">
        <f t="shared" si="5"/>
        <v>0</v>
      </c>
      <c r="AB51" s="108">
        <v>806</v>
      </c>
      <c r="AC51" s="108">
        <f t="shared" si="6"/>
        <v>0</v>
      </c>
      <c r="AD51" s="108">
        <v>806</v>
      </c>
      <c r="AE51" s="109">
        <f t="shared" si="7"/>
        <v>43</v>
      </c>
    </row>
    <row r="52" spans="14:31" ht="15.6" customHeight="1" x14ac:dyDescent="0.3">
      <c r="N52" s="212"/>
      <c r="O52" s="95" t="s">
        <v>69</v>
      </c>
      <c r="P52" s="106"/>
      <c r="Q52" s="106">
        <v>2750</v>
      </c>
      <c r="R52" s="106">
        <v>8</v>
      </c>
      <c r="S52" s="106">
        <f t="shared" si="1"/>
        <v>0</v>
      </c>
      <c r="T52" s="106">
        <v>8</v>
      </c>
      <c r="U52" s="106">
        <f t="shared" si="2"/>
        <v>396</v>
      </c>
      <c r="V52" s="106">
        <v>800</v>
      </c>
      <c r="W52" s="106">
        <f t="shared" si="3"/>
        <v>280.5</v>
      </c>
      <c r="X52" s="106">
        <v>1361</v>
      </c>
      <c r="Y52" s="106">
        <f t="shared" si="4"/>
        <v>1</v>
      </c>
      <c r="Z52" s="106">
        <v>1363</v>
      </c>
      <c r="AA52" s="106">
        <f t="shared" si="5"/>
        <v>0</v>
      </c>
      <c r="AB52" s="106">
        <v>1363</v>
      </c>
      <c r="AC52" s="106">
        <f t="shared" si="6"/>
        <v>0</v>
      </c>
      <c r="AD52" s="106">
        <v>1363</v>
      </c>
      <c r="AE52" s="107">
        <f t="shared" si="7"/>
        <v>-1387</v>
      </c>
    </row>
    <row r="53" spans="14:31" ht="15.6" customHeight="1" x14ac:dyDescent="0.3">
      <c r="N53" s="212"/>
      <c r="O53" s="94" t="s">
        <v>70</v>
      </c>
      <c r="P53" s="108"/>
      <c r="Q53" s="108">
        <v>1258</v>
      </c>
      <c r="R53" s="108">
        <v>8</v>
      </c>
      <c r="S53" s="108">
        <f t="shared" si="1"/>
        <v>5</v>
      </c>
      <c r="T53" s="108">
        <v>18</v>
      </c>
      <c r="U53" s="108">
        <f t="shared" si="2"/>
        <v>0</v>
      </c>
      <c r="V53" s="108">
        <v>18</v>
      </c>
      <c r="W53" s="108">
        <f t="shared" si="3"/>
        <v>0</v>
      </c>
      <c r="X53" s="108">
        <v>18</v>
      </c>
      <c r="Y53" s="108">
        <f t="shared" si="4"/>
        <v>217</v>
      </c>
      <c r="Z53" s="108">
        <v>452</v>
      </c>
      <c r="AA53" s="108">
        <f t="shared" si="5"/>
        <v>0</v>
      </c>
      <c r="AB53" s="108">
        <v>452</v>
      </c>
      <c r="AC53" s="108">
        <f t="shared" si="6"/>
        <v>0</v>
      </c>
      <c r="AD53" s="108">
        <v>452</v>
      </c>
      <c r="AE53" s="109">
        <f t="shared" si="7"/>
        <v>-806</v>
      </c>
    </row>
    <row r="54" spans="14:31" ht="15.6" customHeight="1" x14ac:dyDescent="0.3">
      <c r="N54" s="212"/>
      <c r="O54" s="95" t="s">
        <v>71</v>
      </c>
      <c r="P54" s="106"/>
      <c r="Q54" s="106">
        <v>1985</v>
      </c>
      <c r="R54" s="106">
        <v>665</v>
      </c>
      <c r="S54" s="106">
        <f t="shared" si="1"/>
        <v>40</v>
      </c>
      <c r="T54" s="106">
        <v>745</v>
      </c>
      <c r="U54" s="106">
        <f t="shared" si="2"/>
        <v>0</v>
      </c>
      <c r="V54" s="106">
        <v>745</v>
      </c>
      <c r="W54" s="106">
        <f t="shared" si="3"/>
        <v>458</v>
      </c>
      <c r="X54" s="106">
        <v>1661</v>
      </c>
      <c r="Y54" s="106">
        <f t="shared" si="4"/>
        <v>31.5</v>
      </c>
      <c r="Z54" s="106">
        <v>1724</v>
      </c>
      <c r="AA54" s="106">
        <f t="shared" si="5"/>
        <v>0</v>
      </c>
      <c r="AB54" s="106">
        <v>1724</v>
      </c>
      <c r="AC54" s="106">
        <f t="shared" si="6"/>
        <v>0</v>
      </c>
      <c r="AD54" s="106">
        <v>1724</v>
      </c>
      <c r="AE54" s="107">
        <f t="shared" si="7"/>
        <v>-261</v>
      </c>
    </row>
    <row r="55" spans="14:31" ht="15.6" customHeight="1" x14ac:dyDescent="0.3">
      <c r="N55" s="212"/>
      <c r="O55" s="94" t="s">
        <v>72</v>
      </c>
      <c r="P55" s="108"/>
      <c r="Q55" s="108">
        <v>2911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704</v>
      </c>
      <c r="V55" s="108">
        <v>2608</v>
      </c>
      <c r="W55" s="108">
        <f t="shared" si="3"/>
        <v>0</v>
      </c>
      <c r="X55" s="108">
        <v>2608</v>
      </c>
      <c r="Y55" s="108">
        <f t="shared" si="4"/>
        <v>151.5</v>
      </c>
      <c r="Z55" s="108">
        <v>2911</v>
      </c>
      <c r="AA55" s="108">
        <f t="shared" si="5"/>
        <v>0</v>
      </c>
      <c r="AB55" s="108">
        <v>2911</v>
      </c>
      <c r="AC55" s="108">
        <f t="shared" si="6"/>
        <v>0</v>
      </c>
      <c r="AD55" s="108">
        <v>2911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350</v>
      </c>
      <c r="R56" s="114">
        <v>0</v>
      </c>
      <c r="S56" s="114">
        <f t="shared" si="1"/>
        <v>1</v>
      </c>
      <c r="T56" s="114">
        <v>2</v>
      </c>
      <c r="U56" s="114">
        <f t="shared" si="2"/>
        <v>0</v>
      </c>
      <c r="V56" s="114">
        <v>2</v>
      </c>
      <c r="W56" s="114">
        <f t="shared" si="3"/>
        <v>0</v>
      </c>
      <c r="X56" s="114">
        <v>2</v>
      </c>
      <c r="Y56" s="114">
        <f t="shared" si="4"/>
        <v>89</v>
      </c>
      <c r="Z56" s="114">
        <v>180</v>
      </c>
      <c r="AA56" s="114">
        <f t="shared" si="5"/>
        <v>0</v>
      </c>
      <c r="AB56" s="114">
        <v>180</v>
      </c>
      <c r="AC56" s="114">
        <f t="shared" si="6"/>
        <v>0</v>
      </c>
      <c r="AD56" s="114">
        <v>180</v>
      </c>
      <c r="AE56" s="115">
        <f t="shared" si="7"/>
        <v>-170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3247</v>
      </c>
      <c r="R57" s="104">
        <v>1629</v>
      </c>
      <c r="S57" s="104">
        <f t="shared" si="1"/>
        <v>325.5</v>
      </c>
      <c r="T57" s="104">
        <v>2280</v>
      </c>
      <c r="U57" s="104">
        <f t="shared" si="2"/>
        <v>223</v>
      </c>
      <c r="V57" s="104">
        <v>2726</v>
      </c>
      <c r="W57" s="104">
        <f t="shared" si="3"/>
        <v>0</v>
      </c>
      <c r="X57" s="104">
        <v>2726</v>
      </c>
      <c r="Y57" s="104">
        <f t="shared" si="4"/>
        <v>0</v>
      </c>
      <c r="Z57" s="104">
        <v>2726</v>
      </c>
      <c r="AA57" s="104">
        <f t="shared" si="5"/>
        <v>0</v>
      </c>
      <c r="AB57" s="104">
        <v>2726</v>
      </c>
      <c r="AC57" s="104">
        <f t="shared" si="6"/>
        <v>0</v>
      </c>
      <c r="AD57" s="104">
        <v>2726</v>
      </c>
      <c r="AE57" s="105">
        <f t="shared" si="7"/>
        <v>-521</v>
      </c>
    </row>
    <row r="58" spans="14:31" ht="15.6" customHeight="1" x14ac:dyDescent="0.3">
      <c r="N58" s="212"/>
      <c r="O58" s="95" t="s">
        <v>66</v>
      </c>
      <c r="P58" s="106"/>
      <c r="Q58" s="106">
        <v>3827</v>
      </c>
      <c r="R58" s="106">
        <v>438</v>
      </c>
      <c r="S58" s="106">
        <f t="shared" si="1"/>
        <v>491</v>
      </c>
      <c r="T58" s="106">
        <v>1420</v>
      </c>
      <c r="U58" s="106">
        <f t="shared" si="2"/>
        <v>744.5</v>
      </c>
      <c r="V58" s="106">
        <v>2909</v>
      </c>
      <c r="W58" s="106">
        <f t="shared" si="3"/>
        <v>0</v>
      </c>
      <c r="X58" s="106">
        <v>2909</v>
      </c>
      <c r="Y58" s="106">
        <f t="shared" si="4"/>
        <v>0</v>
      </c>
      <c r="Z58" s="106">
        <v>2909</v>
      </c>
      <c r="AA58" s="106">
        <f t="shared" si="5"/>
        <v>0</v>
      </c>
      <c r="AB58" s="106">
        <v>2909</v>
      </c>
      <c r="AC58" s="106">
        <f t="shared" si="6"/>
        <v>0</v>
      </c>
      <c r="AD58" s="106">
        <v>2909</v>
      </c>
      <c r="AE58" s="107">
        <f t="shared" si="7"/>
        <v>-918</v>
      </c>
    </row>
    <row r="59" spans="14:31" ht="15.6" customHeight="1" x14ac:dyDescent="0.3">
      <c r="N59" s="212"/>
      <c r="O59" s="94" t="s">
        <v>67</v>
      </c>
      <c r="P59" s="108"/>
      <c r="Q59" s="108">
        <v>3294</v>
      </c>
      <c r="R59" s="108">
        <v>564</v>
      </c>
      <c r="S59" s="108">
        <f t="shared" si="1"/>
        <v>227.5</v>
      </c>
      <c r="T59" s="108">
        <v>1019</v>
      </c>
      <c r="U59" s="108">
        <f t="shared" si="2"/>
        <v>348.5</v>
      </c>
      <c r="V59" s="108">
        <v>1716</v>
      </c>
      <c r="W59" s="108">
        <f t="shared" si="3"/>
        <v>0</v>
      </c>
      <c r="X59" s="108">
        <v>1716</v>
      </c>
      <c r="Y59" s="108">
        <f t="shared" si="4"/>
        <v>0</v>
      </c>
      <c r="Z59" s="108">
        <v>1716</v>
      </c>
      <c r="AA59" s="108">
        <f t="shared" si="5"/>
        <v>0</v>
      </c>
      <c r="AB59" s="108">
        <v>1716</v>
      </c>
      <c r="AC59" s="108">
        <f t="shared" si="6"/>
        <v>0</v>
      </c>
      <c r="AD59" s="108">
        <v>1716</v>
      </c>
      <c r="AE59" s="109">
        <f t="shared" si="7"/>
        <v>-1578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4685</v>
      </c>
      <c r="R61" s="104">
        <v>867</v>
      </c>
      <c r="S61" s="104">
        <f t="shared" si="1"/>
        <v>533.5</v>
      </c>
      <c r="T61" s="104">
        <v>1934</v>
      </c>
      <c r="U61" s="104">
        <f t="shared" si="2"/>
        <v>203</v>
      </c>
      <c r="V61" s="104">
        <v>2340</v>
      </c>
      <c r="W61" s="104">
        <f t="shared" si="3"/>
        <v>467</v>
      </c>
      <c r="X61" s="104">
        <v>3274</v>
      </c>
      <c r="Y61" s="104">
        <f t="shared" si="4"/>
        <v>0</v>
      </c>
      <c r="Z61" s="104">
        <v>3274</v>
      </c>
      <c r="AA61" s="104">
        <f t="shared" si="5"/>
        <v>0</v>
      </c>
      <c r="AB61" s="104">
        <v>3274</v>
      </c>
      <c r="AC61" s="104">
        <f t="shared" si="6"/>
        <v>0</v>
      </c>
      <c r="AD61" s="104">
        <v>3274</v>
      </c>
      <c r="AE61" s="105">
        <f t="shared" si="7"/>
        <v>-1411</v>
      </c>
    </row>
    <row r="62" spans="14:31" ht="15.6" customHeight="1" x14ac:dyDescent="0.3">
      <c r="N62" s="212"/>
      <c r="O62" s="95" t="s">
        <v>66</v>
      </c>
      <c r="P62" s="106"/>
      <c r="Q62" s="106">
        <v>6062</v>
      </c>
      <c r="R62" s="106">
        <v>2360</v>
      </c>
      <c r="S62" s="106">
        <f t="shared" si="1"/>
        <v>422.5</v>
      </c>
      <c r="T62" s="106">
        <v>3205</v>
      </c>
      <c r="U62" s="106">
        <f t="shared" si="2"/>
        <v>72</v>
      </c>
      <c r="V62" s="106">
        <v>3349</v>
      </c>
      <c r="W62" s="106">
        <f t="shared" si="3"/>
        <v>397</v>
      </c>
      <c r="X62" s="106">
        <v>4143</v>
      </c>
      <c r="Y62" s="106">
        <f t="shared" si="4"/>
        <v>0</v>
      </c>
      <c r="Z62" s="106">
        <v>4143</v>
      </c>
      <c r="AA62" s="106">
        <f t="shared" si="5"/>
        <v>0</v>
      </c>
      <c r="AB62" s="106">
        <v>4143</v>
      </c>
      <c r="AC62" s="106">
        <f t="shared" si="6"/>
        <v>0</v>
      </c>
      <c r="AD62" s="106">
        <v>4143</v>
      </c>
      <c r="AE62" s="107">
        <f t="shared" si="7"/>
        <v>-1919</v>
      </c>
    </row>
    <row r="63" spans="14:31" ht="15.6" customHeight="1" x14ac:dyDescent="0.3">
      <c r="N63" s="212"/>
      <c r="O63" s="94" t="s">
        <v>67</v>
      </c>
      <c r="P63" s="108"/>
      <c r="Q63" s="108">
        <v>4304</v>
      </c>
      <c r="R63" s="108">
        <v>448</v>
      </c>
      <c r="S63" s="108">
        <f t="shared" si="1"/>
        <v>587</v>
      </c>
      <c r="T63" s="108">
        <v>1622</v>
      </c>
      <c r="U63" s="108">
        <f t="shared" si="2"/>
        <v>494</v>
      </c>
      <c r="V63" s="108">
        <v>2610</v>
      </c>
      <c r="W63" s="108">
        <f t="shared" si="3"/>
        <v>287</v>
      </c>
      <c r="X63" s="108">
        <v>3184</v>
      </c>
      <c r="Y63" s="108">
        <f t="shared" si="4"/>
        <v>0</v>
      </c>
      <c r="Z63" s="108">
        <v>3184</v>
      </c>
      <c r="AA63" s="108">
        <f t="shared" si="5"/>
        <v>0</v>
      </c>
      <c r="AB63" s="108">
        <v>3184</v>
      </c>
      <c r="AC63" s="108">
        <f t="shared" si="6"/>
        <v>0</v>
      </c>
      <c r="AD63" s="108">
        <v>3184</v>
      </c>
      <c r="AE63" s="109">
        <f t="shared" si="7"/>
        <v>-1120</v>
      </c>
    </row>
    <row r="64" spans="14:31" ht="15.6" customHeight="1" thickBot="1" x14ac:dyDescent="0.35">
      <c r="N64" s="213"/>
      <c r="O64" s="99" t="s">
        <v>68</v>
      </c>
      <c r="P64" s="114"/>
      <c r="Q64" s="114">
        <v>1093</v>
      </c>
      <c r="R64" s="114">
        <v>57</v>
      </c>
      <c r="S64" s="114">
        <f t="shared" si="1"/>
        <v>175</v>
      </c>
      <c r="T64" s="114">
        <v>407</v>
      </c>
      <c r="U64" s="114">
        <f t="shared" si="2"/>
        <v>87</v>
      </c>
      <c r="V64" s="114">
        <v>581</v>
      </c>
      <c r="W64" s="114">
        <f t="shared" si="3"/>
        <v>110</v>
      </c>
      <c r="X64" s="114">
        <v>801</v>
      </c>
      <c r="Y64" s="114">
        <f t="shared" si="4"/>
        <v>0</v>
      </c>
      <c r="Z64" s="114">
        <v>801</v>
      </c>
      <c r="AA64" s="114">
        <f t="shared" si="5"/>
        <v>0</v>
      </c>
      <c r="AB64" s="114">
        <v>801</v>
      </c>
      <c r="AC64" s="114">
        <f t="shared" si="6"/>
        <v>0</v>
      </c>
      <c r="AD64" s="114">
        <v>801</v>
      </c>
      <c r="AE64" s="115">
        <f t="shared" si="7"/>
        <v>-292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03" priority="11" operator="lessThan">
      <formula>0</formula>
    </cfRule>
    <cfRule type="cellIs" dxfId="1402" priority="12" operator="greaterThan">
      <formula>0</formula>
    </cfRule>
  </conditionalFormatting>
  <conditionalFormatting sqref="R25:AC25">
    <cfRule type="cellIs" dxfId="1401" priority="9" operator="lessThan">
      <formula>0</formula>
    </cfRule>
    <cfRule type="cellIs" dxfId="1400" priority="10" operator="greaterThan">
      <formula>0</formula>
    </cfRule>
  </conditionalFormatting>
  <conditionalFormatting sqref="R26 T26 V26 X26 Z26 AB26">
    <cfRule type="cellIs" dxfId="1399" priority="7" operator="lessThan">
      <formula>0</formula>
    </cfRule>
    <cfRule type="cellIs" dxfId="1398" priority="8" operator="greaterThan">
      <formula>0</formula>
    </cfRule>
  </conditionalFormatting>
  <conditionalFormatting sqref="AD24:AE24">
    <cfRule type="cellIs" dxfId="1397" priority="5" operator="lessThan">
      <formula>0</formula>
    </cfRule>
    <cfRule type="cellIs" dxfId="1396" priority="6" operator="greaterThan">
      <formula>0</formula>
    </cfRule>
  </conditionalFormatting>
  <conditionalFormatting sqref="AD25:AE25">
    <cfRule type="cellIs" dxfId="1395" priority="3" operator="lessThan">
      <formula>0</formula>
    </cfRule>
    <cfRule type="cellIs" dxfId="1394" priority="4" operator="greaterThan">
      <formula>0</formula>
    </cfRule>
  </conditionalFormatting>
  <conditionalFormatting sqref="AD26">
    <cfRule type="cellIs" dxfId="1393" priority="1" operator="lessThan">
      <formula>0</formula>
    </cfRule>
    <cfRule type="cellIs" dxfId="13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44402</v>
      </c>
    </row>
    <row r="3" spans="2:42" ht="18.75" customHeight="1" thickBot="1" x14ac:dyDescent="0.35">
      <c r="B3" t="s">
        <v>1</v>
      </c>
      <c r="C3" s="3">
        <f>C2+1</f>
        <v>44403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3044</v>
      </c>
      <c r="E6" s="18" t="s">
        <v>22</v>
      </c>
      <c r="F6" s="119">
        <v>21069</v>
      </c>
      <c r="G6" s="117">
        <v>17201.151125</v>
      </c>
      <c r="H6" s="117">
        <v>15321.91949922001</v>
      </c>
      <c r="I6" s="19">
        <f>G6+H6</f>
        <v>32523.07062422001</v>
      </c>
      <c r="J6" s="119">
        <v>21583</v>
      </c>
      <c r="K6" s="117">
        <v>17590.297500000001</v>
      </c>
      <c r="L6" s="117">
        <v>15485.46695421999</v>
      </c>
      <c r="M6" s="19">
        <f>K6+L6</f>
        <v>33075.764454219992</v>
      </c>
      <c r="N6" s="85">
        <v>79</v>
      </c>
      <c r="O6" s="85">
        <v>49</v>
      </c>
      <c r="P6" s="92"/>
      <c r="Q6" s="20">
        <f>J6-P6</f>
        <v>21583</v>
      </c>
      <c r="R6" s="21">
        <v>484</v>
      </c>
      <c r="S6" s="20">
        <f>IF(R6&gt;0,(R6-R7-$Q6),"")</f>
        <v>-21099</v>
      </c>
      <c r="T6" s="21">
        <v>1387</v>
      </c>
      <c r="U6" s="20">
        <f>IF(T6&gt;0,(T6-T7-$Q6),"")</f>
        <v>-20196</v>
      </c>
      <c r="V6" s="21">
        <v>4238</v>
      </c>
      <c r="W6" s="20">
        <f>IF(V6&gt;0,(V6-V7-$Q6),"")</f>
        <v>-17354</v>
      </c>
      <c r="X6" s="21">
        <v>5624</v>
      </c>
      <c r="Y6" s="20">
        <f>IF(X6&gt;0,(X6-X7-$Q6),"")</f>
        <v>-15977</v>
      </c>
      <c r="Z6" s="21">
        <v>7436</v>
      </c>
      <c r="AA6" s="20">
        <f>IF(Z6&gt;0,(Z6-Z7-$Q6),"")</f>
        <v>-14171</v>
      </c>
      <c r="AB6" s="21">
        <v>9967</v>
      </c>
      <c r="AC6" s="22">
        <f>IF(AB6&gt;0,(AB6-AB7-$Q6),"")</f>
        <v>-11664</v>
      </c>
      <c r="AD6" s="21">
        <v>10484</v>
      </c>
      <c r="AE6" s="22">
        <f>IF(AD6&gt;0,(AD6-AD7-$Q6),"")</f>
        <v>-11147</v>
      </c>
    </row>
    <row r="7" spans="2:42" x14ac:dyDescent="0.3">
      <c r="B7" s="16" t="s">
        <v>23</v>
      </c>
      <c r="C7" s="17">
        <v>117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30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9</v>
      </c>
      <c r="W7" s="24"/>
      <c r="X7" s="25">
        <v>18</v>
      </c>
      <c r="Y7" s="24"/>
      <c r="Z7" s="25">
        <v>24</v>
      </c>
      <c r="AA7" s="24"/>
      <c r="AB7" s="25">
        <v>48</v>
      </c>
      <c r="AC7" s="26"/>
      <c r="AD7" s="25">
        <v>48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1870</v>
      </c>
      <c r="E8" s="29" t="s">
        <v>27</v>
      </c>
      <c r="F8" s="119">
        <v>14140</v>
      </c>
      <c r="G8" s="117">
        <v>6040.94</v>
      </c>
      <c r="H8" s="117">
        <v>1351.0936764999999</v>
      </c>
      <c r="I8" s="19">
        <f>G8+H8</f>
        <v>7392.0336764999993</v>
      </c>
      <c r="J8" s="119">
        <v>14172</v>
      </c>
      <c r="K8" s="117">
        <v>6034.5854999999992</v>
      </c>
      <c r="L8" s="117">
        <v>1318.0462468999999</v>
      </c>
      <c r="M8" s="19">
        <f>K8+L8</f>
        <v>7352.6317468999987</v>
      </c>
      <c r="N8" s="87">
        <v>26</v>
      </c>
      <c r="O8" s="87">
        <v>23</v>
      </c>
      <c r="P8" s="92"/>
      <c r="Q8" s="20">
        <f>J8-P8</f>
        <v>14172</v>
      </c>
      <c r="R8" s="21">
        <v>1032</v>
      </c>
      <c r="S8" s="20">
        <f>IF(R8&gt;0,(R8-R9-$Q8),"")</f>
        <v>-13140</v>
      </c>
      <c r="T8" s="21">
        <v>2551</v>
      </c>
      <c r="U8" s="20">
        <f>IF(T8&gt;0,(T8-T9-$Q8),"")</f>
        <v>-12377</v>
      </c>
      <c r="V8" s="21">
        <v>3962</v>
      </c>
      <c r="W8" s="20">
        <f>IF(V8&gt;0,(V8-V9-$Q8),"")</f>
        <v>-10966</v>
      </c>
      <c r="X8" s="21">
        <v>7039</v>
      </c>
      <c r="Y8" s="20">
        <f>IF(X8&gt;0,(X8-X9-$Q8),"")</f>
        <v>-7889</v>
      </c>
      <c r="Z8" s="21">
        <v>9142</v>
      </c>
      <c r="AA8" s="20">
        <f>IF(Z8&gt;0,(Z8-Z9-$Q8),"")</f>
        <v>-5793</v>
      </c>
      <c r="AB8" s="21">
        <v>9142</v>
      </c>
      <c r="AC8" s="22">
        <f>IF(AB8&gt;0,(AB8-AB9-$Q8),"")</f>
        <v>-5793</v>
      </c>
      <c r="AD8" s="21">
        <v>9142</v>
      </c>
      <c r="AE8" s="22">
        <f>IF(AD8&gt;0,(AD8-AD9-$Q8),"")</f>
        <v>-5793</v>
      </c>
    </row>
    <row r="9" spans="2:42" x14ac:dyDescent="0.3">
      <c r="B9" s="28" t="s">
        <v>28</v>
      </c>
      <c r="C9" s="17">
        <v>1630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756</v>
      </c>
      <c r="U9" s="24"/>
      <c r="V9" s="30">
        <v>756</v>
      </c>
      <c r="W9" s="24"/>
      <c r="X9" s="30">
        <v>756</v>
      </c>
      <c r="Y9" s="24"/>
      <c r="Z9" s="30">
        <v>763</v>
      </c>
      <c r="AA9" s="24"/>
      <c r="AB9" s="30">
        <v>763</v>
      </c>
      <c r="AC9" s="26"/>
      <c r="AD9" s="30">
        <v>763</v>
      </c>
      <c r="AE9" s="26"/>
    </row>
    <row r="10" spans="2:42" x14ac:dyDescent="0.3">
      <c r="B10" s="16" t="s">
        <v>30</v>
      </c>
      <c r="C10" s="17">
        <v>4593</v>
      </c>
      <c r="E10" s="18" t="s">
        <v>31</v>
      </c>
      <c r="F10" s="119">
        <v>10234</v>
      </c>
      <c r="G10" s="117">
        <v>7756.9366250000003</v>
      </c>
      <c r="H10" s="117">
        <v>1980.4426249999999</v>
      </c>
      <c r="I10" s="19">
        <f>G10+H10</f>
        <v>9737.37925</v>
      </c>
      <c r="J10" s="119">
        <v>10048</v>
      </c>
      <c r="K10" s="117">
        <v>7538.6656250000005</v>
      </c>
      <c r="L10" s="117">
        <v>1847.6571650000001</v>
      </c>
      <c r="M10" s="19">
        <f>K10+L10</f>
        <v>9386.3227900000002</v>
      </c>
      <c r="N10" s="88">
        <v>49</v>
      </c>
      <c r="O10" s="88">
        <v>30</v>
      </c>
      <c r="P10" s="92"/>
      <c r="Q10" s="20">
        <f>J10-P10</f>
        <v>10048</v>
      </c>
      <c r="R10" s="21">
        <v>592</v>
      </c>
      <c r="S10" s="20">
        <f>IF(R10&gt;0,(R10-R11-$Q10),"")</f>
        <v>-9456</v>
      </c>
      <c r="T10" s="21">
        <v>1544</v>
      </c>
      <c r="U10" s="20">
        <f>IF(T10&gt;0,(T10-T11-$Q10),"")</f>
        <v>-8946</v>
      </c>
      <c r="V10" s="21">
        <v>3433</v>
      </c>
      <c r="W10" s="20">
        <f>IF(V10&gt;0,(V10-V11-$Q10),"")</f>
        <v>-7833</v>
      </c>
      <c r="X10" s="21">
        <v>5181</v>
      </c>
      <c r="Y10" s="20">
        <f>IF(X10&gt;0,(X10-X11-$Q10),"")</f>
        <v>-6845</v>
      </c>
      <c r="Z10" s="21">
        <v>6465</v>
      </c>
      <c r="AA10" s="20">
        <f>IF(Z10&gt;0,(Z10-Z11-$Q10),"")</f>
        <v>-5756</v>
      </c>
      <c r="AB10" s="21">
        <v>6465</v>
      </c>
      <c r="AC10" s="22">
        <f>IF(AB10&gt;0,(AB10-AB11-$Q10),"")</f>
        <v>-5756</v>
      </c>
      <c r="AD10" s="21">
        <v>6465</v>
      </c>
      <c r="AE10" s="22">
        <f>IF(AD10&gt;0,(AD10-AD11-$Q10),"")</f>
        <v>-5756</v>
      </c>
    </row>
    <row r="11" spans="2:42" x14ac:dyDescent="0.3">
      <c r="B11" s="16" t="s">
        <v>32</v>
      </c>
      <c r="C11" s="17">
        <v>2106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19</v>
      </c>
      <c r="P11" s="93" t="s">
        <v>33</v>
      </c>
      <c r="Q11" s="24"/>
      <c r="R11" s="30">
        <v>0</v>
      </c>
      <c r="S11" s="24"/>
      <c r="T11" s="30">
        <v>442</v>
      </c>
      <c r="U11" s="24"/>
      <c r="V11" s="30">
        <v>1218</v>
      </c>
      <c r="W11" s="24"/>
      <c r="X11" s="30">
        <v>1978</v>
      </c>
      <c r="Y11" s="24"/>
      <c r="Z11" s="30">
        <v>2173</v>
      </c>
      <c r="AA11" s="24"/>
      <c r="AB11" s="30">
        <v>2173</v>
      </c>
      <c r="AC11" s="26"/>
      <c r="AD11" s="30">
        <v>2173</v>
      </c>
      <c r="AE11" s="26"/>
    </row>
    <row r="12" spans="2:42" x14ac:dyDescent="0.3">
      <c r="B12" s="16" t="s">
        <v>34</v>
      </c>
      <c r="C12" s="17">
        <v>1812</v>
      </c>
      <c r="E12" s="29" t="s">
        <v>35</v>
      </c>
      <c r="F12" s="119">
        <v>13816</v>
      </c>
      <c r="G12" s="117">
        <v>11093.2695</v>
      </c>
      <c r="H12" s="117">
        <v>15160.614963219999</v>
      </c>
      <c r="I12" s="19">
        <f>G12+H12</f>
        <v>26253.884463219998</v>
      </c>
      <c r="J12" s="119">
        <v>13672</v>
      </c>
      <c r="K12" s="117">
        <v>10754.481750000001</v>
      </c>
      <c r="L12" s="117">
        <v>14285.43340846</v>
      </c>
      <c r="M12" s="19">
        <f>K12+L12</f>
        <v>25039.91515846</v>
      </c>
      <c r="N12" s="88">
        <v>56</v>
      </c>
      <c r="O12" s="88">
        <v>33</v>
      </c>
      <c r="P12" s="92"/>
      <c r="Q12" s="20">
        <f>J12-P12</f>
        <v>13672</v>
      </c>
      <c r="R12" s="21">
        <v>1644</v>
      </c>
      <c r="S12" s="20">
        <f>IF(R12&gt;0,(R12-R13-$Q12),"")</f>
        <v>-12772</v>
      </c>
      <c r="T12" s="21">
        <v>3743</v>
      </c>
      <c r="U12" s="20">
        <f>IF(T12&gt;0,(T12-T13-$Q12),"")</f>
        <v>-10673</v>
      </c>
      <c r="V12" s="21">
        <v>5435</v>
      </c>
      <c r="W12" s="20">
        <f>IF(V12&gt;0,(V12-V13-$Q12),"")</f>
        <v>-8998</v>
      </c>
      <c r="X12" s="21">
        <v>6931</v>
      </c>
      <c r="Y12" s="20">
        <f>IF(X12&gt;0,(X12-X13-$Q12),"")</f>
        <v>-7563</v>
      </c>
      <c r="Z12" s="21">
        <v>8294</v>
      </c>
      <c r="AA12" s="20">
        <f>IF(Z12&gt;0,(Z12-Z13-$Q12),"")</f>
        <v>-6200</v>
      </c>
      <c r="AB12" s="21">
        <v>8294</v>
      </c>
      <c r="AC12" s="22">
        <f>IF(AB12&gt;0,(AB12-AB13-$Q12),"")</f>
        <v>-6200</v>
      </c>
      <c r="AD12" s="21">
        <v>8294</v>
      </c>
      <c r="AE12" s="22">
        <f>IF(AD12&gt;0,(AD12-AD13-$Q12),"")</f>
        <v>-6200</v>
      </c>
    </row>
    <row r="13" spans="2:42" x14ac:dyDescent="0.3">
      <c r="B13" s="16" t="s">
        <v>36</v>
      </c>
      <c r="C13" s="17">
        <v>5062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23</v>
      </c>
      <c r="P13" s="93" t="s">
        <v>37</v>
      </c>
      <c r="Q13" s="24"/>
      <c r="R13" s="30">
        <v>744</v>
      </c>
      <c r="S13" s="24"/>
      <c r="T13" s="30">
        <v>744</v>
      </c>
      <c r="U13" s="24"/>
      <c r="V13" s="30">
        <v>761</v>
      </c>
      <c r="W13" s="24"/>
      <c r="X13" s="30">
        <v>822</v>
      </c>
      <c r="Y13" s="24"/>
      <c r="Z13" s="30">
        <v>822</v>
      </c>
      <c r="AA13" s="24"/>
      <c r="AB13" s="30">
        <v>822</v>
      </c>
      <c r="AC13" s="26"/>
      <c r="AD13" s="30">
        <v>822</v>
      </c>
      <c r="AE13" s="26"/>
    </row>
    <row r="14" spans="2:42" x14ac:dyDescent="0.3">
      <c r="B14" s="16" t="s">
        <v>38</v>
      </c>
      <c r="C14" s="17">
        <v>11751</v>
      </c>
      <c r="E14" s="18" t="s">
        <v>39</v>
      </c>
      <c r="F14" s="119">
        <v>17997</v>
      </c>
      <c r="G14" s="117">
        <v>14604.0625</v>
      </c>
      <c r="H14" s="117">
        <v>17444.128077220001</v>
      </c>
      <c r="I14" s="19">
        <f>G14+H14</f>
        <v>32048.190577220001</v>
      </c>
      <c r="J14" s="119">
        <v>17997</v>
      </c>
      <c r="K14" s="117">
        <v>14604.0625</v>
      </c>
      <c r="L14" s="117">
        <v>17424.812477219992</v>
      </c>
      <c r="M14" s="19">
        <f>K14+L14</f>
        <v>32028.874977219992</v>
      </c>
      <c r="N14" s="88">
        <v>76</v>
      </c>
      <c r="O14" s="88">
        <v>50</v>
      </c>
      <c r="P14" s="92"/>
      <c r="Q14" s="20">
        <f>J14-P14</f>
        <v>17997</v>
      </c>
      <c r="R14" s="21">
        <v>3445</v>
      </c>
      <c r="S14" s="20">
        <f>IF(R14&gt;0,(R14-R15-$Q14),"")</f>
        <v>-17624</v>
      </c>
      <c r="T14" s="21">
        <v>6882</v>
      </c>
      <c r="U14" s="20">
        <f>IF(T14&gt;0,(T14-T15-$Q14),"")</f>
        <v>-16664</v>
      </c>
      <c r="V14" s="21">
        <v>8504</v>
      </c>
      <c r="W14" s="20">
        <f>IF(V14&gt;0,(V14-V15-$Q14),"")</f>
        <v>-16073</v>
      </c>
      <c r="X14" s="21">
        <v>11553</v>
      </c>
      <c r="Y14" s="20">
        <f>IF(X14&gt;0,(X14-X15-$Q14),"")</f>
        <v>-14220</v>
      </c>
      <c r="Z14" s="21">
        <v>11553</v>
      </c>
      <c r="AA14" s="20">
        <f>IF(Z14&gt;0,(Z14-Z15-$Q14),"")</f>
        <v>-14220</v>
      </c>
      <c r="AB14" s="21">
        <v>11553</v>
      </c>
      <c r="AC14" s="22">
        <f>IF(AB14&gt;0,(AB14-AB15-$Q14),"")</f>
        <v>-14220</v>
      </c>
      <c r="AD14" s="21">
        <v>11553</v>
      </c>
      <c r="AE14" s="22">
        <f>IF(AD14&gt;0,(AD14-AD15-$Q14),"")</f>
        <v>-14220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26</v>
      </c>
      <c r="P15" s="93" t="s">
        <v>41</v>
      </c>
      <c r="Q15" s="24"/>
      <c r="R15" s="25">
        <v>3072</v>
      </c>
      <c r="S15" s="24"/>
      <c r="T15" s="25">
        <v>5549</v>
      </c>
      <c r="U15" s="24"/>
      <c r="V15" s="25">
        <v>6580</v>
      </c>
      <c r="W15" s="24"/>
      <c r="X15" s="25">
        <v>7776</v>
      </c>
      <c r="Y15" s="24"/>
      <c r="Z15" s="25">
        <v>7776</v>
      </c>
      <c r="AA15" s="24"/>
      <c r="AB15" s="25">
        <v>7776</v>
      </c>
      <c r="AC15" s="26"/>
      <c r="AD15" s="25">
        <v>7776</v>
      </c>
      <c r="AE15" s="26"/>
    </row>
    <row r="16" spans="2:42" ht="15" customHeight="1" thickBot="1" x14ac:dyDescent="0.35">
      <c r="B16" s="28" t="s">
        <v>42</v>
      </c>
      <c r="C16" s="17">
        <v>11526</v>
      </c>
      <c r="E16" s="84"/>
      <c r="F16" s="31">
        <f t="shared" ref="F16:M16" si="0">SUM(F6:F15)</f>
        <v>77256</v>
      </c>
      <c r="G16" s="31">
        <f t="shared" si="0"/>
        <v>56696.359750000003</v>
      </c>
      <c r="H16" s="31">
        <f t="shared" si="0"/>
        <v>51258.198841160003</v>
      </c>
      <c r="I16" s="32">
        <f t="shared" si="0"/>
        <v>107954.55859115999</v>
      </c>
      <c r="J16" s="33">
        <f t="shared" si="0"/>
        <v>77472</v>
      </c>
      <c r="K16" s="33">
        <f t="shared" si="0"/>
        <v>56522.092875000002</v>
      </c>
      <c r="L16" s="33">
        <f t="shared" si="0"/>
        <v>50361.416251799979</v>
      </c>
      <c r="M16" s="33">
        <f t="shared" si="0"/>
        <v>106883.50912679998</v>
      </c>
      <c r="N16" s="31">
        <f>SUM(N14,N12,N10,N8,N6)</f>
        <v>286</v>
      </c>
      <c r="O16" s="31">
        <f>SUM(O14,O12,O10,O8,O6)</f>
        <v>185</v>
      </c>
      <c r="P16" s="34">
        <f>SUM(P6:P15)</f>
        <v>0</v>
      </c>
      <c r="Q16" s="34">
        <f>SUM(Q6:Q15)</f>
        <v>77472</v>
      </c>
      <c r="R16" s="35">
        <f>R6+R8+R10+R12+R14-R7-R9-R11-R13-R15</f>
        <v>3381</v>
      </c>
      <c r="S16" s="36">
        <f>IF(R16&gt;1,(R16-$Q16),"")</f>
        <v>-74091</v>
      </c>
      <c r="T16" s="35">
        <f>T6+T8+T10+T12+T14-T7-T9-T11-T13-T15</f>
        <v>8616</v>
      </c>
      <c r="U16" s="36">
        <f>IF(T16&gt;1,(T16-$Q16),"")</f>
        <v>-68856</v>
      </c>
      <c r="V16" s="35">
        <f>V6+V8+V10+V12+V14-V7-V9-V11-V13-V15</f>
        <v>16248</v>
      </c>
      <c r="W16" s="36">
        <f>IF(V16&gt;1,(V16-$Q16),"")</f>
        <v>-61224</v>
      </c>
      <c r="X16" s="35">
        <f>X6+X8+X10+X12+X14-X7-X9-X11-X13-X15</f>
        <v>24978</v>
      </c>
      <c r="Y16" s="36">
        <f>IF(X16&gt;1,(X16-$Q16),"")</f>
        <v>-52494</v>
      </c>
      <c r="Z16" s="35">
        <f>Z6+Z8+Z10+Z12+Z14-Z7-Z9-Z11-Z13-Z15</f>
        <v>31332</v>
      </c>
      <c r="AA16" s="36">
        <f>IF(Z16&gt;1,(Z16-$Q16),"")</f>
        <v>-46140</v>
      </c>
      <c r="AB16" s="35">
        <f>AB6+AB8+AB10+AB12+AB14-AB7-AB9-AB11-AB13-AB15</f>
        <v>33839</v>
      </c>
      <c r="AC16" s="37">
        <f>IF(AB16&gt;1,(AB16-$Q16),"")</f>
        <v>-43633</v>
      </c>
      <c r="AD16" s="35">
        <f>AD6+AD8+AD10+AD12+AD14-AD7-AD9-AD11-AD13-AD15</f>
        <v>34356</v>
      </c>
      <c r="AE16" s="37">
        <f>IF(AD16&gt;1,(AD16-$Q16),"")</f>
        <v>-43116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101</v>
      </c>
      <c r="P17" s="38" t="s">
        <v>44</v>
      </c>
      <c r="Q17" s="39"/>
      <c r="R17" s="40">
        <f>R15+R13+R11+R9+R7</f>
        <v>3816</v>
      </c>
      <c r="S17" s="41"/>
      <c r="T17" s="40">
        <f>T15+T13+T11+T9+T7</f>
        <v>7491</v>
      </c>
      <c r="U17" s="41"/>
      <c r="V17" s="40">
        <f>V15+V13+V11+V9+V7</f>
        <v>9324</v>
      </c>
      <c r="W17" s="41"/>
      <c r="X17" s="40">
        <f>X15+X13+X11+X9+X7</f>
        <v>11350</v>
      </c>
      <c r="Y17" s="41"/>
      <c r="Z17" s="40">
        <f>Z15+Z13+Z11+Z9+Z7</f>
        <v>11558</v>
      </c>
      <c r="AA17" s="41"/>
      <c r="AB17" s="40">
        <f>AB15+AB13+AB11+AB9+AB7</f>
        <v>11582</v>
      </c>
      <c r="AC17" s="42"/>
      <c r="AD17" s="40">
        <f>AD15+AD13+AD11+AD9+AD7</f>
        <v>11582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1690.5</v>
      </c>
      <c r="S18" s="46"/>
      <c r="T18" s="47">
        <f>IF(T16&gt;0,(T16-R16)/2,"")</f>
        <v>2617.5</v>
      </c>
      <c r="U18" s="46"/>
      <c r="V18" s="47">
        <f>IF(V16&gt;0,(V16-T16)/2,"")</f>
        <v>3816</v>
      </c>
      <c r="W18" s="46"/>
      <c r="X18" s="47">
        <f>IF(X16&gt;0,(X16-V16)/2,"")</f>
        <v>4365</v>
      </c>
      <c r="Y18" s="46"/>
      <c r="Z18" s="47">
        <f>IF(Z16&gt;0,(Z16-X16)/2,"")</f>
        <v>3177</v>
      </c>
      <c r="AA18" s="46"/>
      <c r="AB18" s="47">
        <f>IF(AB16&gt;0,(AB16-Z16)/2,"")</f>
        <v>1253.5</v>
      </c>
      <c r="AC18" s="48"/>
      <c r="AD18" s="47">
        <f>IF(AD16&gt;0,(AD16-AB16)/2,"")</f>
        <v>258.5</v>
      </c>
      <c r="AE18" s="48"/>
    </row>
    <row r="19" spans="2:43" ht="15" customHeight="1" thickBot="1" x14ac:dyDescent="0.35">
      <c r="B19" s="16" t="s">
        <v>50</v>
      </c>
      <c r="C19" s="17">
        <v>8417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1109</v>
      </c>
      <c r="L20" s="4"/>
      <c r="M20" s="4"/>
      <c r="Q20" s="51" t="s">
        <v>49</v>
      </c>
      <c r="R20" s="35">
        <v>8787</v>
      </c>
      <c r="S20" s="36"/>
      <c r="T20" s="35">
        <v>15251</v>
      </c>
      <c r="U20" s="36"/>
      <c r="V20" s="35">
        <v>25432</v>
      </c>
      <c r="W20" s="36"/>
      <c r="X20" s="35">
        <v>38441</v>
      </c>
      <c r="Y20" s="36"/>
      <c r="Z20" s="35">
        <v>44985</v>
      </c>
      <c r="AA20" s="36"/>
      <c r="AB20" s="35">
        <v>45073</v>
      </c>
      <c r="AC20" s="37"/>
      <c r="AD20" s="35">
        <v>45073</v>
      </c>
      <c r="AE20" s="37">
        <v>-33126</v>
      </c>
    </row>
    <row r="21" spans="2:43" ht="15" customHeight="1" thickBot="1" x14ac:dyDescent="0.35">
      <c r="B21" s="57" t="s">
        <v>52</v>
      </c>
      <c r="C21" s="58">
        <v>4259</v>
      </c>
      <c r="M21" s="4"/>
      <c r="Q21" s="52"/>
      <c r="R21" s="40">
        <v>4621</v>
      </c>
      <c r="S21" s="41"/>
      <c r="T21" s="40">
        <v>7650</v>
      </c>
      <c r="U21" s="41"/>
      <c r="V21" s="40">
        <v>10394</v>
      </c>
      <c r="W21" s="41"/>
      <c r="X21" s="40">
        <v>11626</v>
      </c>
      <c r="Y21" s="41"/>
      <c r="Z21" s="40">
        <v>11904</v>
      </c>
      <c r="AA21" s="41"/>
      <c r="AB21" s="40">
        <v>11904</v>
      </c>
      <c r="AC21" s="42"/>
      <c r="AD21" s="40">
        <v>11904</v>
      </c>
      <c r="AE21" s="42"/>
    </row>
    <row r="22" spans="2:43" ht="15" customHeight="1" thickBot="1" x14ac:dyDescent="0.35">
      <c r="M22" s="4"/>
      <c r="Q22" s="54"/>
      <c r="R22" s="55">
        <v>1899.5</v>
      </c>
      <c r="S22" s="55"/>
      <c r="T22" s="55">
        <v>4952.5</v>
      </c>
      <c r="U22" s="55"/>
      <c r="V22" s="55">
        <v>3310.5</v>
      </c>
      <c r="W22" s="55"/>
      <c r="X22" s="55">
        <v>6160</v>
      </c>
      <c r="Y22" s="55"/>
      <c r="Z22" s="55">
        <v>5632</v>
      </c>
      <c r="AA22" s="55"/>
      <c r="AB22" s="55">
        <v>1.5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-5406</v>
      </c>
      <c r="S24" s="60"/>
      <c r="T24" s="60">
        <f>IF(T16&gt;0,T16-T20,"")</f>
        <v>-6635</v>
      </c>
      <c r="U24" s="60"/>
      <c r="V24" s="60">
        <f>IF(V16&gt;0,V16-V20,"")</f>
        <v>-9184</v>
      </c>
      <c r="W24" s="60"/>
      <c r="X24" s="60">
        <f>IF(X16&gt;0,X16-X20,"")</f>
        <v>-13463</v>
      </c>
      <c r="Y24" s="60"/>
      <c r="Z24" s="60">
        <f>IF(Z16&gt;0,Z16-Z20,"")</f>
        <v>-13653</v>
      </c>
      <c r="AA24" s="60"/>
      <c r="AB24" s="60">
        <f>IF(AB16&gt;0,AB16-AB20,"")</f>
        <v>-11234</v>
      </c>
      <c r="AC24" s="61"/>
      <c r="AD24" s="60">
        <f>IF(AD16&gt;0,AD16-AD20,"")</f>
        <v>-10717</v>
      </c>
      <c r="AE24" s="61"/>
    </row>
    <row r="25" spans="2:43" x14ac:dyDescent="0.3">
      <c r="M25" s="4"/>
      <c r="Q25" s="62"/>
      <c r="R25" s="63">
        <f>IF(R17&gt;=0,R17-R21,"")</f>
        <v>-805</v>
      </c>
      <c r="S25" s="64"/>
      <c r="T25" s="63">
        <f>IF(T17&gt;=0,T17-T21,"")</f>
        <v>-159</v>
      </c>
      <c r="U25" s="64"/>
      <c r="V25" s="63">
        <f>IF(V17&gt;=0,V17-V21,"")</f>
        <v>-1070</v>
      </c>
      <c r="W25" s="64"/>
      <c r="X25" s="63">
        <f>IF(X17&gt;=0,X17-X21,"")</f>
        <v>-276</v>
      </c>
      <c r="Y25" s="64"/>
      <c r="Z25" s="63">
        <f>IF(Z17&gt;=0,Z17-Z21,"")</f>
        <v>-346</v>
      </c>
      <c r="AA25" s="64"/>
      <c r="AB25" s="63">
        <f>IF(AB17&gt;=0,AB17-AB21,"")</f>
        <v>-322</v>
      </c>
      <c r="AC25" s="65"/>
      <c r="AD25" s="63">
        <f>IF(AD17&gt;=0,AD17-AD21,"")</f>
        <v>-322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-209</v>
      </c>
      <c r="S26" s="55"/>
      <c r="T26" s="67">
        <f>IFERROR(IF(T18&gt;0,T18-T22,""),"")</f>
        <v>-2335</v>
      </c>
      <c r="U26" s="55"/>
      <c r="V26" s="67">
        <f>IFERROR(IF(V18&gt;0,V18-V22,""),"")</f>
        <v>505.5</v>
      </c>
      <c r="W26" s="55"/>
      <c r="X26" s="67">
        <f>IFERROR(IF(X18&gt;0,X18-X22,""),"")</f>
        <v>-1795</v>
      </c>
      <c r="Y26" s="55"/>
      <c r="Z26" s="67">
        <f>IFERROR(IF(Z18&gt;0,Z18-Z22,""),"")</f>
        <v>-2455</v>
      </c>
      <c r="AA26" s="55"/>
      <c r="AB26" s="67">
        <f>IFERROR(IF(AB18&gt;0,AB18-AB22,""),"")</f>
        <v>1252</v>
      </c>
      <c r="AC26" s="56"/>
      <c r="AD26" s="67">
        <f>IFERROR(IF(AD18&gt;0,AD18-AD22,""),"")</f>
        <v>258.5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11810</v>
      </c>
      <c r="D29" s="76">
        <f>C14</f>
        <v>11751</v>
      </c>
      <c r="E29" s="77">
        <f>D29-C29</f>
        <v>-59</v>
      </c>
      <c r="O29" s="4"/>
    </row>
    <row r="30" spans="2:43" x14ac:dyDescent="0.3">
      <c r="B30" s="74" t="s">
        <v>56</v>
      </c>
      <c r="C30" s="122">
        <v>23645</v>
      </c>
      <c r="D30" s="76">
        <f>C7+C15+C16+C17+C18</f>
        <v>11643</v>
      </c>
      <c r="E30" s="77">
        <f>D30-C30</f>
        <v>-12002</v>
      </c>
      <c r="J30" s="53"/>
      <c r="O30" s="4"/>
    </row>
    <row r="31" spans="2:43" x14ac:dyDescent="0.3">
      <c r="B31" s="74" t="s">
        <v>21</v>
      </c>
      <c r="C31" s="122">
        <v>3044</v>
      </c>
      <c r="D31" s="76">
        <f>C6</f>
        <v>3044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13573</v>
      </c>
      <c r="D32" s="76">
        <f>C10+C11+C12+C13</f>
        <v>13573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13740</v>
      </c>
      <c r="D33" s="76">
        <f>C19+C20+C21</f>
        <v>13785</v>
      </c>
      <c r="E33" s="77">
        <f>D33-C33</f>
        <v>45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3500</v>
      </c>
      <c r="D34" s="80">
        <f>SUM(C8+C9)</f>
        <v>3500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2595</v>
      </c>
      <c r="R35" s="104">
        <v>0</v>
      </c>
      <c r="S35" s="104">
        <f t="shared" ref="S35:S64" si="1">IF(T35&gt;0,(T35-R35)/2,"")</f>
        <v>60</v>
      </c>
      <c r="T35" s="104">
        <v>120</v>
      </c>
      <c r="U35" s="104">
        <f t="shared" ref="U35:U64" si="2">IF(V35&gt;0,(V35-T35)/2,"")</f>
        <v>15</v>
      </c>
      <c r="V35" s="104">
        <v>150</v>
      </c>
      <c r="W35" s="104">
        <f t="shared" ref="W35:W64" si="3">IF(X35&gt;0,(X35-V35)/2,"")</f>
        <v>425.5</v>
      </c>
      <c r="X35" s="104">
        <v>1001</v>
      </c>
      <c r="Y35" s="104">
        <f t="shared" ref="Y35:Y64" si="4">IF(Z35&gt;0,(Z35-X35)/2,"")</f>
        <v>0</v>
      </c>
      <c r="Z35" s="104">
        <v>1001</v>
      </c>
      <c r="AA35" s="104">
        <f t="shared" ref="AA35:AA64" si="5">IF(AB35&gt;0,(AB35-Z35)/2,"")</f>
        <v>197.5</v>
      </c>
      <c r="AB35" s="104">
        <v>1396</v>
      </c>
      <c r="AC35" s="104">
        <f t="shared" ref="AC35:AC64" si="6">IF(AD35&gt;0,(AD35-AB35)/2,"")</f>
        <v>120</v>
      </c>
      <c r="AD35" s="104">
        <v>1636</v>
      </c>
      <c r="AE35" s="105">
        <f t="shared" ref="AE35:AE64" si="7">AD35-Q35</f>
        <v>-959</v>
      </c>
    </row>
    <row r="36" spans="2:31" ht="15.6" customHeight="1" x14ac:dyDescent="0.3">
      <c r="N36" s="212"/>
      <c r="O36" s="95" t="s">
        <v>66</v>
      </c>
      <c r="P36" s="106"/>
      <c r="Q36" s="106">
        <v>1511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61</v>
      </c>
      <c r="Z36" s="106">
        <v>122</v>
      </c>
      <c r="AA36" s="106">
        <f t="shared" si="5"/>
        <v>33</v>
      </c>
      <c r="AB36" s="106">
        <v>188</v>
      </c>
      <c r="AC36" s="106">
        <f t="shared" si="6"/>
        <v>0</v>
      </c>
      <c r="AD36" s="106">
        <v>188</v>
      </c>
      <c r="AE36" s="107">
        <f t="shared" si="7"/>
        <v>-1323</v>
      </c>
    </row>
    <row r="37" spans="2:31" ht="15.6" customHeight="1" x14ac:dyDescent="0.3">
      <c r="N37" s="212"/>
      <c r="O37" s="94" t="s">
        <v>67</v>
      </c>
      <c r="P37" s="108"/>
      <c r="Q37" s="108">
        <v>2481</v>
      </c>
      <c r="R37" s="108">
        <v>0</v>
      </c>
      <c r="S37" s="108">
        <f t="shared" si="1"/>
        <v>391.5</v>
      </c>
      <c r="T37" s="108">
        <v>783</v>
      </c>
      <c r="U37" s="108">
        <f t="shared" si="2"/>
        <v>0</v>
      </c>
      <c r="V37" s="108">
        <v>783</v>
      </c>
      <c r="W37" s="108">
        <f t="shared" si="3"/>
        <v>-371.5</v>
      </c>
      <c r="X37" s="108">
        <v>40</v>
      </c>
      <c r="Y37" s="108">
        <f t="shared" si="4"/>
        <v>0</v>
      </c>
      <c r="Z37" s="108">
        <v>40</v>
      </c>
      <c r="AA37" s="108">
        <f t="shared" si="5"/>
        <v>92.5</v>
      </c>
      <c r="AB37" s="108">
        <v>225</v>
      </c>
      <c r="AC37" s="108">
        <f t="shared" si="6"/>
        <v>113.5</v>
      </c>
      <c r="AD37" s="108">
        <v>452</v>
      </c>
      <c r="AE37" s="109">
        <f t="shared" si="7"/>
        <v>-2029</v>
      </c>
    </row>
    <row r="38" spans="2:31" ht="15.6" customHeight="1" x14ac:dyDescent="0.3">
      <c r="N38" s="212"/>
      <c r="O38" s="95" t="s">
        <v>68</v>
      </c>
      <c r="P38" s="106"/>
      <c r="Q38" s="106">
        <v>3853</v>
      </c>
      <c r="R38" s="106">
        <v>0</v>
      </c>
      <c r="S38" s="106" t="str">
        <f t="shared" si="1"/>
        <v/>
      </c>
      <c r="T38" s="106">
        <v>0</v>
      </c>
      <c r="U38" s="106">
        <f t="shared" si="2"/>
        <v>740.5</v>
      </c>
      <c r="V38" s="106">
        <v>1481</v>
      </c>
      <c r="W38" s="106">
        <f t="shared" si="3"/>
        <v>-364.5</v>
      </c>
      <c r="X38" s="106">
        <v>752</v>
      </c>
      <c r="Y38" s="106">
        <f t="shared" si="4"/>
        <v>472</v>
      </c>
      <c r="Z38" s="106">
        <v>1696</v>
      </c>
      <c r="AA38" s="106">
        <f t="shared" si="5"/>
        <v>175.5</v>
      </c>
      <c r="AB38" s="106">
        <v>2047</v>
      </c>
      <c r="AC38" s="106">
        <f t="shared" si="6"/>
        <v>13.5</v>
      </c>
      <c r="AD38" s="106">
        <v>2074</v>
      </c>
      <c r="AE38" s="107">
        <f t="shared" si="7"/>
        <v>-1779</v>
      </c>
    </row>
    <row r="39" spans="2:31" ht="15.6" customHeight="1" x14ac:dyDescent="0.3">
      <c r="N39" s="212"/>
      <c r="O39" s="94" t="s">
        <v>69</v>
      </c>
      <c r="P39" s="108"/>
      <c r="Q39" s="108">
        <v>2538</v>
      </c>
      <c r="R39" s="108">
        <v>20</v>
      </c>
      <c r="S39" s="108">
        <f t="shared" si="1"/>
        <v>0</v>
      </c>
      <c r="T39" s="108">
        <v>20</v>
      </c>
      <c r="U39" s="108">
        <f t="shared" si="2"/>
        <v>0</v>
      </c>
      <c r="V39" s="108">
        <v>20</v>
      </c>
      <c r="W39" s="108">
        <f t="shared" si="3"/>
        <v>215.5</v>
      </c>
      <c r="X39" s="108">
        <v>451</v>
      </c>
      <c r="Y39" s="108">
        <f t="shared" si="4"/>
        <v>183</v>
      </c>
      <c r="Z39" s="108">
        <v>817</v>
      </c>
      <c r="AA39" s="108">
        <f t="shared" si="5"/>
        <v>162.5</v>
      </c>
      <c r="AB39" s="108">
        <v>1142</v>
      </c>
      <c r="AC39" s="108">
        <f t="shared" si="6"/>
        <v>0</v>
      </c>
      <c r="AD39" s="108">
        <v>1142</v>
      </c>
      <c r="AE39" s="109">
        <f t="shared" si="7"/>
        <v>-1396</v>
      </c>
    </row>
    <row r="40" spans="2:31" ht="15.6" customHeight="1" x14ac:dyDescent="0.3">
      <c r="N40" s="212"/>
      <c r="O40" s="95" t="s">
        <v>70</v>
      </c>
      <c r="P40" s="106"/>
      <c r="Q40" s="106">
        <v>3965</v>
      </c>
      <c r="R40" s="106">
        <v>37</v>
      </c>
      <c r="S40" s="106">
        <f t="shared" si="1"/>
        <v>0</v>
      </c>
      <c r="T40" s="106">
        <v>37</v>
      </c>
      <c r="U40" s="106">
        <f t="shared" si="2"/>
        <v>0</v>
      </c>
      <c r="V40" s="106">
        <v>37</v>
      </c>
      <c r="W40" s="106">
        <f t="shared" si="3"/>
        <v>368</v>
      </c>
      <c r="X40" s="106">
        <v>773</v>
      </c>
      <c r="Y40" s="106">
        <f t="shared" si="4"/>
        <v>66.5</v>
      </c>
      <c r="Z40" s="106">
        <v>906</v>
      </c>
      <c r="AA40" s="106">
        <f t="shared" si="5"/>
        <v>210.5</v>
      </c>
      <c r="AB40" s="106">
        <v>1327</v>
      </c>
      <c r="AC40" s="106">
        <f t="shared" si="6"/>
        <v>0</v>
      </c>
      <c r="AD40" s="106">
        <v>1327</v>
      </c>
      <c r="AE40" s="107">
        <f t="shared" si="7"/>
        <v>-2638</v>
      </c>
    </row>
    <row r="41" spans="2:31" ht="15.6" customHeight="1" x14ac:dyDescent="0.3">
      <c r="N41" s="212"/>
      <c r="O41" s="94" t="s">
        <v>71</v>
      </c>
      <c r="P41" s="108"/>
      <c r="Q41" s="108">
        <v>1137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390.5</v>
      </c>
      <c r="V41" s="108">
        <v>781</v>
      </c>
      <c r="W41" s="108">
        <f t="shared" si="3"/>
        <v>182.5</v>
      </c>
      <c r="X41" s="108">
        <v>1146</v>
      </c>
      <c r="Y41" s="108">
        <f t="shared" si="4"/>
        <v>0</v>
      </c>
      <c r="Z41" s="108">
        <v>1146</v>
      </c>
      <c r="AA41" s="108">
        <f t="shared" si="5"/>
        <v>0</v>
      </c>
      <c r="AB41" s="108">
        <v>1146</v>
      </c>
      <c r="AC41" s="108">
        <f t="shared" si="6"/>
        <v>0</v>
      </c>
      <c r="AD41" s="108">
        <v>1146</v>
      </c>
      <c r="AE41" s="109">
        <f t="shared" si="7"/>
        <v>9</v>
      </c>
    </row>
    <row r="42" spans="2:31" ht="15.6" customHeight="1" x14ac:dyDescent="0.3">
      <c r="N42" s="212"/>
      <c r="O42" s="95" t="s">
        <v>72</v>
      </c>
      <c r="P42" s="106"/>
      <c r="Q42" s="106">
        <v>1710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279.5</v>
      </c>
      <c r="V42" s="106">
        <v>559</v>
      </c>
      <c r="W42" s="106">
        <f t="shared" si="3"/>
        <v>0</v>
      </c>
      <c r="X42" s="106">
        <v>559</v>
      </c>
      <c r="Y42" s="106">
        <f t="shared" si="4"/>
        <v>0</v>
      </c>
      <c r="Z42" s="106">
        <v>559</v>
      </c>
      <c r="AA42" s="106">
        <f t="shared" si="5"/>
        <v>394</v>
      </c>
      <c r="AB42" s="106">
        <v>1347</v>
      </c>
      <c r="AC42" s="106">
        <f t="shared" si="6"/>
        <v>0</v>
      </c>
      <c r="AD42" s="106">
        <v>1347</v>
      </c>
      <c r="AE42" s="107">
        <f t="shared" si="7"/>
        <v>-363</v>
      </c>
    </row>
    <row r="43" spans="2:31" ht="15.6" customHeight="1" thickBot="1" x14ac:dyDescent="0.35">
      <c r="N43" s="213"/>
      <c r="O43" s="97" t="s">
        <v>73</v>
      </c>
      <c r="P43" s="110"/>
      <c r="Q43" s="110">
        <v>1793</v>
      </c>
      <c r="R43" s="110">
        <v>427</v>
      </c>
      <c r="S43" s="110">
        <f t="shared" si="1"/>
        <v>0</v>
      </c>
      <c r="T43" s="110">
        <v>427</v>
      </c>
      <c r="U43" s="110">
        <f t="shared" si="2"/>
        <v>0</v>
      </c>
      <c r="V43" s="110">
        <v>427</v>
      </c>
      <c r="W43" s="110">
        <f t="shared" si="3"/>
        <v>237.5</v>
      </c>
      <c r="X43" s="110">
        <v>902</v>
      </c>
      <c r="Y43" s="110">
        <f t="shared" si="4"/>
        <v>123.5</v>
      </c>
      <c r="Z43" s="110">
        <v>1149</v>
      </c>
      <c r="AA43" s="110">
        <f t="shared" si="5"/>
        <v>0</v>
      </c>
      <c r="AB43" s="110">
        <v>1149</v>
      </c>
      <c r="AC43" s="110">
        <f t="shared" si="6"/>
        <v>11.5</v>
      </c>
      <c r="AD43" s="110">
        <v>1172</v>
      </c>
      <c r="AE43" s="111">
        <f t="shared" si="7"/>
        <v>-621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4537</v>
      </c>
      <c r="R44" s="112">
        <v>1008</v>
      </c>
      <c r="S44" s="112">
        <f t="shared" si="1"/>
        <v>759.5</v>
      </c>
      <c r="T44" s="112">
        <v>2527</v>
      </c>
      <c r="U44" s="112">
        <f t="shared" si="2"/>
        <v>0</v>
      </c>
      <c r="V44" s="112">
        <v>2527</v>
      </c>
      <c r="W44" s="112">
        <f t="shared" si="3"/>
        <v>903.5</v>
      </c>
      <c r="X44" s="112">
        <v>4334</v>
      </c>
      <c r="Y44" s="112">
        <f t="shared" si="4"/>
        <v>3.5</v>
      </c>
      <c r="Z44" s="112">
        <v>4341</v>
      </c>
      <c r="AA44" s="112">
        <f t="shared" si="5"/>
        <v>0</v>
      </c>
      <c r="AB44" s="112">
        <v>4341</v>
      </c>
      <c r="AC44" s="112">
        <f t="shared" si="6"/>
        <v>0</v>
      </c>
      <c r="AD44" s="112">
        <v>4341</v>
      </c>
      <c r="AE44" s="113">
        <f t="shared" si="7"/>
        <v>-196</v>
      </c>
    </row>
    <row r="45" spans="2:31" ht="15.6" customHeight="1" x14ac:dyDescent="0.3">
      <c r="N45" s="212"/>
      <c r="O45" s="94" t="s">
        <v>66</v>
      </c>
      <c r="P45" s="108"/>
      <c r="Q45" s="108">
        <v>3640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705.5</v>
      </c>
      <c r="V45" s="108">
        <v>1411</v>
      </c>
      <c r="W45" s="108">
        <f t="shared" si="3"/>
        <v>486.5</v>
      </c>
      <c r="X45" s="108">
        <v>2384</v>
      </c>
      <c r="Y45" s="108">
        <f t="shared" si="4"/>
        <v>628</v>
      </c>
      <c r="Z45" s="108">
        <v>3640</v>
      </c>
      <c r="AA45" s="108">
        <f t="shared" si="5"/>
        <v>0</v>
      </c>
      <c r="AB45" s="108">
        <v>3640</v>
      </c>
      <c r="AC45" s="108">
        <f t="shared" si="6"/>
        <v>0</v>
      </c>
      <c r="AD45" s="108">
        <v>3640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2181</v>
      </c>
      <c r="R46" s="106">
        <v>5</v>
      </c>
      <c r="S46" s="106">
        <f t="shared" si="1"/>
        <v>0</v>
      </c>
      <c r="T46" s="106">
        <v>5</v>
      </c>
      <c r="U46" s="106">
        <f t="shared" si="2"/>
        <v>0</v>
      </c>
      <c r="V46" s="106">
        <v>5</v>
      </c>
      <c r="W46" s="106">
        <f t="shared" si="3"/>
        <v>148.5</v>
      </c>
      <c r="X46" s="106">
        <v>302</v>
      </c>
      <c r="Y46" s="106">
        <f t="shared" si="4"/>
        <v>420</v>
      </c>
      <c r="Z46" s="106">
        <v>1142</v>
      </c>
      <c r="AA46" s="106">
        <f t="shared" si="5"/>
        <v>0</v>
      </c>
      <c r="AB46" s="106">
        <v>1142</v>
      </c>
      <c r="AC46" s="106">
        <f t="shared" si="6"/>
        <v>0</v>
      </c>
      <c r="AD46" s="106">
        <v>1142</v>
      </c>
      <c r="AE46" s="107">
        <f t="shared" si="7"/>
        <v>-1039</v>
      </c>
    </row>
    <row r="47" spans="2:31" ht="15.6" customHeight="1" thickBot="1" x14ac:dyDescent="0.35">
      <c r="N47" s="213"/>
      <c r="O47" s="97" t="s">
        <v>68</v>
      </c>
      <c r="P47" s="110"/>
      <c r="Q47" s="110">
        <v>3814</v>
      </c>
      <c r="R47" s="110">
        <v>19</v>
      </c>
      <c r="S47" s="110">
        <f t="shared" si="1"/>
        <v>0</v>
      </c>
      <c r="T47" s="110">
        <v>19</v>
      </c>
      <c r="U47" s="110">
        <f t="shared" si="2"/>
        <v>0</v>
      </c>
      <c r="V47" s="110">
        <v>19</v>
      </c>
      <c r="W47" s="110">
        <f t="shared" si="3"/>
        <v>0</v>
      </c>
      <c r="X47" s="110">
        <v>19</v>
      </c>
      <c r="Y47" s="110">
        <f t="shared" si="4"/>
        <v>0</v>
      </c>
      <c r="Z47" s="110">
        <v>19</v>
      </c>
      <c r="AA47" s="110">
        <f t="shared" si="5"/>
        <v>0</v>
      </c>
      <c r="AB47" s="110">
        <v>19</v>
      </c>
      <c r="AC47" s="110">
        <f t="shared" si="6"/>
        <v>0</v>
      </c>
      <c r="AD47" s="110">
        <v>19</v>
      </c>
      <c r="AE47" s="111">
        <f t="shared" si="7"/>
        <v>-3795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291</v>
      </c>
      <c r="R48" s="112">
        <v>3</v>
      </c>
      <c r="S48" s="112">
        <f t="shared" si="1"/>
        <v>0</v>
      </c>
      <c r="T48" s="112">
        <v>3</v>
      </c>
      <c r="U48" s="112">
        <f t="shared" si="2"/>
        <v>0</v>
      </c>
      <c r="V48" s="112">
        <v>3</v>
      </c>
      <c r="W48" s="112">
        <f t="shared" si="3"/>
        <v>70</v>
      </c>
      <c r="X48" s="112">
        <v>143</v>
      </c>
      <c r="Y48" s="112">
        <f t="shared" si="4"/>
        <v>0</v>
      </c>
      <c r="Z48" s="112">
        <v>143</v>
      </c>
      <c r="AA48" s="112">
        <f t="shared" si="5"/>
        <v>0</v>
      </c>
      <c r="AB48" s="112">
        <v>143</v>
      </c>
      <c r="AC48" s="112">
        <f t="shared" si="6"/>
        <v>0</v>
      </c>
      <c r="AD48" s="112">
        <v>143</v>
      </c>
      <c r="AE48" s="113">
        <f t="shared" si="7"/>
        <v>-148</v>
      </c>
    </row>
    <row r="49" spans="14:31" ht="15.6" customHeight="1" x14ac:dyDescent="0.3">
      <c r="N49" s="212"/>
      <c r="O49" s="94" t="s">
        <v>66</v>
      </c>
      <c r="P49" s="108"/>
      <c r="Q49" s="108">
        <v>310</v>
      </c>
      <c r="R49" s="108">
        <v>2</v>
      </c>
      <c r="S49" s="108">
        <f t="shared" si="1"/>
        <v>0</v>
      </c>
      <c r="T49" s="108">
        <v>2</v>
      </c>
      <c r="U49" s="108">
        <f t="shared" si="2"/>
        <v>0</v>
      </c>
      <c r="V49" s="108">
        <v>2</v>
      </c>
      <c r="W49" s="108">
        <f t="shared" si="3"/>
        <v>72.5</v>
      </c>
      <c r="X49" s="108">
        <v>147</v>
      </c>
      <c r="Y49" s="108">
        <f t="shared" si="4"/>
        <v>0</v>
      </c>
      <c r="Z49" s="108">
        <v>147</v>
      </c>
      <c r="AA49" s="108">
        <f t="shared" si="5"/>
        <v>0</v>
      </c>
      <c r="AB49" s="108">
        <v>147</v>
      </c>
      <c r="AC49" s="108">
        <f t="shared" si="6"/>
        <v>0</v>
      </c>
      <c r="AD49" s="108">
        <v>147</v>
      </c>
      <c r="AE49" s="109">
        <f t="shared" si="7"/>
        <v>-163</v>
      </c>
    </row>
    <row r="50" spans="14:31" ht="15.6" customHeight="1" x14ac:dyDescent="0.3">
      <c r="N50" s="212"/>
      <c r="O50" s="95" t="s">
        <v>67</v>
      </c>
      <c r="P50" s="106"/>
      <c r="Q50" s="106">
        <v>1476</v>
      </c>
      <c r="R50" s="106">
        <v>0</v>
      </c>
      <c r="S50" s="106">
        <f t="shared" si="1"/>
        <v>221</v>
      </c>
      <c r="T50" s="106">
        <v>442</v>
      </c>
      <c r="U50" s="106">
        <f t="shared" si="2"/>
        <v>187.5</v>
      </c>
      <c r="V50" s="106">
        <v>817</v>
      </c>
      <c r="W50" s="106">
        <f t="shared" si="3"/>
        <v>37.5</v>
      </c>
      <c r="X50" s="106">
        <v>892</v>
      </c>
      <c r="Y50" s="106">
        <f t="shared" si="4"/>
        <v>0</v>
      </c>
      <c r="Z50" s="106">
        <v>892</v>
      </c>
      <c r="AA50" s="106">
        <f t="shared" si="5"/>
        <v>0</v>
      </c>
      <c r="AB50" s="106">
        <v>892</v>
      </c>
      <c r="AC50" s="106">
        <f t="shared" si="6"/>
        <v>0</v>
      </c>
      <c r="AD50" s="106">
        <v>892</v>
      </c>
      <c r="AE50" s="107">
        <f t="shared" si="7"/>
        <v>-584</v>
      </c>
    </row>
    <row r="51" spans="14:31" ht="15.6" customHeight="1" x14ac:dyDescent="0.3">
      <c r="N51" s="212"/>
      <c r="O51" s="94" t="s">
        <v>68</v>
      </c>
      <c r="P51" s="108"/>
      <c r="Q51" s="108">
        <v>1952</v>
      </c>
      <c r="R51" s="108">
        <v>152</v>
      </c>
      <c r="S51" s="108">
        <f t="shared" si="1"/>
        <v>0</v>
      </c>
      <c r="T51" s="108">
        <v>152</v>
      </c>
      <c r="U51" s="108">
        <f t="shared" si="2"/>
        <v>187.5</v>
      </c>
      <c r="V51" s="108">
        <v>527</v>
      </c>
      <c r="W51" s="108">
        <f t="shared" si="3"/>
        <v>72</v>
      </c>
      <c r="X51" s="108">
        <v>671</v>
      </c>
      <c r="Y51" s="108">
        <f t="shared" si="4"/>
        <v>99.5</v>
      </c>
      <c r="Z51" s="108">
        <v>870</v>
      </c>
      <c r="AA51" s="108">
        <f t="shared" si="5"/>
        <v>0</v>
      </c>
      <c r="AB51" s="108">
        <v>870</v>
      </c>
      <c r="AC51" s="108">
        <f t="shared" si="6"/>
        <v>0</v>
      </c>
      <c r="AD51" s="108">
        <v>870</v>
      </c>
      <c r="AE51" s="109">
        <f t="shared" si="7"/>
        <v>-1082</v>
      </c>
    </row>
    <row r="52" spans="14:31" ht="15.6" customHeight="1" x14ac:dyDescent="0.3">
      <c r="N52" s="212"/>
      <c r="O52" s="95" t="s">
        <v>69</v>
      </c>
      <c r="P52" s="106"/>
      <c r="Q52" s="106">
        <v>2682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569.5</v>
      </c>
      <c r="V52" s="106">
        <v>1139</v>
      </c>
      <c r="W52" s="106">
        <f t="shared" si="3"/>
        <v>317</v>
      </c>
      <c r="X52" s="106">
        <v>1773</v>
      </c>
      <c r="Y52" s="106">
        <f t="shared" si="4"/>
        <v>0</v>
      </c>
      <c r="Z52" s="106">
        <v>1773</v>
      </c>
      <c r="AA52" s="106">
        <f t="shared" si="5"/>
        <v>0</v>
      </c>
      <c r="AB52" s="106">
        <v>1773</v>
      </c>
      <c r="AC52" s="106">
        <f t="shared" si="6"/>
        <v>0</v>
      </c>
      <c r="AD52" s="106">
        <v>1773</v>
      </c>
      <c r="AE52" s="107">
        <f t="shared" si="7"/>
        <v>-909</v>
      </c>
    </row>
    <row r="53" spans="14:31" ht="15.6" customHeight="1" x14ac:dyDescent="0.3">
      <c r="N53" s="212"/>
      <c r="O53" s="94" t="s">
        <v>70</v>
      </c>
      <c r="P53" s="108"/>
      <c r="Q53" s="108">
        <v>1605</v>
      </c>
      <c r="R53" s="108">
        <v>3</v>
      </c>
      <c r="S53" s="108">
        <f t="shared" si="1"/>
        <v>0</v>
      </c>
      <c r="T53" s="108">
        <v>3</v>
      </c>
      <c r="U53" s="108">
        <f t="shared" si="2"/>
        <v>0</v>
      </c>
      <c r="V53" s="108">
        <v>3</v>
      </c>
      <c r="W53" s="108">
        <f t="shared" si="3"/>
        <v>167.5</v>
      </c>
      <c r="X53" s="108">
        <v>338</v>
      </c>
      <c r="Y53" s="108">
        <f t="shared" si="4"/>
        <v>428.5</v>
      </c>
      <c r="Z53" s="108">
        <v>1195</v>
      </c>
      <c r="AA53" s="108">
        <f t="shared" si="5"/>
        <v>0</v>
      </c>
      <c r="AB53" s="108">
        <v>1195</v>
      </c>
      <c r="AC53" s="108">
        <f t="shared" si="6"/>
        <v>0</v>
      </c>
      <c r="AD53" s="108">
        <v>1195</v>
      </c>
      <c r="AE53" s="109">
        <f t="shared" si="7"/>
        <v>-410</v>
      </c>
    </row>
    <row r="54" spans="14:31" ht="15.6" customHeight="1" x14ac:dyDescent="0.3">
      <c r="N54" s="212"/>
      <c r="O54" s="95" t="s">
        <v>71</v>
      </c>
      <c r="P54" s="106"/>
      <c r="Q54" s="106">
        <v>1008</v>
      </c>
      <c r="R54" s="106">
        <v>423</v>
      </c>
      <c r="S54" s="106">
        <f t="shared" si="1"/>
        <v>255</v>
      </c>
      <c r="T54" s="106">
        <v>933</v>
      </c>
      <c r="U54" s="106">
        <f t="shared" si="2"/>
        <v>0</v>
      </c>
      <c r="V54" s="106">
        <v>933</v>
      </c>
      <c r="W54" s="106">
        <f t="shared" si="3"/>
        <v>0</v>
      </c>
      <c r="X54" s="106">
        <v>933</v>
      </c>
      <c r="Y54" s="106">
        <f t="shared" si="4"/>
        <v>11</v>
      </c>
      <c r="Z54" s="106">
        <v>955</v>
      </c>
      <c r="AA54" s="106">
        <f t="shared" si="5"/>
        <v>0</v>
      </c>
      <c r="AB54" s="106">
        <v>955</v>
      </c>
      <c r="AC54" s="106">
        <f t="shared" si="6"/>
        <v>0</v>
      </c>
      <c r="AD54" s="106">
        <v>955</v>
      </c>
      <c r="AE54" s="107">
        <f t="shared" si="7"/>
        <v>-53</v>
      </c>
    </row>
    <row r="55" spans="14:31" ht="15.6" customHeight="1" x14ac:dyDescent="0.3">
      <c r="N55" s="212"/>
      <c r="O55" s="94" t="s">
        <v>72</v>
      </c>
      <c r="P55" s="108"/>
      <c r="Q55" s="108">
        <v>390</v>
      </c>
      <c r="R55" s="108">
        <v>9</v>
      </c>
      <c r="S55" s="108">
        <f t="shared" si="1"/>
        <v>0</v>
      </c>
      <c r="T55" s="108">
        <v>9</v>
      </c>
      <c r="U55" s="108">
        <f t="shared" si="2"/>
        <v>0</v>
      </c>
      <c r="V55" s="108">
        <v>9</v>
      </c>
      <c r="W55" s="108">
        <f t="shared" si="3"/>
        <v>0</v>
      </c>
      <c r="X55" s="108">
        <v>9</v>
      </c>
      <c r="Y55" s="108">
        <f t="shared" si="4"/>
        <v>92.5</v>
      </c>
      <c r="Z55" s="108">
        <v>194</v>
      </c>
      <c r="AA55" s="108">
        <f t="shared" si="5"/>
        <v>0</v>
      </c>
      <c r="AB55" s="108">
        <v>194</v>
      </c>
      <c r="AC55" s="108">
        <f t="shared" si="6"/>
        <v>0</v>
      </c>
      <c r="AD55" s="108">
        <v>194</v>
      </c>
      <c r="AE55" s="109">
        <f t="shared" si="7"/>
        <v>-196</v>
      </c>
    </row>
    <row r="56" spans="14:31" ht="15.6" customHeight="1" thickBot="1" x14ac:dyDescent="0.35">
      <c r="N56" s="213"/>
      <c r="O56" s="99" t="s">
        <v>73</v>
      </c>
      <c r="P56" s="114"/>
      <c r="Q56" s="114">
        <v>334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137.5</v>
      </c>
      <c r="X56" s="114">
        <v>275</v>
      </c>
      <c r="Y56" s="114">
        <f t="shared" si="4"/>
        <v>10.5</v>
      </c>
      <c r="Z56" s="114">
        <v>296</v>
      </c>
      <c r="AA56" s="114">
        <f t="shared" si="5"/>
        <v>0</v>
      </c>
      <c r="AB56" s="114">
        <v>296</v>
      </c>
      <c r="AC56" s="114">
        <f t="shared" si="6"/>
        <v>0</v>
      </c>
      <c r="AD56" s="114">
        <v>296</v>
      </c>
      <c r="AE56" s="115">
        <f t="shared" si="7"/>
        <v>-38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4374</v>
      </c>
      <c r="R57" s="104">
        <v>281</v>
      </c>
      <c r="S57" s="104">
        <f t="shared" si="1"/>
        <v>568</v>
      </c>
      <c r="T57" s="104">
        <v>1417</v>
      </c>
      <c r="U57" s="104">
        <f t="shared" si="2"/>
        <v>428</v>
      </c>
      <c r="V57" s="104">
        <v>2273</v>
      </c>
      <c r="W57" s="104">
        <f t="shared" si="3"/>
        <v>177.5</v>
      </c>
      <c r="X57" s="104">
        <v>2628</v>
      </c>
      <c r="Y57" s="104">
        <f t="shared" si="4"/>
        <v>0</v>
      </c>
      <c r="Z57" s="104">
        <v>2628</v>
      </c>
      <c r="AA57" s="104">
        <f t="shared" si="5"/>
        <v>0</v>
      </c>
      <c r="AB57" s="104">
        <v>2628</v>
      </c>
      <c r="AC57" s="104">
        <f t="shared" si="6"/>
        <v>0</v>
      </c>
      <c r="AD57" s="104">
        <v>2628</v>
      </c>
      <c r="AE57" s="105">
        <f t="shared" si="7"/>
        <v>-1746</v>
      </c>
    </row>
    <row r="58" spans="14:31" ht="15.6" customHeight="1" x14ac:dyDescent="0.3">
      <c r="N58" s="212"/>
      <c r="O58" s="95" t="s">
        <v>66</v>
      </c>
      <c r="P58" s="106"/>
      <c r="Q58" s="106">
        <v>4575</v>
      </c>
      <c r="R58" s="106">
        <v>732</v>
      </c>
      <c r="S58" s="106">
        <f t="shared" si="1"/>
        <v>357.5</v>
      </c>
      <c r="T58" s="106">
        <v>1447</v>
      </c>
      <c r="U58" s="106">
        <f t="shared" si="2"/>
        <v>347</v>
      </c>
      <c r="V58" s="106">
        <v>2141</v>
      </c>
      <c r="W58" s="106">
        <f t="shared" si="3"/>
        <v>456.5</v>
      </c>
      <c r="X58" s="106">
        <v>3054</v>
      </c>
      <c r="Y58" s="106">
        <f t="shared" si="4"/>
        <v>151.5</v>
      </c>
      <c r="Z58" s="106">
        <v>3357</v>
      </c>
      <c r="AA58" s="106">
        <f t="shared" si="5"/>
        <v>0</v>
      </c>
      <c r="AB58" s="106">
        <v>3357</v>
      </c>
      <c r="AC58" s="106">
        <f t="shared" si="6"/>
        <v>0</v>
      </c>
      <c r="AD58" s="106">
        <v>3357</v>
      </c>
      <c r="AE58" s="107">
        <f t="shared" si="7"/>
        <v>-1218</v>
      </c>
    </row>
    <row r="59" spans="14:31" ht="15.6" customHeight="1" x14ac:dyDescent="0.3">
      <c r="N59" s="212"/>
      <c r="O59" s="94" t="s">
        <v>67</v>
      </c>
      <c r="P59" s="108"/>
      <c r="Q59" s="108">
        <v>4723</v>
      </c>
      <c r="R59" s="108">
        <v>631</v>
      </c>
      <c r="S59" s="108">
        <f t="shared" si="1"/>
        <v>124</v>
      </c>
      <c r="T59" s="108">
        <v>879</v>
      </c>
      <c r="U59" s="108">
        <f t="shared" si="2"/>
        <v>71</v>
      </c>
      <c r="V59" s="108">
        <v>1021</v>
      </c>
      <c r="W59" s="108">
        <f t="shared" si="3"/>
        <v>114</v>
      </c>
      <c r="X59" s="108">
        <v>1249</v>
      </c>
      <c r="Y59" s="108">
        <f t="shared" si="4"/>
        <v>530</v>
      </c>
      <c r="Z59" s="108">
        <v>2309</v>
      </c>
      <c r="AA59" s="108">
        <f t="shared" si="5"/>
        <v>0</v>
      </c>
      <c r="AB59" s="108">
        <v>2309</v>
      </c>
      <c r="AC59" s="108">
        <f t="shared" si="6"/>
        <v>0</v>
      </c>
      <c r="AD59" s="108">
        <v>2309</v>
      </c>
      <c r="AE59" s="109">
        <f t="shared" si="7"/>
        <v>-2414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4928</v>
      </c>
      <c r="R61" s="104">
        <v>364</v>
      </c>
      <c r="S61" s="104">
        <f t="shared" si="1"/>
        <v>512.5</v>
      </c>
      <c r="T61" s="104">
        <v>1389</v>
      </c>
      <c r="U61" s="104">
        <f t="shared" si="2"/>
        <v>207</v>
      </c>
      <c r="V61" s="104">
        <v>1803</v>
      </c>
      <c r="W61" s="104">
        <f t="shared" si="3"/>
        <v>643.5</v>
      </c>
      <c r="X61" s="104">
        <v>3090</v>
      </c>
      <c r="Y61" s="104">
        <f t="shared" si="4"/>
        <v>0</v>
      </c>
      <c r="Z61" s="104">
        <v>3090</v>
      </c>
      <c r="AA61" s="104">
        <f t="shared" si="5"/>
        <v>0</v>
      </c>
      <c r="AB61" s="104">
        <v>3090</v>
      </c>
      <c r="AC61" s="104">
        <f t="shared" si="6"/>
        <v>0</v>
      </c>
      <c r="AD61" s="104">
        <v>3090</v>
      </c>
      <c r="AE61" s="105">
        <f t="shared" si="7"/>
        <v>-1838</v>
      </c>
    </row>
    <row r="62" spans="14:31" ht="15.6" customHeight="1" x14ac:dyDescent="0.3">
      <c r="N62" s="212"/>
      <c r="O62" s="95" t="s">
        <v>66</v>
      </c>
      <c r="P62" s="106"/>
      <c r="Q62" s="106">
        <v>8089</v>
      </c>
      <c r="R62" s="106">
        <v>2504</v>
      </c>
      <c r="S62" s="106">
        <f t="shared" si="1"/>
        <v>553</v>
      </c>
      <c r="T62" s="106">
        <v>3610</v>
      </c>
      <c r="U62" s="106">
        <f t="shared" si="2"/>
        <v>108.5</v>
      </c>
      <c r="V62" s="106">
        <v>3827</v>
      </c>
      <c r="W62" s="106">
        <f t="shared" si="3"/>
        <v>416.5</v>
      </c>
      <c r="X62" s="106">
        <v>4660</v>
      </c>
      <c r="Y62" s="106">
        <f t="shared" si="4"/>
        <v>0</v>
      </c>
      <c r="Z62" s="106">
        <v>4660</v>
      </c>
      <c r="AA62" s="106">
        <f t="shared" si="5"/>
        <v>0</v>
      </c>
      <c r="AB62" s="106">
        <v>4660</v>
      </c>
      <c r="AC62" s="106">
        <f t="shared" si="6"/>
        <v>0</v>
      </c>
      <c r="AD62" s="106">
        <v>4660</v>
      </c>
      <c r="AE62" s="107">
        <f t="shared" si="7"/>
        <v>-3429</v>
      </c>
    </row>
    <row r="63" spans="14:31" ht="15.6" customHeight="1" x14ac:dyDescent="0.3">
      <c r="N63" s="212"/>
      <c r="O63" s="94" t="s">
        <v>67</v>
      </c>
      <c r="P63" s="108"/>
      <c r="Q63" s="108">
        <v>3895</v>
      </c>
      <c r="R63" s="108">
        <v>570</v>
      </c>
      <c r="S63" s="108">
        <f t="shared" si="1"/>
        <v>605</v>
      </c>
      <c r="T63" s="108">
        <v>1780</v>
      </c>
      <c r="U63" s="108">
        <f t="shared" si="2"/>
        <v>464.5</v>
      </c>
      <c r="V63" s="108">
        <v>2709</v>
      </c>
      <c r="W63" s="108">
        <f t="shared" si="3"/>
        <v>115</v>
      </c>
      <c r="X63" s="108">
        <v>2939</v>
      </c>
      <c r="Y63" s="108">
        <f t="shared" si="4"/>
        <v>0</v>
      </c>
      <c r="Z63" s="108">
        <v>2939</v>
      </c>
      <c r="AA63" s="108">
        <f t="shared" si="5"/>
        <v>0</v>
      </c>
      <c r="AB63" s="108">
        <v>2939</v>
      </c>
      <c r="AC63" s="108">
        <f t="shared" si="6"/>
        <v>0</v>
      </c>
      <c r="AD63" s="108">
        <v>2939</v>
      </c>
      <c r="AE63" s="109">
        <f t="shared" si="7"/>
        <v>-956</v>
      </c>
    </row>
    <row r="64" spans="14:31" ht="15.6" customHeight="1" thickBot="1" x14ac:dyDescent="0.35">
      <c r="N64" s="213"/>
      <c r="O64" s="99" t="s">
        <v>68</v>
      </c>
      <c r="P64" s="114"/>
      <c r="Q64" s="114">
        <v>746</v>
      </c>
      <c r="R64" s="114">
        <v>7</v>
      </c>
      <c r="S64" s="114">
        <f t="shared" si="1"/>
        <v>48</v>
      </c>
      <c r="T64" s="114">
        <v>103</v>
      </c>
      <c r="U64" s="114">
        <f t="shared" si="2"/>
        <v>0</v>
      </c>
      <c r="V64" s="114">
        <v>103</v>
      </c>
      <c r="W64" s="114">
        <f t="shared" si="3"/>
        <v>200</v>
      </c>
      <c r="X64" s="114">
        <v>503</v>
      </c>
      <c r="Y64" s="114">
        <f t="shared" si="4"/>
        <v>0</v>
      </c>
      <c r="Z64" s="114">
        <v>503</v>
      </c>
      <c r="AA64" s="114">
        <f t="shared" si="5"/>
        <v>0</v>
      </c>
      <c r="AB64" s="114">
        <v>503</v>
      </c>
      <c r="AC64" s="114">
        <f t="shared" si="6"/>
        <v>0</v>
      </c>
      <c r="AD64" s="114">
        <v>503</v>
      </c>
      <c r="AE64" s="115">
        <f t="shared" si="7"/>
        <v>-243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91" priority="11" operator="lessThan">
      <formula>0</formula>
    </cfRule>
    <cfRule type="cellIs" dxfId="1390" priority="12" operator="greaterThan">
      <formula>0</formula>
    </cfRule>
  </conditionalFormatting>
  <conditionalFormatting sqref="R25:AC25">
    <cfRule type="cellIs" dxfId="1389" priority="9" operator="lessThan">
      <formula>0</formula>
    </cfRule>
    <cfRule type="cellIs" dxfId="1388" priority="10" operator="greaterThan">
      <formula>0</formula>
    </cfRule>
  </conditionalFormatting>
  <conditionalFormatting sqref="R26 T26 V26 X26 Z26 AB26">
    <cfRule type="cellIs" dxfId="1387" priority="7" operator="lessThan">
      <formula>0</formula>
    </cfRule>
    <cfRule type="cellIs" dxfId="1386" priority="8" operator="greaterThan">
      <formula>0</formula>
    </cfRule>
  </conditionalFormatting>
  <conditionalFormatting sqref="AD24:AE24">
    <cfRule type="cellIs" dxfId="1385" priority="5" operator="lessThan">
      <formula>0</formula>
    </cfRule>
    <cfRule type="cellIs" dxfId="1384" priority="6" operator="greaterThan">
      <formula>0</formula>
    </cfRule>
  </conditionalFormatting>
  <conditionalFormatting sqref="AD25:AE25">
    <cfRule type="cellIs" dxfId="1383" priority="3" operator="lessThan">
      <formula>0</formula>
    </cfRule>
    <cfRule type="cellIs" dxfId="1382" priority="4" operator="greaterThan">
      <formula>0</formula>
    </cfRule>
  </conditionalFormatting>
  <conditionalFormatting sqref="AD26">
    <cfRule type="cellIs" dxfId="1381" priority="1" operator="lessThan">
      <formula>0</formula>
    </cfRule>
    <cfRule type="cellIs" dxfId="13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>
    <tabColor theme="1"/>
    <pageSetUpPr fitToPage="1"/>
  </sheetPr>
  <dimension ref="B1:AQ64"/>
  <sheetViews>
    <sheetView topLeftCell="I4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44403</v>
      </c>
    </row>
    <row r="3" spans="2:42" ht="18.75" customHeight="1" thickBot="1" x14ac:dyDescent="0.35">
      <c r="B3" t="s">
        <v>1</v>
      </c>
      <c r="C3" s="3">
        <f>C2+1</f>
        <v>44404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2532</v>
      </c>
      <c r="E6" s="18" t="s">
        <v>22</v>
      </c>
      <c r="F6" s="119">
        <v>19742</v>
      </c>
      <c r="G6" s="117">
        <v>16168.764375000001</v>
      </c>
      <c r="H6" s="117">
        <v>13933.59341176001</v>
      </c>
      <c r="I6" s="19">
        <f>G6+H6</f>
        <v>30102.357786760011</v>
      </c>
      <c r="J6" s="119">
        <v>19909</v>
      </c>
      <c r="K6" s="117">
        <v>16003.056124999999</v>
      </c>
      <c r="L6" s="117">
        <v>13730.27465362001</v>
      </c>
      <c r="M6" s="19">
        <f>K6+L6</f>
        <v>29733.330778620009</v>
      </c>
      <c r="N6" s="85">
        <v>64</v>
      </c>
      <c r="O6" s="85">
        <v>45</v>
      </c>
      <c r="P6" s="92"/>
      <c r="Q6" s="20">
        <f>J6-P6</f>
        <v>19909</v>
      </c>
      <c r="R6" s="21">
        <v>0</v>
      </c>
      <c r="S6" s="20" t="str">
        <f>IF(R6&gt;0,(R6-R7-$Q6),"")</f>
        <v/>
      </c>
      <c r="T6" s="21">
        <v>2580</v>
      </c>
      <c r="U6" s="20">
        <f>IF(T6&gt;0,(T6-T7-$Q6),"")</f>
        <v>-17339</v>
      </c>
      <c r="V6" s="21">
        <v>4725</v>
      </c>
      <c r="W6" s="20">
        <f>IF(V6&gt;0,(V6-V7-$Q6),"")</f>
        <v>-15200</v>
      </c>
      <c r="X6" s="21">
        <v>6782</v>
      </c>
      <c r="Y6" s="20">
        <f>IF(X6&gt;0,(X6-X7-$Q6),"")</f>
        <v>-13147</v>
      </c>
      <c r="Z6" s="21">
        <v>7865</v>
      </c>
      <c r="AA6" s="20">
        <f>IF(Z6&gt;0,(Z6-Z7-$Q6),"")</f>
        <v>-12070</v>
      </c>
      <c r="AB6" s="21">
        <v>15901</v>
      </c>
      <c r="AC6" s="22">
        <f>IF(AB6&gt;0,(AB6-AB7-$Q6),"")</f>
        <v>-4588</v>
      </c>
      <c r="AD6" s="21">
        <v>15901</v>
      </c>
      <c r="AE6" s="22">
        <f>IF(AD6&gt;0,(AD6-AD7-$Q6),"")</f>
        <v>-4588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0</v>
      </c>
      <c r="S7" s="24"/>
      <c r="T7" s="25">
        <v>10</v>
      </c>
      <c r="U7" s="24"/>
      <c r="V7" s="25">
        <v>16</v>
      </c>
      <c r="W7" s="24"/>
      <c r="X7" s="25">
        <v>20</v>
      </c>
      <c r="Y7" s="24"/>
      <c r="Z7" s="25">
        <v>26</v>
      </c>
      <c r="AA7" s="24"/>
      <c r="AB7" s="25">
        <v>580</v>
      </c>
      <c r="AC7" s="26"/>
      <c r="AD7" s="25">
        <v>580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2567</v>
      </c>
      <c r="E8" s="29" t="s">
        <v>27</v>
      </c>
      <c r="F8" s="119">
        <v>15300</v>
      </c>
      <c r="G8" s="117">
        <v>6495.99</v>
      </c>
      <c r="H8" s="117">
        <v>1435.7595575</v>
      </c>
      <c r="I8" s="19">
        <f>G8+H8</f>
        <v>7931.7495574999994</v>
      </c>
      <c r="J8" s="119">
        <v>15126</v>
      </c>
      <c r="K8" s="117">
        <v>6426.2384999999986</v>
      </c>
      <c r="L8" s="117">
        <v>1406.1367620000001</v>
      </c>
      <c r="M8" s="19">
        <f>K8+L8</f>
        <v>7832.3752619999987</v>
      </c>
      <c r="N8" s="87">
        <v>24</v>
      </c>
      <c r="O8" s="87">
        <v>20</v>
      </c>
      <c r="P8" s="92"/>
      <c r="Q8" s="20">
        <f>J8-P8</f>
        <v>15126</v>
      </c>
      <c r="R8" s="21">
        <v>1041</v>
      </c>
      <c r="S8" s="20">
        <f>IF(R8&gt;0,(R8-R9-$Q8),"")</f>
        <v>-14085</v>
      </c>
      <c r="T8" s="21">
        <v>1916</v>
      </c>
      <c r="U8" s="20">
        <f>IF(T8&gt;0,(T8-T9-$Q8),"")</f>
        <v>-13231</v>
      </c>
      <c r="V8" s="21">
        <v>1916</v>
      </c>
      <c r="W8" s="20">
        <f>IF(V8&gt;0,(V8-V9-$Q8),"")</f>
        <v>-13231</v>
      </c>
      <c r="X8" s="21">
        <v>6214</v>
      </c>
      <c r="Y8" s="20">
        <f>IF(X8&gt;0,(X8-X9-$Q8),"")</f>
        <v>-8933</v>
      </c>
      <c r="Z8" s="21">
        <v>10389</v>
      </c>
      <c r="AA8" s="20">
        <f>IF(Z8&gt;0,(Z8-Z9-$Q8),"")</f>
        <v>-4758</v>
      </c>
      <c r="AB8" s="21">
        <v>10389</v>
      </c>
      <c r="AC8" s="22">
        <f>IF(AB8&gt;0,(AB8-AB9-$Q8),"")</f>
        <v>-4758</v>
      </c>
      <c r="AD8" s="21">
        <v>10389</v>
      </c>
      <c r="AE8" s="22">
        <f>IF(AD8&gt;0,(AD8-AD9-$Q8),"")</f>
        <v>-4758</v>
      </c>
    </row>
    <row r="9" spans="2:42" x14ac:dyDescent="0.3">
      <c r="B9" s="28" t="s">
        <v>28</v>
      </c>
      <c r="C9" s="17">
        <v>1532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21</v>
      </c>
      <c r="U9" s="24"/>
      <c r="V9" s="30">
        <v>21</v>
      </c>
      <c r="W9" s="24"/>
      <c r="X9" s="30">
        <v>21</v>
      </c>
      <c r="Y9" s="24"/>
      <c r="Z9" s="30">
        <v>21</v>
      </c>
      <c r="AA9" s="24"/>
      <c r="AB9" s="30">
        <v>21</v>
      </c>
      <c r="AC9" s="26"/>
      <c r="AD9" s="30">
        <v>21</v>
      </c>
      <c r="AE9" s="26"/>
    </row>
    <row r="10" spans="2:42" x14ac:dyDescent="0.3">
      <c r="B10" s="16" t="s">
        <v>30</v>
      </c>
      <c r="C10" s="17">
        <v>5289</v>
      </c>
      <c r="E10" s="18" t="s">
        <v>31</v>
      </c>
      <c r="F10" s="119">
        <v>10111</v>
      </c>
      <c r="G10" s="117">
        <v>7500.7500000000027</v>
      </c>
      <c r="H10" s="117">
        <v>1781.8432</v>
      </c>
      <c r="I10" s="19">
        <f>G10+H10</f>
        <v>9282.593200000003</v>
      </c>
      <c r="J10" s="119">
        <v>10139</v>
      </c>
      <c r="K10" s="117">
        <v>7429.6964999999982</v>
      </c>
      <c r="L10" s="117">
        <v>1712.2269575</v>
      </c>
      <c r="M10" s="19">
        <f>K10+L10</f>
        <v>9141.9234574999973</v>
      </c>
      <c r="N10" s="88">
        <v>48</v>
      </c>
      <c r="O10" s="88">
        <v>29</v>
      </c>
      <c r="P10" s="92"/>
      <c r="Q10" s="20">
        <f>J10-P10</f>
        <v>10139</v>
      </c>
      <c r="R10" s="21">
        <v>469</v>
      </c>
      <c r="S10" s="20">
        <f>IF(R10&gt;0,(R10-R11-$Q10),"")</f>
        <v>-9670</v>
      </c>
      <c r="T10" s="21">
        <v>2827</v>
      </c>
      <c r="U10" s="20">
        <f>IF(T10&gt;0,(T10-T11-$Q10),"")</f>
        <v>-8237</v>
      </c>
      <c r="V10" s="21">
        <v>4062</v>
      </c>
      <c r="W10" s="20">
        <f>IF(V10&gt;0,(V10-V11-$Q10),"")</f>
        <v>-7249</v>
      </c>
      <c r="X10" s="21">
        <v>6508</v>
      </c>
      <c r="Y10" s="20">
        <f>IF(X10&gt;0,(X10-X11-$Q10),"")</f>
        <v>-5380</v>
      </c>
      <c r="Z10" s="21">
        <v>6536</v>
      </c>
      <c r="AA10" s="20">
        <f>IF(Z10&gt;0,(Z10-Z11-$Q10),"")</f>
        <v>-5352</v>
      </c>
      <c r="AB10" s="21">
        <v>6536</v>
      </c>
      <c r="AC10" s="22">
        <f>IF(AB10&gt;0,(AB10-AB11-$Q10),"")</f>
        <v>-5352</v>
      </c>
      <c r="AD10" s="21">
        <v>6536</v>
      </c>
      <c r="AE10" s="22">
        <f>IF(AD10&gt;0,(AD10-AD11-$Q10),"")</f>
        <v>-5352</v>
      </c>
    </row>
    <row r="11" spans="2:42" x14ac:dyDescent="0.3">
      <c r="B11" s="16" t="s">
        <v>32</v>
      </c>
      <c r="C11" s="17">
        <v>2102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19</v>
      </c>
      <c r="P11" s="93" t="s">
        <v>33</v>
      </c>
      <c r="Q11" s="24"/>
      <c r="R11" s="30">
        <v>0</v>
      </c>
      <c r="S11" s="24"/>
      <c r="T11" s="30">
        <v>925</v>
      </c>
      <c r="U11" s="24"/>
      <c r="V11" s="30">
        <v>1172</v>
      </c>
      <c r="W11" s="24"/>
      <c r="X11" s="30">
        <v>1749</v>
      </c>
      <c r="Y11" s="24"/>
      <c r="Z11" s="30">
        <v>1749</v>
      </c>
      <c r="AA11" s="24"/>
      <c r="AB11" s="30">
        <v>1749</v>
      </c>
      <c r="AC11" s="26"/>
      <c r="AD11" s="30">
        <v>1749</v>
      </c>
      <c r="AE11" s="26"/>
    </row>
    <row r="12" spans="2:42" x14ac:dyDescent="0.3">
      <c r="B12" s="16" t="s">
        <v>34</v>
      </c>
      <c r="C12" s="17">
        <v>1702</v>
      </c>
      <c r="E12" s="29" t="s">
        <v>35</v>
      </c>
      <c r="F12" s="119">
        <v>14210</v>
      </c>
      <c r="G12" s="117">
        <v>12157.49775</v>
      </c>
      <c r="H12" s="117">
        <v>15149.902211919991</v>
      </c>
      <c r="I12" s="19">
        <f>G12+H12</f>
        <v>27307.399961919989</v>
      </c>
      <c r="J12" s="119">
        <v>14319</v>
      </c>
      <c r="K12" s="117">
        <v>11930.826499999999</v>
      </c>
      <c r="L12" s="117">
        <v>14890.50469163999</v>
      </c>
      <c r="M12" s="19">
        <f>K12+L12</f>
        <v>26821.331191639991</v>
      </c>
      <c r="N12" s="88">
        <v>47</v>
      </c>
      <c r="O12" s="88">
        <v>33</v>
      </c>
      <c r="P12" s="92"/>
      <c r="Q12" s="20">
        <f>J12-P12</f>
        <v>14319</v>
      </c>
      <c r="R12" s="21">
        <v>1507</v>
      </c>
      <c r="S12" s="20">
        <f>IF(R12&gt;0,(R12-R13-$Q12),"")</f>
        <v>-13396</v>
      </c>
      <c r="T12" s="21">
        <v>2904</v>
      </c>
      <c r="U12" s="20">
        <f>IF(T12&gt;0,(T12-T13-$Q12),"")</f>
        <v>-12134</v>
      </c>
      <c r="V12" s="21">
        <v>4540</v>
      </c>
      <c r="W12" s="20">
        <f>IF(V12&gt;0,(V12-V13-$Q12),"")</f>
        <v>-10498</v>
      </c>
      <c r="X12" s="21">
        <v>7294</v>
      </c>
      <c r="Y12" s="20">
        <f>IF(X12&gt;0,(X12-X13-$Q12),"")</f>
        <v>-7769</v>
      </c>
      <c r="Z12" s="21">
        <v>10710</v>
      </c>
      <c r="AA12" s="20">
        <f>IF(Z12&gt;0,(Z12-Z13-$Q12),"")</f>
        <v>-4353</v>
      </c>
      <c r="AB12" s="21">
        <v>10710</v>
      </c>
      <c r="AC12" s="22">
        <f>IF(AB12&gt;0,(AB12-AB13-$Q12),"")</f>
        <v>-4353</v>
      </c>
      <c r="AD12" s="21">
        <v>10710</v>
      </c>
      <c r="AE12" s="22">
        <f>IF(AD12&gt;0,(AD12-AD13-$Q12),"")</f>
        <v>-4353</v>
      </c>
    </row>
    <row r="13" spans="2:42" x14ac:dyDescent="0.3">
      <c r="B13" s="16" t="s">
        <v>36</v>
      </c>
      <c r="C13" s="17">
        <v>4954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584</v>
      </c>
      <c r="S13" s="24"/>
      <c r="T13" s="30">
        <v>719</v>
      </c>
      <c r="U13" s="24"/>
      <c r="V13" s="30">
        <v>719</v>
      </c>
      <c r="W13" s="24"/>
      <c r="X13" s="30">
        <v>744</v>
      </c>
      <c r="Y13" s="24"/>
      <c r="Z13" s="30">
        <v>744</v>
      </c>
      <c r="AA13" s="24"/>
      <c r="AB13" s="30">
        <v>744</v>
      </c>
      <c r="AC13" s="26"/>
      <c r="AD13" s="30">
        <v>744</v>
      </c>
      <c r="AE13" s="26"/>
    </row>
    <row r="14" spans="2:42" x14ac:dyDescent="0.3">
      <c r="B14" s="16" t="s">
        <v>38</v>
      </c>
      <c r="C14" s="17">
        <v>10028</v>
      </c>
      <c r="E14" s="18" t="s">
        <v>39</v>
      </c>
      <c r="F14" s="119">
        <v>21078</v>
      </c>
      <c r="G14" s="117">
        <v>17440</v>
      </c>
      <c r="H14" s="117">
        <v>21298.500667730001</v>
      </c>
      <c r="I14" s="19">
        <f>G14+H14</f>
        <v>38738.500667729997</v>
      </c>
      <c r="J14" s="119">
        <v>21078</v>
      </c>
      <c r="K14" s="117">
        <v>17440</v>
      </c>
      <c r="L14" s="117">
        <v>20914.49698503</v>
      </c>
      <c r="M14" s="19">
        <f>K14+L14</f>
        <v>38354.496985029997</v>
      </c>
      <c r="N14" s="88">
        <v>64</v>
      </c>
      <c r="O14" s="88">
        <v>42</v>
      </c>
      <c r="P14" s="92"/>
      <c r="Q14" s="20">
        <f>J14-P14</f>
        <v>21078</v>
      </c>
      <c r="R14" s="21">
        <v>4029</v>
      </c>
      <c r="S14" s="20">
        <f>IF(R14&gt;0,(R14-R15-$Q14),"")</f>
        <v>-20488</v>
      </c>
      <c r="T14" s="21">
        <v>7313</v>
      </c>
      <c r="U14" s="20">
        <f>IF(T14&gt;0,(T14-T15-$Q14),"")</f>
        <v>-19415</v>
      </c>
      <c r="V14" s="21">
        <v>8309</v>
      </c>
      <c r="W14" s="20">
        <f>IF(V14&gt;0,(V14-V15-$Q14),"")</f>
        <v>-18826</v>
      </c>
      <c r="X14" s="21">
        <v>10253</v>
      </c>
      <c r="Y14" s="20">
        <f>IF(X14&gt;0,(X14-X15-$Q14),"")</f>
        <v>-18148</v>
      </c>
      <c r="Z14" s="21">
        <v>12843</v>
      </c>
      <c r="AA14" s="20">
        <f>IF(Z14&gt;0,(Z14-Z15-$Q14),"")</f>
        <v>-16469</v>
      </c>
      <c r="AB14" s="21">
        <v>13226</v>
      </c>
      <c r="AC14" s="22">
        <f>IF(AB14&gt;0,(AB14-AB15-$Q14),"")</f>
        <v>-16086</v>
      </c>
      <c r="AD14" s="21">
        <v>13226</v>
      </c>
      <c r="AE14" s="22">
        <f>IF(AD14&gt;0,(AD14-AD15-$Q14),"")</f>
        <v>-16086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3439</v>
      </c>
      <c r="S15" s="24"/>
      <c r="T15" s="25">
        <v>5650</v>
      </c>
      <c r="U15" s="24"/>
      <c r="V15" s="25">
        <v>6057</v>
      </c>
      <c r="W15" s="24"/>
      <c r="X15" s="25">
        <v>7323</v>
      </c>
      <c r="Y15" s="24"/>
      <c r="Z15" s="25">
        <v>8234</v>
      </c>
      <c r="AA15" s="24"/>
      <c r="AB15" s="25">
        <v>8234</v>
      </c>
      <c r="AC15" s="26"/>
      <c r="AD15" s="25">
        <v>8234</v>
      </c>
      <c r="AE15" s="26"/>
    </row>
    <row r="16" spans="2:42" ht="15" customHeight="1" thickBot="1" x14ac:dyDescent="0.35">
      <c r="B16" s="28" t="s">
        <v>42</v>
      </c>
      <c r="C16" s="17">
        <v>13034</v>
      </c>
      <c r="E16" s="84"/>
      <c r="F16" s="31">
        <f t="shared" ref="F16:M16" si="0">SUM(F6:F15)</f>
        <v>80441</v>
      </c>
      <c r="G16" s="31">
        <f t="shared" si="0"/>
        <v>59763.002125000006</v>
      </c>
      <c r="H16" s="31">
        <f t="shared" si="0"/>
        <v>53599.59904891</v>
      </c>
      <c r="I16" s="32">
        <f t="shared" si="0"/>
        <v>113362.60117390999</v>
      </c>
      <c r="J16" s="33">
        <f t="shared" si="0"/>
        <v>80571</v>
      </c>
      <c r="K16" s="33">
        <f t="shared" si="0"/>
        <v>59229.817624999996</v>
      </c>
      <c r="L16" s="33">
        <f t="shared" si="0"/>
        <v>52653.640049790003</v>
      </c>
      <c r="M16" s="33">
        <f t="shared" si="0"/>
        <v>111883.45767478998</v>
      </c>
      <c r="N16" s="31">
        <f>SUM(N14,N12,N10,N8,N6)</f>
        <v>247</v>
      </c>
      <c r="O16" s="31">
        <f>SUM(O14,O12,O10,O8,O6)</f>
        <v>169</v>
      </c>
      <c r="P16" s="34">
        <f>SUM(P6:P15)</f>
        <v>0</v>
      </c>
      <c r="Q16" s="34">
        <f>SUM(Q6:Q15)</f>
        <v>80571</v>
      </c>
      <c r="R16" s="35">
        <f>R6+R8+R10+R12+R14-R7-R9-R11-R13-R15</f>
        <v>3023</v>
      </c>
      <c r="S16" s="36">
        <f>IF(R16&gt;1,(R16-$Q16),"")</f>
        <v>-77548</v>
      </c>
      <c r="T16" s="35">
        <f>T6+T8+T10+T12+T14-T7-T9-T11-T13-T15</f>
        <v>10215</v>
      </c>
      <c r="U16" s="36">
        <f>IF(T16&gt;1,(T16-$Q16),"")</f>
        <v>-70356</v>
      </c>
      <c r="V16" s="35">
        <f>V6+V8+V10+V12+V14-V7-V9-V11-V13-V15</f>
        <v>15567</v>
      </c>
      <c r="W16" s="36">
        <f>IF(V16&gt;1,(V16-$Q16),"")</f>
        <v>-65004</v>
      </c>
      <c r="X16" s="35">
        <f>X6+X8+X10+X12+X14-X7-X9-X11-X13-X15</f>
        <v>27194</v>
      </c>
      <c r="Y16" s="36">
        <f>IF(X16&gt;1,(X16-$Q16),"")</f>
        <v>-53377</v>
      </c>
      <c r="Z16" s="35">
        <f>Z6+Z8+Z10+Z12+Z14-Z7-Z9-Z11-Z13-Z15</f>
        <v>37569</v>
      </c>
      <c r="AA16" s="36">
        <f>IF(Z16&gt;1,(Z16-$Q16),"")</f>
        <v>-43002</v>
      </c>
      <c r="AB16" s="35">
        <f>AB6+AB8+AB10+AB12+AB14-AB7-AB9-AB11-AB13-AB15</f>
        <v>45434</v>
      </c>
      <c r="AC16" s="37">
        <f>IF(AB16&gt;1,(AB16-$Q16),"")</f>
        <v>-35137</v>
      </c>
      <c r="AD16" s="35">
        <f>AD6+AD8+AD10+AD12+AD14-AD7-AD9-AD11-AD13-AD15</f>
        <v>45434</v>
      </c>
      <c r="AE16" s="37">
        <f>IF(AD16&gt;1,(AD16-$Q16),"")</f>
        <v>-35137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4023</v>
      </c>
      <c r="S17" s="41"/>
      <c r="T17" s="40">
        <f>T15+T13+T11+T9+T7</f>
        <v>7325</v>
      </c>
      <c r="U17" s="41"/>
      <c r="V17" s="40">
        <f>V15+V13+V11+V9+V7</f>
        <v>7985</v>
      </c>
      <c r="W17" s="41"/>
      <c r="X17" s="40">
        <f>X15+X13+X11+X9+X7</f>
        <v>9857</v>
      </c>
      <c r="Y17" s="41"/>
      <c r="Z17" s="40">
        <f>Z15+Z13+Z11+Z9+Z7</f>
        <v>10774</v>
      </c>
      <c r="AA17" s="41"/>
      <c r="AB17" s="40">
        <f>AB15+AB13+AB11+AB9+AB7</f>
        <v>11328</v>
      </c>
      <c r="AC17" s="42"/>
      <c r="AD17" s="40">
        <f>AD15+AD13+AD11+AD9+AD7</f>
        <v>11328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1511.5</v>
      </c>
      <c r="S18" s="46"/>
      <c r="T18" s="47">
        <f>IF(T16&gt;0,(T16-R16)/2,"")</f>
        <v>3596</v>
      </c>
      <c r="U18" s="46"/>
      <c r="V18" s="47">
        <f>IF(V16&gt;0,(V16-T16)/2,"")</f>
        <v>2676</v>
      </c>
      <c r="W18" s="46"/>
      <c r="X18" s="47">
        <f>IF(X16&gt;0,(X16-V16)/2,"")</f>
        <v>5813.5</v>
      </c>
      <c r="Y18" s="46"/>
      <c r="Z18" s="47">
        <f>IF(Z16&gt;0,(Z16-X16)/2,"")</f>
        <v>5187.5</v>
      </c>
      <c r="AA18" s="46"/>
      <c r="AB18" s="47">
        <f>IF(AB16&gt;0,(AB16-Z16)/2,"")</f>
        <v>3932.5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8148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2113</v>
      </c>
      <c r="L20" s="4"/>
      <c r="M20" s="4"/>
      <c r="Q20" s="51" t="s">
        <v>49</v>
      </c>
      <c r="R20" s="35">
        <v>3381</v>
      </c>
      <c r="S20" s="36"/>
      <c r="T20" s="35">
        <v>8616</v>
      </c>
      <c r="U20" s="36"/>
      <c r="V20" s="35">
        <v>16248</v>
      </c>
      <c r="W20" s="36"/>
      <c r="X20" s="35">
        <v>24978</v>
      </c>
      <c r="Y20" s="36"/>
      <c r="Z20" s="35">
        <v>31332</v>
      </c>
      <c r="AA20" s="36"/>
      <c r="AB20" s="35">
        <v>33839</v>
      </c>
      <c r="AC20" s="37"/>
      <c r="AD20" s="35">
        <v>34356</v>
      </c>
      <c r="AE20" s="37">
        <v>-43116</v>
      </c>
    </row>
    <row r="21" spans="2:43" ht="15" customHeight="1" thickBot="1" x14ac:dyDescent="0.35">
      <c r="B21" s="57" t="s">
        <v>52</v>
      </c>
      <c r="C21" s="58">
        <v>4386</v>
      </c>
      <c r="M21" s="4"/>
      <c r="Q21" s="52"/>
      <c r="R21" s="40">
        <v>3816</v>
      </c>
      <c r="S21" s="41"/>
      <c r="T21" s="40">
        <v>7491</v>
      </c>
      <c r="U21" s="41"/>
      <c r="V21" s="40">
        <v>9324</v>
      </c>
      <c r="W21" s="41"/>
      <c r="X21" s="40">
        <v>11350</v>
      </c>
      <c r="Y21" s="41"/>
      <c r="Z21" s="40">
        <v>11558</v>
      </c>
      <c r="AA21" s="41"/>
      <c r="AB21" s="40">
        <v>11582</v>
      </c>
      <c r="AC21" s="42"/>
      <c r="AD21" s="40">
        <v>11582</v>
      </c>
      <c r="AE21" s="42"/>
    </row>
    <row r="22" spans="2:43" ht="15" customHeight="1" thickBot="1" x14ac:dyDescent="0.35">
      <c r="M22" s="4"/>
      <c r="Q22" s="54"/>
      <c r="R22" s="55">
        <v>1899.5</v>
      </c>
      <c r="S22" s="55"/>
      <c r="T22" s="55">
        <v>4952.5</v>
      </c>
      <c r="U22" s="55"/>
      <c r="V22" s="55">
        <v>3310.5</v>
      </c>
      <c r="W22" s="55"/>
      <c r="X22" s="55">
        <v>6160</v>
      </c>
      <c r="Y22" s="55"/>
      <c r="Z22" s="55">
        <v>5632</v>
      </c>
      <c r="AA22" s="55"/>
      <c r="AB22" s="55">
        <v>1.5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-358</v>
      </c>
      <c r="S24" s="60"/>
      <c r="T24" s="60">
        <f>IF(T16&gt;0,T16-T20,"")</f>
        <v>1599</v>
      </c>
      <c r="U24" s="60"/>
      <c r="V24" s="60">
        <f>IF(V16&gt;0,V16-V20,"")</f>
        <v>-681</v>
      </c>
      <c r="W24" s="60"/>
      <c r="X24" s="60">
        <f>IF(X16&gt;0,X16-X20,"")</f>
        <v>2216</v>
      </c>
      <c r="Y24" s="60"/>
      <c r="Z24" s="60">
        <f>IF(Z16&gt;0,Z16-Z20,"")</f>
        <v>6237</v>
      </c>
      <c r="AA24" s="60"/>
      <c r="AB24" s="60">
        <f>IF(AB16&gt;0,AB16-AB20,"")</f>
        <v>11595</v>
      </c>
      <c r="AC24" s="61"/>
      <c r="AD24" s="60">
        <f>IF(AD16&gt;0,AD16-AD20,"")</f>
        <v>11078</v>
      </c>
      <c r="AE24" s="61"/>
    </row>
    <row r="25" spans="2:43" x14ac:dyDescent="0.3">
      <c r="M25" s="4"/>
      <c r="Q25" s="62"/>
      <c r="R25" s="63">
        <f>IF(R17&gt;=0,R17-R21,"")</f>
        <v>207</v>
      </c>
      <c r="S25" s="64"/>
      <c r="T25" s="63">
        <f>IF(T17&gt;=0,T17-T21,"")</f>
        <v>-166</v>
      </c>
      <c r="U25" s="64"/>
      <c r="V25" s="63">
        <f>IF(V17&gt;=0,V17-V21,"")</f>
        <v>-1339</v>
      </c>
      <c r="W25" s="64"/>
      <c r="X25" s="63">
        <f>IF(X17&gt;=0,X17-X21,"")</f>
        <v>-1493</v>
      </c>
      <c r="Y25" s="64"/>
      <c r="Z25" s="63">
        <f>IF(Z17&gt;=0,Z17-Z21,"")</f>
        <v>-784</v>
      </c>
      <c r="AA25" s="64"/>
      <c r="AB25" s="63">
        <f>IF(AB17&gt;=0,AB17-AB21,"")</f>
        <v>-254</v>
      </c>
      <c r="AC25" s="65"/>
      <c r="AD25" s="63">
        <f>IF(AD17&gt;=0,AD17-AD21,"")</f>
        <v>-254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-388</v>
      </c>
      <c r="S26" s="55"/>
      <c r="T26" s="67">
        <f>IFERROR(IF(T18&gt;0,T18-T22,""),"")</f>
        <v>-1356.5</v>
      </c>
      <c r="U26" s="55"/>
      <c r="V26" s="67">
        <f>IFERROR(IF(V18&gt;0,V18-V22,""),"")</f>
        <v>-634.5</v>
      </c>
      <c r="W26" s="55"/>
      <c r="X26" s="67">
        <f>IFERROR(IF(X18&gt;0,X18-X22,""),"")</f>
        <v>-346.5</v>
      </c>
      <c r="Y26" s="55"/>
      <c r="Z26" s="67">
        <f>IFERROR(IF(Z18&gt;0,Z18-Z22,""),"")</f>
        <v>-444.5</v>
      </c>
      <c r="AA26" s="55"/>
      <c r="AB26" s="67">
        <f>IFERROR(IF(AB18&gt;0,AB18-AB22,""),"")</f>
        <v>3931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10209</v>
      </c>
      <c r="D29" s="76">
        <f>C14</f>
        <v>10028</v>
      </c>
      <c r="E29" s="77">
        <f>D29-C29</f>
        <v>-181</v>
      </c>
      <c r="O29" s="4"/>
    </row>
    <row r="30" spans="2:43" x14ac:dyDescent="0.3">
      <c r="B30" s="74" t="s">
        <v>56</v>
      </c>
      <c r="C30" s="122">
        <v>26400</v>
      </c>
      <c r="D30" s="76">
        <f>C7+C15+C16+C17+C18</f>
        <v>13034</v>
      </c>
      <c r="E30" s="77">
        <f>D30-C30</f>
        <v>-13366</v>
      </c>
      <c r="J30" s="53"/>
      <c r="O30" s="4"/>
    </row>
    <row r="31" spans="2:43" x14ac:dyDescent="0.3">
      <c r="B31" s="74" t="s">
        <v>21</v>
      </c>
      <c r="C31" s="122">
        <v>2532</v>
      </c>
      <c r="D31" s="76">
        <f>C6</f>
        <v>2532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14047</v>
      </c>
      <c r="D32" s="76">
        <f>C10+C11+C12+C13</f>
        <v>14047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14800</v>
      </c>
      <c r="D33" s="76">
        <f>C19+C20+C21</f>
        <v>14647</v>
      </c>
      <c r="E33" s="77">
        <f>D33-C33</f>
        <v>-153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4099</v>
      </c>
      <c r="D34" s="80">
        <f>SUM(C8+C9)</f>
        <v>4099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2469</v>
      </c>
      <c r="R35" s="104">
        <v>0</v>
      </c>
      <c r="S35" s="104">
        <f t="shared" ref="S35:S64" si="1">IF(T35&gt;0,(T35-R35)/2,"")</f>
        <v>555</v>
      </c>
      <c r="T35" s="104">
        <v>1110</v>
      </c>
      <c r="U35" s="104">
        <f t="shared" ref="U35:U64" si="2">IF(V35&gt;0,(V35-T35)/2,"")</f>
        <v>210</v>
      </c>
      <c r="V35" s="104">
        <v>1530</v>
      </c>
      <c r="W35" s="104">
        <f t="shared" ref="W35:W64" si="3">IF(X35&gt;0,(X35-V35)/2,"")</f>
        <v>210.5</v>
      </c>
      <c r="X35" s="104">
        <v>1951</v>
      </c>
      <c r="Y35" s="104">
        <f t="shared" ref="Y35:Y64" si="4">IF(Z35&gt;0,(Z35-X35)/2,"")</f>
        <v>0</v>
      </c>
      <c r="Z35" s="104">
        <v>1951</v>
      </c>
      <c r="AA35" s="104">
        <f t="shared" ref="AA35:AA64" si="5">IF(AB35&gt;0,(AB35-Z35)/2,"")</f>
        <v>325.5</v>
      </c>
      <c r="AB35" s="104">
        <v>2602</v>
      </c>
      <c r="AC35" s="104">
        <f t="shared" ref="AC35:AC64" si="6">IF(AD35&gt;0,(AD35-AB35)/2,"")</f>
        <v>0</v>
      </c>
      <c r="AD35" s="104">
        <v>2602</v>
      </c>
      <c r="AE35" s="105">
        <f t="shared" ref="AE35:AE64" si="7">AD35-Q35</f>
        <v>133</v>
      </c>
    </row>
    <row r="36" spans="2:31" ht="15.6" customHeight="1" x14ac:dyDescent="0.3">
      <c r="N36" s="212"/>
      <c r="O36" s="95" t="s">
        <v>66</v>
      </c>
      <c r="P36" s="106"/>
      <c r="Q36" s="106">
        <v>1413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89.5</v>
      </c>
      <c r="X36" s="106">
        <v>179</v>
      </c>
      <c r="Y36" s="106">
        <f t="shared" si="4"/>
        <v>0</v>
      </c>
      <c r="Z36" s="106">
        <v>179</v>
      </c>
      <c r="AA36" s="106">
        <f t="shared" si="5"/>
        <v>336</v>
      </c>
      <c r="AB36" s="106">
        <v>851</v>
      </c>
      <c r="AC36" s="106">
        <f t="shared" si="6"/>
        <v>0</v>
      </c>
      <c r="AD36" s="106">
        <v>851</v>
      </c>
      <c r="AE36" s="107">
        <f t="shared" si="7"/>
        <v>-562</v>
      </c>
    </row>
    <row r="37" spans="2:31" ht="15.6" customHeight="1" x14ac:dyDescent="0.3">
      <c r="N37" s="212"/>
      <c r="O37" s="94" t="s">
        <v>67</v>
      </c>
      <c r="P37" s="108"/>
      <c r="Q37" s="108">
        <v>2515</v>
      </c>
      <c r="R37" s="108">
        <v>0</v>
      </c>
      <c r="S37" s="108">
        <f t="shared" si="1"/>
        <v>376</v>
      </c>
      <c r="T37" s="108">
        <v>752</v>
      </c>
      <c r="U37" s="108">
        <f t="shared" si="2"/>
        <v>0</v>
      </c>
      <c r="V37" s="108">
        <v>752</v>
      </c>
      <c r="W37" s="108">
        <f t="shared" si="3"/>
        <v>0</v>
      </c>
      <c r="X37" s="108">
        <v>752</v>
      </c>
      <c r="Y37" s="108">
        <f t="shared" si="4"/>
        <v>0</v>
      </c>
      <c r="Z37" s="108">
        <v>752</v>
      </c>
      <c r="AA37" s="108">
        <f t="shared" si="5"/>
        <v>593.5</v>
      </c>
      <c r="AB37" s="108">
        <v>1939</v>
      </c>
      <c r="AC37" s="108">
        <f t="shared" si="6"/>
        <v>0</v>
      </c>
      <c r="AD37" s="108">
        <v>1939</v>
      </c>
      <c r="AE37" s="109">
        <f t="shared" si="7"/>
        <v>-576</v>
      </c>
    </row>
    <row r="38" spans="2:31" ht="15.6" customHeight="1" x14ac:dyDescent="0.3">
      <c r="N38" s="212"/>
      <c r="O38" s="95" t="s">
        <v>68</v>
      </c>
      <c r="P38" s="106"/>
      <c r="Q38" s="106">
        <v>3730</v>
      </c>
      <c r="R38" s="106">
        <v>0</v>
      </c>
      <c r="S38" s="106">
        <f t="shared" si="1"/>
        <v>359</v>
      </c>
      <c r="T38" s="106">
        <v>718</v>
      </c>
      <c r="U38" s="106">
        <f t="shared" si="2"/>
        <v>260.5</v>
      </c>
      <c r="V38" s="106">
        <v>1239</v>
      </c>
      <c r="W38" s="106">
        <f t="shared" si="3"/>
        <v>0</v>
      </c>
      <c r="X38" s="106">
        <v>1239</v>
      </c>
      <c r="Y38" s="106">
        <f t="shared" si="4"/>
        <v>288</v>
      </c>
      <c r="Z38" s="106">
        <v>1815</v>
      </c>
      <c r="AA38" s="106">
        <f t="shared" si="5"/>
        <v>217</v>
      </c>
      <c r="AB38" s="106">
        <v>2249</v>
      </c>
      <c r="AC38" s="106">
        <f t="shared" si="6"/>
        <v>0</v>
      </c>
      <c r="AD38" s="106">
        <v>2249</v>
      </c>
      <c r="AE38" s="107">
        <f t="shared" si="7"/>
        <v>-1481</v>
      </c>
    </row>
    <row r="39" spans="2:31" ht="15.6" customHeight="1" x14ac:dyDescent="0.3">
      <c r="N39" s="212"/>
      <c r="O39" s="94" t="s">
        <v>69</v>
      </c>
      <c r="P39" s="108"/>
      <c r="Q39" s="108">
        <v>2247</v>
      </c>
      <c r="R39" s="108">
        <v>0</v>
      </c>
      <c r="S39" s="108" t="str">
        <f t="shared" si="1"/>
        <v/>
      </c>
      <c r="T39" s="108">
        <v>0</v>
      </c>
      <c r="U39" s="108" t="str">
        <f t="shared" si="2"/>
        <v/>
      </c>
      <c r="V39" s="108">
        <v>0</v>
      </c>
      <c r="W39" s="108" t="str">
        <f t="shared" si="3"/>
        <v/>
      </c>
      <c r="X39" s="108">
        <v>0</v>
      </c>
      <c r="Y39" s="108">
        <f t="shared" si="4"/>
        <v>248.5</v>
      </c>
      <c r="Z39" s="108">
        <v>497</v>
      </c>
      <c r="AA39" s="108">
        <f t="shared" si="5"/>
        <v>826</v>
      </c>
      <c r="AB39" s="108">
        <v>2149</v>
      </c>
      <c r="AC39" s="108">
        <f t="shared" si="6"/>
        <v>0</v>
      </c>
      <c r="AD39" s="108">
        <v>2149</v>
      </c>
      <c r="AE39" s="109">
        <f t="shared" si="7"/>
        <v>-98</v>
      </c>
    </row>
    <row r="40" spans="2:31" ht="15.6" customHeight="1" x14ac:dyDescent="0.3">
      <c r="N40" s="212"/>
      <c r="O40" s="95" t="s">
        <v>70</v>
      </c>
      <c r="P40" s="106"/>
      <c r="Q40" s="106">
        <v>3384</v>
      </c>
      <c r="R40" s="106">
        <v>0</v>
      </c>
      <c r="S40" s="106" t="str">
        <f t="shared" si="1"/>
        <v/>
      </c>
      <c r="T40" s="106">
        <v>0</v>
      </c>
      <c r="U40" s="106">
        <f t="shared" si="2"/>
        <v>332</v>
      </c>
      <c r="V40" s="106">
        <v>664</v>
      </c>
      <c r="W40" s="106">
        <f t="shared" si="3"/>
        <v>297</v>
      </c>
      <c r="X40" s="106">
        <v>1258</v>
      </c>
      <c r="Y40" s="106">
        <f t="shared" si="4"/>
        <v>5</v>
      </c>
      <c r="Z40" s="106">
        <v>1268</v>
      </c>
      <c r="AA40" s="106">
        <f t="shared" si="5"/>
        <v>687.5</v>
      </c>
      <c r="AB40" s="106">
        <v>2643</v>
      </c>
      <c r="AC40" s="106">
        <f t="shared" si="6"/>
        <v>0</v>
      </c>
      <c r="AD40" s="106">
        <v>2643</v>
      </c>
      <c r="AE40" s="107">
        <f t="shared" si="7"/>
        <v>-741</v>
      </c>
    </row>
    <row r="41" spans="2:31" ht="15.6" customHeight="1" x14ac:dyDescent="0.3">
      <c r="N41" s="212"/>
      <c r="O41" s="94" t="s">
        <v>71</v>
      </c>
      <c r="P41" s="108"/>
      <c r="Q41" s="108">
        <v>1081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431.5</v>
      </c>
      <c r="X41" s="108">
        <v>863</v>
      </c>
      <c r="Y41" s="108">
        <f t="shared" si="4"/>
        <v>0</v>
      </c>
      <c r="Z41" s="108">
        <v>863</v>
      </c>
      <c r="AA41" s="108">
        <f t="shared" si="5"/>
        <v>94.5</v>
      </c>
      <c r="AB41" s="108">
        <v>1052</v>
      </c>
      <c r="AC41" s="108">
        <f t="shared" si="6"/>
        <v>0</v>
      </c>
      <c r="AD41" s="108">
        <v>1052</v>
      </c>
      <c r="AE41" s="109">
        <f t="shared" si="7"/>
        <v>-29</v>
      </c>
    </row>
    <row r="42" spans="2:31" ht="15.6" customHeight="1" x14ac:dyDescent="0.3">
      <c r="N42" s="212"/>
      <c r="O42" s="95" t="s">
        <v>72</v>
      </c>
      <c r="P42" s="106"/>
      <c r="Q42" s="106">
        <v>1617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270</v>
      </c>
      <c r="V42" s="106">
        <v>540</v>
      </c>
      <c r="W42" s="106">
        <f t="shared" si="3"/>
        <v>0</v>
      </c>
      <c r="X42" s="106">
        <v>540</v>
      </c>
      <c r="Y42" s="106">
        <f t="shared" si="4"/>
        <v>0</v>
      </c>
      <c r="Z42" s="106">
        <v>540</v>
      </c>
      <c r="AA42" s="106">
        <f t="shared" si="5"/>
        <v>358.5</v>
      </c>
      <c r="AB42" s="106">
        <v>1257</v>
      </c>
      <c r="AC42" s="106">
        <f t="shared" si="6"/>
        <v>0</v>
      </c>
      <c r="AD42" s="106">
        <v>1257</v>
      </c>
      <c r="AE42" s="107">
        <f t="shared" si="7"/>
        <v>-360</v>
      </c>
    </row>
    <row r="43" spans="2:31" ht="15.6" customHeight="1" thickBot="1" x14ac:dyDescent="0.35">
      <c r="N43" s="213"/>
      <c r="O43" s="97" t="s">
        <v>73</v>
      </c>
      <c r="P43" s="110"/>
      <c r="Q43" s="110">
        <v>1453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>
        <f t="shared" si="5"/>
        <v>579.5</v>
      </c>
      <c r="AB43" s="110">
        <v>1159</v>
      </c>
      <c r="AC43" s="110">
        <f t="shared" si="6"/>
        <v>0</v>
      </c>
      <c r="AD43" s="110">
        <v>1159</v>
      </c>
      <c r="AE43" s="111">
        <f t="shared" si="7"/>
        <v>-294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4717</v>
      </c>
      <c r="R44" s="112">
        <v>1018</v>
      </c>
      <c r="S44" s="112">
        <f t="shared" si="1"/>
        <v>437.5</v>
      </c>
      <c r="T44" s="112">
        <v>1893</v>
      </c>
      <c r="U44" s="112">
        <f t="shared" si="2"/>
        <v>0</v>
      </c>
      <c r="V44" s="112">
        <v>1893</v>
      </c>
      <c r="W44" s="112">
        <f t="shared" si="3"/>
        <v>0</v>
      </c>
      <c r="X44" s="112">
        <v>1893</v>
      </c>
      <c r="Y44" s="112">
        <f t="shared" si="4"/>
        <v>517.5</v>
      </c>
      <c r="Z44" s="112">
        <v>2928</v>
      </c>
      <c r="AA44" s="112">
        <f t="shared" si="5"/>
        <v>0</v>
      </c>
      <c r="AB44" s="112">
        <v>2928</v>
      </c>
      <c r="AC44" s="112">
        <f t="shared" si="6"/>
        <v>0</v>
      </c>
      <c r="AD44" s="112">
        <v>2928</v>
      </c>
      <c r="AE44" s="113">
        <f t="shared" si="7"/>
        <v>-1789</v>
      </c>
    </row>
    <row r="45" spans="2:31" ht="15.6" customHeight="1" x14ac:dyDescent="0.3">
      <c r="N45" s="212"/>
      <c r="O45" s="94" t="s">
        <v>66</v>
      </c>
      <c r="P45" s="108"/>
      <c r="Q45" s="108">
        <v>3854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1266</v>
      </c>
      <c r="X45" s="108">
        <v>2532</v>
      </c>
      <c r="Y45" s="108">
        <f t="shared" si="4"/>
        <v>661</v>
      </c>
      <c r="Z45" s="108">
        <v>3854</v>
      </c>
      <c r="AA45" s="108">
        <f t="shared" si="5"/>
        <v>0</v>
      </c>
      <c r="AB45" s="108">
        <v>3854</v>
      </c>
      <c r="AC45" s="108">
        <f t="shared" si="6"/>
        <v>0</v>
      </c>
      <c r="AD45" s="108">
        <v>3854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2492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97.5</v>
      </c>
      <c r="X46" s="106">
        <v>195</v>
      </c>
      <c r="Y46" s="106">
        <f t="shared" si="4"/>
        <v>909</v>
      </c>
      <c r="Z46" s="106">
        <v>2013</v>
      </c>
      <c r="AA46" s="106">
        <f t="shared" si="5"/>
        <v>0</v>
      </c>
      <c r="AB46" s="106">
        <v>2013</v>
      </c>
      <c r="AC46" s="106">
        <f t="shared" si="6"/>
        <v>0</v>
      </c>
      <c r="AD46" s="106">
        <v>2013</v>
      </c>
      <c r="AE46" s="107">
        <f t="shared" si="7"/>
        <v>-479</v>
      </c>
    </row>
    <row r="47" spans="2:31" ht="15.6" customHeight="1" thickBot="1" x14ac:dyDescent="0.35">
      <c r="N47" s="213"/>
      <c r="O47" s="97" t="s">
        <v>68</v>
      </c>
      <c r="P47" s="110"/>
      <c r="Q47" s="110">
        <v>4063</v>
      </c>
      <c r="R47" s="110">
        <v>23</v>
      </c>
      <c r="S47" s="110">
        <f t="shared" si="1"/>
        <v>0</v>
      </c>
      <c r="T47" s="110">
        <v>23</v>
      </c>
      <c r="U47" s="110">
        <f t="shared" si="2"/>
        <v>0</v>
      </c>
      <c r="V47" s="110">
        <v>23</v>
      </c>
      <c r="W47" s="110">
        <f t="shared" si="3"/>
        <v>785.5</v>
      </c>
      <c r="X47" s="110">
        <v>1594</v>
      </c>
      <c r="Y47" s="110">
        <f t="shared" si="4"/>
        <v>0</v>
      </c>
      <c r="Z47" s="110">
        <v>1594</v>
      </c>
      <c r="AA47" s="110">
        <f t="shared" si="5"/>
        <v>0</v>
      </c>
      <c r="AB47" s="110">
        <v>1594</v>
      </c>
      <c r="AC47" s="110">
        <f t="shared" si="6"/>
        <v>0</v>
      </c>
      <c r="AD47" s="110">
        <v>1594</v>
      </c>
      <c r="AE47" s="111">
        <f t="shared" si="7"/>
        <v>-2469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271</v>
      </c>
      <c r="R48" s="112">
        <v>10</v>
      </c>
      <c r="S48" s="112">
        <f t="shared" si="1"/>
        <v>0</v>
      </c>
      <c r="T48" s="112">
        <v>10</v>
      </c>
      <c r="U48" s="112">
        <f t="shared" si="2"/>
        <v>3.5</v>
      </c>
      <c r="V48" s="112">
        <v>17</v>
      </c>
      <c r="W48" s="112">
        <f t="shared" si="3"/>
        <v>11</v>
      </c>
      <c r="X48" s="112">
        <v>39</v>
      </c>
      <c r="Y48" s="112">
        <f t="shared" si="4"/>
        <v>0</v>
      </c>
      <c r="Z48" s="112">
        <v>39</v>
      </c>
      <c r="AA48" s="112">
        <f t="shared" si="5"/>
        <v>0</v>
      </c>
      <c r="AB48" s="112">
        <v>39</v>
      </c>
      <c r="AC48" s="112">
        <f t="shared" si="6"/>
        <v>0</v>
      </c>
      <c r="AD48" s="112">
        <v>39</v>
      </c>
      <c r="AE48" s="113">
        <f t="shared" si="7"/>
        <v>-232</v>
      </c>
    </row>
    <row r="49" spans="14:31" ht="15.6" customHeight="1" x14ac:dyDescent="0.3">
      <c r="N49" s="212"/>
      <c r="O49" s="94" t="s">
        <v>66</v>
      </c>
      <c r="P49" s="108"/>
      <c r="Q49" s="108">
        <v>287</v>
      </c>
      <c r="R49" s="108">
        <v>4</v>
      </c>
      <c r="S49" s="108">
        <f t="shared" si="1"/>
        <v>0</v>
      </c>
      <c r="T49" s="108">
        <v>4</v>
      </c>
      <c r="U49" s="108">
        <f t="shared" si="2"/>
        <v>0</v>
      </c>
      <c r="V49" s="108">
        <v>4</v>
      </c>
      <c r="W49" s="108">
        <f t="shared" si="3"/>
        <v>61</v>
      </c>
      <c r="X49" s="108">
        <v>126</v>
      </c>
      <c r="Y49" s="108">
        <f t="shared" si="4"/>
        <v>13.5</v>
      </c>
      <c r="Z49" s="108">
        <v>153</v>
      </c>
      <c r="AA49" s="108">
        <f t="shared" si="5"/>
        <v>0</v>
      </c>
      <c r="AB49" s="108">
        <v>153</v>
      </c>
      <c r="AC49" s="108">
        <f t="shared" si="6"/>
        <v>0</v>
      </c>
      <c r="AD49" s="108">
        <v>153</v>
      </c>
      <c r="AE49" s="109">
        <f t="shared" si="7"/>
        <v>-134</v>
      </c>
    </row>
    <row r="50" spans="14:31" ht="15.6" customHeight="1" x14ac:dyDescent="0.3">
      <c r="N50" s="212"/>
      <c r="O50" s="95" t="s">
        <v>67</v>
      </c>
      <c r="P50" s="106"/>
      <c r="Q50" s="106">
        <v>1869</v>
      </c>
      <c r="R50" s="106">
        <v>0</v>
      </c>
      <c r="S50" s="106">
        <f t="shared" si="1"/>
        <v>236</v>
      </c>
      <c r="T50" s="106">
        <v>472</v>
      </c>
      <c r="U50" s="106">
        <f t="shared" si="2"/>
        <v>112.5</v>
      </c>
      <c r="V50" s="106">
        <v>697</v>
      </c>
      <c r="W50" s="106">
        <f t="shared" si="3"/>
        <v>164</v>
      </c>
      <c r="X50" s="106">
        <v>1025</v>
      </c>
      <c r="Y50" s="106">
        <f t="shared" si="4"/>
        <v>0</v>
      </c>
      <c r="Z50" s="106">
        <v>1025</v>
      </c>
      <c r="AA50" s="106">
        <f t="shared" si="5"/>
        <v>0</v>
      </c>
      <c r="AB50" s="106">
        <v>1025</v>
      </c>
      <c r="AC50" s="106">
        <f t="shared" si="6"/>
        <v>0</v>
      </c>
      <c r="AD50" s="106">
        <v>1025</v>
      </c>
      <c r="AE50" s="107">
        <f t="shared" si="7"/>
        <v>-844</v>
      </c>
    </row>
    <row r="51" spans="14:31" ht="15.6" customHeight="1" x14ac:dyDescent="0.3">
      <c r="N51" s="212"/>
      <c r="O51" s="94" t="s">
        <v>68</v>
      </c>
      <c r="P51" s="108"/>
      <c r="Q51" s="108">
        <v>1546</v>
      </c>
      <c r="R51" s="108">
        <v>10</v>
      </c>
      <c r="S51" s="108">
        <f t="shared" si="1"/>
        <v>71.5</v>
      </c>
      <c r="T51" s="108">
        <v>153</v>
      </c>
      <c r="U51" s="108">
        <f t="shared" si="2"/>
        <v>137.5</v>
      </c>
      <c r="V51" s="108">
        <v>428</v>
      </c>
      <c r="W51" s="108">
        <f t="shared" si="3"/>
        <v>11.5</v>
      </c>
      <c r="X51" s="108">
        <v>451</v>
      </c>
      <c r="Y51" s="108">
        <f t="shared" si="4"/>
        <v>0.5</v>
      </c>
      <c r="Z51" s="108">
        <v>452</v>
      </c>
      <c r="AA51" s="108">
        <f t="shared" si="5"/>
        <v>0</v>
      </c>
      <c r="AB51" s="108">
        <v>452</v>
      </c>
      <c r="AC51" s="108">
        <f t="shared" si="6"/>
        <v>0</v>
      </c>
      <c r="AD51" s="108">
        <v>452</v>
      </c>
      <c r="AE51" s="109">
        <f t="shared" si="7"/>
        <v>-1094</v>
      </c>
    </row>
    <row r="52" spans="14:31" ht="15.6" customHeight="1" x14ac:dyDescent="0.3">
      <c r="N52" s="212"/>
      <c r="O52" s="95" t="s">
        <v>69</v>
      </c>
      <c r="P52" s="106"/>
      <c r="Q52" s="106">
        <v>2922</v>
      </c>
      <c r="R52" s="106">
        <v>0</v>
      </c>
      <c r="S52" s="106">
        <f t="shared" si="1"/>
        <v>587</v>
      </c>
      <c r="T52" s="106">
        <v>1174</v>
      </c>
      <c r="U52" s="106">
        <f t="shared" si="2"/>
        <v>119.5</v>
      </c>
      <c r="V52" s="106">
        <v>1413</v>
      </c>
      <c r="W52" s="106">
        <f t="shared" si="3"/>
        <v>295.5</v>
      </c>
      <c r="X52" s="106">
        <v>2004</v>
      </c>
      <c r="Y52" s="106">
        <f t="shared" si="4"/>
        <v>0</v>
      </c>
      <c r="Z52" s="106">
        <v>2004</v>
      </c>
      <c r="AA52" s="106">
        <f t="shared" si="5"/>
        <v>0</v>
      </c>
      <c r="AB52" s="106">
        <v>2004</v>
      </c>
      <c r="AC52" s="106">
        <f t="shared" si="6"/>
        <v>0</v>
      </c>
      <c r="AD52" s="106">
        <v>2004</v>
      </c>
      <c r="AE52" s="107">
        <f t="shared" si="7"/>
        <v>-918</v>
      </c>
    </row>
    <row r="53" spans="14:31" ht="15.6" customHeight="1" x14ac:dyDescent="0.3">
      <c r="N53" s="212"/>
      <c r="O53" s="94" t="s">
        <v>70</v>
      </c>
      <c r="P53" s="108"/>
      <c r="Q53" s="108">
        <v>1485</v>
      </c>
      <c r="R53" s="108">
        <v>0</v>
      </c>
      <c r="S53" s="108" t="str">
        <f t="shared" si="1"/>
        <v/>
      </c>
      <c r="T53" s="108">
        <v>0</v>
      </c>
      <c r="U53" s="108">
        <f t="shared" si="2"/>
        <v>112</v>
      </c>
      <c r="V53" s="108">
        <v>224</v>
      </c>
      <c r="W53" s="108">
        <f t="shared" si="3"/>
        <v>630.5</v>
      </c>
      <c r="X53" s="108">
        <v>1485</v>
      </c>
      <c r="Y53" s="108">
        <f t="shared" si="4"/>
        <v>0</v>
      </c>
      <c r="Z53" s="108">
        <v>1485</v>
      </c>
      <c r="AA53" s="108">
        <f t="shared" si="5"/>
        <v>0</v>
      </c>
      <c r="AB53" s="108">
        <v>1485</v>
      </c>
      <c r="AC53" s="108">
        <f t="shared" si="6"/>
        <v>0</v>
      </c>
      <c r="AD53" s="108">
        <v>1485</v>
      </c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>
        <v>1054</v>
      </c>
      <c r="R54" s="106">
        <v>434</v>
      </c>
      <c r="S54" s="106">
        <f t="shared" si="1"/>
        <v>284.5</v>
      </c>
      <c r="T54" s="106">
        <v>1003</v>
      </c>
      <c r="U54" s="106">
        <f t="shared" si="2"/>
        <v>0</v>
      </c>
      <c r="V54" s="106">
        <v>1003</v>
      </c>
      <c r="W54" s="106">
        <f t="shared" si="3"/>
        <v>16</v>
      </c>
      <c r="X54" s="106">
        <v>1035</v>
      </c>
      <c r="Y54" s="106">
        <f t="shared" si="4"/>
        <v>0</v>
      </c>
      <c r="Z54" s="106">
        <v>1035</v>
      </c>
      <c r="AA54" s="106">
        <f t="shared" si="5"/>
        <v>0</v>
      </c>
      <c r="AB54" s="106">
        <v>1035</v>
      </c>
      <c r="AC54" s="106">
        <f t="shared" si="6"/>
        <v>0</v>
      </c>
      <c r="AD54" s="106">
        <v>1035</v>
      </c>
      <c r="AE54" s="107">
        <f t="shared" si="7"/>
        <v>-19</v>
      </c>
    </row>
    <row r="55" spans="14:31" ht="15.6" customHeight="1" x14ac:dyDescent="0.3">
      <c r="N55" s="212"/>
      <c r="O55" s="94" t="s">
        <v>72</v>
      </c>
      <c r="P55" s="108"/>
      <c r="Q55" s="108">
        <v>376</v>
      </c>
      <c r="R55" s="108">
        <v>11</v>
      </c>
      <c r="S55" s="108">
        <f t="shared" si="1"/>
        <v>0</v>
      </c>
      <c r="T55" s="108">
        <v>11</v>
      </c>
      <c r="U55" s="108">
        <f t="shared" si="2"/>
        <v>0</v>
      </c>
      <c r="V55" s="108">
        <v>11</v>
      </c>
      <c r="W55" s="108">
        <f t="shared" si="3"/>
        <v>8</v>
      </c>
      <c r="X55" s="108">
        <v>27</v>
      </c>
      <c r="Y55" s="108">
        <f t="shared" si="4"/>
        <v>0</v>
      </c>
      <c r="Z55" s="108">
        <v>27</v>
      </c>
      <c r="AA55" s="108">
        <f t="shared" si="5"/>
        <v>0</v>
      </c>
      <c r="AB55" s="108">
        <v>27</v>
      </c>
      <c r="AC55" s="108">
        <f t="shared" si="6"/>
        <v>0</v>
      </c>
      <c r="AD55" s="108">
        <v>27</v>
      </c>
      <c r="AE55" s="109">
        <f t="shared" si="7"/>
        <v>-349</v>
      </c>
    </row>
    <row r="56" spans="14:31" ht="15.6" customHeight="1" thickBot="1" x14ac:dyDescent="0.35">
      <c r="N56" s="213"/>
      <c r="O56" s="99" t="s">
        <v>73</v>
      </c>
      <c r="P56" s="114"/>
      <c r="Q56" s="114">
        <v>329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132.5</v>
      </c>
      <c r="V56" s="114">
        <v>265</v>
      </c>
      <c r="W56" s="114">
        <f t="shared" si="3"/>
        <v>25.5</v>
      </c>
      <c r="X56" s="114">
        <v>316</v>
      </c>
      <c r="Y56" s="114">
        <f t="shared" si="4"/>
        <v>0</v>
      </c>
      <c r="Z56" s="114">
        <v>316</v>
      </c>
      <c r="AA56" s="114">
        <f t="shared" si="5"/>
        <v>0</v>
      </c>
      <c r="AB56" s="114">
        <v>316</v>
      </c>
      <c r="AC56" s="114">
        <f t="shared" si="6"/>
        <v>0</v>
      </c>
      <c r="AD56" s="114">
        <v>316</v>
      </c>
      <c r="AE56" s="115">
        <f t="shared" si="7"/>
        <v>-13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6834</v>
      </c>
      <c r="R57" s="104">
        <v>766</v>
      </c>
      <c r="S57" s="104">
        <f t="shared" si="1"/>
        <v>252</v>
      </c>
      <c r="T57" s="104">
        <v>1270</v>
      </c>
      <c r="U57" s="104">
        <f t="shared" si="2"/>
        <v>457</v>
      </c>
      <c r="V57" s="104">
        <v>2184</v>
      </c>
      <c r="W57" s="104">
        <f t="shared" si="3"/>
        <v>641.5</v>
      </c>
      <c r="X57" s="104">
        <v>3467</v>
      </c>
      <c r="Y57" s="104">
        <f t="shared" si="4"/>
        <v>682</v>
      </c>
      <c r="Z57" s="104">
        <v>4831</v>
      </c>
      <c r="AA57" s="104">
        <f t="shared" si="5"/>
        <v>0</v>
      </c>
      <c r="AB57" s="104">
        <v>4831</v>
      </c>
      <c r="AC57" s="104">
        <f t="shared" si="6"/>
        <v>0</v>
      </c>
      <c r="AD57" s="104">
        <v>4831</v>
      </c>
      <c r="AE57" s="105">
        <f t="shared" si="7"/>
        <v>-2003</v>
      </c>
    </row>
    <row r="58" spans="14:31" ht="15.6" customHeight="1" x14ac:dyDescent="0.3">
      <c r="N58" s="212"/>
      <c r="O58" s="95" t="s">
        <v>66</v>
      </c>
      <c r="P58" s="106"/>
      <c r="Q58" s="106">
        <v>4624</v>
      </c>
      <c r="R58" s="106">
        <v>434</v>
      </c>
      <c r="S58" s="106">
        <f t="shared" si="1"/>
        <v>279.5</v>
      </c>
      <c r="T58" s="106">
        <v>993</v>
      </c>
      <c r="U58" s="106">
        <f t="shared" si="2"/>
        <v>325</v>
      </c>
      <c r="V58" s="106">
        <v>1643</v>
      </c>
      <c r="W58" s="106">
        <f t="shared" si="3"/>
        <v>520.5</v>
      </c>
      <c r="X58" s="106">
        <v>2684</v>
      </c>
      <c r="Y58" s="106">
        <f t="shared" si="4"/>
        <v>734.5</v>
      </c>
      <c r="Z58" s="106">
        <v>4153</v>
      </c>
      <c r="AA58" s="106">
        <f t="shared" si="5"/>
        <v>0</v>
      </c>
      <c r="AB58" s="106">
        <v>4153</v>
      </c>
      <c r="AC58" s="106">
        <f t="shared" si="6"/>
        <v>0</v>
      </c>
      <c r="AD58" s="106">
        <v>4153</v>
      </c>
      <c r="AE58" s="107">
        <f t="shared" si="7"/>
        <v>-471</v>
      </c>
    </row>
    <row r="59" spans="14:31" ht="15.6" customHeight="1" x14ac:dyDescent="0.3">
      <c r="N59" s="212"/>
      <c r="O59" s="94" t="s">
        <v>67</v>
      </c>
      <c r="P59" s="108"/>
      <c r="Q59" s="108">
        <v>2861</v>
      </c>
      <c r="R59" s="108">
        <v>307</v>
      </c>
      <c r="S59" s="108">
        <f t="shared" si="1"/>
        <v>167</v>
      </c>
      <c r="T59" s="108">
        <v>641</v>
      </c>
      <c r="U59" s="108">
        <f t="shared" si="2"/>
        <v>36</v>
      </c>
      <c r="V59" s="108">
        <v>713</v>
      </c>
      <c r="W59" s="108">
        <f t="shared" si="3"/>
        <v>215</v>
      </c>
      <c r="X59" s="108">
        <v>1143</v>
      </c>
      <c r="Y59" s="108">
        <f t="shared" si="4"/>
        <v>291.5</v>
      </c>
      <c r="Z59" s="108">
        <v>1726</v>
      </c>
      <c r="AA59" s="108">
        <f t="shared" si="5"/>
        <v>0</v>
      </c>
      <c r="AB59" s="108">
        <v>1726</v>
      </c>
      <c r="AC59" s="108">
        <f t="shared" si="6"/>
        <v>0</v>
      </c>
      <c r="AD59" s="108">
        <v>1726</v>
      </c>
      <c r="AE59" s="109">
        <f t="shared" si="7"/>
        <v>-1135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5968</v>
      </c>
      <c r="R61" s="104">
        <v>497</v>
      </c>
      <c r="S61" s="104">
        <f t="shared" si="1"/>
        <v>518</v>
      </c>
      <c r="T61" s="104">
        <v>1533</v>
      </c>
      <c r="U61" s="104">
        <f t="shared" si="2"/>
        <v>99</v>
      </c>
      <c r="V61" s="104">
        <v>1731</v>
      </c>
      <c r="W61" s="104">
        <f t="shared" si="3"/>
        <v>589</v>
      </c>
      <c r="X61" s="104">
        <v>2909</v>
      </c>
      <c r="Y61" s="104">
        <f t="shared" si="4"/>
        <v>450.5</v>
      </c>
      <c r="Z61" s="104">
        <v>3810</v>
      </c>
      <c r="AA61" s="104">
        <f t="shared" si="5"/>
        <v>0</v>
      </c>
      <c r="AB61" s="104">
        <v>3810</v>
      </c>
      <c r="AC61" s="104">
        <f t="shared" si="6"/>
        <v>0</v>
      </c>
      <c r="AD61" s="104">
        <v>3810</v>
      </c>
      <c r="AE61" s="105">
        <f t="shared" si="7"/>
        <v>-2158</v>
      </c>
    </row>
    <row r="62" spans="14:31" ht="15.6" customHeight="1" x14ac:dyDescent="0.3">
      <c r="N62" s="212"/>
      <c r="O62" s="95" t="s">
        <v>66</v>
      </c>
      <c r="P62" s="106"/>
      <c r="Q62" s="106">
        <v>5349</v>
      </c>
      <c r="R62" s="106">
        <v>2331</v>
      </c>
      <c r="S62" s="106">
        <f t="shared" si="1"/>
        <v>502</v>
      </c>
      <c r="T62" s="106">
        <v>3335</v>
      </c>
      <c r="U62" s="106">
        <f t="shared" si="2"/>
        <v>151</v>
      </c>
      <c r="V62" s="106">
        <v>3637</v>
      </c>
      <c r="W62" s="106">
        <f t="shared" si="3"/>
        <v>0</v>
      </c>
      <c r="X62" s="106">
        <v>3637</v>
      </c>
      <c r="Y62" s="106">
        <f t="shared" si="4"/>
        <v>122</v>
      </c>
      <c r="Z62" s="106">
        <v>3881</v>
      </c>
      <c r="AA62" s="106">
        <f t="shared" si="5"/>
        <v>0</v>
      </c>
      <c r="AB62" s="106">
        <v>3881</v>
      </c>
      <c r="AC62" s="106">
        <f t="shared" si="6"/>
        <v>0</v>
      </c>
      <c r="AD62" s="106">
        <v>3881</v>
      </c>
      <c r="AE62" s="107">
        <f t="shared" si="7"/>
        <v>-1468</v>
      </c>
    </row>
    <row r="63" spans="14:31" ht="15.6" customHeight="1" x14ac:dyDescent="0.3">
      <c r="N63" s="212"/>
      <c r="O63" s="94" t="s">
        <v>67</v>
      </c>
      <c r="P63" s="108"/>
      <c r="Q63" s="108">
        <v>6323</v>
      </c>
      <c r="R63" s="108">
        <v>1201</v>
      </c>
      <c r="S63" s="108">
        <f t="shared" si="1"/>
        <v>360.5</v>
      </c>
      <c r="T63" s="108">
        <v>1922</v>
      </c>
      <c r="U63" s="108">
        <f t="shared" si="2"/>
        <v>248</v>
      </c>
      <c r="V63" s="108">
        <v>2418</v>
      </c>
      <c r="W63" s="108">
        <f t="shared" si="3"/>
        <v>96</v>
      </c>
      <c r="X63" s="108">
        <v>2610</v>
      </c>
      <c r="Y63" s="108">
        <f t="shared" si="4"/>
        <v>398</v>
      </c>
      <c r="Z63" s="108">
        <v>3406</v>
      </c>
      <c r="AA63" s="108">
        <f t="shared" si="5"/>
        <v>83.5</v>
      </c>
      <c r="AB63" s="108">
        <v>3573</v>
      </c>
      <c r="AC63" s="108">
        <f t="shared" si="6"/>
        <v>0</v>
      </c>
      <c r="AD63" s="108">
        <v>3573</v>
      </c>
      <c r="AE63" s="109">
        <f t="shared" si="7"/>
        <v>-2750</v>
      </c>
    </row>
    <row r="64" spans="14:31" ht="15.6" customHeight="1" thickBot="1" x14ac:dyDescent="0.35">
      <c r="N64" s="213"/>
      <c r="O64" s="99" t="s">
        <v>68</v>
      </c>
      <c r="P64" s="114"/>
      <c r="Q64" s="114">
        <v>3055</v>
      </c>
      <c r="R64" s="114">
        <v>0</v>
      </c>
      <c r="S64" s="114">
        <f t="shared" si="1"/>
        <v>261.5</v>
      </c>
      <c r="T64" s="114">
        <v>523</v>
      </c>
      <c r="U64" s="114">
        <f t="shared" si="2"/>
        <v>0</v>
      </c>
      <c r="V64" s="114">
        <v>523</v>
      </c>
      <c r="W64" s="114">
        <f t="shared" si="3"/>
        <v>244.5</v>
      </c>
      <c r="X64" s="114">
        <v>1012</v>
      </c>
      <c r="Y64" s="114">
        <f t="shared" si="4"/>
        <v>169.5</v>
      </c>
      <c r="Z64" s="114">
        <v>1351</v>
      </c>
      <c r="AA64" s="114">
        <f t="shared" si="5"/>
        <v>108</v>
      </c>
      <c r="AB64" s="114">
        <v>1567</v>
      </c>
      <c r="AC64" s="114">
        <f t="shared" si="6"/>
        <v>0</v>
      </c>
      <c r="AD64" s="114">
        <v>1567</v>
      </c>
      <c r="AE64" s="115">
        <f t="shared" si="7"/>
        <v>-1488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79" priority="11" operator="lessThan">
      <formula>0</formula>
    </cfRule>
    <cfRule type="cellIs" dxfId="1378" priority="12" operator="greaterThan">
      <formula>0</formula>
    </cfRule>
  </conditionalFormatting>
  <conditionalFormatting sqref="R25:AC25">
    <cfRule type="cellIs" dxfId="1377" priority="9" operator="lessThan">
      <formula>0</formula>
    </cfRule>
    <cfRule type="cellIs" dxfId="1376" priority="10" operator="greaterThan">
      <formula>0</formula>
    </cfRule>
  </conditionalFormatting>
  <conditionalFormatting sqref="R26 T26 V26 X26 Z26 AB26">
    <cfRule type="cellIs" dxfId="1375" priority="7" operator="lessThan">
      <formula>0</formula>
    </cfRule>
    <cfRule type="cellIs" dxfId="1374" priority="8" operator="greaterThan">
      <formula>0</formula>
    </cfRule>
  </conditionalFormatting>
  <conditionalFormatting sqref="AD24:AE24">
    <cfRule type="cellIs" dxfId="1373" priority="5" operator="lessThan">
      <formula>0</formula>
    </cfRule>
    <cfRule type="cellIs" dxfId="1372" priority="6" operator="greaterThan">
      <formula>0</formula>
    </cfRule>
  </conditionalFormatting>
  <conditionalFormatting sqref="AD25:AE25">
    <cfRule type="cellIs" dxfId="1371" priority="3" operator="lessThan">
      <formula>0</formula>
    </cfRule>
    <cfRule type="cellIs" dxfId="1370" priority="4" operator="greaterThan">
      <formula>0</formula>
    </cfRule>
  </conditionalFormatting>
  <conditionalFormatting sqref="AD26">
    <cfRule type="cellIs" dxfId="1369" priority="1" operator="lessThan">
      <formula>0</formula>
    </cfRule>
    <cfRule type="cellIs" dxfId="13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44404</v>
      </c>
    </row>
    <row r="3" spans="2:42" ht="18.75" customHeight="1" thickBot="1" x14ac:dyDescent="0.35">
      <c r="B3" t="s">
        <v>1</v>
      </c>
      <c r="C3" s="3">
        <f>C2+1</f>
        <v>44405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5464</v>
      </c>
      <c r="E6" s="18" t="s">
        <v>22</v>
      </c>
      <c r="F6" s="119">
        <v>22080</v>
      </c>
      <c r="G6" s="117">
        <v>18444.972125</v>
      </c>
      <c r="H6" s="117">
        <v>16750.166299019998</v>
      </c>
      <c r="I6" s="19">
        <f>G6+H6</f>
        <v>35195.138424019999</v>
      </c>
      <c r="J6" s="119">
        <v>21121</v>
      </c>
      <c r="K6" s="117">
        <v>16690.284875000001</v>
      </c>
      <c r="L6" s="117">
        <v>14975.45125246</v>
      </c>
      <c r="M6" s="19">
        <f>K6+L6</f>
        <v>31665.736127460001</v>
      </c>
      <c r="N6" s="85">
        <v>70</v>
      </c>
      <c r="O6" s="85">
        <v>57</v>
      </c>
      <c r="P6" s="92"/>
      <c r="Q6" s="20">
        <f>J6-P6</f>
        <v>21121</v>
      </c>
      <c r="R6" s="21">
        <v>133</v>
      </c>
      <c r="S6" s="20">
        <f>IF(R6&gt;0,(R6-R7-$Q6),"")</f>
        <v>-20988</v>
      </c>
      <c r="T6" s="21">
        <v>4038</v>
      </c>
      <c r="U6" s="20">
        <f>IF(T6&gt;0,(T6-T7-$Q6),"")</f>
        <v>-17086</v>
      </c>
      <c r="V6" s="21">
        <v>7184</v>
      </c>
      <c r="W6" s="20">
        <f>IF(V6&gt;0,(V6-V7-$Q6),"")</f>
        <v>-13965</v>
      </c>
      <c r="X6" s="21">
        <v>10103</v>
      </c>
      <c r="Y6" s="20">
        <f>IF(X6&gt;0,(X6-X7-$Q6),"")</f>
        <v>-11047</v>
      </c>
      <c r="Z6" s="21">
        <v>13286</v>
      </c>
      <c r="AA6" s="20">
        <f>IF(Z6&gt;0,(Z6-Z7-$Q6),"")</f>
        <v>-8260</v>
      </c>
      <c r="AB6" s="21">
        <v>12367</v>
      </c>
      <c r="AC6" s="22">
        <f>IF(AB6&gt;0,(AB6-AB7-$Q6),"")</f>
        <v>-9221</v>
      </c>
      <c r="AD6" s="21">
        <v>12367</v>
      </c>
      <c r="AE6" s="22">
        <f>IF(AD6&gt;0,(AD6-AD7-$Q6),"")</f>
        <v>-9221</v>
      </c>
    </row>
    <row r="7" spans="2:42" x14ac:dyDescent="0.3">
      <c r="B7" s="16" t="s">
        <v>23</v>
      </c>
      <c r="C7" s="17">
        <v>2866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0</v>
      </c>
      <c r="S7" s="24"/>
      <c r="T7" s="25">
        <v>3</v>
      </c>
      <c r="U7" s="24"/>
      <c r="V7" s="25">
        <v>28</v>
      </c>
      <c r="W7" s="24"/>
      <c r="X7" s="25">
        <v>29</v>
      </c>
      <c r="Y7" s="24"/>
      <c r="Z7" s="25">
        <v>425</v>
      </c>
      <c r="AA7" s="24"/>
      <c r="AB7" s="25">
        <v>467</v>
      </c>
      <c r="AC7" s="26"/>
      <c r="AD7" s="25">
        <v>467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2366</v>
      </c>
      <c r="E8" s="29" t="s">
        <v>27</v>
      </c>
      <c r="F8" s="119">
        <v>14445</v>
      </c>
      <c r="G8" s="117">
        <v>6155.0924999999997</v>
      </c>
      <c r="H8" s="117">
        <v>1379.1428350000001</v>
      </c>
      <c r="I8" s="19">
        <f>G8+H8</f>
        <v>7534.2353349999994</v>
      </c>
      <c r="J8" s="119">
        <v>15179</v>
      </c>
      <c r="K8" s="117">
        <v>6425.5285000000013</v>
      </c>
      <c r="L8" s="117">
        <v>1383.0590333</v>
      </c>
      <c r="M8" s="19">
        <f>K8+L8</f>
        <v>7808.5875333000013</v>
      </c>
      <c r="N8" s="87">
        <v>25</v>
      </c>
      <c r="O8" s="87">
        <v>23</v>
      </c>
      <c r="P8" s="92"/>
      <c r="Q8" s="20">
        <f>J8-P8</f>
        <v>15179</v>
      </c>
      <c r="R8" s="21">
        <v>1054</v>
      </c>
      <c r="S8" s="20">
        <f>IF(R8&gt;0,(R8-R9-$Q8),"")</f>
        <v>-15179</v>
      </c>
      <c r="T8" s="21">
        <v>1845</v>
      </c>
      <c r="U8" s="20">
        <f>IF(T8&gt;0,(T8-T9-$Q8),"")</f>
        <v>-13334</v>
      </c>
      <c r="V8" s="21">
        <v>4277</v>
      </c>
      <c r="W8" s="20">
        <f>IF(V8&gt;0,(V8-V9-$Q8),"")</f>
        <v>-10902</v>
      </c>
      <c r="X8" s="21">
        <v>8260</v>
      </c>
      <c r="Y8" s="20">
        <f>IF(X8&gt;0,(X8-X9-$Q8),"")</f>
        <v>-6919</v>
      </c>
      <c r="Z8" s="21">
        <v>10756</v>
      </c>
      <c r="AA8" s="20">
        <f>IF(Z8&gt;0,(Z8-Z9-$Q8),"")</f>
        <v>-4423</v>
      </c>
      <c r="AB8" s="21">
        <v>11215</v>
      </c>
      <c r="AC8" s="22">
        <f>IF(AB8&gt;0,(AB8-AB9-$Q8),"")</f>
        <v>-3964</v>
      </c>
      <c r="AD8" s="21">
        <v>11215</v>
      </c>
      <c r="AE8" s="22">
        <f>IF(AD8&gt;0,(AD8-AD9-$Q8),"")</f>
        <v>-3964</v>
      </c>
    </row>
    <row r="9" spans="2:42" x14ac:dyDescent="0.3">
      <c r="B9" s="28" t="s">
        <v>28</v>
      </c>
      <c r="C9" s="17">
        <v>1789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1054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6437</v>
      </c>
      <c r="E10" s="18" t="s">
        <v>31</v>
      </c>
      <c r="F10" s="119">
        <v>18613</v>
      </c>
      <c r="G10" s="117">
        <v>14375.157625</v>
      </c>
      <c r="H10" s="117">
        <v>1957.2725375</v>
      </c>
      <c r="I10" s="19">
        <f>G10+H10</f>
        <v>16332.430162500001</v>
      </c>
      <c r="J10" s="119">
        <v>18655</v>
      </c>
      <c r="K10" s="117">
        <v>14337.104499999999</v>
      </c>
      <c r="L10" s="117">
        <v>1735.8711049999999</v>
      </c>
      <c r="M10" s="19">
        <f>K10+L10</f>
        <v>16072.975605</v>
      </c>
      <c r="N10" s="88">
        <v>43</v>
      </c>
      <c r="O10" s="88">
        <v>31</v>
      </c>
      <c r="P10" s="92"/>
      <c r="Q10" s="20">
        <f>J10-P10</f>
        <v>18655</v>
      </c>
      <c r="R10" s="21">
        <v>4453</v>
      </c>
      <c r="S10" s="20">
        <f>IF(R10&gt;0,(R10-R11-$Q10),"")</f>
        <v>-14693</v>
      </c>
      <c r="T10" s="21">
        <v>6985</v>
      </c>
      <c r="U10" s="20">
        <f>IF(T10&gt;0,(T10-T11-$Q10),"")</f>
        <v>-12912</v>
      </c>
      <c r="V10" s="21">
        <v>10307</v>
      </c>
      <c r="W10" s="20">
        <f>IF(V10&gt;0,(V10-V11-$Q10),"")</f>
        <v>-10095</v>
      </c>
      <c r="X10" s="21">
        <v>13009</v>
      </c>
      <c r="Y10" s="20">
        <f>IF(X10&gt;0,(X10-X11-$Q10),"")</f>
        <v>-7754</v>
      </c>
      <c r="Z10" s="21">
        <v>13507</v>
      </c>
      <c r="AA10" s="20">
        <f>IF(Z10&gt;0,(Z10-Z11-$Q10),"")</f>
        <v>-7498</v>
      </c>
      <c r="AB10" s="21">
        <v>13507</v>
      </c>
      <c r="AC10" s="22">
        <f>IF(AB10&gt;0,(AB10-AB11-$Q10),"")</f>
        <v>-7498</v>
      </c>
      <c r="AD10" s="21">
        <v>13507</v>
      </c>
      <c r="AE10" s="22">
        <f>IF(AD10&gt;0,(AD10-AD11-$Q10),"")</f>
        <v>-7498</v>
      </c>
    </row>
    <row r="11" spans="2:42" x14ac:dyDescent="0.3">
      <c r="B11" s="16" t="s">
        <v>32</v>
      </c>
      <c r="C11" s="17">
        <v>2118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491</v>
      </c>
      <c r="S11" s="24"/>
      <c r="T11" s="30">
        <v>1242</v>
      </c>
      <c r="U11" s="24"/>
      <c r="V11" s="30">
        <v>1747</v>
      </c>
      <c r="W11" s="24"/>
      <c r="X11" s="30">
        <v>2108</v>
      </c>
      <c r="Y11" s="24"/>
      <c r="Z11" s="30">
        <v>2350</v>
      </c>
      <c r="AA11" s="24"/>
      <c r="AB11" s="30">
        <v>2350</v>
      </c>
      <c r="AC11" s="26"/>
      <c r="AD11" s="30">
        <v>2350</v>
      </c>
      <c r="AE11" s="26"/>
    </row>
    <row r="12" spans="2:42" x14ac:dyDescent="0.3">
      <c r="B12" s="16" t="s">
        <v>34</v>
      </c>
      <c r="C12" s="17">
        <v>1606</v>
      </c>
      <c r="E12" s="29" t="s">
        <v>35</v>
      </c>
      <c r="F12" s="119">
        <v>17854</v>
      </c>
      <c r="G12" s="117">
        <v>11655.139499999999</v>
      </c>
      <c r="H12" s="117">
        <v>18047.281003510008</v>
      </c>
      <c r="I12" s="19">
        <f>G12+H12</f>
        <v>29702.420503510009</v>
      </c>
      <c r="J12" s="119">
        <v>17386</v>
      </c>
      <c r="K12" s="117">
        <v>10863.36075</v>
      </c>
      <c r="L12" s="117">
        <v>16411.531632880011</v>
      </c>
      <c r="M12" s="19">
        <f>K12+L12</f>
        <v>27274.892382880011</v>
      </c>
      <c r="N12" s="88">
        <v>48</v>
      </c>
      <c r="O12" s="88">
        <v>34</v>
      </c>
      <c r="P12" s="92"/>
      <c r="Q12" s="20">
        <f>J12-P12</f>
        <v>17386</v>
      </c>
      <c r="R12" s="21">
        <v>1934</v>
      </c>
      <c r="S12" s="20">
        <f>IF(R12&gt;0,(R12-R13-$Q12),"")</f>
        <v>-15816</v>
      </c>
      <c r="T12" s="21">
        <v>5156</v>
      </c>
      <c r="U12" s="20">
        <f>IF(T12&gt;0,(T12-T13-$Q12),"")</f>
        <v>-12759</v>
      </c>
      <c r="V12" s="21">
        <v>6844</v>
      </c>
      <c r="W12" s="20">
        <f>IF(V12&gt;0,(V12-V13-$Q12),"")</f>
        <v>-11118</v>
      </c>
      <c r="X12" s="21">
        <v>9312</v>
      </c>
      <c r="Y12" s="20">
        <f>IF(X12&gt;0,(X12-X13-$Q12),"")</f>
        <v>-9572</v>
      </c>
      <c r="Z12" s="21">
        <v>9066</v>
      </c>
      <c r="AA12" s="20">
        <f>IF(Z12&gt;0,(Z12-Z13-$Q12),"")</f>
        <v>-10068</v>
      </c>
      <c r="AB12" s="21">
        <v>9122</v>
      </c>
      <c r="AC12" s="22">
        <f>IF(AB12&gt;0,(AB12-AB13-$Q12),"")</f>
        <v>-10012</v>
      </c>
      <c r="AD12" s="21">
        <v>9122</v>
      </c>
      <c r="AE12" s="22">
        <f>IF(AD12&gt;0,(AD12-AD13-$Q12),"")</f>
        <v>-10012</v>
      </c>
    </row>
    <row r="13" spans="2:42" x14ac:dyDescent="0.3">
      <c r="B13" s="16" t="s">
        <v>36</v>
      </c>
      <c r="C13" s="17">
        <v>4949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364</v>
      </c>
      <c r="S13" s="24"/>
      <c r="T13" s="30">
        <v>529</v>
      </c>
      <c r="U13" s="24"/>
      <c r="V13" s="30">
        <v>576</v>
      </c>
      <c r="W13" s="24"/>
      <c r="X13" s="30">
        <v>1498</v>
      </c>
      <c r="Y13" s="24"/>
      <c r="Z13" s="30">
        <v>1748</v>
      </c>
      <c r="AA13" s="24"/>
      <c r="AB13" s="30">
        <v>1748</v>
      </c>
      <c r="AC13" s="26"/>
      <c r="AD13" s="30">
        <v>1748</v>
      </c>
      <c r="AE13" s="26"/>
    </row>
    <row r="14" spans="2:42" x14ac:dyDescent="0.3">
      <c r="B14" s="16" t="s">
        <v>38</v>
      </c>
      <c r="C14" s="17">
        <v>10050</v>
      </c>
      <c r="E14" s="18" t="s">
        <v>39</v>
      </c>
      <c r="F14" s="119">
        <v>22425</v>
      </c>
      <c r="G14" s="117">
        <v>16481.03125</v>
      </c>
      <c r="H14" s="117">
        <v>20585.14863222</v>
      </c>
      <c r="I14" s="19">
        <f>G14+H14</f>
        <v>37066.17988222</v>
      </c>
      <c r="J14" s="119">
        <v>22726</v>
      </c>
      <c r="K14" s="117">
        <v>16842.4375</v>
      </c>
      <c r="L14" s="117">
        <v>20915.216782529998</v>
      </c>
      <c r="M14" s="19">
        <f>K14+L14</f>
        <v>37757.654282529998</v>
      </c>
      <c r="N14" s="88">
        <v>64</v>
      </c>
      <c r="O14" s="88">
        <v>50</v>
      </c>
      <c r="P14" s="92"/>
      <c r="Q14" s="20">
        <f>J14-P14</f>
        <v>22726</v>
      </c>
      <c r="R14" s="21">
        <v>3572</v>
      </c>
      <c r="S14" s="20">
        <f>IF(R14&gt;0,(R14-R15-$Q14),"")</f>
        <v>-21637</v>
      </c>
      <c r="T14" s="21">
        <v>8978</v>
      </c>
      <c r="U14" s="20">
        <f>IF(T14&gt;0,(T14-T15-$Q14),"")</f>
        <v>-20725</v>
      </c>
      <c r="V14" s="21">
        <v>11134</v>
      </c>
      <c r="W14" s="20">
        <f>IF(V14&gt;0,(V14-V15-$Q14),"")</f>
        <v>-20311</v>
      </c>
      <c r="X14" s="21">
        <v>13022</v>
      </c>
      <c r="Y14" s="20">
        <f>IF(X14&gt;0,(X14-X15-$Q14),"")</f>
        <v>-18660</v>
      </c>
      <c r="Z14" s="21">
        <v>13999</v>
      </c>
      <c r="AA14" s="20">
        <f>IF(Z14&gt;0,(Z14-Z15-$Q14),"")</f>
        <v>-17683</v>
      </c>
      <c r="AB14" s="21">
        <v>13999</v>
      </c>
      <c r="AC14" s="22">
        <f>IF(AB14&gt;0,(AB14-AB15-$Q14),"")</f>
        <v>-17683</v>
      </c>
      <c r="AD14" s="21">
        <v>13999</v>
      </c>
      <c r="AE14" s="22">
        <f>IF(AD14&gt;0,(AD14-AD15-$Q14),"")</f>
        <v>-17683</v>
      </c>
    </row>
    <row r="15" spans="2:42" ht="15" customHeight="1" thickBot="1" x14ac:dyDescent="0.3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2483</v>
      </c>
      <c r="S15" s="24"/>
      <c r="T15" s="25">
        <v>6977</v>
      </c>
      <c r="U15" s="24"/>
      <c r="V15" s="25">
        <v>8719</v>
      </c>
      <c r="W15" s="24"/>
      <c r="X15" s="25">
        <v>8956</v>
      </c>
      <c r="Y15" s="24"/>
      <c r="Z15" s="25">
        <v>8956</v>
      </c>
      <c r="AA15" s="24"/>
      <c r="AB15" s="25">
        <v>8956</v>
      </c>
      <c r="AC15" s="26"/>
      <c r="AD15" s="25">
        <v>8956</v>
      </c>
      <c r="AE15" s="26"/>
    </row>
    <row r="16" spans="2:42" ht="15" customHeight="1" thickBot="1" x14ac:dyDescent="0.35">
      <c r="B16" s="28" t="s">
        <v>42</v>
      </c>
      <c r="C16" s="17">
        <v>34042</v>
      </c>
      <c r="E16" s="84"/>
      <c r="F16" s="31">
        <f t="shared" ref="F16:M16" si="0">SUM(F6:F15)</f>
        <v>95417</v>
      </c>
      <c r="G16" s="31">
        <f t="shared" si="0"/>
        <v>67111.392999999996</v>
      </c>
      <c r="H16" s="31">
        <f t="shared" si="0"/>
        <v>58719.011307250003</v>
      </c>
      <c r="I16" s="32">
        <f t="shared" si="0"/>
        <v>125830.40430724999</v>
      </c>
      <c r="J16" s="33">
        <f t="shared" si="0"/>
        <v>95067</v>
      </c>
      <c r="K16" s="33">
        <f t="shared" si="0"/>
        <v>65158.716124999999</v>
      </c>
      <c r="L16" s="33">
        <f t="shared" si="0"/>
        <v>55421.129806170007</v>
      </c>
      <c r="M16" s="33">
        <f t="shared" si="0"/>
        <v>120579.84593117001</v>
      </c>
      <c r="N16" s="31">
        <f>SUM(N14,N12,N10,N8,N6)</f>
        <v>250</v>
      </c>
      <c r="O16" s="31">
        <f>SUM(O14,O12,O10,O8,O6)</f>
        <v>195</v>
      </c>
      <c r="P16" s="34">
        <f>SUM(P6:P15)</f>
        <v>0</v>
      </c>
      <c r="Q16" s="34">
        <f>SUM(Q6:Q15)</f>
        <v>95067</v>
      </c>
      <c r="R16" s="35">
        <f>R6+R8+R10+R12+R14-R7-R9-R11-R13-R15</f>
        <v>6754</v>
      </c>
      <c r="S16" s="36">
        <f>IF(R16&gt;1,(R16-$Q16),"")</f>
        <v>-88313</v>
      </c>
      <c r="T16" s="35">
        <f>T6+T8+T10+T12+T14-T7-T9-T11-T13-T15</f>
        <v>18251</v>
      </c>
      <c r="U16" s="36">
        <f>IF(T16&gt;1,(T16-$Q16),"")</f>
        <v>-76816</v>
      </c>
      <c r="V16" s="35">
        <f>V6+V8+V10+V12+V14-V7-V9-V11-V13-V15</f>
        <v>28676</v>
      </c>
      <c r="W16" s="36">
        <f>IF(V16&gt;1,(V16-$Q16),"")</f>
        <v>-66391</v>
      </c>
      <c r="X16" s="35">
        <f>X6+X8+X10+X12+X14-X7-X9-X11-X13-X15</f>
        <v>41115</v>
      </c>
      <c r="Y16" s="36">
        <f>IF(X16&gt;1,(X16-$Q16),"")</f>
        <v>-53952</v>
      </c>
      <c r="Z16" s="35">
        <f>Z6+Z8+Z10+Z12+Z14-Z7-Z9-Z11-Z13-Z15</f>
        <v>47135</v>
      </c>
      <c r="AA16" s="36">
        <f>IF(Z16&gt;1,(Z16-$Q16),"")</f>
        <v>-47932</v>
      </c>
      <c r="AB16" s="35">
        <f>AB6+AB8+AB10+AB12+AB14-AB7-AB9-AB11-AB13-AB15</f>
        <v>46689</v>
      </c>
      <c r="AC16" s="37">
        <f>IF(AB16&gt;1,(AB16-$Q16),"")</f>
        <v>-48378</v>
      </c>
      <c r="AD16" s="35">
        <f>AD6+AD8+AD10+AD12+AD14-AD7-AD9-AD11-AD13-AD15</f>
        <v>46689</v>
      </c>
      <c r="AE16" s="37">
        <f>IF(AD16&gt;1,(AD16-$Q16),"")</f>
        <v>-48378</v>
      </c>
    </row>
    <row r="17" spans="2:43" s="4" customFormat="1" ht="15" customHeight="1" thickBot="1" x14ac:dyDescent="0.35">
      <c r="B17" s="43" t="s">
        <v>47</v>
      </c>
      <c r="C17" s="17">
        <v>1161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4392</v>
      </c>
      <c r="S17" s="41"/>
      <c r="T17" s="40">
        <f>T15+T13+T11+T9+T7</f>
        <v>8751</v>
      </c>
      <c r="U17" s="41"/>
      <c r="V17" s="40">
        <f>V15+V13+V11+V9+V7</f>
        <v>11070</v>
      </c>
      <c r="W17" s="41"/>
      <c r="X17" s="40">
        <f>X15+X13+X11+X9+X7</f>
        <v>12591</v>
      </c>
      <c r="Y17" s="41"/>
      <c r="Z17" s="40">
        <f>Z15+Z13+Z11+Z9+Z7</f>
        <v>13479</v>
      </c>
      <c r="AA17" s="41"/>
      <c r="AB17" s="40">
        <f>AB15+AB13+AB11+AB9+AB7</f>
        <v>13521</v>
      </c>
      <c r="AC17" s="42"/>
      <c r="AD17" s="40">
        <f>AD15+AD13+AD11+AD9+AD7</f>
        <v>13521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3377</v>
      </c>
      <c r="S18" s="46"/>
      <c r="T18" s="47">
        <f>IF(T16&gt;0,(T16-R16)/2,"")</f>
        <v>5748.5</v>
      </c>
      <c r="U18" s="46"/>
      <c r="V18" s="47">
        <f>IF(V16&gt;0,(V16-T16)/2,"")</f>
        <v>5212.5</v>
      </c>
      <c r="W18" s="46"/>
      <c r="X18" s="47">
        <f>IF(X16&gt;0,(X16-V16)/2,"")</f>
        <v>6219.5</v>
      </c>
      <c r="Y18" s="46"/>
      <c r="Z18" s="47">
        <f>IF(Z16&gt;0,(Z16-X16)/2,"")</f>
        <v>3010</v>
      </c>
      <c r="AA18" s="46"/>
      <c r="AB18" s="47">
        <f>IF(AB16&gt;0,(AB16-Z16)/2,"")</f>
        <v>-223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8969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1303</v>
      </c>
      <c r="L20" s="4"/>
      <c r="M20" s="4"/>
      <c r="Q20" s="51" t="s">
        <v>49</v>
      </c>
      <c r="R20" s="35">
        <v>3023</v>
      </c>
      <c r="S20" s="36">
        <v>-77548</v>
      </c>
      <c r="T20" s="35">
        <v>10215</v>
      </c>
      <c r="U20" s="36">
        <v>-70356</v>
      </c>
      <c r="V20" s="35">
        <v>15567</v>
      </c>
      <c r="W20" s="36">
        <v>-65004</v>
      </c>
      <c r="X20" s="35">
        <v>27194</v>
      </c>
      <c r="Y20" s="36">
        <v>-53377</v>
      </c>
      <c r="Z20" s="35">
        <v>37569</v>
      </c>
      <c r="AA20" s="36">
        <v>-43002</v>
      </c>
      <c r="AB20" s="35">
        <v>45434</v>
      </c>
      <c r="AC20" s="37">
        <v>-35137</v>
      </c>
      <c r="AD20" s="35">
        <v>45434</v>
      </c>
      <c r="AE20" s="37">
        <v>-35137</v>
      </c>
    </row>
    <row r="21" spans="2:43" ht="15" customHeight="1" thickBot="1" x14ac:dyDescent="0.35">
      <c r="B21" s="57" t="s">
        <v>52</v>
      </c>
      <c r="C21" s="58">
        <v>4448</v>
      </c>
      <c r="M21" s="4"/>
      <c r="Q21" s="52"/>
      <c r="R21" s="40">
        <v>4023</v>
      </c>
      <c r="S21" s="41"/>
      <c r="T21" s="40">
        <v>7325</v>
      </c>
      <c r="U21" s="41"/>
      <c r="V21" s="40">
        <v>7985</v>
      </c>
      <c r="W21" s="41"/>
      <c r="X21" s="40">
        <v>9857</v>
      </c>
      <c r="Y21" s="41"/>
      <c r="Z21" s="40">
        <v>10774</v>
      </c>
      <c r="AA21" s="41"/>
      <c r="AB21" s="40">
        <v>11328</v>
      </c>
      <c r="AC21" s="42"/>
      <c r="AD21" s="40">
        <v>11328</v>
      </c>
      <c r="AE21" s="42"/>
    </row>
    <row r="22" spans="2:43" ht="15" customHeight="1" thickBot="1" x14ac:dyDescent="0.35">
      <c r="M22" s="4"/>
      <c r="Q22" s="54"/>
      <c r="R22" s="55">
        <v>1511.5</v>
      </c>
      <c r="S22" s="55"/>
      <c r="T22" s="55">
        <v>3596</v>
      </c>
      <c r="U22" s="55"/>
      <c r="V22" s="55">
        <v>2676</v>
      </c>
      <c r="W22" s="55"/>
      <c r="X22" s="55">
        <v>5813.5</v>
      </c>
      <c r="Y22" s="55"/>
      <c r="Z22" s="55">
        <v>5187.5</v>
      </c>
      <c r="AA22" s="55"/>
      <c r="AB22" s="55">
        <v>3932.5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3731</v>
      </c>
      <c r="S24" s="60"/>
      <c r="T24" s="60">
        <f>IF(T16&gt;0,T16-T20,"")</f>
        <v>8036</v>
      </c>
      <c r="U24" s="60"/>
      <c r="V24" s="60">
        <f>IF(V16&gt;0,V16-V20,"")</f>
        <v>13109</v>
      </c>
      <c r="W24" s="60"/>
      <c r="X24" s="60">
        <f>IF(X16&gt;0,X16-X20,"")</f>
        <v>13921</v>
      </c>
      <c r="Y24" s="60"/>
      <c r="Z24" s="60">
        <f>IF(Z16&gt;0,Z16-Z20,"")</f>
        <v>9566</v>
      </c>
      <c r="AA24" s="60"/>
      <c r="AB24" s="60">
        <f>IF(AB16&gt;0,AB16-AB20,"")</f>
        <v>1255</v>
      </c>
      <c r="AC24" s="61"/>
      <c r="AD24" s="60">
        <f>IF(AD16&gt;0,AD16-AD20,"")</f>
        <v>1255</v>
      </c>
      <c r="AE24" s="61"/>
    </row>
    <row r="25" spans="2:43" x14ac:dyDescent="0.3">
      <c r="M25" s="4"/>
      <c r="Q25" s="62"/>
      <c r="R25" s="63">
        <f>IF(R17&gt;=0,R17-R21,"")</f>
        <v>369</v>
      </c>
      <c r="S25" s="64"/>
      <c r="T25" s="63">
        <f>IF(T17&gt;=0,T17-T21,"")</f>
        <v>1426</v>
      </c>
      <c r="U25" s="64"/>
      <c r="V25" s="63">
        <f>IF(V17&gt;=0,V17-V21,"")</f>
        <v>3085</v>
      </c>
      <c r="W25" s="64"/>
      <c r="X25" s="63">
        <f>IF(X17&gt;=0,X17-X21,"")</f>
        <v>2734</v>
      </c>
      <c r="Y25" s="64"/>
      <c r="Z25" s="63">
        <f>IF(Z17&gt;=0,Z17-Z21,"")</f>
        <v>2705</v>
      </c>
      <c r="AA25" s="64"/>
      <c r="AB25" s="63">
        <f>IF(AB17&gt;=0,AB17-AB21,"")</f>
        <v>2193</v>
      </c>
      <c r="AC25" s="65"/>
      <c r="AD25" s="63">
        <f>IF(AD17&gt;=0,AD17-AD21,"")</f>
        <v>2193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1865.5</v>
      </c>
      <c r="S26" s="55"/>
      <c r="T26" s="67">
        <f>IFERROR(IF(T18&gt;0,T18-T22,""),"")</f>
        <v>2152.5</v>
      </c>
      <c r="U26" s="55"/>
      <c r="V26" s="67">
        <f>IFERROR(IF(V18&gt;0,V18-V22,""),"")</f>
        <v>2536.5</v>
      </c>
      <c r="W26" s="55"/>
      <c r="X26" s="67">
        <f>IFERROR(IF(X18&gt;0,X18-X22,""),"")</f>
        <v>406</v>
      </c>
      <c r="Y26" s="55"/>
      <c r="Z26" s="67">
        <f>IFERROR(IF(Z18&gt;0,Z18-Z22,""),"")</f>
        <v>-2177.5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11030</v>
      </c>
      <c r="D29" s="76">
        <f>C14</f>
        <v>10050</v>
      </c>
      <c r="E29" s="77">
        <f>D29-C29</f>
        <v>-980</v>
      </c>
      <c r="O29" s="4"/>
    </row>
    <row r="30" spans="2:43" x14ac:dyDescent="0.3">
      <c r="B30" s="74" t="s">
        <v>56</v>
      </c>
      <c r="C30" s="122">
        <v>32860</v>
      </c>
      <c r="D30" s="76">
        <f>C7+C15+C16+C17+C18</f>
        <v>41250</v>
      </c>
      <c r="E30" s="77">
        <f>D30-C30</f>
        <v>8390</v>
      </c>
      <c r="J30" s="53"/>
      <c r="O30" s="4"/>
    </row>
    <row r="31" spans="2:43" x14ac:dyDescent="0.3">
      <c r="B31" s="74" t="s">
        <v>21</v>
      </c>
      <c r="C31" s="122">
        <v>5464</v>
      </c>
      <c r="D31" s="76">
        <f>C6</f>
        <v>5464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15110</v>
      </c>
      <c r="D32" s="76">
        <f>C10+C11+C12+C13</f>
        <v>15110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14030</v>
      </c>
      <c r="D33" s="76">
        <f>C19+C20+C21</f>
        <v>14720</v>
      </c>
      <c r="E33" s="77">
        <f>D33-C33</f>
        <v>690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4155</v>
      </c>
      <c r="D34" s="80">
        <f>SUM(C8+C9)</f>
        <v>4155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3201</v>
      </c>
      <c r="R35" s="104">
        <v>0</v>
      </c>
      <c r="S35" s="104">
        <f t="shared" ref="S35:S64" si="1">IF(T35&gt;0,(T35-R35)/2,"")</f>
        <v>292.5</v>
      </c>
      <c r="T35" s="104">
        <v>585</v>
      </c>
      <c r="U35" s="104">
        <f t="shared" ref="U35:U64" si="2">IF(V35&gt;0,(V35-T35)/2,"")</f>
        <v>235.5</v>
      </c>
      <c r="V35" s="104">
        <v>1056</v>
      </c>
      <c r="W35" s="104">
        <f t="shared" ref="W35:W64" si="3">IF(X35&gt;0,(X35-V35)/2,"")</f>
        <v>227.5</v>
      </c>
      <c r="X35" s="104">
        <v>1511</v>
      </c>
      <c r="Y35" s="104">
        <f t="shared" ref="Y35:Y64" si="4">IF(Z35&gt;0,(Z35-X35)/2,"")</f>
        <v>41</v>
      </c>
      <c r="Z35" s="104">
        <v>1593</v>
      </c>
      <c r="AA35" s="104">
        <f t="shared" ref="AA35:AA64" si="5">IF(AB35&gt;0,(AB35-Z35)/2,"")</f>
        <v>0</v>
      </c>
      <c r="AB35" s="104">
        <v>1593</v>
      </c>
      <c r="AC35" s="104">
        <f t="shared" ref="AC35:AC64" si="6">IF(AD35&gt;0,(AD35-AB35)/2,"")</f>
        <v>0</v>
      </c>
      <c r="AD35" s="104">
        <v>1593</v>
      </c>
      <c r="AE35" s="105">
        <f t="shared" ref="AE35:AE64" si="7">AD35-Q35</f>
        <v>-1608</v>
      </c>
    </row>
    <row r="36" spans="2:31" ht="15.6" customHeight="1" x14ac:dyDescent="0.3">
      <c r="N36" s="212"/>
      <c r="O36" s="95" t="s">
        <v>66</v>
      </c>
      <c r="P36" s="106"/>
      <c r="Q36" s="106">
        <v>1369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31.5</v>
      </c>
      <c r="V36" s="106">
        <v>63</v>
      </c>
      <c r="W36" s="106">
        <f t="shared" si="3"/>
        <v>168</v>
      </c>
      <c r="X36" s="106">
        <v>399</v>
      </c>
      <c r="Y36" s="106">
        <f t="shared" si="4"/>
        <v>179</v>
      </c>
      <c r="Z36" s="106">
        <v>757</v>
      </c>
      <c r="AA36" s="106">
        <f t="shared" si="5"/>
        <v>1</v>
      </c>
      <c r="AB36" s="106">
        <v>759</v>
      </c>
      <c r="AC36" s="106">
        <f t="shared" si="6"/>
        <v>0</v>
      </c>
      <c r="AD36" s="106">
        <v>759</v>
      </c>
      <c r="AE36" s="107">
        <f t="shared" si="7"/>
        <v>-610</v>
      </c>
    </row>
    <row r="37" spans="2:31" ht="15.6" customHeight="1" x14ac:dyDescent="0.3">
      <c r="N37" s="212"/>
      <c r="O37" s="94" t="s">
        <v>67</v>
      </c>
      <c r="P37" s="108"/>
      <c r="Q37" s="108">
        <v>2666</v>
      </c>
      <c r="R37" s="108">
        <v>0</v>
      </c>
      <c r="S37" s="108">
        <f t="shared" si="1"/>
        <v>406.5</v>
      </c>
      <c r="T37" s="108">
        <v>813</v>
      </c>
      <c r="U37" s="108">
        <f t="shared" si="2"/>
        <v>0</v>
      </c>
      <c r="V37" s="108">
        <v>813</v>
      </c>
      <c r="W37" s="108">
        <f t="shared" si="3"/>
        <v>50.5</v>
      </c>
      <c r="X37" s="108">
        <v>914</v>
      </c>
      <c r="Y37" s="108">
        <f t="shared" si="4"/>
        <v>367.5</v>
      </c>
      <c r="Z37" s="108">
        <v>1649</v>
      </c>
      <c r="AA37" s="108">
        <f t="shared" si="5"/>
        <v>-122</v>
      </c>
      <c r="AB37" s="108">
        <v>1405</v>
      </c>
      <c r="AC37" s="108">
        <f t="shared" si="6"/>
        <v>0</v>
      </c>
      <c r="AD37" s="108">
        <v>1405</v>
      </c>
      <c r="AE37" s="109">
        <f t="shared" si="7"/>
        <v>-1261</v>
      </c>
    </row>
    <row r="38" spans="2:31" ht="15.6" customHeight="1" x14ac:dyDescent="0.3">
      <c r="N38" s="212"/>
      <c r="O38" s="95" t="s">
        <v>68</v>
      </c>
      <c r="P38" s="106"/>
      <c r="Q38" s="106">
        <v>3827</v>
      </c>
      <c r="R38" s="106">
        <v>16</v>
      </c>
      <c r="S38" s="106">
        <f t="shared" si="1"/>
        <v>629</v>
      </c>
      <c r="T38" s="106">
        <v>1274</v>
      </c>
      <c r="U38" s="106">
        <f t="shared" si="2"/>
        <v>5</v>
      </c>
      <c r="V38" s="106">
        <v>1284</v>
      </c>
      <c r="W38" s="106">
        <f t="shared" si="3"/>
        <v>0</v>
      </c>
      <c r="X38" s="106">
        <v>1284</v>
      </c>
      <c r="Y38" s="106">
        <f t="shared" si="4"/>
        <v>159.5</v>
      </c>
      <c r="Z38" s="106">
        <v>1603</v>
      </c>
      <c r="AA38" s="106">
        <f t="shared" si="5"/>
        <v>-76.5</v>
      </c>
      <c r="AB38" s="106">
        <v>1450</v>
      </c>
      <c r="AC38" s="106">
        <f t="shared" si="6"/>
        <v>0</v>
      </c>
      <c r="AD38" s="106">
        <v>1450</v>
      </c>
      <c r="AE38" s="107">
        <f t="shared" si="7"/>
        <v>-2377</v>
      </c>
    </row>
    <row r="39" spans="2:31" ht="15.6" customHeight="1" x14ac:dyDescent="0.3">
      <c r="N39" s="212"/>
      <c r="O39" s="94" t="s">
        <v>69</v>
      </c>
      <c r="P39" s="108"/>
      <c r="Q39" s="108">
        <v>2333</v>
      </c>
      <c r="R39" s="108">
        <v>96</v>
      </c>
      <c r="S39" s="108">
        <f t="shared" si="1"/>
        <v>0</v>
      </c>
      <c r="T39" s="108">
        <v>96</v>
      </c>
      <c r="U39" s="108">
        <f t="shared" si="2"/>
        <v>144</v>
      </c>
      <c r="V39" s="108">
        <v>384</v>
      </c>
      <c r="W39" s="108">
        <f t="shared" si="3"/>
        <v>595</v>
      </c>
      <c r="X39" s="108">
        <v>1574</v>
      </c>
      <c r="Y39" s="108">
        <f t="shared" si="4"/>
        <v>151</v>
      </c>
      <c r="Z39" s="108">
        <v>1876</v>
      </c>
      <c r="AA39" s="108">
        <f t="shared" si="5"/>
        <v>-144</v>
      </c>
      <c r="AB39" s="108">
        <v>1588</v>
      </c>
      <c r="AC39" s="108">
        <f t="shared" si="6"/>
        <v>0</v>
      </c>
      <c r="AD39" s="108">
        <v>1588</v>
      </c>
      <c r="AE39" s="109">
        <f t="shared" si="7"/>
        <v>-745</v>
      </c>
    </row>
    <row r="40" spans="2:31" ht="15.6" customHeight="1" x14ac:dyDescent="0.3">
      <c r="N40" s="212"/>
      <c r="O40" s="95" t="s">
        <v>70</v>
      </c>
      <c r="P40" s="106"/>
      <c r="Q40" s="106">
        <v>3351</v>
      </c>
      <c r="R40" s="106">
        <v>21</v>
      </c>
      <c r="S40" s="106">
        <f t="shared" si="1"/>
        <v>0</v>
      </c>
      <c r="T40" s="106">
        <v>21</v>
      </c>
      <c r="U40" s="106">
        <f t="shared" si="2"/>
        <v>479.5</v>
      </c>
      <c r="V40" s="106">
        <v>980</v>
      </c>
      <c r="W40" s="106">
        <f t="shared" si="3"/>
        <v>187.5</v>
      </c>
      <c r="X40" s="106">
        <v>1355</v>
      </c>
      <c r="Y40" s="106">
        <f t="shared" si="4"/>
        <v>693.5</v>
      </c>
      <c r="Z40" s="106">
        <v>2742</v>
      </c>
      <c r="AA40" s="106">
        <f t="shared" si="5"/>
        <v>0</v>
      </c>
      <c r="AB40" s="106">
        <v>2742</v>
      </c>
      <c r="AC40" s="106">
        <f t="shared" si="6"/>
        <v>0</v>
      </c>
      <c r="AD40" s="106">
        <v>2742</v>
      </c>
      <c r="AE40" s="107">
        <f t="shared" si="7"/>
        <v>-609</v>
      </c>
    </row>
    <row r="41" spans="2:31" ht="15.6" customHeight="1" x14ac:dyDescent="0.3">
      <c r="N41" s="212"/>
      <c r="O41" s="94" t="s">
        <v>71</v>
      </c>
      <c r="P41" s="108"/>
      <c r="Q41" s="108">
        <v>1113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284</v>
      </c>
      <c r="V41" s="108">
        <v>568</v>
      </c>
      <c r="W41" s="108">
        <f t="shared" si="3"/>
        <v>36</v>
      </c>
      <c r="X41" s="108">
        <v>640</v>
      </c>
      <c r="Y41" s="108">
        <f t="shared" si="4"/>
        <v>0</v>
      </c>
      <c r="Z41" s="108">
        <v>640</v>
      </c>
      <c r="AA41" s="108">
        <f t="shared" si="5"/>
        <v>0</v>
      </c>
      <c r="AB41" s="108">
        <v>640</v>
      </c>
      <c r="AC41" s="108">
        <f t="shared" si="6"/>
        <v>0</v>
      </c>
      <c r="AD41" s="108">
        <v>640</v>
      </c>
      <c r="AE41" s="109">
        <f t="shared" si="7"/>
        <v>-473</v>
      </c>
    </row>
    <row r="42" spans="2:31" ht="15.6" customHeight="1" x14ac:dyDescent="0.3">
      <c r="N42" s="212"/>
      <c r="O42" s="95" t="s">
        <v>72</v>
      </c>
      <c r="P42" s="106"/>
      <c r="Q42" s="106">
        <v>1715</v>
      </c>
      <c r="R42" s="106">
        <v>0</v>
      </c>
      <c r="S42" s="106">
        <f t="shared" si="1"/>
        <v>283.5</v>
      </c>
      <c r="T42" s="106">
        <v>567</v>
      </c>
      <c r="U42" s="106">
        <f t="shared" si="2"/>
        <v>5</v>
      </c>
      <c r="V42" s="106">
        <v>577</v>
      </c>
      <c r="W42" s="106">
        <f t="shared" si="3"/>
        <v>195</v>
      </c>
      <c r="X42" s="106">
        <v>967</v>
      </c>
      <c r="Y42" s="106">
        <f t="shared" si="4"/>
        <v>0</v>
      </c>
      <c r="Z42" s="106">
        <v>967</v>
      </c>
      <c r="AA42" s="106">
        <f t="shared" si="5"/>
        <v>0</v>
      </c>
      <c r="AB42" s="106">
        <v>967</v>
      </c>
      <c r="AC42" s="106">
        <f t="shared" si="6"/>
        <v>0</v>
      </c>
      <c r="AD42" s="106">
        <v>967</v>
      </c>
      <c r="AE42" s="107">
        <f t="shared" si="7"/>
        <v>-748</v>
      </c>
    </row>
    <row r="43" spans="2:31" ht="15.6" customHeight="1" thickBot="1" x14ac:dyDescent="0.35">
      <c r="N43" s="213"/>
      <c r="O43" s="97" t="s">
        <v>73</v>
      </c>
      <c r="P43" s="110"/>
      <c r="Q43" s="110">
        <v>1546</v>
      </c>
      <c r="R43" s="110">
        <v>0</v>
      </c>
      <c r="S43" s="110">
        <f t="shared" si="1"/>
        <v>341</v>
      </c>
      <c r="T43" s="110">
        <v>682</v>
      </c>
      <c r="U43" s="110">
        <f t="shared" si="2"/>
        <v>388.5</v>
      </c>
      <c r="V43" s="110">
        <v>1459</v>
      </c>
      <c r="W43" s="110">
        <f t="shared" si="3"/>
        <v>0</v>
      </c>
      <c r="X43" s="110">
        <v>1459</v>
      </c>
      <c r="Y43" s="110">
        <f t="shared" si="4"/>
        <v>0</v>
      </c>
      <c r="Z43" s="110">
        <v>1459</v>
      </c>
      <c r="AA43" s="110">
        <f t="shared" si="5"/>
        <v>-118</v>
      </c>
      <c r="AB43" s="110">
        <v>1223</v>
      </c>
      <c r="AC43" s="110">
        <f t="shared" si="6"/>
        <v>0</v>
      </c>
      <c r="AD43" s="110">
        <v>1223</v>
      </c>
      <c r="AE43" s="111">
        <f t="shared" si="7"/>
        <v>-323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0</v>
      </c>
      <c r="R44" s="112">
        <v>1000</v>
      </c>
      <c r="S44" s="112">
        <f t="shared" si="1"/>
        <v>395.5</v>
      </c>
      <c r="T44" s="112">
        <v>1791</v>
      </c>
      <c r="U44" s="112">
        <f t="shared" si="2"/>
        <v>0</v>
      </c>
      <c r="V44" s="112">
        <v>1791</v>
      </c>
      <c r="W44" s="112">
        <f t="shared" si="3"/>
        <v>965.5</v>
      </c>
      <c r="X44" s="112">
        <v>3722</v>
      </c>
      <c r="Y44" s="112">
        <f t="shared" si="4"/>
        <v>574</v>
      </c>
      <c r="Z44" s="112">
        <v>4870</v>
      </c>
      <c r="AA44" s="112">
        <f t="shared" si="5"/>
        <v>0</v>
      </c>
      <c r="AB44" s="112">
        <v>4870</v>
      </c>
      <c r="AC44" s="112">
        <f t="shared" si="6"/>
        <v>0</v>
      </c>
      <c r="AD44" s="112">
        <v>4870</v>
      </c>
      <c r="AE44" s="113">
        <f t="shared" si="7"/>
        <v>4870</v>
      </c>
    </row>
    <row r="45" spans="2:31" ht="15.6" customHeight="1" x14ac:dyDescent="0.3">
      <c r="N45" s="212"/>
      <c r="O45" s="94" t="s">
        <v>66</v>
      </c>
      <c r="P45" s="108"/>
      <c r="Q45" s="108">
        <v>0</v>
      </c>
      <c r="R45" s="108">
        <v>34</v>
      </c>
      <c r="S45" s="108">
        <f t="shared" si="1"/>
        <v>0</v>
      </c>
      <c r="T45" s="108">
        <v>34</v>
      </c>
      <c r="U45" s="108">
        <f t="shared" si="2"/>
        <v>0</v>
      </c>
      <c r="V45" s="108">
        <v>34</v>
      </c>
      <c r="W45" s="108">
        <f t="shared" si="3"/>
        <v>517.5</v>
      </c>
      <c r="X45" s="108">
        <v>1069</v>
      </c>
      <c r="Y45" s="108">
        <f t="shared" si="4"/>
        <v>674</v>
      </c>
      <c r="Z45" s="108">
        <v>2417</v>
      </c>
      <c r="AA45" s="108">
        <f t="shared" si="5"/>
        <v>0</v>
      </c>
      <c r="AB45" s="108">
        <v>2417</v>
      </c>
      <c r="AC45" s="108">
        <f t="shared" si="6"/>
        <v>0</v>
      </c>
      <c r="AD45" s="108">
        <v>2417</v>
      </c>
      <c r="AE45" s="109">
        <f t="shared" si="7"/>
        <v>2417</v>
      </c>
    </row>
    <row r="46" spans="2:31" ht="15.6" customHeight="1" x14ac:dyDescent="0.3">
      <c r="N46" s="212"/>
      <c r="O46" s="95" t="s">
        <v>67</v>
      </c>
      <c r="P46" s="106"/>
      <c r="Q46" s="106">
        <v>0</v>
      </c>
      <c r="R46" s="106">
        <v>20</v>
      </c>
      <c r="S46" s="106">
        <f t="shared" si="1"/>
        <v>0</v>
      </c>
      <c r="T46" s="106">
        <v>20</v>
      </c>
      <c r="U46" s="106">
        <f t="shared" si="2"/>
        <v>0</v>
      </c>
      <c r="V46" s="106">
        <v>20</v>
      </c>
      <c r="W46" s="106">
        <f t="shared" si="3"/>
        <v>0</v>
      </c>
      <c r="X46" s="106">
        <v>20</v>
      </c>
      <c r="Y46" s="106">
        <f t="shared" si="4"/>
        <v>0</v>
      </c>
      <c r="Z46" s="106">
        <v>20</v>
      </c>
      <c r="AA46" s="106">
        <f t="shared" si="5"/>
        <v>229.5</v>
      </c>
      <c r="AB46" s="106">
        <v>479</v>
      </c>
      <c r="AC46" s="106">
        <f t="shared" si="6"/>
        <v>0</v>
      </c>
      <c r="AD46" s="106">
        <v>479</v>
      </c>
      <c r="AE46" s="107">
        <f t="shared" si="7"/>
        <v>479</v>
      </c>
    </row>
    <row r="47" spans="2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1216</v>
      </c>
      <c r="V47" s="110">
        <v>2432</v>
      </c>
      <c r="W47" s="110">
        <f t="shared" si="3"/>
        <v>508.5</v>
      </c>
      <c r="X47" s="110">
        <v>3449</v>
      </c>
      <c r="Y47" s="110">
        <f t="shared" si="4"/>
        <v>0</v>
      </c>
      <c r="Z47" s="110">
        <v>3449</v>
      </c>
      <c r="AA47" s="110">
        <f t="shared" si="5"/>
        <v>0</v>
      </c>
      <c r="AB47" s="110">
        <v>3449</v>
      </c>
      <c r="AC47" s="110">
        <f t="shared" si="6"/>
        <v>0</v>
      </c>
      <c r="AD47" s="110">
        <v>3449</v>
      </c>
      <c r="AE47" s="111">
        <f t="shared" si="7"/>
        <v>3449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2034</v>
      </c>
      <c r="R48" s="112">
        <v>973</v>
      </c>
      <c r="S48" s="112">
        <f t="shared" si="1"/>
        <v>404.5</v>
      </c>
      <c r="T48" s="112">
        <v>1782</v>
      </c>
      <c r="U48" s="112">
        <f t="shared" si="2"/>
        <v>0</v>
      </c>
      <c r="V48" s="112">
        <v>1782</v>
      </c>
      <c r="W48" s="112">
        <f t="shared" si="3"/>
        <v>13.5</v>
      </c>
      <c r="X48" s="112">
        <v>1809</v>
      </c>
      <c r="Y48" s="112">
        <f t="shared" si="4"/>
        <v>6</v>
      </c>
      <c r="Z48" s="112">
        <v>1821</v>
      </c>
      <c r="AA48" s="112">
        <f t="shared" si="5"/>
        <v>0</v>
      </c>
      <c r="AB48" s="112">
        <v>1821</v>
      </c>
      <c r="AC48" s="112">
        <f t="shared" si="6"/>
        <v>0</v>
      </c>
      <c r="AD48" s="112">
        <v>1821</v>
      </c>
      <c r="AE48" s="113">
        <f t="shared" si="7"/>
        <v>-213</v>
      </c>
    </row>
    <row r="49" spans="14:31" ht="15.6" customHeight="1" x14ac:dyDescent="0.3">
      <c r="N49" s="212"/>
      <c r="O49" s="94" t="s">
        <v>66</v>
      </c>
      <c r="P49" s="108"/>
      <c r="Q49" s="108">
        <v>3551</v>
      </c>
      <c r="R49" s="108">
        <v>1801</v>
      </c>
      <c r="S49" s="108">
        <f t="shared" si="1"/>
        <v>201</v>
      </c>
      <c r="T49" s="108">
        <v>2203</v>
      </c>
      <c r="U49" s="108">
        <f t="shared" si="2"/>
        <v>487</v>
      </c>
      <c r="V49" s="108">
        <v>3177</v>
      </c>
      <c r="W49" s="108">
        <f t="shared" si="3"/>
        <v>494</v>
      </c>
      <c r="X49" s="108">
        <v>4165</v>
      </c>
      <c r="Y49" s="108">
        <f t="shared" si="4"/>
        <v>60.5</v>
      </c>
      <c r="Z49" s="108">
        <v>4286</v>
      </c>
      <c r="AA49" s="108">
        <f t="shared" si="5"/>
        <v>0</v>
      </c>
      <c r="AB49" s="108">
        <v>4286</v>
      </c>
      <c r="AC49" s="108">
        <f t="shared" si="6"/>
        <v>0</v>
      </c>
      <c r="AD49" s="108">
        <v>4286</v>
      </c>
      <c r="AE49" s="109">
        <f t="shared" si="7"/>
        <v>735</v>
      </c>
    </row>
    <row r="50" spans="14:31" ht="15.6" customHeight="1" x14ac:dyDescent="0.3">
      <c r="N50" s="212"/>
      <c r="O50" s="95" t="s">
        <v>67</v>
      </c>
      <c r="P50" s="106"/>
      <c r="Q50" s="106">
        <v>1739</v>
      </c>
      <c r="R50" s="106">
        <v>0</v>
      </c>
      <c r="S50" s="106">
        <f t="shared" si="1"/>
        <v>157</v>
      </c>
      <c r="T50" s="106">
        <v>314</v>
      </c>
      <c r="U50" s="106">
        <f t="shared" si="2"/>
        <v>133</v>
      </c>
      <c r="V50" s="106">
        <v>580</v>
      </c>
      <c r="W50" s="106">
        <f t="shared" si="3"/>
        <v>192.5</v>
      </c>
      <c r="X50" s="106">
        <v>965</v>
      </c>
      <c r="Y50" s="106">
        <f t="shared" si="4"/>
        <v>43.5</v>
      </c>
      <c r="Z50" s="106">
        <v>1052</v>
      </c>
      <c r="AA50" s="106">
        <f t="shared" si="5"/>
        <v>0</v>
      </c>
      <c r="AB50" s="106">
        <v>1052</v>
      </c>
      <c r="AC50" s="106">
        <f t="shared" si="6"/>
        <v>0</v>
      </c>
      <c r="AD50" s="106">
        <v>1052</v>
      </c>
      <c r="AE50" s="107">
        <f t="shared" si="7"/>
        <v>-687</v>
      </c>
    </row>
    <row r="51" spans="14:31" ht="15.6" customHeight="1" x14ac:dyDescent="0.3">
      <c r="N51" s="212"/>
      <c r="O51" s="94" t="s">
        <v>68</v>
      </c>
      <c r="P51" s="108"/>
      <c r="Q51" s="108">
        <v>2018</v>
      </c>
      <c r="R51" s="108">
        <v>49</v>
      </c>
      <c r="S51" s="108">
        <f t="shared" si="1"/>
        <v>100.5</v>
      </c>
      <c r="T51" s="108">
        <v>250</v>
      </c>
      <c r="U51" s="108">
        <f t="shared" si="2"/>
        <v>0</v>
      </c>
      <c r="V51" s="108">
        <v>250</v>
      </c>
      <c r="W51" s="108">
        <f t="shared" si="3"/>
        <v>146.5</v>
      </c>
      <c r="X51" s="108">
        <v>543</v>
      </c>
      <c r="Y51" s="108">
        <f t="shared" si="4"/>
        <v>0</v>
      </c>
      <c r="Z51" s="108">
        <v>543</v>
      </c>
      <c r="AA51" s="108">
        <f t="shared" si="5"/>
        <v>0</v>
      </c>
      <c r="AB51" s="108">
        <v>543</v>
      </c>
      <c r="AC51" s="108">
        <f t="shared" si="6"/>
        <v>0</v>
      </c>
      <c r="AD51" s="108">
        <v>543</v>
      </c>
      <c r="AE51" s="109">
        <f t="shared" si="7"/>
        <v>-1475</v>
      </c>
    </row>
    <row r="52" spans="14:31" ht="15.6" customHeight="1" x14ac:dyDescent="0.3">
      <c r="N52" s="212"/>
      <c r="O52" s="95" t="s">
        <v>69</v>
      </c>
      <c r="P52" s="106"/>
      <c r="Q52" s="106">
        <v>2889</v>
      </c>
      <c r="R52" s="106">
        <v>0</v>
      </c>
      <c r="S52" s="106">
        <f t="shared" si="1"/>
        <v>266</v>
      </c>
      <c r="T52" s="106">
        <v>532</v>
      </c>
      <c r="U52" s="106">
        <f t="shared" si="2"/>
        <v>199.5</v>
      </c>
      <c r="V52" s="106">
        <v>931</v>
      </c>
      <c r="W52" s="106">
        <f t="shared" si="3"/>
        <v>136</v>
      </c>
      <c r="X52" s="106">
        <v>1203</v>
      </c>
      <c r="Y52" s="106">
        <f t="shared" si="4"/>
        <v>80.5</v>
      </c>
      <c r="Z52" s="106">
        <v>1364</v>
      </c>
      <c r="AA52" s="106">
        <f t="shared" si="5"/>
        <v>0</v>
      </c>
      <c r="AB52" s="106">
        <v>1364</v>
      </c>
      <c r="AC52" s="106">
        <f t="shared" si="6"/>
        <v>0</v>
      </c>
      <c r="AD52" s="106">
        <v>1364</v>
      </c>
      <c r="AE52" s="107">
        <f t="shared" si="7"/>
        <v>-1525</v>
      </c>
    </row>
    <row r="53" spans="14:31" ht="15.6" customHeight="1" x14ac:dyDescent="0.3">
      <c r="N53" s="212"/>
      <c r="O53" s="94" t="s">
        <v>70</v>
      </c>
      <c r="P53" s="108"/>
      <c r="Q53" s="108">
        <v>1460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272.5</v>
      </c>
      <c r="X53" s="108">
        <v>545</v>
      </c>
      <c r="Y53" s="108">
        <f t="shared" si="4"/>
        <v>0</v>
      </c>
      <c r="Z53" s="108">
        <v>545</v>
      </c>
      <c r="AA53" s="108">
        <f t="shared" si="5"/>
        <v>0</v>
      </c>
      <c r="AB53" s="108">
        <v>545</v>
      </c>
      <c r="AC53" s="108">
        <f t="shared" si="6"/>
        <v>0</v>
      </c>
      <c r="AD53" s="108">
        <v>545</v>
      </c>
      <c r="AE53" s="109">
        <f t="shared" si="7"/>
        <v>-915</v>
      </c>
    </row>
    <row r="54" spans="14:31" ht="15.6" customHeight="1" x14ac:dyDescent="0.3">
      <c r="N54" s="212"/>
      <c r="O54" s="95" t="s">
        <v>71</v>
      </c>
      <c r="P54" s="106"/>
      <c r="Q54" s="106">
        <v>1946</v>
      </c>
      <c r="R54" s="106">
        <v>420</v>
      </c>
      <c r="S54" s="106">
        <f t="shared" si="1"/>
        <v>137</v>
      </c>
      <c r="T54" s="106">
        <v>694</v>
      </c>
      <c r="U54" s="106">
        <f t="shared" si="2"/>
        <v>174</v>
      </c>
      <c r="V54" s="106">
        <v>1042</v>
      </c>
      <c r="W54" s="106">
        <f t="shared" si="3"/>
        <v>91</v>
      </c>
      <c r="X54" s="106">
        <v>1224</v>
      </c>
      <c r="Y54" s="106">
        <f t="shared" si="4"/>
        <v>10.5</v>
      </c>
      <c r="Z54" s="106">
        <v>1245</v>
      </c>
      <c r="AA54" s="106">
        <f t="shared" si="5"/>
        <v>0</v>
      </c>
      <c r="AB54" s="106">
        <v>1245</v>
      </c>
      <c r="AC54" s="106">
        <f t="shared" si="6"/>
        <v>0</v>
      </c>
      <c r="AD54" s="106">
        <v>1245</v>
      </c>
      <c r="AE54" s="107">
        <f t="shared" si="7"/>
        <v>-701</v>
      </c>
    </row>
    <row r="55" spans="14:31" ht="15.6" customHeight="1" x14ac:dyDescent="0.3">
      <c r="N55" s="212"/>
      <c r="O55" s="94" t="s">
        <v>72</v>
      </c>
      <c r="P55" s="108"/>
      <c r="Q55" s="108">
        <v>2705</v>
      </c>
      <c r="R55" s="108">
        <v>1210</v>
      </c>
      <c r="S55" s="108">
        <f t="shared" si="1"/>
        <v>0</v>
      </c>
      <c r="T55" s="108">
        <v>1210</v>
      </c>
      <c r="U55" s="108">
        <f t="shared" si="2"/>
        <v>584</v>
      </c>
      <c r="V55" s="108">
        <v>2378</v>
      </c>
      <c r="W55" s="108">
        <f t="shared" si="3"/>
        <v>0</v>
      </c>
      <c r="X55" s="108">
        <v>2378</v>
      </c>
      <c r="Y55" s="108">
        <f t="shared" si="4"/>
        <v>0</v>
      </c>
      <c r="Z55" s="108">
        <v>2378</v>
      </c>
      <c r="AA55" s="108">
        <f t="shared" si="5"/>
        <v>0</v>
      </c>
      <c r="AB55" s="108">
        <v>2378</v>
      </c>
      <c r="AC55" s="108">
        <f t="shared" si="6"/>
        <v>0</v>
      </c>
      <c r="AD55" s="108">
        <v>2378</v>
      </c>
      <c r="AE55" s="109">
        <f t="shared" si="7"/>
        <v>-327</v>
      </c>
    </row>
    <row r="56" spans="14:31" ht="15.6" customHeight="1" thickBot="1" x14ac:dyDescent="0.35">
      <c r="N56" s="213"/>
      <c r="O56" s="99" t="s">
        <v>73</v>
      </c>
      <c r="P56" s="114"/>
      <c r="Q56" s="114">
        <v>313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83.5</v>
      </c>
      <c r="V56" s="114">
        <v>167</v>
      </c>
      <c r="W56" s="114">
        <f t="shared" si="3"/>
        <v>5</v>
      </c>
      <c r="X56" s="114">
        <v>177</v>
      </c>
      <c r="Y56" s="114">
        <f t="shared" si="4"/>
        <v>48</v>
      </c>
      <c r="Z56" s="114">
        <v>273</v>
      </c>
      <c r="AA56" s="114">
        <f t="shared" si="5"/>
        <v>0</v>
      </c>
      <c r="AB56" s="114">
        <v>273</v>
      </c>
      <c r="AC56" s="114">
        <f t="shared" si="6"/>
        <v>0</v>
      </c>
      <c r="AD56" s="114">
        <v>273</v>
      </c>
      <c r="AE56" s="115">
        <f t="shared" si="7"/>
        <v>-40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6690</v>
      </c>
      <c r="R57" s="104">
        <v>433</v>
      </c>
      <c r="S57" s="104">
        <f t="shared" si="1"/>
        <v>912.5</v>
      </c>
      <c r="T57" s="104">
        <v>2258</v>
      </c>
      <c r="U57" s="104">
        <f t="shared" si="2"/>
        <v>178.5</v>
      </c>
      <c r="V57" s="104">
        <v>2615</v>
      </c>
      <c r="W57" s="104">
        <f t="shared" si="3"/>
        <v>-23</v>
      </c>
      <c r="X57" s="104">
        <v>2569</v>
      </c>
      <c r="Y57" s="104">
        <f t="shared" si="4"/>
        <v>-62.5</v>
      </c>
      <c r="Z57" s="104">
        <v>2444</v>
      </c>
      <c r="AA57" s="104">
        <f t="shared" si="5"/>
        <v>0</v>
      </c>
      <c r="AB57" s="104">
        <v>2444</v>
      </c>
      <c r="AC57" s="104">
        <f t="shared" si="6"/>
        <v>0</v>
      </c>
      <c r="AD57" s="104">
        <v>2444</v>
      </c>
      <c r="AE57" s="105">
        <f t="shared" si="7"/>
        <v>-4246</v>
      </c>
    </row>
    <row r="58" spans="14:31" ht="15.6" customHeight="1" x14ac:dyDescent="0.3">
      <c r="N58" s="212"/>
      <c r="O58" s="95" t="s">
        <v>66</v>
      </c>
      <c r="P58" s="106"/>
      <c r="Q58" s="106">
        <v>3941</v>
      </c>
      <c r="R58" s="106">
        <v>1020</v>
      </c>
      <c r="S58" s="106">
        <f t="shared" si="1"/>
        <v>462.5</v>
      </c>
      <c r="T58" s="106">
        <v>1945</v>
      </c>
      <c r="U58" s="106">
        <f t="shared" si="2"/>
        <v>475.5</v>
      </c>
      <c r="V58" s="106">
        <v>2896</v>
      </c>
      <c r="W58" s="106">
        <f t="shared" si="3"/>
        <v>284.5</v>
      </c>
      <c r="X58" s="106">
        <v>3465</v>
      </c>
      <c r="Y58" s="106">
        <f t="shared" si="4"/>
        <v>-62</v>
      </c>
      <c r="Z58" s="106">
        <v>3341</v>
      </c>
      <c r="AA58" s="106">
        <f t="shared" si="5"/>
        <v>0</v>
      </c>
      <c r="AB58" s="106">
        <v>3341</v>
      </c>
      <c r="AC58" s="106">
        <f t="shared" si="6"/>
        <v>0</v>
      </c>
      <c r="AD58" s="106">
        <v>3341</v>
      </c>
      <c r="AE58" s="107">
        <f t="shared" si="7"/>
        <v>-600</v>
      </c>
    </row>
    <row r="59" spans="14:31" ht="15.6" customHeight="1" x14ac:dyDescent="0.3">
      <c r="N59" s="212"/>
      <c r="O59" s="94" t="s">
        <v>67</v>
      </c>
      <c r="P59" s="108"/>
      <c r="Q59" s="108">
        <v>6755</v>
      </c>
      <c r="R59" s="108">
        <v>481</v>
      </c>
      <c r="S59" s="108">
        <f t="shared" si="1"/>
        <v>236</v>
      </c>
      <c r="T59" s="108">
        <v>953</v>
      </c>
      <c r="U59" s="108">
        <f t="shared" si="2"/>
        <v>190</v>
      </c>
      <c r="V59" s="108">
        <v>1333</v>
      </c>
      <c r="W59" s="108">
        <f t="shared" si="3"/>
        <v>972.5</v>
      </c>
      <c r="X59" s="108">
        <v>3278</v>
      </c>
      <c r="Y59" s="108">
        <f t="shared" si="4"/>
        <v>1.5</v>
      </c>
      <c r="Z59" s="108">
        <v>3281</v>
      </c>
      <c r="AA59" s="108">
        <f t="shared" si="5"/>
        <v>28</v>
      </c>
      <c r="AB59" s="108">
        <v>3337</v>
      </c>
      <c r="AC59" s="108">
        <f t="shared" si="6"/>
        <v>0</v>
      </c>
      <c r="AD59" s="108">
        <v>3337</v>
      </c>
      <c r="AE59" s="109">
        <f t="shared" si="7"/>
        <v>-3418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6991</v>
      </c>
      <c r="R61" s="104">
        <v>357</v>
      </c>
      <c r="S61" s="104">
        <f t="shared" si="1"/>
        <v>970.5</v>
      </c>
      <c r="T61" s="104">
        <v>2298</v>
      </c>
      <c r="U61" s="104">
        <f t="shared" si="2"/>
        <v>551</v>
      </c>
      <c r="V61" s="104">
        <v>3400</v>
      </c>
      <c r="W61" s="104">
        <f t="shared" si="3"/>
        <v>281</v>
      </c>
      <c r="X61" s="104">
        <v>3962</v>
      </c>
      <c r="Y61" s="104">
        <f t="shared" si="4"/>
        <v>0</v>
      </c>
      <c r="Z61" s="104">
        <v>3962</v>
      </c>
      <c r="AA61" s="104">
        <f t="shared" si="5"/>
        <v>0</v>
      </c>
      <c r="AB61" s="104">
        <v>3962</v>
      </c>
      <c r="AC61" s="104">
        <f t="shared" si="6"/>
        <v>0</v>
      </c>
      <c r="AD61" s="104">
        <v>3962</v>
      </c>
      <c r="AE61" s="105">
        <f t="shared" si="7"/>
        <v>-3029</v>
      </c>
    </row>
    <row r="62" spans="14:31" ht="15.6" customHeight="1" x14ac:dyDescent="0.3">
      <c r="N62" s="212"/>
      <c r="O62" s="95" t="s">
        <v>66</v>
      </c>
      <c r="P62" s="106"/>
      <c r="Q62" s="106">
        <v>7688</v>
      </c>
      <c r="R62" s="106">
        <v>1467</v>
      </c>
      <c r="S62" s="106">
        <f t="shared" si="1"/>
        <v>929</v>
      </c>
      <c r="T62" s="106">
        <v>3325</v>
      </c>
      <c r="U62" s="106">
        <f t="shared" si="2"/>
        <v>266</v>
      </c>
      <c r="V62" s="106">
        <v>3857</v>
      </c>
      <c r="W62" s="106">
        <f t="shared" si="3"/>
        <v>348.5</v>
      </c>
      <c r="X62" s="106">
        <v>4554</v>
      </c>
      <c r="Y62" s="106">
        <f t="shared" si="4"/>
        <v>288</v>
      </c>
      <c r="Z62" s="106">
        <v>5130</v>
      </c>
      <c r="AA62" s="106">
        <f t="shared" si="5"/>
        <v>0</v>
      </c>
      <c r="AB62" s="106">
        <v>5130</v>
      </c>
      <c r="AC62" s="106">
        <f t="shared" si="6"/>
        <v>0</v>
      </c>
      <c r="AD62" s="106">
        <v>5130</v>
      </c>
      <c r="AE62" s="107">
        <f t="shared" si="7"/>
        <v>-2558</v>
      </c>
    </row>
    <row r="63" spans="14:31" ht="15.6" customHeight="1" x14ac:dyDescent="0.3">
      <c r="N63" s="212"/>
      <c r="O63" s="94" t="s">
        <v>67</v>
      </c>
      <c r="P63" s="108"/>
      <c r="Q63" s="108">
        <v>5352</v>
      </c>
      <c r="R63" s="108">
        <v>1622</v>
      </c>
      <c r="S63" s="108">
        <f t="shared" si="1"/>
        <v>412.5</v>
      </c>
      <c r="T63" s="108">
        <v>2447</v>
      </c>
      <c r="U63" s="108">
        <f t="shared" si="2"/>
        <v>155.5</v>
      </c>
      <c r="V63" s="108">
        <v>2758</v>
      </c>
      <c r="W63" s="108">
        <f t="shared" si="3"/>
        <v>201</v>
      </c>
      <c r="X63" s="108">
        <v>3160</v>
      </c>
      <c r="Y63" s="108">
        <f t="shared" si="4"/>
        <v>161.5</v>
      </c>
      <c r="Z63" s="108">
        <v>3483</v>
      </c>
      <c r="AA63" s="108">
        <f t="shared" si="5"/>
        <v>0</v>
      </c>
      <c r="AB63" s="108">
        <v>3483</v>
      </c>
      <c r="AC63" s="108">
        <f t="shared" si="6"/>
        <v>0</v>
      </c>
      <c r="AD63" s="108">
        <v>3483</v>
      </c>
      <c r="AE63" s="109">
        <f t="shared" si="7"/>
        <v>-1869</v>
      </c>
    </row>
    <row r="64" spans="14:31" ht="15.6" customHeight="1" thickBot="1" x14ac:dyDescent="0.35">
      <c r="N64" s="213"/>
      <c r="O64" s="99" t="s">
        <v>68</v>
      </c>
      <c r="P64" s="114"/>
      <c r="Q64" s="114">
        <v>2345</v>
      </c>
      <c r="R64" s="114">
        <v>126</v>
      </c>
      <c r="S64" s="114">
        <f t="shared" si="1"/>
        <v>338</v>
      </c>
      <c r="T64" s="114">
        <v>802</v>
      </c>
      <c r="U64" s="114">
        <f t="shared" si="2"/>
        <v>59</v>
      </c>
      <c r="V64" s="114">
        <v>920</v>
      </c>
      <c r="W64" s="114">
        <f t="shared" si="3"/>
        <v>12</v>
      </c>
      <c r="X64" s="114">
        <v>944</v>
      </c>
      <c r="Y64" s="114">
        <f t="shared" si="4"/>
        <v>39</v>
      </c>
      <c r="Z64" s="114">
        <v>1022</v>
      </c>
      <c r="AA64" s="114">
        <f t="shared" si="5"/>
        <v>0</v>
      </c>
      <c r="AB64" s="114">
        <v>1022</v>
      </c>
      <c r="AC64" s="114">
        <f t="shared" si="6"/>
        <v>0</v>
      </c>
      <c r="AD64" s="114">
        <v>1022</v>
      </c>
      <c r="AE64" s="115">
        <f t="shared" si="7"/>
        <v>-1323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67" priority="11" operator="lessThan">
      <formula>0</formula>
    </cfRule>
    <cfRule type="cellIs" dxfId="1366" priority="12" operator="greaterThan">
      <formula>0</formula>
    </cfRule>
  </conditionalFormatting>
  <conditionalFormatting sqref="R25:AC25">
    <cfRule type="cellIs" dxfId="1365" priority="9" operator="lessThan">
      <formula>0</formula>
    </cfRule>
    <cfRule type="cellIs" dxfId="1364" priority="10" operator="greaterThan">
      <formula>0</formula>
    </cfRule>
  </conditionalFormatting>
  <conditionalFormatting sqref="R26 T26 V26 X26 Z26 AB26">
    <cfRule type="cellIs" dxfId="1363" priority="7" operator="lessThan">
      <formula>0</formula>
    </cfRule>
    <cfRule type="cellIs" dxfId="1362" priority="8" operator="greaterThan">
      <formula>0</formula>
    </cfRule>
  </conditionalFormatting>
  <conditionalFormatting sqref="AD24:AE24">
    <cfRule type="cellIs" dxfId="1361" priority="5" operator="lessThan">
      <formula>0</formula>
    </cfRule>
    <cfRule type="cellIs" dxfId="1360" priority="6" operator="greaterThan">
      <formula>0</formula>
    </cfRule>
  </conditionalFormatting>
  <conditionalFormatting sqref="AD25:AE25">
    <cfRule type="cellIs" dxfId="1359" priority="3" operator="lessThan">
      <formula>0</formula>
    </cfRule>
    <cfRule type="cellIs" dxfId="1358" priority="4" operator="greaterThan">
      <formula>0</formula>
    </cfRule>
  </conditionalFormatting>
  <conditionalFormatting sqref="AD26">
    <cfRule type="cellIs" dxfId="1357" priority="1" operator="lessThan">
      <formula>0</formula>
    </cfRule>
    <cfRule type="cellIs" dxfId="13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>
    <tabColor theme="1"/>
    <pageSetUpPr fitToPage="1"/>
  </sheetPr>
  <dimension ref="B1:AQ64"/>
  <sheetViews>
    <sheetView topLeftCell="G4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44405</v>
      </c>
    </row>
    <row r="3" spans="2:42" ht="18.75" customHeight="1" thickBot="1" x14ac:dyDescent="0.35">
      <c r="B3" t="s">
        <v>1</v>
      </c>
      <c r="C3" s="3">
        <f>C2+1</f>
        <v>44406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21793</v>
      </c>
      <c r="G6" s="117">
        <v>18311.782749999998</v>
      </c>
      <c r="H6" s="117">
        <v>15146.84781318</v>
      </c>
      <c r="I6" s="19">
        <f>G6+H6</f>
        <v>33458.630563179999</v>
      </c>
      <c r="J6" s="119">
        <v>21349</v>
      </c>
      <c r="K6" s="117">
        <v>17384.208999999999</v>
      </c>
      <c r="L6" s="117">
        <v>14681.43250959999</v>
      </c>
      <c r="M6" s="19">
        <f>K6+L6</f>
        <v>32065.641509599991</v>
      </c>
      <c r="N6" s="85">
        <v>67</v>
      </c>
      <c r="O6" s="85">
        <v>54</v>
      </c>
      <c r="P6" s="92"/>
      <c r="Q6" s="20">
        <f>J6-P6</f>
        <v>21349</v>
      </c>
      <c r="R6" s="21">
        <v>1949</v>
      </c>
      <c r="S6" s="20">
        <f>IF(R6&gt;0,(R6-R7-$Q6),"")</f>
        <v>-19438</v>
      </c>
      <c r="T6" s="21">
        <v>4718</v>
      </c>
      <c r="U6" s="20">
        <f>IF(T6&gt;0,(T6-T7-$Q6),"")</f>
        <v>-16684</v>
      </c>
      <c r="V6" s="21">
        <v>11930</v>
      </c>
      <c r="W6" s="20">
        <f>IF(V6&gt;0,(V6-V7-$Q6),"")</f>
        <v>-9527</v>
      </c>
      <c r="X6" s="21">
        <v>15158</v>
      </c>
      <c r="Y6" s="20">
        <f>IF(X6&gt;0,(X6-X7-$Q6),"")</f>
        <v>-6316</v>
      </c>
      <c r="Z6" s="21">
        <v>19702</v>
      </c>
      <c r="AA6" s="20">
        <f>IF(Z6&gt;0,(Z6-Z7-$Q6),"")</f>
        <v>-1857</v>
      </c>
      <c r="AB6" s="21">
        <v>19702</v>
      </c>
      <c r="AC6" s="22">
        <f>IF(AB6&gt;0,(AB6-AB7-$Q6),"")</f>
        <v>-1857</v>
      </c>
      <c r="AD6" s="21">
        <v>19702</v>
      </c>
      <c r="AE6" s="22">
        <f>IF(AD6&gt;0,(AD6-AD7-$Q6),"")</f>
        <v>-1857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38</v>
      </c>
      <c r="S7" s="24"/>
      <c r="T7" s="25">
        <v>53</v>
      </c>
      <c r="U7" s="24"/>
      <c r="V7" s="25">
        <v>108</v>
      </c>
      <c r="W7" s="24"/>
      <c r="X7" s="25">
        <v>125</v>
      </c>
      <c r="Y7" s="24"/>
      <c r="Z7" s="25">
        <v>210</v>
      </c>
      <c r="AA7" s="24"/>
      <c r="AB7" s="25">
        <v>210</v>
      </c>
      <c r="AC7" s="26"/>
      <c r="AD7" s="25">
        <v>210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2094</v>
      </c>
      <c r="E8" s="29" t="s">
        <v>27</v>
      </c>
      <c r="F8" s="119">
        <v>16317</v>
      </c>
      <c r="G8" s="117">
        <v>6894.6779999999999</v>
      </c>
      <c r="H8" s="117">
        <v>1502.5812370000001</v>
      </c>
      <c r="I8" s="19">
        <f>G8+H8</f>
        <v>8397.2592370000002</v>
      </c>
      <c r="J8" s="119">
        <v>16189</v>
      </c>
      <c r="K8" s="117">
        <v>6843.8549999999987</v>
      </c>
      <c r="L8" s="117">
        <v>1460.0477762</v>
      </c>
      <c r="M8" s="19">
        <f>K8+L8</f>
        <v>8303.9027761999987</v>
      </c>
      <c r="N8" s="87">
        <v>27</v>
      </c>
      <c r="O8" s="87">
        <v>24</v>
      </c>
      <c r="P8" s="92"/>
      <c r="Q8" s="20">
        <f>J8-P8</f>
        <v>16189</v>
      </c>
      <c r="R8" s="21">
        <v>33</v>
      </c>
      <c r="S8" s="20">
        <f>IF(R8&gt;0,(R8-R9-$Q8),"")</f>
        <v>-16156</v>
      </c>
      <c r="T8" s="21">
        <v>998</v>
      </c>
      <c r="U8" s="20">
        <f>IF(T8&gt;0,(T8-T9-$Q8),"")</f>
        <v>-15200</v>
      </c>
      <c r="V8" s="21">
        <v>998</v>
      </c>
      <c r="W8" s="20">
        <f>IF(V8&gt;0,(V8-V9-$Q8),"")</f>
        <v>-15200</v>
      </c>
      <c r="X8" s="21">
        <v>6753</v>
      </c>
      <c r="Y8" s="20">
        <f>IF(X8&gt;0,(X8-X9-$Q8),"")</f>
        <v>-9445</v>
      </c>
      <c r="Z8" s="21">
        <v>8549</v>
      </c>
      <c r="AA8" s="20">
        <f>IF(Z8&gt;0,(Z8-Z9-$Q8),"")</f>
        <v>-7649</v>
      </c>
      <c r="AB8" s="21">
        <v>8549</v>
      </c>
      <c r="AC8" s="22">
        <f>IF(AB8&gt;0,(AB8-AB9-$Q8),"")</f>
        <v>-7649</v>
      </c>
      <c r="AD8" s="21">
        <v>8549</v>
      </c>
      <c r="AE8" s="22">
        <f>IF(AD8&gt;0,(AD8-AD9-$Q8),"")</f>
        <v>-7649</v>
      </c>
    </row>
    <row r="9" spans="2:42" x14ac:dyDescent="0.3">
      <c r="B9" s="28" t="s">
        <v>28</v>
      </c>
      <c r="C9" s="17">
        <v>2045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9</v>
      </c>
      <c r="U9" s="24"/>
      <c r="V9" s="30">
        <v>9</v>
      </c>
      <c r="W9" s="24"/>
      <c r="X9" s="30">
        <v>9</v>
      </c>
      <c r="Y9" s="24"/>
      <c r="Z9" s="30">
        <v>9</v>
      </c>
      <c r="AA9" s="24"/>
      <c r="AB9" s="30">
        <v>9</v>
      </c>
      <c r="AC9" s="26"/>
      <c r="AD9" s="30">
        <v>9</v>
      </c>
      <c r="AE9" s="26"/>
    </row>
    <row r="10" spans="2:42" x14ac:dyDescent="0.3">
      <c r="B10" s="16" t="s">
        <v>30</v>
      </c>
      <c r="C10" s="17">
        <v>5790</v>
      </c>
      <c r="E10" s="18" t="s">
        <v>31</v>
      </c>
      <c r="F10" s="119">
        <v>10067</v>
      </c>
      <c r="G10" s="117">
        <v>7934.1311250000008</v>
      </c>
      <c r="H10" s="117">
        <v>1869.2489525000001</v>
      </c>
      <c r="I10" s="19">
        <f>G10+H10</f>
        <v>9803.3800775000018</v>
      </c>
      <c r="J10" s="119">
        <v>9978</v>
      </c>
      <c r="K10" s="117">
        <v>7725.7621250000002</v>
      </c>
      <c r="L10" s="117">
        <v>1792.4090925</v>
      </c>
      <c r="M10" s="19">
        <f>K10+L10</f>
        <v>9518.1712174999993</v>
      </c>
      <c r="N10" s="88">
        <v>47</v>
      </c>
      <c r="O10" s="88">
        <v>33</v>
      </c>
      <c r="P10" s="92"/>
      <c r="Q10" s="20">
        <f>J10-P10</f>
        <v>9978</v>
      </c>
      <c r="R10" s="21">
        <v>475</v>
      </c>
      <c r="S10" s="20">
        <f>IF(R10&gt;0,(R10-R11-$Q10),"")</f>
        <v>-9581</v>
      </c>
      <c r="T10" s="21">
        <v>2005</v>
      </c>
      <c r="U10" s="20">
        <f>IF(T10&gt;0,(T10-T11-$Q10),"")</f>
        <v>-8561</v>
      </c>
      <c r="V10" s="21">
        <v>3312</v>
      </c>
      <c r="W10" s="20">
        <f>IF(V10&gt;0,(V10-V11-$Q10),"")</f>
        <v>-7524</v>
      </c>
      <c r="X10" s="21">
        <v>4653</v>
      </c>
      <c r="Y10" s="20">
        <f>IF(X10&gt;0,(X10-X11-$Q10),"")</f>
        <v>-6561</v>
      </c>
      <c r="Z10" s="21">
        <v>4825</v>
      </c>
      <c r="AA10" s="20">
        <f>IF(Z10&gt;0,(Z10-Z11-$Q10),"")</f>
        <v>-6567</v>
      </c>
      <c r="AB10" s="21">
        <v>4825</v>
      </c>
      <c r="AC10" s="22">
        <f>IF(AB10&gt;0,(AB10-AB11-$Q10),"")</f>
        <v>-6567</v>
      </c>
      <c r="AD10" s="21">
        <v>4825</v>
      </c>
      <c r="AE10" s="22">
        <f>IF(AD10&gt;0,(AD10-AD11-$Q10),"")</f>
        <v>-6567</v>
      </c>
    </row>
    <row r="11" spans="2:42" x14ac:dyDescent="0.3">
      <c r="B11" s="16" t="s">
        <v>32</v>
      </c>
      <c r="C11" s="17">
        <v>2634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>
        <v>78</v>
      </c>
      <c r="S11" s="24"/>
      <c r="T11" s="30">
        <v>588</v>
      </c>
      <c r="U11" s="24"/>
      <c r="V11" s="30">
        <v>858</v>
      </c>
      <c r="W11" s="24"/>
      <c r="X11" s="30">
        <v>1236</v>
      </c>
      <c r="Y11" s="24"/>
      <c r="Z11" s="30">
        <v>1414</v>
      </c>
      <c r="AA11" s="24"/>
      <c r="AB11" s="30">
        <v>1414</v>
      </c>
      <c r="AC11" s="26"/>
      <c r="AD11" s="30">
        <v>1414</v>
      </c>
      <c r="AE11" s="26"/>
    </row>
    <row r="12" spans="2:42" x14ac:dyDescent="0.3">
      <c r="B12" s="16" t="s">
        <v>34</v>
      </c>
      <c r="C12" s="17">
        <v>1671</v>
      </c>
      <c r="E12" s="29" t="s">
        <v>35</v>
      </c>
      <c r="F12" s="119">
        <v>13484</v>
      </c>
      <c r="G12" s="117">
        <v>11633.472750000001</v>
      </c>
      <c r="H12" s="117">
        <v>17384.348606009989</v>
      </c>
      <c r="I12" s="19">
        <f>G12+H12</f>
        <v>29017.82135600999</v>
      </c>
      <c r="J12" s="119">
        <v>13600</v>
      </c>
      <c r="K12" s="117">
        <v>11302.0365</v>
      </c>
      <c r="L12" s="117">
        <v>16496.95881475</v>
      </c>
      <c r="M12" s="19">
        <f>K12+L12</f>
        <v>27798.995314749998</v>
      </c>
      <c r="N12" s="88">
        <v>50</v>
      </c>
      <c r="O12" s="88">
        <v>37</v>
      </c>
      <c r="P12" s="92"/>
      <c r="Q12" s="20">
        <f>J12-P12</f>
        <v>13600</v>
      </c>
      <c r="R12" s="21">
        <v>1551</v>
      </c>
      <c r="S12" s="20">
        <f>IF(R12&gt;0,(R12-R13-$Q12),"")</f>
        <v>-12487</v>
      </c>
      <c r="T12" s="21">
        <v>3531</v>
      </c>
      <c r="U12" s="20">
        <f>IF(T12&gt;0,(T12-T13-$Q12),"")</f>
        <v>-10841</v>
      </c>
      <c r="V12" s="21">
        <v>6798</v>
      </c>
      <c r="W12" s="20">
        <f>IF(V12&gt;0,(V12-V13-$Q12),"")</f>
        <v>-8141</v>
      </c>
      <c r="X12" s="21">
        <v>10579</v>
      </c>
      <c r="Y12" s="20">
        <f>IF(X12&gt;0,(X12-X13-$Q12),"")</f>
        <v>-4442</v>
      </c>
      <c r="Z12" s="21">
        <v>10453</v>
      </c>
      <c r="AA12" s="20">
        <f>IF(Z12&gt;0,(Z12-Z13-$Q12),"")</f>
        <v>-4568</v>
      </c>
      <c r="AB12" s="21">
        <v>10453</v>
      </c>
      <c r="AC12" s="22">
        <f>IF(AB12&gt;0,(AB12-AB13-$Q12),"")</f>
        <v>-4568</v>
      </c>
      <c r="AD12" s="21">
        <v>10453</v>
      </c>
      <c r="AE12" s="22">
        <f>IF(AD12&gt;0,(AD12-AD13-$Q12),"")</f>
        <v>-4568</v>
      </c>
    </row>
    <row r="13" spans="2:42" x14ac:dyDescent="0.3">
      <c r="B13" s="16" t="s">
        <v>36</v>
      </c>
      <c r="C13" s="17">
        <v>4729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438</v>
      </c>
      <c r="S13" s="24"/>
      <c r="T13" s="30">
        <v>772</v>
      </c>
      <c r="U13" s="24"/>
      <c r="V13" s="30">
        <v>1339</v>
      </c>
      <c r="W13" s="24"/>
      <c r="X13" s="30">
        <v>1421</v>
      </c>
      <c r="Y13" s="24"/>
      <c r="Z13" s="30">
        <v>1421</v>
      </c>
      <c r="AA13" s="24"/>
      <c r="AB13" s="30">
        <v>1421</v>
      </c>
      <c r="AC13" s="26"/>
      <c r="AD13" s="30">
        <v>1421</v>
      </c>
      <c r="AE13" s="26"/>
    </row>
    <row r="14" spans="2:42" x14ac:dyDescent="0.3">
      <c r="B14" s="16" t="s">
        <v>38</v>
      </c>
      <c r="C14" s="17">
        <v>10971</v>
      </c>
      <c r="E14" s="18" t="s">
        <v>39</v>
      </c>
      <c r="F14" s="119">
        <v>23616</v>
      </c>
      <c r="G14" s="117">
        <v>17820</v>
      </c>
      <c r="H14" s="117">
        <v>21746.53822815001</v>
      </c>
      <c r="I14" s="19">
        <f>G14+H14</f>
        <v>39566.538228150006</v>
      </c>
      <c r="J14" s="119">
        <v>23616</v>
      </c>
      <c r="K14" s="117">
        <v>17820</v>
      </c>
      <c r="L14" s="117">
        <v>21701.433268149991</v>
      </c>
      <c r="M14" s="19">
        <f>K14+L14</f>
        <v>39521.433268149995</v>
      </c>
      <c r="N14" s="88">
        <v>68</v>
      </c>
      <c r="O14" s="88">
        <v>50</v>
      </c>
      <c r="P14" s="92"/>
      <c r="Q14" s="20">
        <f>J14-P14</f>
        <v>23616</v>
      </c>
      <c r="R14" s="21">
        <v>4513</v>
      </c>
      <c r="S14" s="20">
        <f>IF(R14&gt;0,(R14-R15-$Q14),"")</f>
        <v>-22803</v>
      </c>
      <c r="T14" s="21">
        <v>8501</v>
      </c>
      <c r="U14" s="20">
        <f>IF(T14&gt;0,(T14-T15-$Q14),"")</f>
        <v>-22110</v>
      </c>
      <c r="V14" s="21">
        <v>10331</v>
      </c>
      <c r="W14" s="20">
        <f>IF(V14&gt;0,(V14-V15-$Q14),"")</f>
        <v>-21700</v>
      </c>
      <c r="X14" s="21">
        <v>13586</v>
      </c>
      <c r="Y14" s="20">
        <f>IF(X14&gt;0,(X14-X15-$Q14),"")</f>
        <v>-19436</v>
      </c>
      <c r="Z14" s="21">
        <v>14651</v>
      </c>
      <c r="AA14" s="20">
        <f>IF(Z14&gt;0,(Z14-Z15-$Q14),"")</f>
        <v>-18371</v>
      </c>
      <c r="AB14" s="21">
        <v>14651</v>
      </c>
      <c r="AC14" s="22">
        <f>IF(AB14&gt;0,(AB14-AB15-$Q14),"")</f>
        <v>-18371</v>
      </c>
      <c r="AD14" s="21">
        <v>14651</v>
      </c>
      <c r="AE14" s="22">
        <f>IF(AD14&gt;0,(AD14-AD15-$Q14),"")</f>
        <v>-18371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3700</v>
      </c>
      <c r="S15" s="24"/>
      <c r="T15" s="25">
        <v>6995</v>
      </c>
      <c r="U15" s="24"/>
      <c r="V15" s="25">
        <v>8415</v>
      </c>
      <c r="W15" s="24"/>
      <c r="X15" s="25">
        <v>9406</v>
      </c>
      <c r="Y15" s="24"/>
      <c r="Z15" s="25">
        <v>9406</v>
      </c>
      <c r="AA15" s="24"/>
      <c r="AB15" s="25">
        <v>9406</v>
      </c>
      <c r="AC15" s="26"/>
      <c r="AD15" s="25">
        <v>9406</v>
      </c>
      <c r="AE15" s="26"/>
    </row>
    <row r="16" spans="2:42" ht="15" customHeight="1" thickBot="1" x14ac:dyDescent="0.35">
      <c r="B16" s="28" t="s">
        <v>42</v>
      </c>
      <c r="C16" s="17">
        <v>14181</v>
      </c>
      <c r="E16" s="84"/>
      <c r="F16" s="31">
        <f t="shared" ref="F16:M16" si="0">SUM(F6:F15)</f>
        <v>85277</v>
      </c>
      <c r="G16" s="31">
        <f t="shared" si="0"/>
        <v>62594.064624999999</v>
      </c>
      <c r="H16" s="31">
        <f t="shared" si="0"/>
        <v>57649.56483684</v>
      </c>
      <c r="I16" s="32">
        <f t="shared" si="0"/>
        <v>120243.62946183998</v>
      </c>
      <c r="J16" s="33">
        <f t="shared" si="0"/>
        <v>84732</v>
      </c>
      <c r="K16" s="33">
        <f t="shared" si="0"/>
        <v>61075.862625000002</v>
      </c>
      <c r="L16" s="33">
        <f t="shared" si="0"/>
        <v>56132.281461199978</v>
      </c>
      <c r="M16" s="33">
        <f t="shared" si="0"/>
        <v>117208.14408619999</v>
      </c>
      <c r="N16" s="31">
        <f>SUM(N14,N12,N10,N8,N6)</f>
        <v>259</v>
      </c>
      <c r="O16" s="31">
        <f>SUM(O14,O12,O10,O8,O6)</f>
        <v>198</v>
      </c>
      <c r="P16" s="34">
        <f>SUM(P6:P15)</f>
        <v>0</v>
      </c>
      <c r="Q16" s="34">
        <f>SUM(Q6:Q15)</f>
        <v>84732</v>
      </c>
      <c r="R16" s="35">
        <f>R6+R8+R10+R12+R14-R7-R9-R11-R13-R15</f>
        <v>4267</v>
      </c>
      <c r="S16" s="36">
        <f>IF(R16&gt;1,(R16-$Q16),"")</f>
        <v>-80465</v>
      </c>
      <c r="T16" s="35">
        <f>T6+T8+T10+T12+T14-T7-T9-T11-T13-T15</f>
        <v>11336</v>
      </c>
      <c r="U16" s="36">
        <f>IF(T16&gt;1,(T16-$Q16),"")</f>
        <v>-73396</v>
      </c>
      <c r="V16" s="35">
        <f>V6+V8+V10+V12+V14-V7-V9-V11-V13-V15</f>
        <v>22640</v>
      </c>
      <c r="W16" s="36">
        <f>IF(V16&gt;1,(V16-$Q16),"")</f>
        <v>-62092</v>
      </c>
      <c r="X16" s="35">
        <f>X6+X8+X10+X12+X14-X7-X9-X11-X13-X15</f>
        <v>38532</v>
      </c>
      <c r="Y16" s="36">
        <f>IF(X16&gt;1,(X16-$Q16),"")</f>
        <v>-46200</v>
      </c>
      <c r="Z16" s="35">
        <f>Z6+Z8+Z10+Z12+Z14-Z7-Z9-Z11-Z13-Z15</f>
        <v>45720</v>
      </c>
      <c r="AA16" s="36">
        <f>IF(Z16&gt;1,(Z16-$Q16),"")</f>
        <v>-39012</v>
      </c>
      <c r="AB16" s="35">
        <f>AB6+AB8+AB10+AB12+AB14-AB7-AB9-AB11-AB13-AB15</f>
        <v>45720</v>
      </c>
      <c r="AC16" s="37">
        <f>IF(AB16&gt;1,(AB16-$Q16),"")</f>
        <v>-39012</v>
      </c>
      <c r="AD16" s="35">
        <f>AD6+AD8+AD10+AD12+AD14-AD7-AD9-AD11-AD13-AD15</f>
        <v>45720</v>
      </c>
      <c r="AE16" s="37">
        <f>IF(AD16&gt;1,(AD16-$Q16),"")</f>
        <v>-39012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4254</v>
      </c>
      <c r="S17" s="41"/>
      <c r="T17" s="40">
        <f>T15+T13+T11+T9+T7</f>
        <v>8417</v>
      </c>
      <c r="U17" s="41"/>
      <c r="V17" s="40">
        <f>V15+V13+V11+V9+V7</f>
        <v>10729</v>
      </c>
      <c r="W17" s="41"/>
      <c r="X17" s="40">
        <f>X15+X13+X11+X9+X7</f>
        <v>12197</v>
      </c>
      <c r="Y17" s="41"/>
      <c r="Z17" s="40">
        <f>Z15+Z13+Z11+Z9+Z7</f>
        <v>12460</v>
      </c>
      <c r="AA17" s="41"/>
      <c r="AB17" s="40">
        <f>AB15+AB13+AB11+AB9+AB7</f>
        <v>12460</v>
      </c>
      <c r="AC17" s="42"/>
      <c r="AD17" s="40">
        <f>AD15+AD13+AD11+AD9+AD7</f>
        <v>12460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2133.5</v>
      </c>
      <c r="S18" s="46"/>
      <c r="T18" s="47">
        <f>IF(T16&gt;0,(T16-R16)/2,"")</f>
        <v>3534.5</v>
      </c>
      <c r="U18" s="46"/>
      <c r="V18" s="47">
        <f>IF(V16&gt;0,(V16-T16)/2,"")</f>
        <v>5652</v>
      </c>
      <c r="W18" s="46"/>
      <c r="X18" s="47">
        <f>IF(X16&gt;0,(X16-V16)/2,"")</f>
        <v>7946</v>
      </c>
      <c r="Y18" s="46"/>
      <c r="Z18" s="47">
        <f>IF(Z16&gt;0,(Z16-X16)/2,"")</f>
        <v>3594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8489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2484</v>
      </c>
      <c r="L20" s="4"/>
      <c r="M20" s="4"/>
      <c r="Q20" s="51" t="s">
        <v>49</v>
      </c>
      <c r="R20" s="35">
        <v>6754</v>
      </c>
      <c r="S20" s="36">
        <v>-88313</v>
      </c>
      <c r="T20" s="35">
        <v>18251</v>
      </c>
      <c r="U20" s="36">
        <v>-76816</v>
      </c>
      <c r="V20" s="35">
        <v>28676</v>
      </c>
      <c r="W20" s="36">
        <v>-66391</v>
      </c>
      <c r="X20" s="35">
        <v>41115</v>
      </c>
      <c r="Y20" s="36">
        <v>-53952</v>
      </c>
      <c r="Z20" s="35">
        <v>47135</v>
      </c>
      <c r="AA20" s="36">
        <v>-47932</v>
      </c>
      <c r="AB20" s="35">
        <v>46689</v>
      </c>
      <c r="AC20" s="37">
        <v>-48378</v>
      </c>
      <c r="AD20" s="35">
        <v>46689</v>
      </c>
      <c r="AE20" s="37">
        <v>-48378</v>
      </c>
    </row>
    <row r="21" spans="2:43" ht="15" customHeight="1" thickBot="1" x14ac:dyDescent="0.35">
      <c r="B21" s="57" t="s">
        <v>52</v>
      </c>
      <c r="C21" s="58">
        <v>4702</v>
      </c>
      <c r="M21" s="4"/>
      <c r="Q21" s="52"/>
      <c r="R21" s="40">
        <v>4392</v>
      </c>
      <c r="S21" s="41"/>
      <c r="T21" s="40">
        <v>8751</v>
      </c>
      <c r="U21" s="41"/>
      <c r="V21" s="40">
        <v>11070</v>
      </c>
      <c r="W21" s="41"/>
      <c r="X21" s="40">
        <v>12591</v>
      </c>
      <c r="Y21" s="41"/>
      <c r="Z21" s="40">
        <v>13479</v>
      </c>
      <c r="AA21" s="41"/>
      <c r="AB21" s="40">
        <v>13521</v>
      </c>
      <c r="AC21" s="42"/>
      <c r="AD21" s="40">
        <v>13521</v>
      </c>
      <c r="AE21" s="42"/>
    </row>
    <row r="22" spans="2:43" ht="15" customHeight="1" thickBot="1" x14ac:dyDescent="0.35">
      <c r="M22" s="4"/>
      <c r="Q22" s="54"/>
      <c r="R22" s="55">
        <v>3377</v>
      </c>
      <c r="S22" s="55"/>
      <c r="T22" s="55">
        <v>5748.5</v>
      </c>
      <c r="U22" s="55"/>
      <c r="V22" s="55">
        <v>5212.5</v>
      </c>
      <c r="W22" s="55"/>
      <c r="X22" s="55">
        <v>6219.5</v>
      </c>
      <c r="Y22" s="55"/>
      <c r="Z22" s="55">
        <v>3010</v>
      </c>
      <c r="AA22" s="55"/>
      <c r="AB22" s="55">
        <v>-223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-2487</v>
      </c>
      <c r="S24" s="60"/>
      <c r="T24" s="60">
        <f>IF(T16&gt;0,T16-T20,"")</f>
        <v>-6915</v>
      </c>
      <c r="U24" s="60"/>
      <c r="V24" s="60">
        <f>IF(V16&gt;0,V16-V20,"")</f>
        <v>-6036</v>
      </c>
      <c r="W24" s="60"/>
      <c r="X24" s="60">
        <f>IF(X16&gt;0,X16-X20,"")</f>
        <v>-2583</v>
      </c>
      <c r="Y24" s="60"/>
      <c r="Z24" s="60">
        <f>IF(Z16&gt;0,Z16-Z20,"")</f>
        <v>-1415</v>
      </c>
      <c r="AA24" s="60"/>
      <c r="AB24" s="60">
        <f>IF(AB16&gt;0,AB16-AB20,"")</f>
        <v>-969</v>
      </c>
      <c r="AC24" s="61"/>
      <c r="AD24" s="60">
        <f>IF(AD16&gt;0,AD16-AD20,"")</f>
        <v>-969</v>
      </c>
      <c r="AE24" s="61"/>
    </row>
    <row r="25" spans="2:43" x14ac:dyDescent="0.3">
      <c r="M25" s="4"/>
      <c r="Q25" s="62"/>
      <c r="R25" s="63">
        <f>IF(R17&gt;=0,R17-R21,"")</f>
        <v>-138</v>
      </c>
      <c r="S25" s="64"/>
      <c r="T25" s="63">
        <f>IF(T17&gt;=0,T17-T21,"")</f>
        <v>-334</v>
      </c>
      <c r="U25" s="64"/>
      <c r="V25" s="63">
        <f>IF(V17&gt;=0,V17-V21,"")</f>
        <v>-341</v>
      </c>
      <c r="W25" s="64"/>
      <c r="X25" s="63">
        <f>IF(X17&gt;=0,X17-X21,"")</f>
        <v>-394</v>
      </c>
      <c r="Y25" s="64"/>
      <c r="Z25" s="63">
        <f>IF(Z17&gt;=0,Z17-Z21,"")</f>
        <v>-1019</v>
      </c>
      <c r="AA25" s="64"/>
      <c r="AB25" s="63">
        <f>IF(AB17&gt;=0,AB17-AB21,"")</f>
        <v>-1061</v>
      </c>
      <c r="AC25" s="65"/>
      <c r="AD25" s="63">
        <f>IF(AD17&gt;=0,AD17-AD21,"")</f>
        <v>-1061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-1243.5</v>
      </c>
      <c r="S26" s="55"/>
      <c r="T26" s="67">
        <f>IFERROR(IF(T18&gt;0,T18-T22,""),"")</f>
        <v>-2214</v>
      </c>
      <c r="U26" s="55"/>
      <c r="V26" s="67">
        <f>IFERROR(IF(V18&gt;0,V18-V22,""),"")</f>
        <v>439.5</v>
      </c>
      <c r="W26" s="55"/>
      <c r="X26" s="67">
        <f>IFERROR(IF(X18&gt;0,X18-X22,""),"")</f>
        <v>1726.5</v>
      </c>
      <c r="Y26" s="55"/>
      <c r="Z26" s="67">
        <f>IFERROR(IF(Z18&gt;0,Z18-Z22,""),"")</f>
        <v>584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11852</v>
      </c>
      <c r="D29" s="76">
        <f>C14</f>
        <v>10971</v>
      </c>
      <c r="E29" s="77">
        <f>D29-C29</f>
        <v>-881</v>
      </c>
      <c r="O29" s="4"/>
    </row>
    <row r="30" spans="2:43" x14ac:dyDescent="0.3">
      <c r="B30" s="74" t="s">
        <v>56</v>
      </c>
      <c r="C30" s="122">
        <v>27984</v>
      </c>
      <c r="D30" s="76">
        <f>C7+C15+C16+C17+C18</f>
        <v>14181</v>
      </c>
      <c r="E30" s="77">
        <f>D30-C30</f>
        <v>-13803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14824</v>
      </c>
      <c r="D32" s="76">
        <f>C10+C11+C12+C13</f>
        <v>14824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15767</v>
      </c>
      <c r="D33" s="76">
        <f>C19+C20+C21</f>
        <v>15675</v>
      </c>
      <c r="E33" s="77">
        <f>D33-C33</f>
        <v>-92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4139</v>
      </c>
      <c r="D34" s="80">
        <f>SUM(C8+C9)</f>
        <v>4139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2266</v>
      </c>
      <c r="R35" s="104">
        <v>0</v>
      </c>
      <c r="S35" s="104">
        <f t="shared" ref="S35:S64" si="1">IF(T35&gt;0,(T35-R35)/2,"")</f>
        <v>76.5</v>
      </c>
      <c r="T35" s="104">
        <v>153</v>
      </c>
      <c r="U35" s="104">
        <f t="shared" ref="U35:U64" si="2">IF(V35&gt;0,(V35-T35)/2,"")</f>
        <v>738</v>
      </c>
      <c r="V35" s="104">
        <v>1629</v>
      </c>
      <c r="W35" s="104">
        <f t="shared" ref="W35:W64" si="3">IF(X35&gt;0,(X35-V35)/2,"")</f>
        <v>287.5</v>
      </c>
      <c r="X35" s="104">
        <v>2204</v>
      </c>
      <c r="Y35" s="104">
        <f t="shared" ref="Y35:Y64" si="4">IF(Z35&gt;0,(Z35-X35)/2,"")</f>
        <v>11</v>
      </c>
      <c r="Z35" s="104">
        <v>2226</v>
      </c>
      <c r="AA35" s="104">
        <f t="shared" ref="AA35:AA64" si="5">IF(AB35&gt;0,(AB35-Z35)/2,"")</f>
        <v>0</v>
      </c>
      <c r="AB35" s="104">
        <v>2226</v>
      </c>
      <c r="AC35" s="104">
        <f t="shared" ref="AC35:AC64" si="6">IF(AD35&gt;0,(AD35-AB35)/2,"")</f>
        <v>0</v>
      </c>
      <c r="AD35" s="104">
        <v>2226</v>
      </c>
      <c r="AE35" s="105">
        <f t="shared" ref="AE35:AE64" si="7">AD35-Q35</f>
        <v>-40</v>
      </c>
    </row>
    <row r="36" spans="2:31" ht="15.6" customHeight="1" x14ac:dyDescent="0.3">
      <c r="N36" s="212"/>
      <c r="O36" s="95" t="s">
        <v>66</v>
      </c>
      <c r="P36" s="106"/>
      <c r="Q36" s="106">
        <v>1541</v>
      </c>
      <c r="R36" s="106">
        <v>0</v>
      </c>
      <c r="S36" s="106">
        <f t="shared" si="1"/>
        <v>4.5</v>
      </c>
      <c r="T36" s="106">
        <v>9</v>
      </c>
      <c r="U36" s="106">
        <f t="shared" si="2"/>
        <v>92.5</v>
      </c>
      <c r="V36" s="106">
        <v>194</v>
      </c>
      <c r="W36" s="106">
        <f t="shared" si="3"/>
        <v>353.5</v>
      </c>
      <c r="X36" s="106">
        <v>901</v>
      </c>
      <c r="Y36" s="106">
        <f t="shared" si="4"/>
        <v>226</v>
      </c>
      <c r="Z36" s="106">
        <v>1353</v>
      </c>
      <c r="AA36" s="106">
        <f t="shared" si="5"/>
        <v>0</v>
      </c>
      <c r="AB36" s="106">
        <v>1353</v>
      </c>
      <c r="AC36" s="106">
        <f t="shared" si="6"/>
        <v>0</v>
      </c>
      <c r="AD36" s="106">
        <v>1353</v>
      </c>
      <c r="AE36" s="107">
        <f t="shared" si="7"/>
        <v>-188</v>
      </c>
    </row>
    <row r="37" spans="2:31" ht="15.6" customHeight="1" x14ac:dyDescent="0.3">
      <c r="N37" s="212"/>
      <c r="O37" s="94" t="s">
        <v>67</v>
      </c>
      <c r="P37" s="108"/>
      <c r="Q37" s="108">
        <v>2673</v>
      </c>
      <c r="R37" s="108">
        <v>420</v>
      </c>
      <c r="S37" s="108">
        <f t="shared" si="1"/>
        <v>7</v>
      </c>
      <c r="T37" s="108">
        <v>434</v>
      </c>
      <c r="U37" s="108">
        <f t="shared" si="2"/>
        <v>182.5</v>
      </c>
      <c r="V37" s="108">
        <v>799</v>
      </c>
      <c r="W37" s="108">
        <f t="shared" si="3"/>
        <v>336</v>
      </c>
      <c r="X37" s="108">
        <v>1471</v>
      </c>
      <c r="Y37" s="108">
        <f t="shared" si="4"/>
        <v>608.5</v>
      </c>
      <c r="Z37" s="108">
        <v>2688</v>
      </c>
      <c r="AA37" s="108">
        <f t="shared" si="5"/>
        <v>0</v>
      </c>
      <c r="AB37" s="108">
        <v>2688</v>
      </c>
      <c r="AC37" s="108">
        <f t="shared" si="6"/>
        <v>0</v>
      </c>
      <c r="AD37" s="108">
        <v>2688</v>
      </c>
      <c r="AE37" s="109">
        <f t="shared" si="7"/>
        <v>15</v>
      </c>
    </row>
    <row r="38" spans="2:31" ht="15.6" customHeight="1" x14ac:dyDescent="0.3">
      <c r="N38" s="212"/>
      <c r="O38" s="95" t="s">
        <v>68</v>
      </c>
      <c r="P38" s="106"/>
      <c r="Q38" s="106">
        <v>3736</v>
      </c>
      <c r="R38" s="106">
        <v>715</v>
      </c>
      <c r="S38" s="106">
        <f t="shared" si="1"/>
        <v>256</v>
      </c>
      <c r="T38" s="106">
        <v>1227</v>
      </c>
      <c r="U38" s="106">
        <f t="shared" si="2"/>
        <v>375</v>
      </c>
      <c r="V38" s="106">
        <v>1977</v>
      </c>
      <c r="W38" s="106">
        <f t="shared" si="3"/>
        <v>262</v>
      </c>
      <c r="X38" s="106">
        <v>2501</v>
      </c>
      <c r="Y38" s="106">
        <f t="shared" si="4"/>
        <v>324.5</v>
      </c>
      <c r="Z38" s="106">
        <v>3150</v>
      </c>
      <c r="AA38" s="106">
        <f t="shared" si="5"/>
        <v>0</v>
      </c>
      <c r="AB38" s="106">
        <v>3150</v>
      </c>
      <c r="AC38" s="106">
        <f t="shared" si="6"/>
        <v>0</v>
      </c>
      <c r="AD38" s="106">
        <v>3150</v>
      </c>
      <c r="AE38" s="107">
        <f t="shared" si="7"/>
        <v>-586</v>
      </c>
    </row>
    <row r="39" spans="2:31" ht="15.6" customHeight="1" x14ac:dyDescent="0.3">
      <c r="N39" s="212"/>
      <c r="O39" s="94" t="s">
        <v>69</v>
      </c>
      <c r="P39" s="108"/>
      <c r="Q39" s="108">
        <v>2544</v>
      </c>
      <c r="R39" s="108">
        <v>31</v>
      </c>
      <c r="S39" s="108">
        <f t="shared" si="1"/>
        <v>0</v>
      </c>
      <c r="T39" s="108">
        <v>31</v>
      </c>
      <c r="U39" s="108">
        <f t="shared" si="2"/>
        <v>894</v>
      </c>
      <c r="V39" s="108">
        <v>1819</v>
      </c>
      <c r="W39" s="108">
        <f t="shared" si="3"/>
        <v>0</v>
      </c>
      <c r="X39" s="108">
        <v>1819</v>
      </c>
      <c r="Y39" s="108">
        <f t="shared" si="4"/>
        <v>371</v>
      </c>
      <c r="Z39" s="108">
        <v>2561</v>
      </c>
      <c r="AA39" s="108">
        <f t="shared" si="5"/>
        <v>0</v>
      </c>
      <c r="AB39" s="108">
        <v>2561</v>
      </c>
      <c r="AC39" s="108">
        <f t="shared" si="6"/>
        <v>0</v>
      </c>
      <c r="AD39" s="108">
        <v>2561</v>
      </c>
      <c r="AE39" s="109">
        <f t="shared" si="7"/>
        <v>17</v>
      </c>
    </row>
    <row r="40" spans="2:31" ht="15.6" customHeight="1" x14ac:dyDescent="0.3">
      <c r="N40" s="212"/>
      <c r="O40" s="95" t="s">
        <v>70</v>
      </c>
      <c r="P40" s="106"/>
      <c r="Q40" s="106">
        <v>3749</v>
      </c>
      <c r="R40" s="106">
        <v>5</v>
      </c>
      <c r="S40" s="106">
        <f t="shared" si="1"/>
        <v>313.5</v>
      </c>
      <c r="T40" s="106">
        <v>632</v>
      </c>
      <c r="U40" s="106">
        <f t="shared" si="2"/>
        <v>510</v>
      </c>
      <c r="V40" s="106">
        <v>1652</v>
      </c>
      <c r="W40" s="106">
        <f t="shared" si="3"/>
        <v>171.5</v>
      </c>
      <c r="X40" s="106">
        <v>1995</v>
      </c>
      <c r="Y40" s="106">
        <f t="shared" si="4"/>
        <v>731</v>
      </c>
      <c r="Z40" s="106">
        <v>3457</v>
      </c>
      <c r="AA40" s="106">
        <f t="shared" si="5"/>
        <v>0</v>
      </c>
      <c r="AB40" s="106">
        <v>3457</v>
      </c>
      <c r="AC40" s="106">
        <f t="shared" si="6"/>
        <v>0</v>
      </c>
      <c r="AD40" s="106">
        <v>3457</v>
      </c>
      <c r="AE40" s="107">
        <f t="shared" si="7"/>
        <v>-292</v>
      </c>
    </row>
    <row r="41" spans="2:31" ht="15.6" customHeight="1" x14ac:dyDescent="0.3">
      <c r="N41" s="212"/>
      <c r="O41" s="94" t="s">
        <v>71</v>
      </c>
      <c r="P41" s="108"/>
      <c r="Q41" s="108">
        <v>1256</v>
      </c>
      <c r="R41" s="108">
        <v>0</v>
      </c>
      <c r="S41" s="108">
        <f t="shared" si="1"/>
        <v>427.5</v>
      </c>
      <c r="T41" s="108">
        <v>855</v>
      </c>
      <c r="U41" s="108">
        <f t="shared" si="2"/>
        <v>206.5</v>
      </c>
      <c r="V41" s="108">
        <v>1268</v>
      </c>
      <c r="W41" s="108">
        <f t="shared" si="3"/>
        <v>0</v>
      </c>
      <c r="X41" s="108">
        <v>1268</v>
      </c>
      <c r="Y41" s="108">
        <f t="shared" si="4"/>
        <v>0</v>
      </c>
      <c r="Z41" s="108">
        <v>1268</v>
      </c>
      <c r="AA41" s="108">
        <f t="shared" si="5"/>
        <v>0</v>
      </c>
      <c r="AB41" s="108">
        <v>1268</v>
      </c>
      <c r="AC41" s="108">
        <f t="shared" si="6"/>
        <v>0</v>
      </c>
      <c r="AD41" s="108">
        <v>1268</v>
      </c>
      <c r="AE41" s="109">
        <f t="shared" si="7"/>
        <v>12</v>
      </c>
    </row>
    <row r="42" spans="2:31" ht="15.6" customHeight="1" x14ac:dyDescent="0.3">
      <c r="N42" s="212"/>
      <c r="O42" s="95" t="s">
        <v>72</v>
      </c>
      <c r="P42" s="106"/>
      <c r="Q42" s="106">
        <v>1890</v>
      </c>
      <c r="R42" s="106">
        <v>0</v>
      </c>
      <c r="S42" s="106">
        <f t="shared" si="1"/>
        <v>299.5</v>
      </c>
      <c r="T42" s="106">
        <v>599</v>
      </c>
      <c r="U42" s="106">
        <f t="shared" si="2"/>
        <v>212.5</v>
      </c>
      <c r="V42" s="106">
        <v>1024</v>
      </c>
      <c r="W42" s="106">
        <f t="shared" si="3"/>
        <v>203.5</v>
      </c>
      <c r="X42" s="106">
        <v>1431</v>
      </c>
      <c r="Y42" s="106">
        <f t="shared" si="4"/>
        <v>0</v>
      </c>
      <c r="Z42" s="106">
        <v>1431</v>
      </c>
      <c r="AA42" s="106">
        <f t="shared" si="5"/>
        <v>0</v>
      </c>
      <c r="AB42" s="106">
        <v>1431</v>
      </c>
      <c r="AC42" s="106">
        <f t="shared" si="6"/>
        <v>0</v>
      </c>
      <c r="AD42" s="106">
        <v>1431</v>
      </c>
      <c r="AE42" s="107">
        <f t="shared" si="7"/>
        <v>-459</v>
      </c>
    </row>
    <row r="43" spans="2:31" ht="15.6" customHeight="1" thickBot="1" x14ac:dyDescent="0.35">
      <c r="N43" s="213"/>
      <c r="O43" s="97" t="s">
        <v>73</v>
      </c>
      <c r="P43" s="110"/>
      <c r="Q43" s="110">
        <v>1694</v>
      </c>
      <c r="R43" s="110">
        <v>778</v>
      </c>
      <c r="S43" s="110">
        <f t="shared" si="1"/>
        <v>0</v>
      </c>
      <c r="T43" s="110">
        <v>778</v>
      </c>
      <c r="U43" s="110">
        <f t="shared" si="2"/>
        <v>395</v>
      </c>
      <c r="V43" s="110">
        <v>1568</v>
      </c>
      <c r="W43" s="110">
        <f t="shared" si="3"/>
        <v>0</v>
      </c>
      <c r="X43" s="110">
        <v>1568</v>
      </c>
      <c r="Y43" s="110">
        <f t="shared" si="4"/>
        <v>0</v>
      </c>
      <c r="Z43" s="110">
        <v>1568</v>
      </c>
      <c r="AA43" s="110">
        <f t="shared" si="5"/>
        <v>0</v>
      </c>
      <c r="AB43" s="110">
        <v>1568</v>
      </c>
      <c r="AC43" s="110">
        <f t="shared" si="6"/>
        <v>0</v>
      </c>
      <c r="AD43" s="110">
        <v>1568</v>
      </c>
      <c r="AE43" s="111">
        <f t="shared" si="7"/>
        <v>-126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5062</v>
      </c>
      <c r="R44" s="112">
        <v>13</v>
      </c>
      <c r="S44" s="112">
        <f t="shared" si="1"/>
        <v>0</v>
      </c>
      <c r="T44" s="112">
        <v>13</v>
      </c>
      <c r="U44" s="112">
        <f t="shared" si="2"/>
        <v>0</v>
      </c>
      <c r="V44" s="112">
        <v>13</v>
      </c>
      <c r="W44" s="112">
        <f t="shared" si="3"/>
        <v>1004</v>
      </c>
      <c r="X44" s="112">
        <v>2021</v>
      </c>
      <c r="Y44" s="112">
        <f t="shared" si="4"/>
        <v>0</v>
      </c>
      <c r="Z44" s="112">
        <v>2021</v>
      </c>
      <c r="AA44" s="112">
        <f t="shared" si="5"/>
        <v>0</v>
      </c>
      <c r="AB44" s="112">
        <v>2021</v>
      </c>
      <c r="AC44" s="112">
        <f t="shared" si="6"/>
        <v>0</v>
      </c>
      <c r="AD44" s="112">
        <v>2021</v>
      </c>
      <c r="AE44" s="113">
        <f t="shared" si="7"/>
        <v>-3041</v>
      </c>
    </row>
    <row r="45" spans="2:31" ht="15.6" customHeight="1" x14ac:dyDescent="0.3">
      <c r="N45" s="212"/>
      <c r="O45" s="94" t="s">
        <v>66</v>
      </c>
      <c r="P45" s="108"/>
      <c r="Q45" s="108">
        <v>4185</v>
      </c>
      <c r="R45" s="108">
        <v>8</v>
      </c>
      <c r="S45" s="108">
        <f t="shared" si="1"/>
        <v>0</v>
      </c>
      <c r="T45" s="108">
        <v>8</v>
      </c>
      <c r="U45" s="108">
        <f t="shared" si="2"/>
        <v>0</v>
      </c>
      <c r="V45" s="108">
        <v>8</v>
      </c>
      <c r="W45" s="108">
        <f t="shared" si="3"/>
        <v>588</v>
      </c>
      <c r="X45" s="108">
        <v>1184</v>
      </c>
      <c r="Y45" s="108">
        <f t="shared" si="4"/>
        <v>711</v>
      </c>
      <c r="Z45" s="108">
        <v>2606</v>
      </c>
      <c r="AA45" s="108">
        <f t="shared" si="5"/>
        <v>0</v>
      </c>
      <c r="AB45" s="108">
        <v>2606</v>
      </c>
      <c r="AC45" s="108">
        <f t="shared" si="6"/>
        <v>0</v>
      </c>
      <c r="AD45" s="108">
        <v>2606</v>
      </c>
      <c r="AE45" s="109">
        <f t="shared" si="7"/>
        <v>-1579</v>
      </c>
    </row>
    <row r="46" spans="2:31" ht="15.6" customHeight="1" x14ac:dyDescent="0.3">
      <c r="N46" s="212"/>
      <c r="O46" s="95" t="s">
        <v>67</v>
      </c>
      <c r="P46" s="106"/>
      <c r="Q46" s="106">
        <v>2684</v>
      </c>
      <c r="R46" s="106">
        <v>8</v>
      </c>
      <c r="S46" s="106">
        <f t="shared" si="1"/>
        <v>0</v>
      </c>
      <c r="T46" s="106">
        <v>8</v>
      </c>
      <c r="U46" s="106">
        <f t="shared" si="2"/>
        <v>0</v>
      </c>
      <c r="V46" s="106">
        <v>8</v>
      </c>
      <c r="W46" s="106">
        <f t="shared" si="3"/>
        <v>751.5</v>
      </c>
      <c r="X46" s="106">
        <v>1511</v>
      </c>
      <c r="Y46" s="106">
        <f t="shared" si="4"/>
        <v>187</v>
      </c>
      <c r="Z46" s="106">
        <v>1885</v>
      </c>
      <c r="AA46" s="106">
        <f t="shared" si="5"/>
        <v>0</v>
      </c>
      <c r="AB46" s="106">
        <v>1885</v>
      </c>
      <c r="AC46" s="106">
        <f t="shared" si="6"/>
        <v>0</v>
      </c>
      <c r="AD46" s="106">
        <v>1885</v>
      </c>
      <c r="AE46" s="107">
        <f t="shared" si="7"/>
        <v>-799</v>
      </c>
    </row>
    <row r="47" spans="2:31" ht="15.6" customHeight="1" thickBot="1" x14ac:dyDescent="0.35">
      <c r="N47" s="213"/>
      <c r="O47" s="97" t="s">
        <v>68</v>
      </c>
      <c r="P47" s="110"/>
      <c r="Q47" s="110">
        <v>4258</v>
      </c>
      <c r="R47" s="110">
        <v>4</v>
      </c>
      <c r="S47" s="110">
        <f t="shared" si="1"/>
        <v>482.5</v>
      </c>
      <c r="T47" s="110">
        <v>969</v>
      </c>
      <c r="U47" s="110">
        <f t="shared" si="2"/>
        <v>0</v>
      </c>
      <c r="V47" s="110">
        <v>969</v>
      </c>
      <c r="W47" s="110">
        <f t="shared" si="3"/>
        <v>534</v>
      </c>
      <c r="X47" s="110">
        <v>2037</v>
      </c>
      <c r="Y47" s="110">
        <f t="shared" si="4"/>
        <v>0</v>
      </c>
      <c r="Z47" s="110">
        <v>2037</v>
      </c>
      <c r="AA47" s="110">
        <f t="shared" si="5"/>
        <v>0</v>
      </c>
      <c r="AB47" s="110">
        <v>2037</v>
      </c>
      <c r="AC47" s="110">
        <f t="shared" si="6"/>
        <v>0</v>
      </c>
      <c r="AD47" s="110">
        <v>2037</v>
      </c>
      <c r="AE47" s="111">
        <f t="shared" si="7"/>
        <v>-2221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292</v>
      </c>
      <c r="R48" s="112">
        <v>0</v>
      </c>
      <c r="S48" s="112">
        <f t="shared" si="1"/>
        <v>18</v>
      </c>
      <c r="T48" s="112">
        <v>36</v>
      </c>
      <c r="U48" s="112">
        <f t="shared" si="2"/>
        <v>49.5</v>
      </c>
      <c r="V48" s="112">
        <v>135</v>
      </c>
      <c r="W48" s="112">
        <f t="shared" si="3"/>
        <v>34</v>
      </c>
      <c r="X48" s="112">
        <v>203</v>
      </c>
      <c r="Y48" s="112">
        <f t="shared" si="4"/>
        <v>0</v>
      </c>
      <c r="Z48" s="112">
        <v>203</v>
      </c>
      <c r="AA48" s="112">
        <f t="shared" si="5"/>
        <v>0</v>
      </c>
      <c r="AB48" s="112">
        <v>203</v>
      </c>
      <c r="AC48" s="112">
        <f t="shared" si="6"/>
        <v>0</v>
      </c>
      <c r="AD48" s="112">
        <v>203</v>
      </c>
      <c r="AE48" s="113">
        <f t="shared" si="7"/>
        <v>-89</v>
      </c>
    </row>
    <row r="49" spans="14:31" ht="15.6" customHeight="1" x14ac:dyDescent="0.3">
      <c r="N49" s="212"/>
      <c r="O49" s="94" t="s">
        <v>66</v>
      </c>
      <c r="P49" s="108"/>
      <c r="Q49" s="108">
        <v>316</v>
      </c>
      <c r="R49" s="108">
        <v>0</v>
      </c>
      <c r="S49" s="108">
        <f t="shared" si="1"/>
        <v>154</v>
      </c>
      <c r="T49" s="108">
        <v>308</v>
      </c>
      <c r="U49" s="108">
        <f t="shared" si="2"/>
        <v>0</v>
      </c>
      <c r="V49" s="108">
        <v>308</v>
      </c>
      <c r="W49" s="108">
        <f t="shared" si="3"/>
        <v>0</v>
      </c>
      <c r="X49" s="108">
        <v>308</v>
      </c>
      <c r="Y49" s="108">
        <f t="shared" si="4"/>
        <v>1</v>
      </c>
      <c r="Z49" s="108">
        <v>310</v>
      </c>
      <c r="AA49" s="108">
        <f t="shared" si="5"/>
        <v>0</v>
      </c>
      <c r="AB49" s="108">
        <v>310</v>
      </c>
      <c r="AC49" s="108">
        <f t="shared" si="6"/>
        <v>0</v>
      </c>
      <c r="AD49" s="108">
        <v>310</v>
      </c>
      <c r="AE49" s="109">
        <f t="shared" si="7"/>
        <v>-6</v>
      </c>
    </row>
    <row r="50" spans="14:31" ht="15.6" customHeight="1" x14ac:dyDescent="0.3">
      <c r="N50" s="212"/>
      <c r="O50" s="95" t="s">
        <v>67</v>
      </c>
      <c r="P50" s="106"/>
      <c r="Q50" s="106">
        <v>1986</v>
      </c>
      <c r="R50" s="106">
        <v>0</v>
      </c>
      <c r="S50" s="106">
        <f t="shared" si="1"/>
        <v>199.5</v>
      </c>
      <c r="T50" s="106">
        <v>399</v>
      </c>
      <c r="U50" s="106">
        <f t="shared" si="2"/>
        <v>118.5</v>
      </c>
      <c r="V50" s="106">
        <v>636</v>
      </c>
      <c r="W50" s="106">
        <f t="shared" si="3"/>
        <v>13.5</v>
      </c>
      <c r="X50" s="106">
        <v>663</v>
      </c>
      <c r="Y50" s="106">
        <f t="shared" si="4"/>
        <v>125.5</v>
      </c>
      <c r="Z50" s="106">
        <v>914</v>
      </c>
      <c r="AA50" s="106">
        <f t="shared" si="5"/>
        <v>0</v>
      </c>
      <c r="AB50" s="106">
        <v>914</v>
      </c>
      <c r="AC50" s="106">
        <f t="shared" si="6"/>
        <v>0</v>
      </c>
      <c r="AD50" s="106">
        <v>914</v>
      </c>
      <c r="AE50" s="107">
        <f t="shared" si="7"/>
        <v>-1072</v>
      </c>
    </row>
    <row r="51" spans="14:31" ht="15.6" customHeight="1" x14ac:dyDescent="0.3">
      <c r="N51" s="212"/>
      <c r="O51" s="94" t="s">
        <v>68</v>
      </c>
      <c r="P51" s="108"/>
      <c r="Q51" s="108">
        <v>925</v>
      </c>
      <c r="R51" s="108">
        <v>455</v>
      </c>
      <c r="S51" s="108">
        <f t="shared" si="1"/>
        <v>66</v>
      </c>
      <c r="T51" s="108">
        <v>587</v>
      </c>
      <c r="U51" s="108">
        <f t="shared" si="2"/>
        <v>112</v>
      </c>
      <c r="V51" s="108">
        <v>811</v>
      </c>
      <c r="W51" s="108">
        <f t="shared" si="3"/>
        <v>51.5</v>
      </c>
      <c r="X51" s="108">
        <v>914</v>
      </c>
      <c r="Y51" s="108">
        <f t="shared" si="4"/>
        <v>-87.5</v>
      </c>
      <c r="Z51" s="108">
        <v>739</v>
      </c>
      <c r="AA51" s="108">
        <f t="shared" si="5"/>
        <v>0</v>
      </c>
      <c r="AB51" s="108">
        <v>739</v>
      </c>
      <c r="AC51" s="108">
        <f t="shared" si="6"/>
        <v>0</v>
      </c>
      <c r="AD51" s="108">
        <v>739</v>
      </c>
      <c r="AE51" s="109">
        <f t="shared" si="7"/>
        <v>-186</v>
      </c>
    </row>
    <row r="52" spans="14:31" ht="15.6" customHeight="1" x14ac:dyDescent="0.3">
      <c r="N52" s="212"/>
      <c r="O52" s="95" t="s">
        <v>69</v>
      </c>
      <c r="P52" s="106"/>
      <c r="Q52" s="106">
        <v>2991</v>
      </c>
      <c r="R52" s="106">
        <v>3</v>
      </c>
      <c r="S52" s="106">
        <f t="shared" si="1"/>
        <v>176</v>
      </c>
      <c r="T52" s="106">
        <v>355</v>
      </c>
      <c r="U52" s="106">
        <f t="shared" si="2"/>
        <v>27</v>
      </c>
      <c r="V52" s="106">
        <v>409</v>
      </c>
      <c r="W52" s="106">
        <f t="shared" si="3"/>
        <v>420.5</v>
      </c>
      <c r="X52" s="106">
        <v>1250</v>
      </c>
      <c r="Y52" s="106">
        <f t="shared" si="4"/>
        <v>133</v>
      </c>
      <c r="Z52" s="106">
        <v>1516</v>
      </c>
      <c r="AA52" s="106">
        <f t="shared" si="5"/>
        <v>0</v>
      </c>
      <c r="AB52" s="106">
        <v>1516</v>
      </c>
      <c r="AC52" s="106">
        <f t="shared" si="6"/>
        <v>0</v>
      </c>
      <c r="AD52" s="106">
        <v>1516</v>
      </c>
      <c r="AE52" s="107">
        <f t="shared" si="7"/>
        <v>-1475</v>
      </c>
    </row>
    <row r="53" spans="14:31" ht="15.6" customHeight="1" x14ac:dyDescent="0.3">
      <c r="N53" s="212"/>
      <c r="O53" s="94" t="s">
        <v>70</v>
      </c>
      <c r="P53" s="108"/>
      <c r="Q53" s="108">
        <v>1643</v>
      </c>
      <c r="R53" s="108">
        <v>12</v>
      </c>
      <c r="S53" s="108">
        <f t="shared" si="1"/>
        <v>0</v>
      </c>
      <c r="T53" s="108">
        <v>12</v>
      </c>
      <c r="U53" s="108">
        <f t="shared" si="2"/>
        <v>0</v>
      </c>
      <c r="V53" s="108">
        <v>12</v>
      </c>
      <c r="W53" s="108">
        <f t="shared" si="3"/>
        <v>128</v>
      </c>
      <c r="X53" s="108">
        <v>268</v>
      </c>
      <c r="Y53" s="108">
        <f t="shared" si="4"/>
        <v>0</v>
      </c>
      <c r="Z53" s="108">
        <v>268</v>
      </c>
      <c r="AA53" s="108">
        <f t="shared" si="5"/>
        <v>0</v>
      </c>
      <c r="AB53" s="108">
        <v>268</v>
      </c>
      <c r="AC53" s="108">
        <f t="shared" si="6"/>
        <v>0</v>
      </c>
      <c r="AD53" s="108">
        <v>268</v>
      </c>
      <c r="AE53" s="109">
        <f t="shared" si="7"/>
        <v>-1375</v>
      </c>
    </row>
    <row r="54" spans="14:31" ht="15.6" customHeight="1" x14ac:dyDescent="0.3">
      <c r="N54" s="212"/>
      <c r="O54" s="95" t="s">
        <v>71</v>
      </c>
      <c r="P54" s="106"/>
      <c r="Q54" s="106">
        <v>1085</v>
      </c>
      <c r="R54" s="106">
        <v>5</v>
      </c>
      <c r="S54" s="106">
        <f t="shared" si="1"/>
        <v>151.5</v>
      </c>
      <c r="T54" s="106">
        <v>308</v>
      </c>
      <c r="U54" s="106">
        <f t="shared" si="2"/>
        <v>0</v>
      </c>
      <c r="V54" s="106">
        <v>308</v>
      </c>
      <c r="W54" s="106">
        <f t="shared" si="3"/>
        <v>0</v>
      </c>
      <c r="X54" s="106">
        <v>308</v>
      </c>
      <c r="Y54" s="106">
        <f t="shared" si="4"/>
        <v>-6</v>
      </c>
      <c r="Z54" s="106">
        <v>296</v>
      </c>
      <c r="AA54" s="106">
        <f t="shared" si="5"/>
        <v>0</v>
      </c>
      <c r="AB54" s="106">
        <v>296</v>
      </c>
      <c r="AC54" s="106">
        <f t="shared" si="6"/>
        <v>0</v>
      </c>
      <c r="AD54" s="106">
        <v>296</v>
      </c>
      <c r="AE54" s="107">
        <f t="shared" si="7"/>
        <v>-789</v>
      </c>
    </row>
    <row r="55" spans="14:31" ht="15.6" customHeight="1" x14ac:dyDescent="0.3">
      <c r="N55" s="212"/>
      <c r="O55" s="94" t="s">
        <v>72</v>
      </c>
      <c r="P55" s="108"/>
      <c r="Q55" s="108">
        <v>378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189</v>
      </c>
      <c r="V55" s="108">
        <v>378</v>
      </c>
      <c r="W55" s="108">
        <f t="shared" si="3"/>
        <v>0</v>
      </c>
      <c r="X55" s="108">
        <v>378</v>
      </c>
      <c r="Y55" s="108">
        <f t="shared" si="4"/>
        <v>2</v>
      </c>
      <c r="Z55" s="108">
        <v>382</v>
      </c>
      <c r="AA55" s="108">
        <f t="shared" si="5"/>
        <v>0</v>
      </c>
      <c r="AB55" s="108">
        <v>382</v>
      </c>
      <c r="AC55" s="108">
        <f t="shared" si="6"/>
        <v>0</v>
      </c>
      <c r="AD55" s="108">
        <v>382</v>
      </c>
      <c r="AE55" s="109">
        <f t="shared" si="7"/>
        <v>4</v>
      </c>
    </row>
    <row r="56" spans="14:31" ht="15.6" customHeight="1" thickBot="1" x14ac:dyDescent="0.35">
      <c r="N56" s="213"/>
      <c r="O56" s="99" t="s">
        <v>73</v>
      </c>
      <c r="P56" s="114"/>
      <c r="Q56" s="114">
        <v>362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157.5</v>
      </c>
      <c r="V56" s="114">
        <v>315</v>
      </c>
      <c r="W56" s="114">
        <f t="shared" si="3"/>
        <v>23</v>
      </c>
      <c r="X56" s="114">
        <v>361</v>
      </c>
      <c r="Y56" s="114">
        <f t="shared" si="4"/>
        <v>-82</v>
      </c>
      <c r="Z56" s="114">
        <v>197</v>
      </c>
      <c r="AA56" s="114">
        <f t="shared" si="5"/>
        <v>0</v>
      </c>
      <c r="AB56" s="114">
        <v>197</v>
      </c>
      <c r="AC56" s="114">
        <f t="shared" si="6"/>
        <v>0</v>
      </c>
      <c r="AD56" s="114">
        <v>197</v>
      </c>
      <c r="AE56" s="115">
        <f t="shared" si="7"/>
        <v>-165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5691</v>
      </c>
      <c r="R57" s="104">
        <v>765</v>
      </c>
      <c r="S57" s="104">
        <f t="shared" si="1"/>
        <v>294</v>
      </c>
      <c r="T57" s="104">
        <v>1353</v>
      </c>
      <c r="U57" s="104">
        <f t="shared" si="2"/>
        <v>1085</v>
      </c>
      <c r="V57" s="104">
        <v>3523</v>
      </c>
      <c r="W57" s="104">
        <f t="shared" si="3"/>
        <v>294.5</v>
      </c>
      <c r="X57" s="104">
        <v>4112</v>
      </c>
      <c r="Y57" s="104">
        <f t="shared" si="4"/>
        <v>324</v>
      </c>
      <c r="Z57" s="104">
        <v>4760</v>
      </c>
      <c r="AA57" s="104">
        <f t="shared" si="5"/>
        <v>0</v>
      </c>
      <c r="AB57" s="104">
        <v>4760</v>
      </c>
      <c r="AC57" s="104">
        <f t="shared" si="6"/>
        <v>0</v>
      </c>
      <c r="AD57" s="104">
        <v>4760</v>
      </c>
      <c r="AE57" s="105">
        <f t="shared" si="7"/>
        <v>-931</v>
      </c>
    </row>
    <row r="58" spans="14:31" ht="15.6" customHeight="1" x14ac:dyDescent="0.3">
      <c r="N58" s="212"/>
      <c r="O58" s="95" t="s">
        <v>66</v>
      </c>
      <c r="P58" s="106"/>
      <c r="Q58" s="106">
        <v>4506</v>
      </c>
      <c r="R58" s="106">
        <v>192</v>
      </c>
      <c r="S58" s="106">
        <f t="shared" si="1"/>
        <v>561</v>
      </c>
      <c r="T58" s="106">
        <v>1314</v>
      </c>
      <c r="U58" s="106">
        <f t="shared" si="2"/>
        <v>265</v>
      </c>
      <c r="V58" s="106">
        <v>1844</v>
      </c>
      <c r="W58" s="106">
        <f t="shared" si="3"/>
        <v>938.5</v>
      </c>
      <c r="X58" s="106">
        <v>3721</v>
      </c>
      <c r="Y58" s="106">
        <f t="shared" si="4"/>
        <v>-226</v>
      </c>
      <c r="Z58" s="106">
        <v>3269</v>
      </c>
      <c r="AA58" s="106">
        <f t="shared" si="5"/>
        <v>0</v>
      </c>
      <c r="AB58" s="106">
        <v>3269</v>
      </c>
      <c r="AC58" s="106">
        <f t="shared" si="6"/>
        <v>0</v>
      </c>
      <c r="AD58" s="106">
        <v>3269</v>
      </c>
      <c r="AE58" s="107">
        <f t="shared" si="7"/>
        <v>-1237</v>
      </c>
    </row>
    <row r="59" spans="14:31" ht="15.6" customHeight="1" x14ac:dyDescent="0.3">
      <c r="N59" s="212"/>
      <c r="O59" s="94" t="s">
        <v>67</v>
      </c>
      <c r="P59" s="108"/>
      <c r="Q59" s="108">
        <v>3403</v>
      </c>
      <c r="R59" s="108">
        <v>594</v>
      </c>
      <c r="S59" s="108">
        <f t="shared" si="1"/>
        <v>135</v>
      </c>
      <c r="T59" s="108">
        <v>864</v>
      </c>
      <c r="U59" s="108">
        <f t="shared" si="2"/>
        <v>283.5</v>
      </c>
      <c r="V59" s="108">
        <v>1431</v>
      </c>
      <c r="W59" s="108">
        <f t="shared" si="3"/>
        <v>657.5</v>
      </c>
      <c r="X59" s="108">
        <v>2746</v>
      </c>
      <c r="Y59" s="108">
        <f t="shared" si="4"/>
        <v>-161</v>
      </c>
      <c r="Z59" s="108">
        <v>2424</v>
      </c>
      <c r="AA59" s="108">
        <f t="shared" si="5"/>
        <v>0</v>
      </c>
      <c r="AB59" s="108">
        <v>2424</v>
      </c>
      <c r="AC59" s="108">
        <f t="shared" si="6"/>
        <v>0</v>
      </c>
      <c r="AD59" s="108">
        <v>2424</v>
      </c>
      <c r="AE59" s="109">
        <f t="shared" si="7"/>
        <v>-979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7621</v>
      </c>
      <c r="R61" s="104">
        <v>390</v>
      </c>
      <c r="S61" s="104">
        <f t="shared" si="1"/>
        <v>698</v>
      </c>
      <c r="T61" s="104">
        <v>1786</v>
      </c>
      <c r="U61" s="104">
        <f t="shared" si="2"/>
        <v>376</v>
      </c>
      <c r="V61" s="104">
        <v>2538</v>
      </c>
      <c r="W61" s="104">
        <f t="shared" si="3"/>
        <v>736.5</v>
      </c>
      <c r="X61" s="104">
        <v>4011</v>
      </c>
      <c r="Y61" s="104">
        <f t="shared" si="4"/>
        <v>77</v>
      </c>
      <c r="Z61" s="104">
        <v>4165</v>
      </c>
      <c r="AA61" s="104">
        <f t="shared" si="5"/>
        <v>0</v>
      </c>
      <c r="AB61" s="104">
        <v>4165</v>
      </c>
      <c r="AC61" s="104">
        <f t="shared" si="6"/>
        <v>0</v>
      </c>
      <c r="AD61" s="104">
        <v>4165</v>
      </c>
      <c r="AE61" s="105">
        <f t="shared" si="7"/>
        <v>-3456</v>
      </c>
    </row>
    <row r="62" spans="14:31" ht="15.6" customHeight="1" x14ac:dyDescent="0.3">
      <c r="N62" s="212"/>
      <c r="O62" s="95" t="s">
        <v>66</v>
      </c>
      <c r="P62" s="106"/>
      <c r="Q62" s="106">
        <v>7959</v>
      </c>
      <c r="R62" s="106">
        <v>2315</v>
      </c>
      <c r="S62" s="106">
        <f t="shared" si="1"/>
        <v>346</v>
      </c>
      <c r="T62" s="106">
        <v>3007</v>
      </c>
      <c r="U62" s="106">
        <f t="shared" si="2"/>
        <v>376</v>
      </c>
      <c r="V62" s="106">
        <v>3759</v>
      </c>
      <c r="W62" s="106">
        <f t="shared" si="3"/>
        <v>345.5</v>
      </c>
      <c r="X62" s="106">
        <v>4450</v>
      </c>
      <c r="Y62" s="106">
        <f t="shared" si="4"/>
        <v>296</v>
      </c>
      <c r="Z62" s="106">
        <v>5042</v>
      </c>
      <c r="AA62" s="106">
        <f t="shared" si="5"/>
        <v>0</v>
      </c>
      <c r="AB62" s="106">
        <v>5042</v>
      </c>
      <c r="AC62" s="106">
        <f t="shared" si="6"/>
        <v>0</v>
      </c>
      <c r="AD62" s="106">
        <v>5042</v>
      </c>
      <c r="AE62" s="107">
        <f t="shared" si="7"/>
        <v>-2917</v>
      </c>
    </row>
    <row r="63" spans="14:31" ht="15.6" customHeight="1" x14ac:dyDescent="0.3">
      <c r="N63" s="212"/>
      <c r="O63" s="94" t="s">
        <v>67</v>
      </c>
      <c r="P63" s="108"/>
      <c r="Q63" s="108">
        <v>5249</v>
      </c>
      <c r="R63" s="108">
        <v>1808</v>
      </c>
      <c r="S63" s="108">
        <f t="shared" si="1"/>
        <v>465.5</v>
      </c>
      <c r="T63" s="108">
        <v>2739</v>
      </c>
      <c r="U63" s="108">
        <f t="shared" si="2"/>
        <v>75.5</v>
      </c>
      <c r="V63" s="108">
        <v>2890</v>
      </c>
      <c r="W63" s="108">
        <f t="shared" si="3"/>
        <v>337.5</v>
      </c>
      <c r="X63" s="108">
        <v>3565</v>
      </c>
      <c r="Y63" s="108">
        <f t="shared" si="4"/>
        <v>105</v>
      </c>
      <c r="Z63" s="108">
        <v>3775</v>
      </c>
      <c r="AA63" s="108">
        <f t="shared" si="5"/>
        <v>0</v>
      </c>
      <c r="AB63" s="108">
        <v>3775</v>
      </c>
      <c r="AC63" s="108">
        <f t="shared" si="6"/>
        <v>0</v>
      </c>
      <c r="AD63" s="108">
        <v>3775</v>
      </c>
      <c r="AE63" s="109">
        <f t="shared" si="7"/>
        <v>-1474</v>
      </c>
    </row>
    <row r="64" spans="14:31" ht="15.6" customHeight="1" thickBot="1" x14ac:dyDescent="0.35">
      <c r="N64" s="213"/>
      <c r="O64" s="99" t="s">
        <v>68</v>
      </c>
      <c r="P64" s="114"/>
      <c r="Q64" s="114">
        <v>2391</v>
      </c>
      <c r="R64" s="114">
        <v>0</v>
      </c>
      <c r="S64" s="114">
        <f t="shared" si="1"/>
        <v>434.5</v>
      </c>
      <c r="T64" s="114">
        <v>869</v>
      </c>
      <c r="U64" s="114">
        <f t="shared" si="2"/>
        <v>50.5</v>
      </c>
      <c r="V64" s="114">
        <v>970</v>
      </c>
      <c r="W64" s="114">
        <f t="shared" si="3"/>
        <v>160.5</v>
      </c>
      <c r="X64" s="114">
        <v>1291</v>
      </c>
      <c r="Y64" s="114">
        <f t="shared" si="4"/>
        <v>0</v>
      </c>
      <c r="Z64" s="114">
        <v>1291</v>
      </c>
      <c r="AA64" s="114">
        <f t="shared" si="5"/>
        <v>0</v>
      </c>
      <c r="AB64" s="114">
        <v>1291</v>
      </c>
      <c r="AC64" s="114">
        <f t="shared" si="6"/>
        <v>0</v>
      </c>
      <c r="AD64" s="114">
        <v>1291</v>
      </c>
      <c r="AE64" s="115">
        <f t="shared" si="7"/>
        <v>-1100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55" priority="11" operator="lessThan">
      <formula>0</formula>
    </cfRule>
    <cfRule type="cellIs" dxfId="1354" priority="12" operator="greaterThan">
      <formula>0</formula>
    </cfRule>
  </conditionalFormatting>
  <conditionalFormatting sqref="R25:AC25">
    <cfRule type="cellIs" dxfId="1353" priority="9" operator="lessThan">
      <formula>0</formula>
    </cfRule>
    <cfRule type="cellIs" dxfId="1352" priority="10" operator="greaterThan">
      <formula>0</formula>
    </cfRule>
  </conditionalFormatting>
  <conditionalFormatting sqref="R26 T26 V26 X26 Z26 AB26">
    <cfRule type="cellIs" dxfId="1351" priority="7" operator="lessThan">
      <formula>0</formula>
    </cfRule>
    <cfRule type="cellIs" dxfId="1350" priority="8" operator="greaterThan">
      <formula>0</formula>
    </cfRule>
  </conditionalFormatting>
  <conditionalFormatting sqref="AD24:AE24">
    <cfRule type="cellIs" dxfId="1349" priority="5" operator="lessThan">
      <formula>0</formula>
    </cfRule>
    <cfRule type="cellIs" dxfId="1348" priority="6" operator="greaterThan">
      <formula>0</formula>
    </cfRule>
  </conditionalFormatting>
  <conditionalFormatting sqref="AD25:AE25">
    <cfRule type="cellIs" dxfId="1347" priority="3" operator="lessThan">
      <formula>0</formula>
    </cfRule>
    <cfRule type="cellIs" dxfId="1346" priority="4" operator="greaterThan">
      <formula>0</formula>
    </cfRule>
  </conditionalFormatting>
  <conditionalFormatting sqref="AD26">
    <cfRule type="cellIs" dxfId="1345" priority="1" operator="lessThan">
      <formula>0</formula>
    </cfRule>
    <cfRule type="cellIs" dxfId="13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>
    <tabColor theme="1"/>
    <pageSetUpPr fitToPage="1"/>
  </sheetPr>
  <dimension ref="B1:AQ64"/>
  <sheetViews>
    <sheetView topLeftCell="A4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44406</v>
      </c>
    </row>
    <row r="3" spans="2:42" ht="18.75" customHeight="1" thickBot="1" x14ac:dyDescent="0.35">
      <c r="B3" t="s">
        <v>1</v>
      </c>
      <c r="C3" s="3">
        <f>C2+1</f>
        <v>44407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5304</v>
      </c>
      <c r="E6" s="18" t="s">
        <v>22</v>
      </c>
      <c r="F6" s="119">
        <v>22693</v>
      </c>
      <c r="G6" s="117">
        <v>18933.711625</v>
      </c>
      <c r="H6" s="117">
        <v>17295.485321079999</v>
      </c>
      <c r="I6" s="19">
        <f>G6+H6</f>
        <v>36229.196946080003</v>
      </c>
      <c r="J6" s="119">
        <v>22410</v>
      </c>
      <c r="K6" s="117">
        <v>18103.896750000011</v>
      </c>
      <c r="L6" s="117">
        <v>16481.677308060011</v>
      </c>
      <c r="M6" s="19">
        <f>K6+L6</f>
        <v>34585.574058060025</v>
      </c>
      <c r="N6" s="85">
        <v>65</v>
      </c>
      <c r="O6" s="85">
        <v>52</v>
      </c>
      <c r="P6" s="92"/>
      <c r="Q6" s="20">
        <f>J6-P6</f>
        <v>22410</v>
      </c>
      <c r="R6" s="21">
        <v>445</v>
      </c>
      <c r="S6" s="20">
        <f>IF(R6&gt;0,(R6-R7-$Q6),"")</f>
        <v>-21965</v>
      </c>
      <c r="T6" s="21">
        <v>2603</v>
      </c>
      <c r="U6" s="20">
        <f>IF(T6&gt;0,(T6-T7-$Q6),"")</f>
        <v>-19826</v>
      </c>
      <c r="V6" s="21">
        <v>6596</v>
      </c>
      <c r="W6" s="20">
        <f>IF(V6&gt;0,(V6-V7-$Q6),"")</f>
        <v>-15879</v>
      </c>
      <c r="X6" s="21">
        <v>13538</v>
      </c>
      <c r="Y6" s="20">
        <f>IF(X6&gt;0,(X6-X7-$Q6),"")</f>
        <v>-8961</v>
      </c>
      <c r="Z6" s="21">
        <v>17283</v>
      </c>
      <c r="AA6" s="20">
        <f>IF(Z6&gt;0,(Z6-Z7-$Q6),"")</f>
        <v>-5240</v>
      </c>
      <c r="AB6" s="21">
        <v>17413</v>
      </c>
      <c r="AC6" s="22">
        <f>IF(AB6&gt;0,(AB6-AB7-$Q6),"")</f>
        <v>-5110</v>
      </c>
      <c r="AD6" s="21">
        <v>17413</v>
      </c>
      <c r="AE6" s="22">
        <f>IF(AD6&gt;0,(AD6-AD7-$Q6),"")</f>
        <v>-5110</v>
      </c>
    </row>
    <row r="7" spans="2:42" x14ac:dyDescent="0.3">
      <c r="B7" s="16" t="s">
        <v>23</v>
      </c>
      <c r="C7" s="17">
        <v>2269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0</v>
      </c>
      <c r="S7" s="24"/>
      <c r="T7" s="25">
        <v>19</v>
      </c>
      <c r="U7" s="24"/>
      <c r="V7" s="25">
        <v>65</v>
      </c>
      <c r="W7" s="24"/>
      <c r="X7" s="25">
        <v>89</v>
      </c>
      <c r="Y7" s="24"/>
      <c r="Z7" s="25">
        <v>113</v>
      </c>
      <c r="AA7" s="24"/>
      <c r="AB7" s="25">
        <v>113</v>
      </c>
      <c r="AC7" s="26"/>
      <c r="AD7" s="25">
        <v>113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2598</v>
      </c>
      <c r="E8" s="29" t="s">
        <v>27</v>
      </c>
      <c r="F8" s="119">
        <v>14975</v>
      </c>
      <c r="G8" s="117">
        <v>6328.8725000000004</v>
      </c>
      <c r="H8" s="117">
        <v>1380.3296415</v>
      </c>
      <c r="I8" s="19">
        <f>G8+H8</f>
        <v>7709.2021414999999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29</v>
      </c>
      <c r="O8" s="87">
        <v>23</v>
      </c>
      <c r="P8" s="92"/>
      <c r="Q8" s="20">
        <f>J8-P8</f>
        <v>0</v>
      </c>
      <c r="R8" s="21">
        <v>1019</v>
      </c>
      <c r="S8" s="20">
        <f>IF(R8&gt;0,(R8-R9-$Q8),"")</f>
        <v>1019</v>
      </c>
      <c r="T8" s="21">
        <v>1019</v>
      </c>
      <c r="U8" s="20">
        <f>IF(T8&gt;0,(T8-T9-$Q8),"")</f>
        <v>1019</v>
      </c>
      <c r="V8" s="21">
        <v>1019</v>
      </c>
      <c r="W8" s="20">
        <f>IF(V8&gt;0,(V8-V9-$Q8),"")</f>
        <v>1019</v>
      </c>
      <c r="X8" s="21">
        <v>6008</v>
      </c>
      <c r="Y8" s="20">
        <f>IF(X8&gt;0,(X8-X9-$Q8),"")</f>
        <v>6008</v>
      </c>
      <c r="Z8" s="21">
        <v>10456</v>
      </c>
      <c r="AA8" s="20">
        <f>IF(Z8&gt;0,(Z8-Z9-$Q8),"")</f>
        <v>10456</v>
      </c>
      <c r="AB8" s="21">
        <v>10456</v>
      </c>
      <c r="AC8" s="22">
        <f>IF(AB8&gt;0,(AB8-AB9-$Q8),"")</f>
        <v>10456</v>
      </c>
      <c r="AD8" s="21">
        <v>10456</v>
      </c>
      <c r="AE8" s="22">
        <f>IF(AD8&gt;0,(AD8-AD9-$Q8),"")</f>
        <v>10456</v>
      </c>
    </row>
    <row r="9" spans="2:42" x14ac:dyDescent="0.3">
      <c r="B9" s="28" t="s">
        <v>28</v>
      </c>
      <c r="C9" s="17">
        <v>1761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4332</v>
      </c>
      <c r="E10" s="18" t="s">
        <v>31</v>
      </c>
      <c r="F10" s="119">
        <v>20760</v>
      </c>
      <c r="G10" s="117">
        <v>15644.706249999999</v>
      </c>
      <c r="H10" s="117">
        <v>1925.1550500000001</v>
      </c>
      <c r="I10" s="19">
        <f>G10+H10</f>
        <v>17569.8613</v>
      </c>
      <c r="J10" s="119">
        <v>20896</v>
      </c>
      <c r="K10" s="117">
        <v>15648.43525</v>
      </c>
      <c r="L10" s="117">
        <v>1860.89373</v>
      </c>
      <c r="M10" s="19">
        <f>K10+L10</f>
        <v>17509.328980000002</v>
      </c>
      <c r="N10" s="88">
        <v>48</v>
      </c>
      <c r="O10" s="88">
        <v>40</v>
      </c>
      <c r="P10" s="92"/>
      <c r="Q10" s="20">
        <f>J10-P10</f>
        <v>20896</v>
      </c>
      <c r="R10" s="21">
        <v>4046</v>
      </c>
      <c r="S10" s="20">
        <f>IF(R10&gt;0,(R10-R11-$Q10),"")</f>
        <v>-17144</v>
      </c>
      <c r="T10" s="21">
        <v>4809</v>
      </c>
      <c r="U10" s="20">
        <f>IF(T10&gt;0,(T10-T11-$Q10),"")</f>
        <v>-16468</v>
      </c>
      <c r="V10" s="21">
        <v>7610</v>
      </c>
      <c r="W10" s="20">
        <f>IF(V10&gt;0,(V10-V11-$Q10),"")</f>
        <v>-14035</v>
      </c>
      <c r="X10" s="21">
        <v>11428</v>
      </c>
      <c r="Y10" s="20">
        <f>IF(X10&gt;0,(X10-X11-$Q10),"")</f>
        <v>-10266</v>
      </c>
      <c r="Z10" s="21">
        <v>14374</v>
      </c>
      <c r="AA10" s="20">
        <f>IF(Z10&gt;0,(Z10-Z11-$Q10),"")</f>
        <v>-8458</v>
      </c>
      <c r="AB10" s="21">
        <v>14374</v>
      </c>
      <c r="AC10" s="22">
        <f>IF(AB10&gt;0,(AB10-AB11-$Q10),"")</f>
        <v>-8458</v>
      </c>
      <c r="AD10" s="21">
        <v>14374</v>
      </c>
      <c r="AE10" s="22">
        <f>IF(AD10&gt;0,(AD10-AD11-$Q10),"")</f>
        <v>-8458</v>
      </c>
    </row>
    <row r="11" spans="2:42" x14ac:dyDescent="0.3">
      <c r="B11" s="16" t="s">
        <v>32</v>
      </c>
      <c r="C11" s="17">
        <v>2308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294</v>
      </c>
      <c r="S11" s="24"/>
      <c r="T11" s="30">
        <v>381</v>
      </c>
      <c r="U11" s="24"/>
      <c r="V11" s="30">
        <v>749</v>
      </c>
      <c r="W11" s="24"/>
      <c r="X11" s="30">
        <v>798</v>
      </c>
      <c r="Y11" s="24"/>
      <c r="Z11" s="30">
        <v>1936</v>
      </c>
      <c r="AA11" s="24"/>
      <c r="AB11" s="30">
        <v>1936</v>
      </c>
      <c r="AC11" s="26"/>
      <c r="AD11" s="30">
        <v>1936</v>
      </c>
      <c r="AE11" s="26"/>
    </row>
    <row r="12" spans="2:42" x14ac:dyDescent="0.3">
      <c r="B12" s="16" t="s">
        <v>34</v>
      </c>
      <c r="C12" s="17">
        <v>1648</v>
      </c>
      <c r="E12" s="29" t="s">
        <v>35</v>
      </c>
      <c r="F12" s="119">
        <v>15637</v>
      </c>
      <c r="G12" s="117">
        <v>12194.435374999999</v>
      </c>
      <c r="H12" s="117">
        <v>19596.797868580001</v>
      </c>
      <c r="I12" s="19">
        <f>G12+H12</f>
        <v>31791.233243579998</v>
      </c>
      <c r="J12" s="119">
        <v>15391</v>
      </c>
      <c r="K12" s="117">
        <v>11425.650625</v>
      </c>
      <c r="L12" s="117">
        <v>17764.358579119991</v>
      </c>
      <c r="M12" s="19">
        <f>K12+L12</f>
        <v>29190.00920411999</v>
      </c>
      <c r="N12" s="88">
        <v>49</v>
      </c>
      <c r="O12" s="88">
        <v>36</v>
      </c>
      <c r="P12" s="92"/>
      <c r="Q12" s="20">
        <f>J12-P12</f>
        <v>15391</v>
      </c>
      <c r="R12" s="21">
        <v>3733</v>
      </c>
      <c r="S12" s="20">
        <f>IF(R12&gt;0,(R12-R13-$Q12),"")</f>
        <v>-12465</v>
      </c>
      <c r="T12" s="21">
        <v>5421</v>
      </c>
      <c r="U12" s="20">
        <f>IF(T12&gt;0,(T12-T13-$Q12),"")</f>
        <v>-10777</v>
      </c>
      <c r="V12" s="21">
        <v>7284</v>
      </c>
      <c r="W12" s="20">
        <f>IF(V12&gt;0,(V12-V13-$Q12),"")</f>
        <v>-9524</v>
      </c>
      <c r="X12" s="21">
        <v>8187</v>
      </c>
      <c r="Y12" s="20">
        <f>IF(X12&gt;0,(X12-X13-$Q12),"")</f>
        <v>-8621</v>
      </c>
      <c r="Z12" s="21">
        <v>10612</v>
      </c>
      <c r="AA12" s="20">
        <f>IF(Z12&gt;0,(Z12-Z13-$Q12),"")</f>
        <v>-6196</v>
      </c>
      <c r="AB12" s="21">
        <v>10612</v>
      </c>
      <c r="AC12" s="22">
        <f>IF(AB12&gt;0,(AB12-AB13-$Q12),"")</f>
        <v>-6196</v>
      </c>
      <c r="AD12" s="21">
        <v>10612</v>
      </c>
      <c r="AE12" s="22">
        <f>IF(AD12&gt;0,(AD12-AD13-$Q12),"")</f>
        <v>-6196</v>
      </c>
    </row>
    <row r="13" spans="2:42" x14ac:dyDescent="0.3">
      <c r="B13" s="16" t="s">
        <v>36</v>
      </c>
      <c r="C13" s="17">
        <v>4799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807</v>
      </c>
      <c r="S13" s="24"/>
      <c r="T13" s="30">
        <v>807</v>
      </c>
      <c r="U13" s="24"/>
      <c r="V13" s="30">
        <v>1417</v>
      </c>
      <c r="W13" s="24"/>
      <c r="X13" s="30">
        <v>1417</v>
      </c>
      <c r="Y13" s="24"/>
      <c r="Z13" s="30">
        <v>1417</v>
      </c>
      <c r="AA13" s="24"/>
      <c r="AB13" s="30">
        <v>1417</v>
      </c>
      <c r="AC13" s="26"/>
      <c r="AD13" s="30">
        <v>1417</v>
      </c>
      <c r="AE13" s="26"/>
    </row>
    <row r="14" spans="2:42" x14ac:dyDescent="0.3">
      <c r="B14" s="16" t="s">
        <v>38</v>
      </c>
      <c r="C14" s="17">
        <v>12103</v>
      </c>
      <c r="E14" s="18" t="s">
        <v>39</v>
      </c>
      <c r="F14" s="119">
        <v>18711</v>
      </c>
      <c r="G14" s="117">
        <v>17587.9375</v>
      </c>
      <c r="H14" s="117">
        <v>20437.639416790011</v>
      </c>
      <c r="I14" s="19">
        <f>G14+H14</f>
        <v>38025.576916790014</v>
      </c>
      <c r="J14" s="119">
        <v>18793</v>
      </c>
      <c r="K14" s="117">
        <v>17731.1875</v>
      </c>
      <c r="L14" s="117">
        <v>20534.057645069999</v>
      </c>
      <c r="M14" s="19">
        <f>K14+L14</f>
        <v>38265.245145070003</v>
      </c>
      <c r="N14" s="88">
        <v>60</v>
      </c>
      <c r="O14" s="88">
        <v>47</v>
      </c>
      <c r="P14" s="92"/>
      <c r="Q14" s="20">
        <f>J14-P14</f>
        <v>18793</v>
      </c>
      <c r="R14" s="21">
        <v>5661</v>
      </c>
      <c r="S14" s="20">
        <f>IF(R14&gt;0,(R14-R15-$Q14),"")</f>
        <v>-18273</v>
      </c>
      <c r="T14" s="21">
        <v>9107</v>
      </c>
      <c r="U14" s="20">
        <f>IF(T14&gt;0,(T14-T15-$Q14),"")</f>
        <v>-17459</v>
      </c>
      <c r="V14" s="21">
        <v>11774</v>
      </c>
      <c r="W14" s="20">
        <f>IF(V14&gt;0,(V14-V15-$Q14),"")</f>
        <v>-16098</v>
      </c>
      <c r="X14" s="21">
        <v>13105</v>
      </c>
      <c r="Y14" s="20">
        <f>IF(X14&gt;0,(X14-X15-$Q14),"")</f>
        <v>-14924</v>
      </c>
      <c r="Z14" s="21">
        <v>13105</v>
      </c>
      <c r="AA14" s="20">
        <f>IF(Z14&gt;0,(Z14-Z15-$Q14),"")</f>
        <v>-14924</v>
      </c>
      <c r="AB14" s="21">
        <v>13105</v>
      </c>
      <c r="AC14" s="22">
        <f>IF(AB14&gt;0,(AB14-AB15-$Q14),"")</f>
        <v>-14924</v>
      </c>
      <c r="AD14" s="21">
        <v>13105</v>
      </c>
      <c r="AE14" s="22">
        <f>IF(AD14&gt;0,(AD14-AD15-$Q14),"")</f>
        <v>-14924</v>
      </c>
    </row>
    <row r="15" spans="2:42" ht="15" customHeight="1" thickBot="1" x14ac:dyDescent="0.3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5141</v>
      </c>
      <c r="S15" s="24"/>
      <c r="T15" s="25">
        <v>7773</v>
      </c>
      <c r="U15" s="24"/>
      <c r="V15" s="25">
        <v>9079</v>
      </c>
      <c r="W15" s="24"/>
      <c r="X15" s="25">
        <v>9236</v>
      </c>
      <c r="Y15" s="24"/>
      <c r="Z15" s="25">
        <v>9236</v>
      </c>
      <c r="AA15" s="24"/>
      <c r="AB15" s="25">
        <v>9236</v>
      </c>
      <c r="AC15" s="26"/>
      <c r="AD15" s="25">
        <v>9236</v>
      </c>
      <c r="AE15" s="26"/>
    </row>
    <row r="16" spans="2:42" ht="15" customHeight="1" thickBot="1" x14ac:dyDescent="0.35">
      <c r="B16" s="28" t="s">
        <v>42</v>
      </c>
      <c r="C16" s="17">
        <v>14023</v>
      </c>
      <c r="E16" s="84"/>
      <c r="F16" s="31">
        <f t="shared" ref="F16:M16" si="0">SUM(F6:F15)</f>
        <v>92776</v>
      </c>
      <c r="G16" s="31">
        <f t="shared" si="0"/>
        <v>70689.663249999998</v>
      </c>
      <c r="H16" s="31">
        <f t="shared" si="0"/>
        <v>60635.40729795002</v>
      </c>
      <c r="I16" s="32">
        <f t="shared" si="0"/>
        <v>131325.07054795002</v>
      </c>
      <c r="J16" s="33">
        <f t="shared" si="0"/>
        <v>77490</v>
      </c>
      <c r="K16" s="33">
        <f t="shared" si="0"/>
        <v>62909.170125000011</v>
      </c>
      <c r="L16" s="33">
        <f t="shared" si="0"/>
        <v>56640.987262249997</v>
      </c>
      <c r="M16" s="33">
        <f t="shared" si="0"/>
        <v>119550.15738725003</v>
      </c>
      <c r="N16" s="31">
        <f>SUM(N14,N12,N10,N8,N6)</f>
        <v>251</v>
      </c>
      <c r="O16" s="31">
        <f>SUM(O14,O12,O10,O8,O6)</f>
        <v>198</v>
      </c>
      <c r="P16" s="34">
        <f>SUM(P6:P15)</f>
        <v>0</v>
      </c>
      <c r="Q16" s="34">
        <f>SUM(Q6:Q15)</f>
        <v>77490</v>
      </c>
      <c r="R16" s="35">
        <f>R6+R8+R10+R12+R14-R7-R9-R11-R13-R15</f>
        <v>8662</v>
      </c>
      <c r="S16" s="36">
        <f>IF(R16&gt;1,(R16-$Q16),"")</f>
        <v>-68828</v>
      </c>
      <c r="T16" s="35">
        <f>T6+T8+T10+T12+T14-T7-T9-T11-T13-T15</f>
        <v>13979</v>
      </c>
      <c r="U16" s="36">
        <f>IF(T16&gt;1,(T16-$Q16),"")</f>
        <v>-63511</v>
      </c>
      <c r="V16" s="35">
        <f>V6+V8+V10+V12+V14-V7-V9-V11-V13-V15</f>
        <v>22973</v>
      </c>
      <c r="W16" s="36">
        <f>IF(V16&gt;1,(V16-$Q16),"")</f>
        <v>-54517</v>
      </c>
      <c r="X16" s="35">
        <f>X6+X8+X10+X12+X14-X7-X9-X11-X13-X15</f>
        <v>40726</v>
      </c>
      <c r="Y16" s="36">
        <f>IF(X16&gt;1,(X16-$Q16),"")</f>
        <v>-36764</v>
      </c>
      <c r="Z16" s="35">
        <f>Z6+Z8+Z10+Z12+Z14-Z7-Z9-Z11-Z13-Z15</f>
        <v>53128</v>
      </c>
      <c r="AA16" s="36">
        <f>IF(Z16&gt;1,(Z16-$Q16),"")</f>
        <v>-24362</v>
      </c>
      <c r="AB16" s="35">
        <f>AB6+AB8+AB10+AB12+AB14-AB7-AB9-AB11-AB13-AB15</f>
        <v>53258</v>
      </c>
      <c r="AC16" s="37">
        <f>IF(AB16&gt;1,(AB16-$Q16),"")</f>
        <v>-24232</v>
      </c>
      <c r="AD16" s="35">
        <f>AD6+AD8+AD10+AD12+AD14-AD7-AD9-AD11-AD13-AD15</f>
        <v>53258</v>
      </c>
      <c r="AE16" s="37">
        <f>IF(AD16&gt;1,(AD16-$Q16),"")</f>
        <v>-24232</v>
      </c>
    </row>
    <row r="17" spans="2:43" s="4" customFormat="1" ht="15" customHeight="1" thickBot="1" x14ac:dyDescent="0.35">
      <c r="B17" s="43" t="s">
        <v>47</v>
      </c>
      <c r="C17" s="17">
        <v>1466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6242</v>
      </c>
      <c r="S17" s="41"/>
      <c r="T17" s="40">
        <f>T15+T13+T11+T9+T7</f>
        <v>8980</v>
      </c>
      <c r="U17" s="41"/>
      <c r="V17" s="40">
        <f>V15+V13+V11+V9+V7</f>
        <v>11310</v>
      </c>
      <c r="W17" s="41"/>
      <c r="X17" s="40">
        <f>X15+X13+X11+X9+X7</f>
        <v>11540</v>
      </c>
      <c r="Y17" s="41"/>
      <c r="Z17" s="40">
        <f>Z15+Z13+Z11+Z9+Z7</f>
        <v>12702</v>
      </c>
      <c r="AA17" s="41"/>
      <c r="AB17" s="40">
        <f>AB15+AB13+AB11+AB9+AB7</f>
        <v>12702</v>
      </c>
      <c r="AC17" s="42"/>
      <c r="AD17" s="40">
        <f>AD15+AD13+AD11+AD9+AD7</f>
        <v>12702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4331</v>
      </c>
      <c r="S18" s="46"/>
      <c r="T18" s="47">
        <f>IF(T16&gt;0,(T16-R16)/2,"")</f>
        <v>2658.5</v>
      </c>
      <c r="U18" s="46"/>
      <c r="V18" s="47">
        <f>IF(V16&gt;0,(V16-T16)/2,"")</f>
        <v>4497</v>
      </c>
      <c r="W18" s="46"/>
      <c r="X18" s="47">
        <f>IF(X16&gt;0,(X16-V16)/2,"")</f>
        <v>8876.5</v>
      </c>
      <c r="Y18" s="46"/>
      <c r="Z18" s="47">
        <f>IF(Z16&gt;0,(Z16-X16)/2,"")</f>
        <v>6201</v>
      </c>
      <c r="AA18" s="46"/>
      <c r="AB18" s="47">
        <f>IF(AB16&gt;0,(AB16-Z16)/2,"")</f>
        <v>65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/>
      <c r="L20" s="4"/>
      <c r="M20" s="4"/>
      <c r="Q20" s="51" t="s">
        <v>49</v>
      </c>
      <c r="R20" s="35">
        <v>4267</v>
      </c>
      <c r="S20" s="36">
        <v>-80465</v>
      </c>
      <c r="T20" s="35">
        <v>11336</v>
      </c>
      <c r="U20" s="36">
        <v>-73396</v>
      </c>
      <c r="V20" s="35">
        <v>22640</v>
      </c>
      <c r="W20" s="36">
        <v>-62092</v>
      </c>
      <c r="X20" s="35">
        <v>38532</v>
      </c>
      <c r="Y20" s="36">
        <v>-46200</v>
      </c>
      <c r="Z20" s="35">
        <v>45720</v>
      </c>
      <c r="AA20" s="36">
        <v>-39012</v>
      </c>
      <c r="AB20" s="35">
        <v>45720</v>
      </c>
      <c r="AC20" s="37">
        <v>-39012</v>
      </c>
      <c r="AD20" s="35">
        <v>45720</v>
      </c>
      <c r="AE20" s="37">
        <v>-39012</v>
      </c>
    </row>
    <row r="21" spans="2:43" ht="15" customHeight="1" thickBot="1" x14ac:dyDescent="0.35">
      <c r="B21" s="57" t="s">
        <v>52</v>
      </c>
      <c r="C21" s="58"/>
      <c r="M21" s="4"/>
      <c r="Q21" s="52"/>
      <c r="R21" s="40">
        <v>4254</v>
      </c>
      <c r="S21" s="41"/>
      <c r="T21" s="40">
        <v>8417</v>
      </c>
      <c r="U21" s="41"/>
      <c r="V21" s="40">
        <v>10729</v>
      </c>
      <c r="W21" s="41"/>
      <c r="X21" s="40">
        <v>12197</v>
      </c>
      <c r="Y21" s="41"/>
      <c r="Z21" s="40">
        <v>12460</v>
      </c>
      <c r="AA21" s="41"/>
      <c r="AB21" s="40">
        <v>12460</v>
      </c>
      <c r="AC21" s="42"/>
      <c r="AD21" s="40">
        <v>12460</v>
      </c>
      <c r="AE21" s="42"/>
    </row>
    <row r="22" spans="2:43" ht="15" customHeight="1" thickBot="1" x14ac:dyDescent="0.35">
      <c r="M22" s="4"/>
      <c r="Q22" s="54"/>
      <c r="R22" s="55">
        <v>2133.5</v>
      </c>
      <c r="S22" s="55"/>
      <c r="T22" s="55">
        <v>3534.5</v>
      </c>
      <c r="U22" s="55"/>
      <c r="V22" s="55">
        <v>5652</v>
      </c>
      <c r="W22" s="55"/>
      <c r="X22" s="55">
        <v>7946</v>
      </c>
      <c r="Y22" s="55"/>
      <c r="Z22" s="55">
        <v>3594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4395</v>
      </c>
      <c r="S24" s="60"/>
      <c r="T24" s="60">
        <f>IF(T16&gt;0,T16-T20,"")</f>
        <v>2643</v>
      </c>
      <c r="U24" s="60"/>
      <c r="V24" s="60">
        <f>IF(V16&gt;0,V16-V20,"")</f>
        <v>333</v>
      </c>
      <c r="W24" s="60"/>
      <c r="X24" s="60">
        <f>IF(X16&gt;0,X16-X20,"")</f>
        <v>2194</v>
      </c>
      <c r="Y24" s="60"/>
      <c r="Z24" s="60">
        <f>IF(Z16&gt;0,Z16-Z20,"")</f>
        <v>7408</v>
      </c>
      <c r="AA24" s="60"/>
      <c r="AB24" s="60">
        <f>IF(AB16&gt;0,AB16-AB20,"")</f>
        <v>7538</v>
      </c>
      <c r="AC24" s="61"/>
      <c r="AD24" s="60">
        <f>IF(AD16&gt;0,AD16-AD20,"")</f>
        <v>7538</v>
      </c>
      <c r="AE24" s="61"/>
    </row>
    <row r="25" spans="2:43" x14ac:dyDescent="0.3">
      <c r="M25" s="4"/>
      <c r="Q25" s="62"/>
      <c r="R25" s="63">
        <f>IF(R17&gt;=0,R17-R21,"")</f>
        <v>1988</v>
      </c>
      <c r="S25" s="64"/>
      <c r="T25" s="63">
        <f>IF(T17&gt;=0,T17-T21,"")</f>
        <v>563</v>
      </c>
      <c r="U25" s="64"/>
      <c r="V25" s="63">
        <f>IF(V17&gt;=0,V17-V21,"")</f>
        <v>581</v>
      </c>
      <c r="W25" s="64"/>
      <c r="X25" s="63">
        <f>IF(X17&gt;=0,X17-X21,"")</f>
        <v>-657</v>
      </c>
      <c r="Y25" s="64"/>
      <c r="Z25" s="63">
        <f>IF(Z17&gt;=0,Z17-Z21,"")</f>
        <v>242</v>
      </c>
      <c r="AA25" s="64"/>
      <c r="AB25" s="63">
        <f>IF(AB17&gt;=0,AB17-AB21,"")</f>
        <v>242</v>
      </c>
      <c r="AC25" s="65"/>
      <c r="AD25" s="63">
        <f>IF(AD17&gt;=0,AD17-AD21,"")</f>
        <v>242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2197.5</v>
      </c>
      <c r="S26" s="55"/>
      <c r="T26" s="67">
        <f>IFERROR(IF(T18&gt;0,T18-T22,""),"")</f>
        <v>-876</v>
      </c>
      <c r="U26" s="55"/>
      <c r="V26" s="67">
        <f>IFERROR(IF(V18&gt;0,V18-V22,""),"")</f>
        <v>-1155</v>
      </c>
      <c r="W26" s="55"/>
      <c r="X26" s="67">
        <f>IFERROR(IF(X18&gt;0,X18-X22,""),"")</f>
        <v>930.5</v>
      </c>
      <c r="Y26" s="55"/>
      <c r="Z26" s="67">
        <f>IFERROR(IF(Z18&gt;0,Z18-Z22,""),"")</f>
        <v>2607</v>
      </c>
      <c r="AA26" s="55"/>
      <c r="AB26" s="67">
        <f>IFERROR(IF(AB18&gt;0,AB18-AB22,""),"")</f>
        <v>65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12126</v>
      </c>
      <c r="D29" s="76">
        <f>C14</f>
        <v>12103</v>
      </c>
      <c r="E29" s="77">
        <f>D29-C29</f>
        <v>-23</v>
      </c>
      <c r="O29" s="4"/>
    </row>
    <row r="30" spans="2:43" x14ac:dyDescent="0.3">
      <c r="B30" s="74" t="s">
        <v>56</v>
      </c>
      <c r="C30" s="122">
        <v>36000</v>
      </c>
      <c r="D30" s="76">
        <f>C7+C15+C16+C17+C18</f>
        <v>20939</v>
      </c>
      <c r="E30" s="77">
        <f>D30-C30</f>
        <v>-15061</v>
      </c>
      <c r="J30" s="53"/>
      <c r="O30" s="4"/>
    </row>
    <row r="31" spans="2:43" x14ac:dyDescent="0.3">
      <c r="B31" s="74" t="s">
        <v>21</v>
      </c>
      <c r="C31" s="122">
        <v>5304</v>
      </c>
      <c r="D31" s="76">
        <f>C6</f>
        <v>5304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13087</v>
      </c>
      <c r="D32" s="76">
        <f>C10+C11+C12+C13</f>
        <v>13087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14480</v>
      </c>
      <c r="D33" s="76">
        <f>C19+C20+C21</f>
        <v>0</v>
      </c>
      <c r="E33" s="77">
        <f>D33-C33</f>
        <v>-14480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4359</v>
      </c>
      <c r="D34" s="80">
        <f>SUM(C8+C9)</f>
        <v>4359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61.5</v>
      </c>
      <c r="T35" s="104">
        <v>123</v>
      </c>
      <c r="U35" s="104">
        <f t="shared" ref="U35:U64" si="2">IF(V35&gt;0,(V35-T35)/2,"")</f>
        <v>262.5</v>
      </c>
      <c r="V35" s="104">
        <v>648</v>
      </c>
      <c r="W35" s="104">
        <f t="shared" ref="W35:W64" si="3">IF(X35&gt;0,(X35-V35)/2,"")</f>
        <v>512</v>
      </c>
      <c r="X35" s="104">
        <v>1672</v>
      </c>
      <c r="Y35" s="104">
        <f t="shared" ref="Y35:Y64" si="4">IF(Z35&gt;0,(Z35-X35)/2,"")</f>
        <v>291.5</v>
      </c>
      <c r="Z35" s="104">
        <v>2255</v>
      </c>
      <c r="AA35" s="104">
        <f t="shared" ref="AA35:AA64" si="5">IF(AB35&gt;0,(AB35-Z35)/2,"")</f>
        <v>0</v>
      </c>
      <c r="AB35" s="104">
        <v>2255</v>
      </c>
      <c r="AC35" s="104">
        <f t="shared" ref="AC35:AC64" si="6">IF(AD35&gt;0,(AD35-AB35)/2,"")</f>
        <v>0</v>
      </c>
      <c r="AD35" s="104">
        <v>2255</v>
      </c>
      <c r="AE35" s="105">
        <f t="shared" ref="AE35:AE64" si="7">AD35-Q35</f>
        <v>2255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100</v>
      </c>
      <c r="V36" s="106">
        <v>200</v>
      </c>
      <c r="W36" s="106">
        <f t="shared" si="3"/>
        <v>308.5</v>
      </c>
      <c r="X36" s="106">
        <v>817</v>
      </c>
      <c r="Y36" s="106">
        <f t="shared" si="4"/>
        <v>334.5</v>
      </c>
      <c r="Z36" s="106">
        <v>1486</v>
      </c>
      <c r="AA36" s="106">
        <f t="shared" si="5"/>
        <v>0</v>
      </c>
      <c r="AB36" s="106">
        <v>1486</v>
      </c>
      <c r="AC36" s="106">
        <f t="shared" si="6"/>
        <v>0</v>
      </c>
      <c r="AD36" s="106">
        <v>1486</v>
      </c>
      <c r="AE36" s="107">
        <f t="shared" si="7"/>
        <v>1486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420</v>
      </c>
      <c r="S37" s="108">
        <f t="shared" si="1"/>
        <v>0</v>
      </c>
      <c r="T37" s="108">
        <v>420</v>
      </c>
      <c r="U37" s="108">
        <f t="shared" si="2"/>
        <v>185</v>
      </c>
      <c r="V37" s="108">
        <v>790</v>
      </c>
      <c r="W37" s="108">
        <f t="shared" si="3"/>
        <v>624.5</v>
      </c>
      <c r="X37" s="108">
        <v>2039</v>
      </c>
      <c r="Y37" s="108">
        <f t="shared" si="4"/>
        <v>225</v>
      </c>
      <c r="Z37" s="108">
        <v>2489</v>
      </c>
      <c r="AA37" s="108">
        <f t="shared" si="5"/>
        <v>0</v>
      </c>
      <c r="AB37" s="108">
        <v>2489</v>
      </c>
      <c r="AC37" s="108">
        <f t="shared" si="6"/>
        <v>0</v>
      </c>
      <c r="AD37" s="108">
        <v>2489</v>
      </c>
      <c r="AE37" s="109">
        <f t="shared" si="7"/>
        <v>2489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0</v>
      </c>
      <c r="S38" s="106">
        <f t="shared" si="1"/>
        <v>359</v>
      </c>
      <c r="T38" s="106">
        <v>718</v>
      </c>
      <c r="U38" s="106">
        <f t="shared" si="2"/>
        <v>661.5</v>
      </c>
      <c r="V38" s="106">
        <v>2041</v>
      </c>
      <c r="W38" s="106">
        <f t="shared" si="3"/>
        <v>460.5</v>
      </c>
      <c r="X38" s="106">
        <v>2962</v>
      </c>
      <c r="Y38" s="106">
        <f t="shared" si="4"/>
        <v>153.5</v>
      </c>
      <c r="Z38" s="106">
        <v>3269</v>
      </c>
      <c r="AA38" s="106">
        <f t="shared" si="5"/>
        <v>0</v>
      </c>
      <c r="AB38" s="106">
        <v>3269</v>
      </c>
      <c r="AC38" s="106">
        <f t="shared" si="6"/>
        <v>0</v>
      </c>
      <c r="AD38" s="106">
        <v>3269</v>
      </c>
      <c r="AE38" s="107">
        <f t="shared" si="7"/>
        <v>3269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9</v>
      </c>
      <c r="S39" s="108">
        <f t="shared" si="1"/>
        <v>0</v>
      </c>
      <c r="T39" s="108">
        <v>9</v>
      </c>
      <c r="U39" s="108">
        <f t="shared" si="2"/>
        <v>155.5</v>
      </c>
      <c r="V39" s="108">
        <v>320</v>
      </c>
      <c r="W39" s="108">
        <f t="shared" si="3"/>
        <v>277.5</v>
      </c>
      <c r="X39" s="108">
        <v>875</v>
      </c>
      <c r="Y39" s="108">
        <f t="shared" si="4"/>
        <v>351</v>
      </c>
      <c r="Z39" s="108">
        <v>1577</v>
      </c>
      <c r="AA39" s="108">
        <f t="shared" si="5"/>
        <v>0</v>
      </c>
      <c r="AB39" s="108">
        <v>1577</v>
      </c>
      <c r="AC39" s="108">
        <f t="shared" si="6"/>
        <v>0</v>
      </c>
      <c r="AD39" s="108">
        <v>1577</v>
      </c>
      <c r="AE39" s="109">
        <f t="shared" si="7"/>
        <v>1577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16</v>
      </c>
      <c r="S40" s="106">
        <f t="shared" si="1"/>
        <v>0</v>
      </c>
      <c r="T40" s="106">
        <v>16</v>
      </c>
      <c r="U40" s="106">
        <f t="shared" si="2"/>
        <v>0</v>
      </c>
      <c r="V40" s="106">
        <v>16</v>
      </c>
      <c r="W40" s="106">
        <f t="shared" si="3"/>
        <v>491.5</v>
      </c>
      <c r="X40" s="106">
        <v>999</v>
      </c>
      <c r="Y40" s="106">
        <f t="shared" si="4"/>
        <v>467</v>
      </c>
      <c r="Z40" s="106">
        <v>1933</v>
      </c>
      <c r="AA40" s="106">
        <f t="shared" si="5"/>
        <v>0</v>
      </c>
      <c r="AB40" s="106">
        <v>1933</v>
      </c>
      <c r="AC40" s="106">
        <f t="shared" si="6"/>
        <v>0</v>
      </c>
      <c r="AD40" s="106">
        <v>1933</v>
      </c>
      <c r="AE40" s="107">
        <f t="shared" si="7"/>
        <v>1933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>
        <f t="shared" si="2"/>
        <v>397.5</v>
      </c>
      <c r="V41" s="108">
        <v>795</v>
      </c>
      <c r="W41" s="108">
        <f t="shared" si="3"/>
        <v>187.5</v>
      </c>
      <c r="X41" s="108">
        <v>1170</v>
      </c>
      <c r="Y41" s="108">
        <f t="shared" si="4"/>
        <v>0</v>
      </c>
      <c r="Z41" s="108">
        <v>1170</v>
      </c>
      <c r="AA41" s="108">
        <f t="shared" si="5"/>
        <v>0</v>
      </c>
      <c r="AB41" s="108">
        <v>1170</v>
      </c>
      <c r="AC41" s="108">
        <f t="shared" si="6"/>
        <v>0</v>
      </c>
      <c r="AD41" s="108">
        <v>1170</v>
      </c>
      <c r="AE41" s="109">
        <f t="shared" si="7"/>
        <v>1170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0</v>
      </c>
      <c r="S42" s="106">
        <f t="shared" si="1"/>
        <v>291</v>
      </c>
      <c r="T42" s="106">
        <v>582</v>
      </c>
      <c r="U42" s="106">
        <f t="shared" si="2"/>
        <v>6.5</v>
      </c>
      <c r="V42" s="106">
        <v>595</v>
      </c>
      <c r="W42" s="106">
        <f t="shared" si="3"/>
        <v>403.5</v>
      </c>
      <c r="X42" s="106">
        <v>1402</v>
      </c>
      <c r="Y42" s="106">
        <f t="shared" si="4"/>
        <v>0</v>
      </c>
      <c r="Z42" s="106">
        <v>1402</v>
      </c>
      <c r="AA42" s="106">
        <f t="shared" si="5"/>
        <v>0</v>
      </c>
      <c r="AB42" s="106">
        <v>1402</v>
      </c>
      <c r="AC42" s="106">
        <f t="shared" si="6"/>
        <v>0</v>
      </c>
      <c r="AD42" s="106">
        <v>1402</v>
      </c>
      <c r="AE42" s="107">
        <f t="shared" si="7"/>
        <v>1402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>
        <f t="shared" si="1"/>
        <v>367.5</v>
      </c>
      <c r="T43" s="110">
        <v>735</v>
      </c>
      <c r="U43" s="110">
        <f t="shared" si="2"/>
        <v>228</v>
      </c>
      <c r="V43" s="110">
        <v>1191</v>
      </c>
      <c r="W43" s="110">
        <f t="shared" si="3"/>
        <v>205.5</v>
      </c>
      <c r="X43" s="110">
        <v>1602</v>
      </c>
      <c r="Y43" s="110">
        <f t="shared" si="4"/>
        <v>50</v>
      </c>
      <c r="Z43" s="110">
        <v>1702</v>
      </c>
      <c r="AA43" s="110">
        <f t="shared" si="5"/>
        <v>65</v>
      </c>
      <c r="AB43" s="110">
        <v>1832</v>
      </c>
      <c r="AC43" s="110">
        <f t="shared" si="6"/>
        <v>0</v>
      </c>
      <c r="AD43" s="110">
        <v>1832</v>
      </c>
      <c r="AE43" s="111">
        <f t="shared" si="7"/>
        <v>1832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1000</v>
      </c>
      <c r="S44" s="112">
        <f t="shared" si="1"/>
        <v>0</v>
      </c>
      <c r="T44" s="112">
        <v>1000</v>
      </c>
      <c r="U44" s="112">
        <f t="shared" si="2"/>
        <v>0</v>
      </c>
      <c r="V44" s="112">
        <v>1000</v>
      </c>
      <c r="W44" s="112">
        <f t="shared" si="3"/>
        <v>1934.5</v>
      </c>
      <c r="X44" s="112">
        <v>4869</v>
      </c>
      <c r="Y44" s="112">
        <f t="shared" si="4"/>
        <v>0</v>
      </c>
      <c r="Z44" s="112">
        <v>4869</v>
      </c>
      <c r="AA44" s="112">
        <f t="shared" si="5"/>
        <v>0</v>
      </c>
      <c r="AB44" s="112">
        <v>4869</v>
      </c>
      <c r="AC44" s="112">
        <f t="shared" si="6"/>
        <v>0</v>
      </c>
      <c r="AD44" s="112">
        <v>4869</v>
      </c>
      <c r="AE44" s="113">
        <f t="shared" si="7"/>
        <v>4869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8</v>
      </c>
      <c r="S45" s="108">
        <f t="shared" si="1"/>
        <v>0</v>
      </c>
      <c r="T45" s="108">
        <v>8</v>
      </c>
      <c r="U45" s="108">
        <f t="shared" si="2"/>
        <v>0</v>
      </c>
      <c r="V45" s="108">
        <v>8</v>
      </c>
      <c r="W45" s="108">
        <f t="shared" si="3"/>
        <v>0</v>
      </c>
      <c r="X45" s="108">
        <v>8</v>
      </c>
      <c r="Y45" s="108">
        <f t="shared" si="4"/>
        <v>1286</v>
      </c>
      <c r="Z45" s="108">
        <v>2580</v>
      </c>
      <c r="AA45" s="108">
        <f t="shared" si="5"/>
        <v>0</v>
      </c>
      <c r="AB45" s="108">
        <v>2580</v>
      </c>
      <c r="AC45" s="108">
        <f t="shared" si="6"/>
        <v>0</v>
      </c>
      <c r="AD45" s="108">
        <v>2580</v>
      </c>
      <c r="AE45" s="109">
        <f t="shared" si="7"/>
        <v>2580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5</v>
      </c>
      <c r="S46" s="106">
        <f t="shared" si="1"/>
        <v>0</v>
      </c>
      <c r="T46" s="106">
        <v>5</v>
      </c>
      <c r="U46" s="106">
        <f t="shared" si="2"/>
        <v>0</v>
      </c>
      <c r="V46" s="106">
        <v>5</v>
      </c>
      <c r="W46" s="106">
        <f t="shared" si="3"/>
        <v>156.5</v>
      </c>
      <c r="X46" s="106">
        <v>318</v>
      </c>
      <c r="Y46" s="106">
        <f t="shared" si="4"/>
        <v>432</v>
      </c>
      <c r="Z46" s="106">
        <v>1182</v>
      </c>
      <c r="AA46" s="106">
        <f t="shared" si="5"/>
        <v>0</v>
      </c>
      <c r="AB46" s="106">
        <v>1182</v>
      </c>
      <c r="AC46" s="106">
        <f t="shared" si="6"/>
        <v>0</v>
      </c>
      <c r="AD46" s="106">
        <v>1182</v>
      </c>
      <c r="AE46" s="107">
        <f t="shared" si="7"/>
        <v>1182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6</v>
      </c>
      <c r="S47" s="110">
        <f t="shared" si="1"/>
        <v>0</v>
      </c>
      <c r="T47" s="110">
        <v>6</v>
      </c>
      <c r="U47" s="110">
        <f t="shared" si="2"/>
        <v>0</v>
      </c>
      <c r="V47" s="110">
        <v>6</v>
      </c>
      <c r="W47" s="110">
        <f t="shared" si="3"/>
        <v>403.5</v>
      </c>
      <c r="X47" s="110">
        <v>813</v>
      </c>
      <c r="Y47" s="110">
        <f t="shared" si="4"/>
        <v>506</v>
      </c>
      <c r="Z47" s="110">
        <v>1825</v>
      </c>
      <c r="AA47" s="110">
        <f t="shared" si="5"/>
        <v>0</v>
      </c>
      <c r="AB47" s="110">
        <v>1825</v>
      </c>
      <c r="AC47" s="110">
        <f t="shared" si="6"/>
        <v>0</v>
      </c>
      <c r="AD47" s="110">
        <v>1825</v>
      </c>
      <c r="AE47" s="111">
        <f t="shared" si="7"/>
        <v>1825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971</v>
      </c>
      <c r="S48" s="112">
        <f t="shared" si="1"/>
        <v>0</v>
      </c>
      <c r="T48" s="112">
        <v>971</v>
      </c>
      <c r="U48" s="112">
        <f t="shared" si="2"/>
        <v>448.5</v>
      </c>
      <c r="V48" s="112">
        <v>1868</v>
      </c>
      <c r="W48" s="112">
        <f t="shared" si="3"/>
        <v>10.5</v>
      </c>
      <c r="X48" s="112">
        <v>1889</v>
      </c>
      <c r="Y48" s="112">
        <f t="shared" si="4"/>
        <v>0</v>
      </c>
      <c r="Z48" s="112">
        <v>1889</v>
      </c>
      <c r="AA48" s="112">
        <f t="shared" si="5"/>
        <v>0</v>
      </c>
      <c r="AB48" s="112">
        <v>1889</v>
      </c>
      <c r="AC48" s="112">
        <f t="shared" si="6"/>
        <v>0</v>
      </c>
      <c r="AD48" s="112">
        <v>1889</v>
      </c>
      <c r="AE48" s="113">
        <f t="shared" si="7"/>
        <v>1889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908</v>
      </c>
      <c r="S49" s="108">
        <f t="shared" si="1"/>
        <v>234.5</v>
      </c>
      <c r="T49" s="108">
        <v>1377</v>
      </c>
      <c r="U49" s="108">
        <f t="shared" si="2"/>
        <v>0</v>
      </c>
      <c r="V49" s="108">
        <v>1377</v>
      </c>
      <c r="W49" s="108">
        <f t="shared" si="3"/>
        <v>880</v>
      </c>
      <c r="X49" s="108">
        <v>3137</v>
      </c>
      <c r="Y49" s="108">
        <f t="shared" si="4"/>
        <v>187.5</v>
      </c>
      <c r="Z49" s="108">
        <v>3512</v>
      </c>
      <c r="AA49" s="108">
        <f t="shared" si="5"/>
        <v>0</v>
      </c>
      <c r="AB49" s="108">
        <v>3512</v>
      </c>
      <c r="AC49" s="108">
        <f t="shared" si="6"/>
        <v>0</v>
      </c>
      <c r="AD49" s="108">
        <v>3512</v>
      </c>
      <c r="AE49" s="109">
        <f t="shared" si="7"/>
        <v>3512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89</v>
      </c>
      <c r="S50" s="106">
        <f t="shared" si="1"/>
        <v>1.5</v>
      </c>
      <c r="T50" s="106">
        <v>92</v>
      </c>
      <c r="U50" s="106">
        <f t="shared" si="2"/>
        <v>244.5</v>
      </c>
      <c r="V50" s="106">
        <v>581</v>
      </c>
      <c r="W50" s="106">
        <f t="shared" si="3"/>
        <v>1.5</v>
      </c>
      <c r="X50" s="106">
        <v>584</v>
      </c>
      <c r="Y50" s="106">
        <f t="shared" si="4"/>
        <v>508.5</v>
      </c>
      <c r="Z50" s="106">
        <v>1601</v>
      </c>
      <c r="AA50" s="106">
        <f t="shared" si="5"/>
        <v>0</v>
      </c>
      <c r="AB50" s="106">
        <v>1601</v>
      </c>
      <c r="AC50" s="106">
        <f t="shared" si="6"/>
        <v>0</v>
      </c>
      <c r="AD50" s="106">
        <v>1601</v>
      </c>
      <c r="AE50" s="107">
        <f t="shared" si="7"/>
        <v>1601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</v>
      </c>
      <c r="S51" s="108">
        <f t="shared" si="1"/>
        <v>49</v>
      </c>
      <c r="T51" s="108">
        <v>99</v>
      </c>
      <c r="U51" s="108">
        <f t="shared" si="2"/>
        <v>0</v>
      </c>
      <c r="V51" s="108">
        <v>99</v>
      </c>
      <c r="W51" s="108">
        <f t="shared" si="3"/>
        <v>221</v>
      </c>
      <c r="X51" s="108">
        <v>541</v>
      </c>
      <c r="Y51" s="108">
        <f t="shared" si="4"/>
        <v>206.5</v>
      </c>
      <c r="Z51" s="108">
        <v>954</v>
      </c>
      <c r="AA51" s="108">
        <f t="shared" si="5"/>
        <v>0</v>
      </c>
      <c r="AB51" s="108">
        <v>954</v>
      </c>
      <c r="AC51" s="108">
        <f t="shared" si="6"/>
        <v>0</v>
      </c>
      <c r="AD51" s="108">
        <v>954</v>
      </c>
      <c r="AE51" s="109">
        <f t="shared" si="7"/>
        <v>954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189</v>
      </c>
      <c r="S52" s="106">
        <f t="shared" si="1"/>
        <v>6.5</v>
      </c>
      <c r="T52" s="106">
        <v>202</v>
      </c>
      <c r="U52" s="106">
        <f t="shared" si="2"/>
        <v>107.5</v>
      </c>
      <c r="V52" s="106">
        <v>417</v>
      </c>
      <c r="W52" s="106">
        <f t="shared" si="3"/>
        <v>25</v>
      </c>
      <c r="X52" s="106">
        <v>467</v>
      </c>
      <c r="Y52" s="106">
        <f t="shared" si="4"/>
        <v>87</v>
      </c>
      <c r="Z52" s="106">
        <v>641</v>
      </c>
      <c r="AA52" s="106">
        <f t="shared" si="5"/>
        <v>0</v>
      </c>
      <c r="AB52" s="106">
        <v>641</v>
      </c>
      <c r="AC52" s="106">
        <f t="shared" si="6"/>
        <v>0</v>
      </c>
      <c r="AD52" s="106">
        <v>641</v>
      </c>
      <c r="AE52" s="107">
        <f t="shared" si="7"/>
        <v>641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4</v>
      </c>
      <c r="S53" s="108">
        <f t="shared" si="1"/>
        <v>0</v>
      </c>
      <c r="T53" s="108">
        <v>4</v>
      </c>
      <c r="U53" s="108">
        <f t="shared" si="2"/>
        <v>0</v>
      </c>
      <c r="V53" s="108">
        <v>4</v>
      </c>
      <c r="W53" s="108">
        <f t="shared" si="3"/>
        <v>352</v>
      </c>
      <c r="X53" s="108">
        <v>708</v>
      </c>
      <c r="Y53" s="108">
        <f t="shared" si="4"/>
        <v>216.5</v>
      </c>
      <c r="Z53" s="108">
        <v>1141</v>
      </c>
      <c r="AA53" s="108">
        <f t="shared" si="5"/>
        <v>0</v>
      </c>
      <c r="AB53" s="108">
        <v>1141</v>
      </c>
      <c r="AC53" s="108">
        <f t="shared" si="6"/>
        <v>0</v>
      </c>
      <c r="AD53" s="108">
        <v>1141</v>
      </c>
      <c r="AE53" s="109">
        <f t="shared" si="7"/>
        <v>1141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676</v>
      </c>
      <c r="S54" s="106">
        <f t="shared" si="1"/>
        <v>0.5</v>
      </c>
      <c r="T54" s="106">
        <v>677</v>
      </c>
      <c r="U54" s="106">
        <f t="shared" si="2"/>
        <v>0</v>
      </c>
      <c r="V54" s="106">
        <v>677</v>
      </c>
      <c r="W54" s="106">
        <f t="shared" si="3"/>
        <v>389</v>
      </c>
      <c r="X54" s="106">
        <v>1455</v>
      </c>
      <c r="Y54" s="106">
        <f t="shared" si="4"/>
        <v>160.5</v>
      </c>
      <c r="Z54" s="106">
        <v>1776</v>
      </c>
      <c r="AA54" s="106">
        <f t="shared" si="5"/>
        <v>0</v>
      </c>
      <c r="AB54" s="106">
        <v>1776</v>
      </c>
      <c r="AC54" s="106">
        <f t="shared" si="6"/>
        <v>0</v>
      </c>
      <c r="AD54" s="106">
        <v>1776</v>
      </c>
      <c r="AE54" s="107">
        <f t="shared" si="7"/>
        <v>1776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1208</v>
      </c>
      <c r="S55" s="108">
        <f t="shared" si="1"/>
        <v>0</v>
      </c>
      <c r="T55" s="108">
        <v>1208</v>
      </c>
      <c r="U55" s="108">
        <f t="shared" si="2"/>
        <v>600</v>
      </c>
      <c r="V55" s="108">
        <v>2408</v>
      </c>
      <c r="W55" s="108">
        <f t="shared" si="3"/>
        <v>30</v>
      </c>
      <c r="X55" s="108">
        <v>2468</v>
      </c>
      <c r="Y55" s="108">
        <f t="shared" si="4"/>
        <v>86.5</v>
      </c>
      <c r="Z55" s="108">
        <v>2641</v>
      </c>
      <c r="AA55" s="108">
        <f t="shared" si="5"/>
        <v>0</v>
      </c>
      <c r="AB55" s="108">
        <v>2641</v>
      </c>
      <c r="AC55" s="108">
        <f t="shared" si="6"/>
        <v>0</v>
      </c>
      <c r="AD55" s="108">
        <v>2641</v>
      </c>
      <c r="AE55" s="109">
        <f t="shared" si="7"/>
        <v>2641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>
        <f t="shared" si="1"/>
        <v>89.5</v>
      </c>
      <c r="T56" s="114">
        <v>179</v>
      </c>
      <c r="U56" s="114">
        <f t="shared" si="2"/>
        <v>0</v>
      </c>
      <c r="V56" s="114">
        <v>179</v>
      </c>
      <c r="W56" s="114">
        <f t="shared" si="3"/>
        <v>0</v>
      </c>
      <c r="X56" s="114">
        <v>179</v>
      </c>
      <c r="Y56" s="114">
        <f t="shared" si="4"/>
        <v>20</v>
      </c>
      <c r="Z56" s="114">
        <v>219</v>
      </c>
      <c r="AA56" s="114">
        <f t="shared" si="5"/>
        <v>0</v>
      </c>
      <c r="AB56" s="114">
        <v>219</v>
      </c>
      <c r="AC56" s="114">
        <f t="shared" si="6"/>
        <v>0</v>
      </c>
      <c r="AD56" s="114">
        <v>219</v>
      </c>
      <c r="AE56" s="115">
        <f t="shared" si="7"/>
        <v>219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1789</v>
      </c>
      <c r="S57" s="104">
        <f t="shared" si="1"/>
        <v>296.5</v>
      </c>
      <c r="T57" s="104">
        <v>2382</v>
      </c>
      <c r="U57" s="104">
        <f t="shared" si="2"/>
        <v>198</v>
      </c>
      <c r="V57" s="104">
        <v>2778</v>
      </c>
      <c r="W57" s="104">
        <f t="shared" si="3"/>
        <v>37</v>
      </c>
      <c r="X57" s="104">
        <v>2852</v>
      </c>
      <c r="Y57" s="104">
        <f t="shared" si="4"/>
        <v>48.5</v>
      </c>
      <c r="Z57" s="104">
        <v>2949</v>
      </c>
      <c r="AA57" s="104">
        <f t="shared" si="5"/>
        <v>0</v>
      </c>
      <c r="AB57" s="104">
        <v>2949</v>
      </c>
      <c r="AC57" s="104">
        <f t="shared" si="6"/>
        <v>0</v>
      </c>
      <c r="AD57" s="104">
        <v>2949</v>
      </c>
      <c r="AE57" s="105">
        <f t="shared" si="7"/>
        <v>2949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1424</v>
      </c>
      <c r="S58" s="106">
        <f t="shared" si="1"/>
        <v>382.5</v>
      </c>
      <c r="T58" s="106">
        <v>2189</v>
      </c>
      <c r="U58" s="106">
        <f t="shared" si="2"/>
        <v>407</v>
      </c>
      <c r="V58" s="106">
        <v>3003</v>
      </c>
      <c r="W58" s="106">
        <f t="shared" si="3"/>
        <v>404.5</v>
      </c>
      <c r="X58" s="106">
        <v>3812</v>
      </c>
      <c r="Y58" s="106">
        <f t="shared" si="4"/>
        <v>536.5</v>
      </c>
      <c r="Z58" s="106">
        <v>4885</v>
      </c>
      <c r="AA58" s="106">
        <f t="shared" si="5"/>
        <v>0</v>
      </c>
      <c r="AB58" s="106">
        <v>4885</v>
      </c>
      <c r="AC58" s="106">
        <f t="shared" si="6"/>
        <v>0</v>
      </c>
      <c r="AD58" s="106">
        <v>4885</v>
      </c>
      <c r="AE58" s="107">
        <f t="shared" si="7"/>
        <v>4885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520</v>
      </c>
      <c r="S59" s="108">
        <f t="shared" si="1"/>
        <v>165</v>
      </c>
      <c r="T59" s="108">
        <v>850</v>
      </c>
      <c r="U59" s="108">
        <f t="shared" si="2"/>
        <v>326.5</v>
      </c>
      <c r="V59" s="108">
        <v>1503</v>
      </c>
      <c r="W59" s="108">
        <f t="shared" si="3"/>
        <v>10</v>
      </c>
      <c r="X59" s="108">
        <v>1523</v>
      </c>
      <c r="Y59" s="108">
        <f t="shared" si="4"/>
        <v>627.5</v>
      </c>
      <c r="Z59" s="108">
        <v>2778</v>
      </c>
      <c r="AA59" s="108">
        <f t="shared" si="5"/>
        <v>0</v>
      </c>
      <c r="AB59" s="108">
        <v>2778</v>
      </c>
      <c r="AC59" s="108">
        <f t="shared" si="6"/>
        <v>0</v>
      </c>
      <c r="AD59" s="108">
        <v>2778</v>
      </c>
      <c r="AE59" s="109">
        <f t="shared" si="7"/>
        <v>2778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1112</v>
      </c>
      <c r="S61" s="104">
        <f t="shared" si="1"/>
        <v>832</v>
      </c>
      <c r="T61" s="104">
        <v>2776</v>
      </c>
      <c r="U61" s="104">
        <f t="shared" si="2"/>
        <v>427.5</v>
      </c>
      <c r="V61" s="104">
        <v>3631</v>
      </c>
      <c r="W61" s="104">
        <f t="shared" si="3"/>
        <v>-15</v>
      </c>
      <c r="X61" s="104">
        <v>3601</v>
      </c>
      <c r="Y61" s="104">
        <f t="shared" si="4"/>
        <v>0</v>
      </c>
      <c r="Z61" s="104">
        <v>3601</v>
      </c>
      <c r="AA61" s="104">
        <f t="shared" si="5"/>
        <v>0</v>
      </c>
      <c r="AB61" s="104">
        <v>3601</v>
      </c>
      <c r="AC61" s="104">
        <f t="shared" si="6"/>
        <v>0</v>
      </c>
      <c r="AD61" s="104">
        <v>3601</v>
      </c>
      <c r="AE61" s="105">
        <f t="shared" si="7"/>
        <v>3601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2438</v>
      </c>
      <c r="S62" s="106">
        <f t="shared" si="1"/>
        <v>305.5</v>
      </c>
      <c r="T62" s="106">
        <v>3049</v>
      </c>
      <c r="U62" s="106">
        <f t="shared" si="2"/>
        <v>453</v>
      </c>
      <c r="V62" s="106">
        <v>3955</v>
      </c>
      <c r="W62" s="106">
        <f t="shared" si="3"/>
        <v>613</v>
      </c>
      <c r="X62" s="106">
        <v>5181</v>
      </c>
      <c r="Y62" s="106">
        <f t="shared" si="4"/>
        <v>0</v>
      </c>
      <c r="Z62" s="106">
        <v>5181</v>
      </c>
      <c r="AA62" s="106">
        <f t="shared" si="5"/>
        <v>0</v>
      </c>
      <c r="AB62" s="106">
        <v>5181</v>
      </c>
      <c r="AC62" s="106">
        <f t="shared" si="6"/>
        <v>0</v>
      </c>
      <c r="AD62" s="106">
        <v>5181</v>
      </c>
      <c r="AE62" s="107">
        <f t="shared" si="7"/>
        <v>5181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1480</v>
      </c>
      <c r="S63" s="108">
        <f t="shared" si="1"/>
        <v>457.5</v>
      </c>
      <c r="T63" s="108">
        <v>2395</v>
      </c>
      <c r="U63" s="108">
        <f t="shared" si="2"/>
        <v>238.5</v>
      </c>
      <c r="V63" s="108">
        <v>2872</v>
      </c>
      <c r="W63" s="108">
        <f t="shared" si="3"/>
        <v>67.5</v>
      </c>
      <c r="X63" s="108">
        <v>3007</v>
      </c>
      <c r="Y63" s="108">
        <f t="shared" si="4"/>
        <v>0</v>
      </c>
      <c r="Z63" s="108">
        <v>3007</v>
      </c>
      <c r="AA63" s="108">
        <f t="shared" si="5"/>
        <v>0</v>
      </c>
      <c r="AB63" s="108">
        <v>3007</v>
      </c>
      <c r="AC63" s="108">
        <f t="shared" si="6"/>
        <v>0</v>
      </c>
      <c r="AD63" s="108">
        <v>3007</v>
      </c>
      <c r="AE63" s="109">
        <f t="shared" si="7"/>
        <v>3007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631</v>
      </c>
      <c r="S64" s="114">
        <f t="shared" si="1"/>
        <v>85</v>
      </c>
      <c r="T64" s="114">
        <v>801</v>
      </c>
      <c r="U64" s="114">
        <f t="shared" si="2"/>
        <v>137.5</v>
      </c>
      <c r="V64" s="114">
        <v>1076</v>
      </c>
      <c r="W64" s="114">
        <f t="shared" si="3"/>
        <v>0</v>
      </c>
      <c r="X64" s="114">
        <v>1076</v>
      </c>
      <c r="Y64" s="114">
        <f t="shared" si="4"/>
        <v>0</v>
      </c>
      <c r="Z64" s="114">
        <v>1076</v>
      </c>
      <c r="AA64" s="114">
        <f t="shared" si="5"/>
        <v>0</v>
      </c>
      <c r="AB64" s="114">
        <v>1076</v>
      </c>
      <c r="AC64" s="114">
        <f t="shared" si="6"/>
        <v>0</v>
      </c>
      <c r="AD64" s="114">
        <v>1076</v>
      </c>
      <c r="AE64" s="115">
        <f t="shared" si="7"/>
        <v>1076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43" priority="11" operator="lessThan">
      <formula>0</formula>
    </cfRule>
    <cfRule type="cellIs" dxfId="1342" priority="12" operator="greaterThan">
      <formula>0</formula>
    </cfRule>
  </conditionalFormatting>
  <conditionalFormatting sqref="R25:AC25">
    <cfRule type="cellIs" dxfId="1341" priority="9" operator="lessThan">
      <formula>0</formula>
    </cfRule>
    <cfRule type="cellIs" dxfId="1340" priority="10" operator="greaterThan">
      <formula>0</formula>
    </cfRule>
  </conditionalFormatting>
  <conditionalFormatting sqref="R26 T26 V26 X26 Z26 AB26">
    <cfRule type="cellIs" dxfId="1339" priority="7" operator="lessThan">
      <formula>0</formula>
    </cfRule>
    <cfRule type="cellIs" dxfId="1338" priority="8" operator="greaterThan">
      <formula>0</formula>
    </cfRule>
  </conditionalFormatting>
  <conditionalFormatting sqref="AD24:AE24">
    <cfRule type="cellIs" dxfId="1337" priority="5" operator="lessThan">
      <formula>0</formula>
    </cfRule>
    <cfRule type="cellIs" dxfId="1336" priority="6" operator="greaterThan">
      <formula>0</formula>
    </cfRule>
  </conditionalFormatting>
  <conditionalFormatting sqref="AD25:AE25">
    <cfRule type="cellIs" dxfId="1335" priority="3" operator="lessThan">
      <formula>0</formula>
    </cfRule>
    <cfRule type="cellIs" dxfId="1334" priority="4" operator="greaterThan">
      <formula>0</formula>
    </cfRule>
  </conditionalFormatting>
  <conditionalFormatting sqref="AD26">
    <cfRule type="cellIs" dxfId="1333" priority="1" operator="lessThan">
      <formula>0</formula>
    </cfRule>
    <cfRule type="cellIs" dxfId="133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44407</v>
      </c>
    </row>
    <row r="3" spans="2:42" ht="18.75" customHeight="1" thickBot="1" x14ac:dyDescent="0.35">
      <c r="B3" t="s">
        <v>1</v>
      </c>
      <c r="C3" s="3">
        <f>C2+1</f>
        <v>44408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21480</v>
      </c>
      <c r="G6" s="117">
        <v>17672.436000000002</v>
      </c>
      <c r="H6" s="117">
        <v>15033.18303056002</v>
      </c>
      <c r="I6" s="19">
        <f>G6+H6</f>
        <v>32705.619030560021</v>
      </c>
      <c r="J6" s="119">
        <v>20570</v>
      </c>
      <c r="K6" s="117">
        <v>16463.09487500001</v>
      </c>
      <c r="L6" s="117">
        <v>13349.59552010002</v>
      </c>
      <c r="M6" s="19">
        <f>K6+L6</f>
        <v>29812.690395100028</v>
      </c>
      <c r="N6" s="85">
        <v>68</v>
      </c>
      <c r="O6" s="85">
        <v>51</v>
      </c>
      <c r="P6" s="92"/>
      <c r="Q6" s="20">
        <f>J6-P6</f>
        <v>20570</v>
      </c>
      <c r="R6" s="21">
        <v>2805</v>
      </c>
      <c r="S6" s="20">
        <f>IF(R6&gt;0,(R6-R7-$Q6),"")</f>
        <v>-17767</v>
      </c>
      <c r="T6" s="21">
        <v>3679</v>
      </c>
      <c r="U6" s="20">
        <f>IF(T6&gt;0,(T6-T7-$Q6),"")</f>
        <v>-16893</v>
      </c>
      <c r="V6" s="21">
        <v>8036</v>
      </c>
      <c r="W6" s="20">
        <f>IF(V6&gt;0,(V6-V7-$Q6),"")</f>
        <v>-12540</v>
      </c>
      <c r="X6" s="21">
        <v>10943</v>
      </c>
      <c r="Y6" s="20">
        <f>IF(X6&gt;0,(X6-X7-$Q6),"")</f>
        <v>-9638</v>
      </c>
      <c r="Z6" s="21">
        <v>14240</v>
      </c>
      <c r="AA6" s="20">
        <f>IF(Z6&gt;0,(Z6-Z7-$Q6),"")</f>
        <v>-6358</v>
      </c>
      <c r="AB6" s="21">
        <v>14533</v>
      </c>
      <c r="AC6" s="22">
        <f>IF(AB6&gt;0,(AB6-AB7-$Q6),"")</f>
        <v>-6065</v>
      </c>
      <c r="AD6" s="21">
        <v>14533</v>
      </c>
      <c r="AE6" s="22">
        <f>IF(AD6&gt;0,(AD6-AD7-$Q6),"")</f>
        <v>-6065</v>
      </c>
    </row>
    <row r="7" spans="2:42" x14ac:dyDescent="0.3">
      <c r="B7" s="16" t="s">
        <v>23</v>
      </c>
      <c r="C7" s="17">
        <v>319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2</v>
      </c>
      <c r="S7" s="24"/>
      <c r="T7" s="25">
        <v>2</v>
      </c>
      <c r="U7" s="24"/>
      <c r="V7" s="25">
        <v>6</v>
      </c>
      <c r="W7" s="24"/>
      <c r="X7" s="25">
        <v>11</v>
      </c>
      <c r="Y7" s="24"/>
      <c r="Z7" s="25">
        <v>28</v>
      </c>
      <c r="AA7" s="24"/>
      <c r="AB7" s="25">
        <v>28</v>
      </c>
      <c r="AC7" s="26"/>
      <c r="AD7" s="25">
        <v>28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2674</v>
      </c>
      <c r="E8" s="29" t="s">
        <v>27</v>
      </c>
      <c r="F8" s="119">
        <v>12040</v>
      </c>
      <c r="G8" s="117">
        <v>5088.7674999999999</v>
      </c>
      <c r="H8" s="117">
        <v>1076.6782250000001</v>
      </c>
      <c r="I8" s="19">
        <f>G8+H8</f>
        <v>6165.4457249999996</v>
      </c>
      <c r="J8" s="119">
        <v>11983</v>
      </c>
      <c r="K8" s="117">
        <v>5057.3665000000001</v>
      </c>
      <c r="L8" s="117">
        <v>1077.1850519</v>
      </c>
      <c r="M8" s="19">
        <f>K8+L8</f>
        <v>6134.5515519</v>
      </c>
      <c r="N8" s="87">
        <v>30</v>
      </c>
      <c r="O8" s="87">
        <v>23</v>
      </c>
      <c r="P8" s="92"/>
      <c r="Q8" s="20">
        <f>J8-P8</f>
        <v>11983</v>
      </c>
      <c r="R8" s="21">
        <v>1000</v>
      </c>
      <c r="S8" s="20">
        <f>IF(R8&gt;0,(R8-R9-$Q8),"")</f>
        <v>-10983</v>
      </c>
      <c r="T8" s="21">
        <v>1465</v>
      </c>
      <c r="U8" s="20">
        <f>IF(T8&gt;0,(T8-T9-$Q8),"")</f>
        <v>-10547</v>
      </c>
      <c r="V8" s="21">
        <v>4529</v>
      </c>
      <c r="W8" s="20">
        <f>IF(V8&gt;0,(V8-V9-$Q8),"")</f>
        <v>-7483</v>
      </c>
      <c r="X8" s="21">
        <v>7926</v>
      </c>
      <c r="Y8" s="20">
        <f>IF(X8&gt;0,(X8-X9-$Q8),"")</f>
        <v>-4086</v>
      </c>
      <c r="Z8" s="21">
        <v>11631</v>
      </c>
      <c r="AA8" s="20">
        <f>IF(Z8&gt;0,(Z8-Z9-$Q8),"")</f>
        <v>-381</v>
      </c>
      <c r="AB8" s="21">
        <v>11631</v>
      </c>
      <c r="AC8" s="22">
        <f>IF(AB8&gt;0,(AB8-AB9-$Q8),"")</f>
        <v>-381</v>
      </c>
      <c r="AD8" s="21">
        <v>11631</v>
      </c>
      <c r="AE8" s="22">
        <f>IF(AD8&gt;0,(AD8-AD9-$Q8),"")</f>
        <v>-381</v>
      </c>
    </row>
    <row r="9" spans="2:42" x14ac:dyDescent="0.3">
      <c r="B9" s="28" t="s">
        <v>28</v>
      </c>
      <c r="C9" s="17">
        <v>1591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29</v>
      </c>
      <c r="U9" s="24"/>
      <c r="V9" s="30">
        <v>29</v>
      </c>
      <c r="W9" s="24"/>
      <c r="X9" s="30">
        <v>29</v>
      </c>
      <c r="Y9" s="24"/>
      <c r="Z9" s="30">
        <v>29</v>
      </c>
      <c r="AA9" s="24"/>
      <c r="AB9" s="30">
        <v>29</v>
      </c>
      <c r="AC9" s="26"/>
      <c r="AD9" s="30">
        <v>29</v>
      </c>
      <c r="AE9" s="26"/>
    </row>
    <row r="10" spans="2:42" x14ac:dyDescent="0.3">
      <c r="B10" s="16" t="s">
        <v>30</v>
      </c>
      <c r="C10" s="17">
        <v>5650</v>
      </c>
      <c r="E10" s="18" t="s">
        <v>31</v>
      </c>
      <c r="F10" s="119">
        <v>9472</v>
      </c>
      <c r="G10" s="117">
        <v>7564.1238749999993</v>
      </c>
      <c r="H10" s="117">
        <v>1823.21065</v>
      </c>
      <c r="I10" s="19">
        <f>G10+H10</f>
        <v>9387.3345249999984</v>
      </c>
      <c r="J10" s="119">
        <v>9044</v>
      </c>
      <c r="K10" s="117">
        <v>7171.7918750000017</v>
      </c>
      <c r="L10" s="117">
        <v>1839.1442325</v>
      </c>
      <c r="M10" s="19">
        <f>K10+L10</f>
        <v>9010.9361075000015</v>
      </c>
      <c r="N10" s="88">
        <v>45</v>
      </c>
      <c r="O10" s="88">
        <v>35</v>
      </c>
      <c r="P10" s="92"/>
      <c r="Q10" s="20">
        <f>J10-P10</f>
        <v>9044</v>
      </c>
      <c r="R10" s="21">
        <v>2304</v>
      </c>
      <c r="S10" s="20">
        <f>IF(R10&gt;0,(R10-R11-$Q10),"")</f>
        <v>-7792</v>
      </c>
      <c r="T10" s="21">
        <v>3048</v>
      </c>
      <c r="U10" s="20">
        <f>IF(T10&gt;0,(T10-T11-$Q10),"")</f>
        <v>-7410</v>
      </c>
      <c r="V10" s="21">
        <v>4030</v>
      </c>
      <c r="W10" s="20">
        <f>IF(V10&gt;0,(V10-V11-$Q10),"")</f>
        <v>-6609</v>
      </c>
      <c r="X10" s="21">
        <v>7352</v>
      </c>
      <c r="Y10" s="20">
        <f>IF(X10&gt;0,(X10-X11-$Q10),"")</f>
        <v>-4353</v>
      </c>
      <c r="Z10" s="21">
        <v>7604</v>
      </c>
      <c r="AA10" s="20">
        <f>IF(Z10&gt;0,(Z10-Z11-$Q10),"")</f>
        <v>-4332</v>
      </c>
      <c r="AB10" s="21">
        <v>7604</v>
      </c>
      <c r="AC10" s="22">
        <f>IF(AB10&gt;0,(AB10-AB11-$Q10),"")</f>
        <v>-4332</v>
      </c>
      <c r="AD10" s="21">
        <v>7604</v>
      </c>
      <c r="AE10" s="22">
        <f>IF(AD10&gt;0,(AD10-AD11-$Q10),"")</f>
        <v>-4332</v>
      </c>
    </row>
    <row r="11" spans="2:42" x14ac:dyDescent="0.3">
      <c r="B11" s="16" t="s">
        <v>32</v>
      </c>
      <c r="C11" s="17">
        <v>2076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1052</v>
      </c>
      <c r="S11" s="24"/>
      <c r="T11" s="30">
        <v>1414</v>
      </c>
      <c r="U11" s="24"/>
      <c r="V11" s="30">
        <v>1595</v>
      </c>
      <c r="W11" s="24"/>
      <c r="X11" s="30">
        <v>2661</v>
      </c>
      <c r="Y11" s="24"/>
      <c r="Z11" s="30">
        <v>2892</v>
      </c>
      <c r="AA11" s="24"/>
      <c r="AB11" s="30">
        <v>2892</v>
      </c>
      <c r="AC11" s="26"/>
      <c r="AD11" s="30">
        <v>2892</v>
      </c>
      <c r="AE11" s="26"/>
    </row>
    <row r="12" spans="2:42" x14ac:dyDescent="0.3">
      <c r="B12" s="16" t="s">
        <v>34</v>
      </c>
      <c r="C12" s="17">
        <v>1672</v>
      </c>
      <c r="E12" s="29" t="s">
        <v>35</v>
      </c>
      <c r="F12" s="119">
        <v>13551</v>
      </c>
      <c r="G12" s="117">
        <v>12502.764999999999</v>
      </c>
      <c r="H12" s="117">
        <v>17974.506362249991</v>
      </c>
      <c r="I12" s="19">
        <f>G12+H12</f>
        <v>30477.27136224999</v>
      </c>
      <c r="J12" s="119">
        <v>12531</v>
      </c>
      <c r="K12" s="117">
        <v>11472.724</v>
      </c>
      <c r="L12" s="117">
        <v>15068.07609380999</v>
      </c>
      <c r="M12" s="19">
        <f>K12+L12</f>
        <v>26540.80009380999</v>
      </c>
      <c r="N12" s="88">
        <v>49</v>
      </c>
      <c r="O12" s="88">
        <v>40</v>
      </c>
      <c r="P12" s="92"/>
      <c r="Q12" s="20">
        <f>J12-P12</f>
        <v>12531</v>
      </c>
      <c r="R12" s="21">
        <v>1567</v>
      </c>
      <c r="S12" s="20">
        <f>IF(R12&gt;0,(R12-R13-$Q12),"")</f>
        <v>-11367</v>
      </c>
      <c r="T12" s="21">
        <v>2876</v>
      </c>
      <c r="U12" s="20">
        <f>IF(T12&gt;0,(T12-T13-$Q12),"")</f>
        <v>-10499</v>
      </c>
      <c r="V12" s="21">
        <v>4000</v>
      </c>
      <c r="W12" s="20">
        <f>IF(V12&gt;0,(V12-V13-$Q12),"")</f>
        <v>-9702</v>
      </c>
      <c r="X12" s="21">
        <v>6142</v>
      </c>
      <c r="Y12" s="20">
        <f>IF(X12&gt;0,(X12-X13-$Q12),"")</f>
        <v>-7677</v>
      </c>
      <c r="Z12" s="21">
        <v>10526</v>
      </c>
      <c r="AA12" s="20">
        <f>IF(Z12&gt;0,(Z12-Z13-$Q12),"")</f>
        <v>-3327</v>
      </c>
      <c r="AB12" s="21">
        <v>10526</v>
      </c>
      <c r="AC12" s="22">
        <f>IF(AB12&gt;0,(AB12-AB13-$Q12),"")</f>
        <v>-3327</v>
      </c>
      <c r="AD12" s="21">
        <v>10526</v>
      </c>
      <c r="AE12" s="22">
        <f>IF(AD12&gt;0,(AD12-AD13-$Q12),"")</f>
        <v>-3327</v>
      </c>
    </row>
    <row r="13" spans="2:42" x14ac:dyDescent="0.3">
      <c r="B13" s="16" t="s">
        <v>36</v>
      </c>
      <c r="C13" s="17">
        <v>4839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403</v>
      </c>
      <c r="S13" s="24"/>
      <c r="T13" s="30">
        <v>844</v>
      </c>
      <c r="U13" s="24"/>
      <c r="V13" s="30">
        <v>1171</v>
      </c>
      <c r="W13" s="24"/>
      <c r="X13" s="30">
        <v>1288</v>
      </c>
      <c r="Y13" s="24"/>
      <c r="Z13" s="30">
        <v>1322</v>
      </c>
      <c r="AA13" s="24"/>
      <c r="AB13" s="30">
        <v>1322</v>
      </c>
      <c r="AC13" s="26"/>
      <c r="AD13" s="30">
        <v>1322</v>
      </c>
      <c r="AE13" s="26"/>
    </row>
    <row r="14" spans="2:42" x14ac:dyDescent="0.3">
      <c r="B14" s="16" t="s">
        <v>38</v>
      </c>
      <c r="C14" s="17">
        <v>11087</v>
      </c>
      <c r="E14" s="18" t="s">
        <v>39</v>
      </c>
      <c r="F14" s="119">
        <v>22519</v>
      </c>
      <c r="G14" s="117">
        <v>16751.84375</v>
      </c>
      <c r="H14" s="117">
        <v>20541.682268910012</v>
      </c>
      <c r="I14" s="19">
        <f>G14+H14</f>
        <v>37293.526018910008</v>
      </c>
      <c r="J14" s="119">
        <v>22665</v>
      </c>
      <c r="K14" s="117">
        <v>16960.71875</v>
      </c>
      <c r="L14" s="117">
        <v>20652.03230323</v>
      </c>
      <c r="M14" s="19">
        <f>K14+L14</f>
        <v>37612.75105323</v>
      </c>
      <c r="N14" s="88">
        <v>63</v>
      </c>
      <c r="O14" s="88">
        <v>49</v>
      </c>
      <c r="P14" s="92"/>
      <c r="Q14" s="20">
        <f>J14-P14</f>
        <v>22665</v>
      </c>
      <c r="R14" s="21">
        <v>5912</v>
      </c>
      <c r="S14" s="20">
        <f>IF(R14&gt;0,(R14-R15-$Q14),"")</f>
        <v>-21876</v>
      </c>
      <c r="T14" s="21">
        <v>9220</v>
      </c>
      <c r="U14" s="20">
        <f>IF(T14&gt;0,(T14-T15-$Q14),"")</f>
        <v>-20909</v>
      </c>
      <c r="V14" s="21">
        <v>10621</v>
      </c>
      <c r="W14" s="20">
        <f>IF(V14&gt;0,(V14-V15-$Q14),"")</f>
        <v>-20327</v>
      </c>
      <c r="X14" s="21">
        <v>13671</v>
      </c>
      <c r="Y14" s="20">
        <f>IF(X14&gt;0,(X14-X15-$Q14),"")</f>
        <v>-18155</v>
      </c>
      <c r="Z14" s="21">
        <v>14290</v>
      </c>
      <c r="AA14" s="20">
        <f>IF(Z14&gt;0,(Z14-Z15-$Q14),"")</f>
        <v>-17536</v>
      </c>
      <c r="AB14" s="21">
        <v>14290</v>
      </c>
      <c r="AC14" s="22">
        <f>IF(AB14&gt;0,(AB14-AB15-$Q14),"")</f>
        <v>-17536</v>
      </c>
      <c r="AD14" s="21">
        <v>14290</v>
      </c>
      <c r="AE14" s="22">
        <f>IF(AD14&gt;0,(AD14-AD15-$Q14),"")</f>
        <v>-17536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5123</v>
      </c>
      <c r="S15" s="24"/>
      <c r="T15" s="25">
        <v>7464</v>
      </c>
      <c r="U15" s="24"/>
      <c r="V15" s="25">
        <v>8283</v>
      </c>
      <c r="W15" s="24"/>
      <c r="X15" s="25">
        <v>9161</v>
      </c>
      <c r="Y15" s="24"/>
      <c r="Z15" s="25">
        <v>9161</v>
      </c>
      <c r="AA15" s="24"/>
      <c r="AB15" s="25">
        <v>9161</v>
      </c>
      <c r="AC15" s="26"/>
      <c r="AD15" s="25">
        <v>9161</v>
      </c>
      <c r="AE15" s="26"/>
    </row>
    <row r="16" spans="2:42" ht="15" customHeight="1" thickBot="1" x14ac:dyDescent="0.35">
      <c r="B16" s="28" t="s">
        <v>42</v>
      </c>
      <c r="C16" s="17">
        <v>12482</v>
      </c>
      <c r="E16" s="84"/>
      <c r="F16" s="31">
        <f t="shared" ref="F16:M16" si="0">SUM(F6:F15)</f>
        <v>79062</v>
      </c>
      <c r="G16" s="31">
        <f t="shared" si="0"/>
        <v>59579.936125</v>
      </c>
      <c r="H16" s="31">
        <f t="shared" si="0"/>
        <v>56449.260536720016</v>
      </c>
      <c r="I16" s="32">
        <f t="shared" si="0"/>
        <v>116029.19666172002</v>
      </c>
      <c r="J16" s="33">
        <f t="shared" si="0"/>
        <v>76793</v>
      </c>
      <c r="K16" s="33">
        <f t="shared" si="0"/>
        <v>57125.696000000011</v>
      </c>
      <c r="L16" s="33">
        <f t="shared" si="0"/>
        <v>51986.033201540013</v>
      </c>
      <c r="M16" s="33">
        <f t="shared" si="0"/>
        <v>109111.72920154003</v>
      </c>
      <c r="N16" s="31">
        <f>SUM(N14,N12,N10,N8,N6)</f>
        <v>255</v>
      </c>
      <c r="O16" s="31">
        <f>SUM(O14,O12,O10,O8,O6)</f>
        <v>198</v>
      </c>
      <c r="P16" s="34">
        <f>SUM(P6:P15)</f>
        <v>0</v>
      </c>
      <c r="Q16" s="34">
        <f>SUM(Q6:Q15)</f>
        <v>76793</v>
      </c>
      <c r="R16" s="35">
        <f>R6+R8+R10+R12+R14-R7-R9-R11-R13-R15</f>
        <v>7008</v>
      </c>
      <c r="S16" s="36">
        <f>IF(R16&gt;1,(R16-$Q16),"")</f>
        <v>-69785</v>
      </c>
      <c r="T16" s="35">
        <f>T6+T8+T10+T12+T14-T7-T9-T11-T13-T15</f>
        <v>10535</v>
      </c>
      <c r="U16" s="36">
        <f>IF(T16&gt;1,(T16-$Q16),"")</f>
        <v>-66258</v>
      </c>
      <c r="V16" s="35">
        <f>V6+V8+V10+V12+V14-V7-V9-V11-V13-V15</f>
        <v>20132</v>
      </c>
      <c r="W16" s="36">
        <f>IF(V16&gt;1,(V16-$Q16),"")</f>
        <v>-56661</v>
      </c>
      <c r="X16" s="35">
        <f>X6+X8+X10+X12+X14-X7-X9-X11-X13-X15</f>
        <v>32884</v>
      </c>
      <c r="Y16" s="36">
        <f>IF(X16&gt;1,(X16-$Q16),"")</f>
        <v>-43909</v>
      </c>
      <c r="Z16" s="35">
        <f>Z6+Z8+Z10+Z12+Z14-Z7-Z9-Z11-Z13-Z15</f>
        <v>44859</v>
      </c>
      <c r="AA16" s="36">
        <f>IF(Z16&gt;1,(Z16-$Q16),"")</f>
        <v>-31934</v>
      </c>
      <c r="AB16" s="35">
        <f>AB6+AB8+AB10+AB12+AB14-AB7-AB9-AB11-AB13-AB15</f>
        <v>45152</v>
      </c>
      <c r="AC16" s="37">
        <f>IF(AB16&gt;1,(AB16-$Q16),"")</f>
        <v>-31641</v>
      </c>
      <c r="AD16" s="35">
        <f>AD6+AD8+AD10+AD12+AD14-AD7-AD9-AD11-AD13-AD15</f>
        <v>45152</v>
      </c>
      <c r="AE16" s="37">
        <f>IF(AD16&gt;1,(AD16-$Q16),"")</f>
        <v>-31641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6580</v>
      </c>
      <c r="S17" s="41"/>
      <c r="T17" s="40">
        <f>T15+T13+T11+T9+T7</f>
        <v>9753</v>
      </c>
      <c r="U17" s="41"/>
      <c r="V17" s="40">
        <f>V15+V13+V11+V9+V7</f>
        <v>11084</v>
      </c>
      <c r="W17" s="41"/>
      <c r="X17" s="40">
        <f>X15+X13+X11+X9+X7</f>
        <v>13150</v>
      </c>
      <c r="Y17" s="41"/>
      <c r="Z17" s="40">
        <f>Z15+Z13+Z11+Z9+Z7</f>
        <v>13432</v>
      </c>
      <c r="AA17" s="41"/>
      <c r="AB17" s="40">
        <f>AB15+AB13+AB11+AB9+AB7</f>
        <v>13432</v>
      </c>
      <c r="AC17" s="42"/>
      <c r="AD17" s="40">
        <f>AD15+AD13+AD11+AD9+AD7</f>
        <v>13432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3504</v>
      </c>
      <c r="S18" s="46"/>
      <c r="T18" s="47">
        <f>IF(T16&gt;0,(T16-R16)/2,"")</f>
        <v>1763.5</v>
      </c>
      <c r="U18" s="46"/>
      <c r="V18" s="47">
        <f>IF(V16&gt;0,(V16-T16)/2,"")</f>
        <v>4798.5</v>
      </c>
      <c r="W18" s="46"/>
      <c r="X18" s="47">
        <f>IF(X16&gt;0,(X16-V16)/2,"")</f>
        <v>6376</v>
      </c>
      <c r="Y18" s="46"/>
      <c r="Z18" s="47">
        <f>IF(Z16&gt;0,(Z16-X16)/2,"")</f>
        <v>5987.5</v>
      </c>
      <c r="AA18" s="46"/>
      <c r="AB18" s="47">
        <f>IF(AB16&gt;0,(AB16-Z16)/2,"")</f>
        <v>146.5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6726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900</v>
      </c>
      <c r="L20" s="4"/>
      <c r="M20" s="4"/>
      <c r="Q20" s="51" t="s">
        <v>49</v>
      </c>
      <c r="R20" s="35">
        <v>8662</v>
      </c>
      <c r="S20" s="36">
        <v>-68828</v>
      </c>
      <c r="T20" s="35">
        <v>13979</v>
      </c>
      <c r="U20" s="36">
        <v>-63511</v>
      </c>
      <c r="V20" s="35">
        <v>22973</v>
      </c>
      <c r="W20" s="36">
        <v>-54517</v>
      </c>
      <c r="X20" s="35">
        <v>40726</v>
      </c>
      <c r="Y20" s="36">
        <v>-36764</v>
      </c>
      <c r="Z20" s="35">
        <v>53128</v>
      </c>
      <c r="AA20" s="36">
        <v>-24362</v>
      </c>
      <c r="AB20" s="35">
        <v>53258</v>
      </c>
      <c r="AC20" s="37">
        <v>-24232</v>
      </c>
      <c r="AD20" s="35">
        <v>53258</v>
      </c>
      <c r="AE20" s="37">
        <v>-24232</v>
      </c>
    </row>
    <row r="21" spans="2:43" ht="15" customHeight="1" thickBot="1" x14ac:dyDescent="0.35">
      <c r="B21" s="57" t="s">
        <v>52</v>
      </c>
      <c r="C21" s="58">
        <v>3976</v>
      </c>
      <c r="M21" s="4"/>
      <c r="Q21" s="52"/>
      <c r="R21" s="40">
        <v>6242</v>
      </c>
      <c r="S21" s="41"/>
      <c r="T21" s="40">
        <v>8980</v>
      </c>
      <c r="U21" s="41"/>
      <c r="V21" s="40">
        <v>11310</v>
      </c>
      <c r="W21" s="41"/>
      <c r="X21" s="40">
        <v>11540</v>
      </c>
      <c r="Y21" s="41"/>
      <c r="Z21" s="40">
        <v>12702</v>
      </c>
      <c r="AA21" s="41"/>
      <c r="AB21" s="40">
        <v>12702</v>
      </c>
      <c r="AC21" s="42"/>
      <c r="AD21" s="40">
        <v>12702</v>
      </c>
      <c r="AE21" s="42"/>
    </row>
    <row r="22" spans="2:43" ht="15" customHeight="1" thickBot="1" x14ac:dyDescent="0.35">
      <c r="M22" s="4"/>
      <c r="Q22" s="54"/>
      <c r="R22" s="55">
        <v>4331</v>
      </c>
      <c r="S22" s="55"/>
      <c r="T22" s="55">
        <v>2658.5</v>
      </c>
      <c r="U22" s="55"/>
      <c r="V22" s="55">
        <v>4497</v>
      </c>
      <c r="W22" s="55"/>
      <c r="X22" s="55">
        <v>8876.5</v>
      </c>
      <c r="Y22" s="55"/>
      <c r="Z22" s="55">
        <v>6201</v>
      </c>
      <c r="AA22" s="55"/>
      <c r="AB22" s="55">
        <v>65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-1654</v>
      </c>
      <c r="S24" s="60"/>
      <c r="T24" s="60">
        <f>IF(T16&gt;0,T16-T20,"")</f>
        <v>-3444</v>
      </c>
      <c r="U24" s="60"/>
      <c r="V24" s="60">
        <f>IF(V16&gt;0,V16-V20,"")</f>
        <v>-2841</v>
      </c>
      <c r="W24" s="60"/>
      <c r="X24" s="60">
        <f>IF(X16&gt;0,X16-X20,"")</f>
        <v>-7842</v>
      </c>
      <c r="Y24" s="60"/>
      <c r="Z24" s="60">
        <f>IF(Z16&gt;0,Z16-Z20,"")</f>
        <v>-8269</v>
      </c>
      <c r="AA24" s="60"/>
      <c r="AB24" s="60">
        <f>IF(AB16&gt;0,AB16-AB20,"")</f>
        <v>-8106</v>
      </c>
      <c r="AC24" s="61"/>
      <c r="AD24" s="60">
        <f>IF(AD16&gt;0,AD16-AD20,"")</f>
        <v>-8106</v>
      </c>
      <c r="AE24" s="61"/>
    </row>
    <row r="25" spans="2:43" x14ac:dyDescent="0.3">
      <c r="M25" s="4"/>
      <c r="Q25" s="62"/>
      <c r="R25" s="63">
        <f>IF(R17&gt;=0,R17-R21,"")</f>
        <v>338</v>
      </c>
      <c r="S25" s="64"/>
      <c r="T25" s="63">
        <f>IF(T17&gt;=0,T17-T21,"")</f>
        <v>773</v>
      </c>
      <c r="U25" s="64"/>
      <c r="V25" s="63">
        <f>IF(V17&gt;=0,V17-V21,"")</f>
        <v>-226</v>
      </c>
      <c r="W25" s="64"/>
      <c r="X25" s="63">
        <f>IF(X17&gt;=0,X17-X21,"")</f>
        <v>1610</v>
      </c>
      <c r="Y25" s="64"/>
      <c r="Z25" s="63">
        <f>IF(Z17&gt;=0,Z17-Z21,"")</f>
        <v>730</v>
      </c>
      <c r="AA25" s="64"/>
      <c r="AB25" s="63">
        <f>IF(AB17&gt;=0,AB17-AB21,"")</f>
        <v>730</v>
      </c>
      <c r="AC25" s="65"/>
      <c r="AD25" s="63">
        <f>IF(AD17&gt;=0,AD17-AD21,"")</f>
        <v>730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-827</v>
      </c>
      <c r="S26" s="55"/>
      <c r="T26" s="67">
        <f>IFERROR(IF(T18&gt;0,T18-T22,""),"")</f>
        <v>-895</v>
      </c>
      <c r="U26" s="55"/>
      <c r="V26" s="67">
        <f>IFERROR(IF(V18&gt;0,V18-V22,""),"")</f>
        <v>301.5</v>
      </c>
      <c r="W26" s="55"/>
      <c r="X26" s="67">
        <f>IFERROR(IF(X18&gt;0,X18-X22,""),"")</f>
        <v>-2500.5</v>
      </c>
      <c r="Y26" s="55"/>
      <c r="Z26" s="67">
        <f>IFERROR(IF(Z18&gt;0,Z18-Z22,""),"")</f>
        <v>-213.5</v>
      </c>
      <c r="AA26" s="55"/>
      <c r="AB26" s="67">
        <f>IFERROR(IF(AB18&gt;0,AB18-AB22,""),"")</f>
        <v>81.5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8381</v>
      </c>
      <c r="D29" s="76">
        <f>C14</f>
        <v>11087</v>
      </c>
      <c r="E29" s="77">
        <f>D29-C29</f>
        <v>2706</v>
      </c>
      <c r="O29" s="4"/>
    </row>
    <row r="30" spans="2:43" x14ac:dyDescent="0.3">
      <c r="B30" s="74" t="s">
        <v>56</v>
      </c>
      <c r="C30" s="122">
        <v>34083</v>
      </c>
      <c r="D30" s="76">
        <f>C7+C15+C16+C17+C18</f>
        <v>12801</v>
      </c>
      <c r="E30" s="77">
        <f>D30-C30</f>
        <v>-21282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13179</v>
      </c>
      <c r="D32" s="76">
        <f>C10+C11+C12+C13</f>
        <v>14237</v>
      </c>
      <c r="E32" s="77">
        <f>D32-C32</f>
        <v>1058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14495</v>
      </c>
      <c r="D33" s="76">
        <f>C19+C20+C21</f>
        <v>11602</v>
      </c>
      <c r="E33" s="77">
        <f>D33-C33</f>
        <v>-2893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4551</v>
      </c>
      <c r="D34" s="80">
        <f>SUM(C8+C9)</f>
        <v>4265</v>
      </c>
      <c r="E34" s="81">
        <f>C34-D34</f>
        <v>286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3164</v>
      </c>
      <c r="R35" s="104">
        <v>952</v>
      </c>
      <c r="S35" s="104">
        <f t="shared" ref="S35:S64" si="1">IF(T35&gt;0,(T35-R35)/2,"")</f>
        <v>-156</v>
      </c>
      <c r="T35" s="104">
        <v>640</v>
      </c>
      <c r="U35" s="104">
        <f t="shared" ref="U35:U64" si="2">IF(V35&gt;0,(V35-T35)/2,"")</f>
        <v>535</v>
      </c>
      <c r="V35" s="104">
        <v>1710</v>
      </c>
      <c r="W35" s="104">
        <f t="shared" ref="W35:W64" si="3">IF(X35&gt;0,(X35-V35)/2,"")</f>
        <v>283.5</v>
      </c>
      <c r="X35" s="104">
        <v>2277</v>
      </c>
      <c r="Y35" s="104">
        <f t="shared" ref="Y35:Y64" si="4">IF(Z35&gt;0,(Z35-X35)/2,"")</f>
        <v>13</v>
      </c>
      <c r="Z35" s="104">
        <v>2303</v>
      </c>
      <c r="AA35" s="104">
        <f t="shared" ref="AA35:AA64" si="5">IF(AB35&gt;0,(AB35-Z35)/2,"")</f>
        <v>0</v>
      </c>
      <c r="AB35" s="104">
        <v>2303</v>
      </c>
      <c r="AC35" s="104">
        <f t="shared" ref="AC35:AC64" si="6">IF(AD35&gt;0,(AD35-AB35)/2,"")</f>
        <v>0</v>
      </c>
      <c r="AD35" s="104">
        <v>2303</v>
      </c>
      <c r="AE35" s="105">
        <f t="shared" ref="AE35:AE64" si="7">AD35-Q35</f>
        <v>-861</v>
      </c>
    </row>
    <row r="36" spans="2:31" ht="15.6" customHeight="1" x14ac:dyDescent="0.3">
      <c r="N36" s="212"/>
      <c r="O36" s="95" t="s">
        <v>66</v>
      </c>
      <c r="P36" s="106"/>
      <c r="Q36" s="106">
        <v>269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122.5</v>
      </c>
      <c r="Z36" s="106">
        <v>245</v>
      </c>
      <c r="AA36" s="106">
        <f t="shared" si="5"/>
        <v>-40.5</v>
      </c>
      <c r="AB36" s="106">
        <v>164</v>
      </c>
      <c r="AC36" s="106">
        <f t="shared" si="6"/>
        <v>0</v>
      </c>
      <c r="AD36" s="106">
        <v>164</v>
      </c>
      <c r="AE36" s="107">
        <f t="shared" si="7"/>
        <v>-105</v>
      </c>
    </row>
    <row r="37" spans="2:31" ht="15.6" customHeight="1" x14ac:dyDescent="0.3">
      <c r="N37" s="212"/>
      <c r="O37" s="94" t="s">
        <v>67</v>
      </c>
      <c r="P37" s="108"/>
      <c r="Q37" s="108">
        <v>2487</v>
      </c>
      <c r="R37" s="108">
        <v>0</v>
      </c>
      <c r="S37" s="108">
        <f t="shared" si="1"/>
        <v>6</v>
      </c>
      <c r="T37" s="108">
        <v>12</v>
      </c>
      <c r="U37" s="108">
        <f t="shared" si="2"/>
        <v>0</v>
      </c>
      <c r="V37" s="108">
        <v>12</v>
      </c>
      <c r="W37" s="108">
        <f t="shared" si="3"/>
        <v>0</v>
      </c>
      <c r="X37" s="108">
        <v>12</v>
      </c>
      <c r="Y37" s="108">
        <f t="shared" si="4"/>
        <v>517.5</v>
      </c>
      <c r="Z37" s="108">
        <v>1047</v>
      </c>
      <c r="AA37" s="108">
        <f t="shared" si="5"/>
        <v>177.5</v>
      </c>
      <c r="AB37" s="108">
        <v>1402</v>
      </c>
      <c r="AC37" s="108">
        <f t="shared" si="6"/>
        <v>0</v>
      </c>
      <c r="AD37" s="108">
        <v>1402</v>
      </c>
      <c r="AE37" s="109">
        <f t="shared" si="7"/>
        <v>-1085</v>
      </c>
    </row>
    <row r="38" spans="2:31" ht="15.6" customHeight="1" x14ac:dyDescent="0.3">
      <c r="N38" s="212"/>
      <c r="O38" s="95" t="s">
        <v>68</v>
      </c>
      <c r="P38" s="106"/>
      <c r="Q38" s="106">
        <v>3682</v>
      </c>
      <c r="R38" s="106">
        <v>740</v>
      </c>
      <c r="S38" s="106">
        <f t="shared" si="1"/>
        <v>-169.5</v>
      </c>
      <c r="T38" s="106">
        <v>401</v>
      </c>
      <c r="U38" s="106">
        <f t="shared" si="2"/>
        <v>224.5</v>
      </c>
      <c r="V38" s="106">
        <v>850</v>
      </c>
      <c r="W38" s="106">
        <f t="shared" si="3"/>
        <v>382</v>
      </c>
      <c r="X38" s="106">
        <v>1614</v>
      </c>
      <c r="Y38" s="106">
        <f t="shared" si="4"/>
        <v>189.5</v>
      </c>
      <c r="Z38" s="106">
        <v>1993</v>
      </c>
      <c r="AA38" s="106">
        <f t="shared" si="5"/>
        <v>0</v>
      </c>
      <c r="AB38" s="106">
        <v>1993</v>
      </c>
      <c r="AC38" s="106">
        <f t="shared" si="6"/>
        <v>0</v>
      </c>
      <c r="AD38" s="106">
        <v>1993</v>
      </c>
      <c r="AE38" s="107">
        <f t="shared" si="7"/>
        <v>-1689</v>
      </c>
    </row>
    <row r="39" spans="2:31" ht="15.6" customHeight="1" x14ac:dyDescent="0.3">
      <c r="N39" s="212"/>
      <c r="O39" s="94" t="s">
        <v>69</v>
      </c>
      <c r="P39" s="108"/>
      <c r="Q39" s="108">
        <v>2465</v>
      </c>
      <c r="R39" s="108">
        <v>7</v>
      </c>
      <c r="S39" s="108">
        <f t="shared" si="1"/>
        <v>292.5</v>
      </c>
      <c r="T39" s="108">
        <v>592</v>
      </c>
      <c r="U39" s="108">
        <f t="shared" si="2"/>
        <v>475.5</v>
      </c>
      <c r="V39" s="108">
        <v>1543</v>
      </c>
      <c r="W39" s="108">
        <f t="shared" si="3"/>
        <v>330</v>
      </c>
      <c r="X39" s="108">
        <v>2203</v>
      </c>
      <c r="Y39" s="108">
        <f t="shared" si="4"/>
        <v>0</v>
      </c>
      <c r="Z39" s="108">
        <v>2203</v>
      </c>
      <c r="AA39" s="108">
        <f t="shared" si="5"/>
        <v>0</v>
      </c>
      <c r="AB39" s="108">
        <v>2203</v>
      </c>
      <c r="AC39" s="108">
        <f t="shared" si="6"/>
        <v>0</v>
      </c>
      <c r="AD39" s="108">
        <v>2203</v>
      </c>
      <c r="AE39" s="109">
        <f t="shared" si="7"/>
        <v>-262</v>
      </c>
    </row>
    <row r="40" spans="2:31" ht="15.6" customHeight="1" x14ac:dyDescent="0.3">
      <c r="N40" s="212"/>
      <c r="O40" s="95" t="s">
        <v>70</v>
      </c>
      <c r="P40" s="106"/>
      <c r="Q40" s="106">
        <v>3882</v>
      </c>
      <c r="R40" s="106">
        <v>302</v>
      </c>
      <c r="S40" s="106">
        <f t="shared" si="1"/>
        <v>13.5</v>
      </c>
      <c r="T40" s="106">
        <v>329</v>
      </c>
      <c r="U40" s="106">
        <f t="shared" si="2"/>
        <v>225.5</v>
      </c>
      <c r="V40" s="106">
        <v>780</v>
      </c>
      <c r="W40" s="106">
        <f t="shared" si="3"/>
        <v>243</v>
      </c>
      <c r="X40" s="106">
        <v>1266</v>
      </c>
      <c r="Y40" s="106">
        <f t="shared" si="4"/>
        <v>741.5</v>
      </c>
      <c r="Z40" s="106">
        <v>2749</v>
      </c>
      <c r="AA40" s="106">
        <f t="shared" si="5"/>
        <v>0</v>
      </c>
      <c r="AB40" s="106">
        <v>2749</v>
      </c>
      <c r="AC40" s="106">
        <f t="shared" si="6"/>
        <v>0</v>
      </c>
      <c r="AD40" s="106">
        <v>2749</v>
      </c>
      <c r="AE40" s="107">
        <f t="shared" si="7"/>
        <v>-1133</v>
      </c>
    </row>
    <row r="41" spans="2:31" ht="15.6" customHeight="1" x14ac:dyDescent="0.3">
      <c r="N41" s="212"/>
      <c r="O41" s="94" t="s">
        <v>71</v>
      </c>
      <c r="P41" s="108"/>
      <c r="Q41" s="108">
        <v>1178</v>
      </c>
      <c r="R41" s="108">
        <v>0</v>
      </c>
      <c r="S41" s="108">
        <f t="shared" si="1"/>
        <v>2.5</v>
      </c>
      <c r="T41" s="108">
        <v>5</v>
      </c>
      <c r="U41" s="108">
        <f t="shared" si="2"/>
        <v>135.5</v>
      </c>
      <c r="V41" s="108">
        <v>276</v>
      </c>
      <c r="W41" s="108">
        <f t="shared" si="3"/>
        <v>187.5</v>
      </c>
      <c r="X41" s="108">
        <v>651</v>
      </c>
      <c r="Y41" s="108">
        <f t="shared" si="4"/>
        <v>0</v>
      </c>
      <c r="Z41" s="108">
        <v>651</v>
      </c>
      <c r="AA41" s="108">
        <f t="shared" si="5"/>
        <v>0</v>
      </c>
      <c r="AB41" s="108">
        <v>651</v>
      </c>
      <c r="AC41" s="108">
        <f t="shared" si="6"/>
        <v>0</v>
      </c>
      <c r="AD41" s="108">
        <v>651</v>
      </c>
      <c r="AE41" s="109">
        <f t="shared" si="7"/>
        <v>-527</v>
      </c>
    </row>
    <row r="42" spans="2:31" ht="15.6" customHeight="1" x14ac:dyDescent="0.3">
      <c r="N42" s="212"/>
      <c r="O42" s="95" t="s">
        <v>72</v>
      </c>
      <c r="P42" s="106"/>
      <c r="Q42" s="106">
        <v>1704</v>
      </c>
      <c r="R42" s="106">
        <v>548</v>
      </c>
      <c r="S42" s="106">
        <f t="shared" si="1"/>
        <v>0</v>
      </c>
      <c r="T42" s="106">
        <v>548</v>
      </c>
      <c r="U42" s="106">
        <f t="shared" si="2"/>
        <v>390.5</v>
      </c>
      <c r="V42" s="106">
        <v>1329</v>
      </c>
      <c r="W42" s="106">
        <f t="shared" si="3"/>
        <v>0</v>
      </c>
      <c r="X42" s="106">
        <v>1329</v>
      </c>
      <c r="Y42" s="106">
        <f t="shared" si="4"/>
        <v>0</v>
      </c>
      <c r="Z42" s="106">
        <v>1329</v>
      </c>
      <c r="AA42" s="106">
        <f t="shared" si="5"/>
        <v>0</v>
      </c>
      <c r="AB42" s="106">
        <v>1329</v>
      </c>
      <c r="AC42" s="106">
        <f t="shared" si="6"/>
        <v>0</v>
      </c>
      <c r="AD42" s="106">
        <v>1329</v>
      </c>
      <c r="AE42" s="107">
        <f t="shared" si="7"/>
        <v>-375</v>
      </c>
    </row>
    <row r="43" spans="2:31" ht="15.6" customHeight="1" thickBot="1" x14ac:dyDescent="0.35">
      <c r="N43" s="213"/>
      <c r="O43" s="97" t="s">
        <v>73</v>
      </c>
      <c r="P43" s="110"/>
      <c r="Q43" s="110">
        <v>1739</v>
      </c>
      <c r="R43" s="110">
        <v>256</v>
      </c>
      <c r="S43" s="110">
        <f t="shared" si="1"/>
        <v>448</v>
      </c>
      <c r="T43" s="110">
        <v>1152</v>
      </c>
      <c r="U43" s="110">
        <f t="shared" si="2"/>
        <v>192</v>
      </c>
      <c r="V43" s="110">
        <v>1536</v>
      </c>
      <c r="W43" s="110">
        <f t="shared" si="3"/>
        <v>27.5</v>
      </c>
      <c r="X43" s="110">
        <v>1591</v>
      </c>
      <c r="Y43" s="110">
        <f t="shared" si="4"/>
        <v>64.5</v>
      </c>
      <c r="Z43" s="110">
        <v>1720</v>
      </c>
      <c r="AA43" s="110">
        <f t="shared" si="5"/>
        <v>9.5</v>
      </c>
      <c r="AB43" s="110">
        <v>1739</v>
      </c>
      <c r="AC43" s="110">
        <f t="shared" si="6"/>
        <v>0</v>
      </c>
      <c r="AD43" s="110">
        <v>1739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3786</v>
      </c>
      <c r="R44" s="112">
        <v>1000</v>
      </c>
      <c r="S44" s="112">
        <f t="shared" si="1"/>
        <v>232.5</v>
      </c>
      <c r="T44" s="112">
        <v>1465</v>
      </c>
      <c r="U44" s="112">
        <f t="shared" si="2"/>
        <v>0</v>
      </c>
      <c r="V44" s="112">
        <v>1465</v>
      </c>
      <c r="W44" s="112">
        <f t="shared" si="3"/>
        <v>767.5</v>
      </c>
      <c r="X44" s="112">
        <v>3000</v>
      </c>
      <c r="Y44" s="112">
        <f t="shared" si="4"/>
        <v>407.5</v>
      </c>
      <c r="Z44" s="112">
        <v>3815</v>
      </c>
      <c r="AA44" s="112">
        <f t="shared" si="5"/>
        <v>0</v>
      </c>
      <c r="AB44" s="112">
        <v>3815</v>
      </c>
      <c r="AC44" s="112">
        <f t="shared" si="6"/>
        <v>0</v>
      </c>
      <c r="AD44" s="112">
        <v>3815</v>
      </c>
      <c r="AE44" s="113">
        <f t="shared" si="7"/>
        <v>29</v>
      </c>
    </row>
    <row r="45" spans="2:31" ht="15.6" customHeight="1" x14ac:dyDescent="0.3">
      <c r="N45" s="212"/>
      <c r="O45" s="94" t="s">
        <v>66</v>
      </c>
      <c r="P45" s="108"/>
      <c r="Q45" s="108">
        <v>3118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602.5</v>
      </c>
      <c r="V45" s="108">
        <v>1205</v>
      </c>
      <c r="W45" s="108">
        <f t="shared" si="3"/>
        <v>428.5</v>
      </c>
      <c r="X45" s="108">
        <v>2062</v>
      </c>
      <c r="Y45" s="108">
        <f t="shared" si="4"/>
        <v>528</v>
      </c>
      <c r="Z45" s="108">
        <v>3118</v>
      </c>
      <c r="AA45" s="108">
        <f t="shared" si="5"/>
        <v>0</v>
      </c>
      <c r="AB45" s="108">
        <v>3118</v>
      </c>
      <c r="AC45" s="108">
        <f t="shared" si="6"/>
        <v>0</v>
      </c>
      <c r="AD45" s="108">
        <v>3118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1992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112</v>
      </c>
      <c r="X46" s="106">
        <v>224</v>
      </c>
      <c r="Y46" s="106">
        <f t="shared" si="4"/>
        <v>693.5</v>
      </c>
      <c r="Z46" s="106">
        <v>1611</v>
      </c>
      <c r="AA46" s="106">
        <f t="shared" si="5"/>
        <v>0</v>
      </c>
      <c r="AB46" s="106">
        <v>1611</v>
      </c>
      <c r="AC46" s="106">
        <f t="shared" si="6"/>
        <v>0</v>
      </c>
      <c r="AD46" s="106">
        <v>1611</v>
      </c>
      <c r="AE46" s="107">
        <f t="shared" si="7"/>
        <v>-381</v>
      </c>
    </row>
    <row r="47" spans="2:31" ht="15.6" customHeight="1" thickBot="1" x14ac:dyDescent="0.35">
      <c r="N47" s="213"/>
      <c r="O47" s="97" t="s">
        <v>68</v>
      </c>
      <c r="P47" s="110"/>
      <c r="Q47" s="110">
        <v>3087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929.5</v>
      </c>
      <c r="V47" s="110">
        <v>1859</v>
      </c>
      <c r="W47" s="110">
        <f t="shared" si="3"/>
        <v>390.5</v>
      </c>
      <c r="X47" s="110">
        <v>2640</v>
      </c>
      <c r="Y47" s="110">
        <f t="shared" si="4"/>
        <v>223.5</v>
      </c>
      <c r="Z47" s="110">
        <v>3087</v>
      </c>
      <c r="AA47" s="110">
        <f t="shared" si="5"/>
        <v>0</v>
      </c>
      <c r="AB47" s="110">
        <v>3087</v>
      </c>
      <c r="AC47" s="110">
        <f t="shared" si="6"/>
        <v>0</v>
      </c>
      <c r="AD47" s="110">
        <v>3087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345</v>
      </c>
      <c r="R48" s="112">
        <v>1</v>
      </c>
      <c r="S48" s="112">
        <f t="shared" si="1"/>
        <v>0</v>
      </c>
      <c r="T48" s="112">
        <v>1</v>
      </c>
      <c r="U48" s="112">
        <f t="shared" si="2"/>
        <v>60</v>
      </c>
      <c r="V48" s="112">
        <v>121</v>
      </c>
      <c r="W48" s="112">
        <f t="shared" si="3"/>
        <v>41</v>
      </c>
      <c r="X48" s="112">
        <v>203</v>
      </c>
      <c r="Y48" s="112">
        <f t="shared" si="4"/>
        <v>0</v>
      </c>
      <c r="Z48" s="112">
        <v>203</v>
      </c>
      <c r="AA48" s="112">
        <f t="shared" si="5"/>
        <v>0</v>
      </c>
      <c r="AB48" s="112">
        <v>203</v>
      </c>
      <c r="AC48" s="112">
        <f t="shared" si="6"/>
        <v>0</v>
      </c>
      <c r="AD48" s="112">
        <v>203</v>
      </c>
      <c r="AE48" s="113">
        <f t="shared" si="7"/>
        <v>-142</v>
      </c>
    </row>
    <row r="49" spans="14:31" ht="15.6" customHeight="1" x14ac:dyDescent="0.3">
      <c r="N49" s="212"/>
      <c r="O49" s="94" t="s">
        <v>66</v>
      </c>
      <c r="P49" s="108"/>
      <c r="Q49" s="108">
        <v>319</v>
      </c>
      <c r="R49" s="108">
        <v>2</v>
      </c>
      <c r="S49" s="108">
        <f t="shared" si="1"/>
        <v>0</v>
      </c>
      <c r="T49" s="108">
        <v>2</v>
      </c>
      <c r="U49" s="108">
        <f t="shared" si="2"/>
        <v>64.5</v>
      </c>
      <c r="V49" s="108">
        <v>131</v>
      </c>
      <c r="W49" s="108">
        <f t="shared" si="3"/>
        <v>10</v>
      </c>
      <c r="X49" s="108">
        <v>151</v>
      </c>
      <c r="Y49" s="108">
        <f t="shared" si="4"/>
        <v>0</v>
      </c>
      <c r="Z49" s="108">
        <v>151</v>
      </c>
      <c r="AA49" s="108">
        <f t="shared" si="5"/>
        <v>0</v>
      </c>
      <c r="AB49" s="108">
        <v>151</v>
      </c>
      <c r="AC49" s="108">
        <f t="shared" si="6"/>
        <v>0</v>
      </c>
      <c r="AD49" s="108">
        <v>151</v>
      </c>
      <c r="AE49" s="109">
        <f t="shared" si="7"/>
        <v>-168</v>
      </c>
    </row>
    <row r="50" spans="14:31" ht="15.6" customHeight="1" x14ac:dyDescent="0.3">
      <c r="N50" s="212"/>
      <c r="O50" s="95" t="s">
        <v>67</v>
      </c>
      <c r="P50" s="106"/>
      <c r="Q50" s="106">
        <v>1625</v>
      </c>
      <c r="R50" s="106">
        <v>462</v>
      </c>
      <c r="S50" s="106">
        <f t="shared" si="1"/>
        <v>186.5</v>
      </c>
      <c r="T50" s="106">
        <v>835</v>
      </c>
      <c r="U50" s="106">
        <f t="shared" si="2"/>
        <v>131</v>
      </c>
      <c r="V50" s="106">
        <v>1097</v>
      </c>
      <c r="W50" s="106">
        <f t="shared" si="3"/>
        <v>93.5</v>
      </c>
      <c r="X50" s="106">
        <v>1284</v>
      </c>
      <c r="Y50" s="106">
        <f t="shared" si="4"/>
        <v>40.5</v>
      </c>
      <c r="Z50" s="106">
        <v>1365</v>
      </c>
      <c r="AA50" s="106">
        <f t="shared" si="5"/>
        <v>0</v>
      </c>
      <c r="AB50" s="106">
        <v>1365</v>
      </c>
      <c r="AC50" s="106">
        <f t="shared" si="6"/>
        <v>0</v>
      </c>
      <c r="AD50" s="106">
        <v>1365</v>
      </c>
      <c r="AE50" s="107">
        <f t="shared" si="7"/>
        <v>-260</v>
      </c>
    </row>
    <row r="51" spans="14:31" ht="15.6" customHeight="1" x14ac:dyDescent="0.3">
      <c r="N51" s="212"/>
      <c r="O51" s="94" t="s">
        <v>68</v>
      </c>
      <c r="P51" s="108"/>
      <c r="Q51" s="108">
        <v>960</v>
      </c>
      <c r="R51" s="108">
        <v>242</v>
      </c>
      <c r="S51" s="108">
        <f t="shared" si="1"/>
        <v>0</v>
      </c>
      <c r="T51" s="108">
        <v>242</v>
      </c>
      <c r="U51" s="108">
        <f t="shared" si="2"/>
        <v>0</v>
      </c>
      <c r="V51" s="108">
        <v>242</v>
      </c>
      <c r="W51" s="108">
        <f t="shared" si="3"/>
        <v>288</v>
      </c>
      <c r="X51" s="108">
        <v>818</v>
      </c>
      <c r="Y51" s="108">
        <f t="shared" si="4"/>
        <v>0</v>
      </c>
      <c r="Z51" s="108">
        <v>818</v>
      </c>
      <c r="AA51" s="108">
        <f t="shared" si="5"/>
        <v>0</v>
      </c>
      <c r="AB51" s="108">
        <v>818</v>
      </c>
      <c r="AC51" s="108">
        <f t="shared" si="6"/>
        <v>0</v>
      </c>
      <c r="AD51" s="108">
        <v>818</v>
      </c>
      <c r="AE51" s="109">
        <f t="shared" si="7"/>
        <v>-142</v>
      </c>
    </row>
    <row r="52" spans="14:31" ht="15.6" customHeight="1" x14ac:dyDescent="0.3">
      <c r="N52" s="212"/>
      <c r="O52" s="95" t="s">
        <v>69</v>
      </c>
      <c r="P52" s="106"/>
      <c r="Q52" s="106">
        <v>2533</v>
      </c>
      <c r="R52" s="106">
        <v>889</v>
      </c>
      <c r="S52" s="106">
        <f t="shared" si="1"/>
        <v>0</v>
      </c>
      <c r="T52" s="106">
        <v>889</v>
      </c>
      <c r="U52" s="106">
        <f t="shared" si="2"/>
        <v>122</v>
      </c>
      <c r="V52" s="106">
        <v>1133</v>
      </c>
      <c r="W52" s="106">
        <f t="shared" si="3"/>
        <v>389</v>
      </c>
      <c r="X52" s="106">
        <v>1911</v>
      </c>
      <c r="Y52" s="106">
        <f t="shared" si="4"/>
        <v>65</v>
      </c>
      <c r="Z52" s="106">
        <v>2041</v>
      </c>
      <c r="AA52" s="106">
        <f t="shared" si="5"/>
        <v>0</v>
      </c>
      <c r="AB52" s="106">
        <v>2041</v>
      </c>
      <c r="AC52" s="106">
        <f t="shared" si="6"/>
        <v>0</v>
      </c>
      <c r="AD52" s="106">
        <v>2041</v>
      </c>
      <c r="AE52" s="107">
        <f t="shared" si="7"/>
        <v>-492</v>
      </c>
    </row>
    <row r="53" spans="14:31" ht="15.6" customHeight="1" x14ac:dyDescent="0.3">
      <c r="N53" s="212"/>
      <c r="O53" s="94" t="s">
        <v>70</v>
      </c>
      <c r="P53" s="108"/>
      <c r="Q53" s="108">
        <v>1630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804.5</v>
      </c>
      <c r="X53" s="108">
        <v>1609</v>
      </c>
      <c r="Y53" s="108">
        <f t="shared" si="4"/>
        <v>20.5</v>
      </c>
      <c r="Z53" s="108">
        <v>1650</v>
      </c>
      <c r="AA53" s="108">
        <f t="shared" si="5"/>
        <v>0</v>
      </c>
      <c r="AB53" s="108">
        <v>1650</v>
      </c>
      <c r="AC53" s="108">
        <f t="shared" si="6"/>
        <v>0</v>
      </c>
      <c r="AD53" s="108">
        <v>1650</v>
      </c>
      <c r="AE53" s="109">
        <f t="shared" si="7"/>
        <v>20</v>
      </c>
    </row>
    <row r="54" spans="14:31" ht="15.6" customHeight="1" x14ac:dyDescent="0.3">
      <c r="N54" s="212"/>
      <c r="O54" s="95" t="s">
        <v>71</v>
      </c>
      <c r="P54" s="106"/>
      <c r="Q54" s="106">
        <v>995</v>
      </c>
      <c r="R54" s="106">
        <v>649</v>
      </c>
      <c r="S54" s="106">
        <f t="shared" si="1"/>
        <v>169</v>
      </c>
      <c r="T54" s="106">
        <v>987</v>
      </c>
      <c r="U54" s="106">
        <f t="shared" si="2"/>
        <v>11.5</v>
      </c>
      <c r="V54" s="106">
        <v>1010</v>
      </c>
      <c r="W54" s="106">
        <f t="shared" si="3"/>
        <v>-49.5</v>
      </c>
      <c r="X54" s="106">
        <v>911</v>
      </c>
      <c r="Y54" s="106">
        <f t="shared" si="4"/>
        <v>0</v>
      </c>
      <c r="Z54" s="106">
        <v>911</v>
      </c>
      <c r="AA54" s="106">
        <f t="shared" si="5"/>
        <v>0</v>
      </c>
      <c r="AB54" s="106">
        <v>911</v>
      </c>
      <c r="AC54" s="106">
        <f t="shared" si="6"/>
        <v>0</v>
      </c>
      <c r="AD54" s="106">
        <v>911</v>
      </c>
      <c r="AE54" s="107">
        <f t="shared" si="7"/>
        <v>-84</v>
      </c>
    </row>
    <row r="55" spans="14:31" ht="15.6" customHeight="1" x14ac:dyDescent="0.3">
      <c r="N55" s="212"/>
      <c r="O55" s="94" t="s">
        <v>72</v>
      </c>
      <c r="P55" s="108"/>
      <c r="Q55" s="108">
        <v>381</v>
      </c>
      <c r="R55" s="108">
        <v>3</v>
      </c>
      <c r="S55" s="108">
        <f t="shared" si="1"/>
        <v>0</v>
      </c>
      <c r="T55" s="108">
        <v>3</v>
      </c>
      <c r="U55" s="108">
        <f t="shared" si="2"/>
        <v>9</v>
      </c>
      <c r="V55" s="108">
        <v>21</v>
      </c>
      <c r="W55" s="108">
        <f t="shared" si="3"/>
        <v>84</v>
      </c>
      <c r="X55" s="108">
        <v>189</v>
      </c>
      <c r="Y55" s="108">
        <f t="shared" si="4"/>
        <v>0</v>
      </c>
      <c r="Z55" s="108">
        <v>189</v>
      </c>
      <c r="AA55" s="108">
        <f t="shared" si="5"/>
        <v>0</v>
      </c>
      <c r="AB55" s="108">
        <v>189</v>
      </c>
      <c r="AC55" s="108">
        <f t="shared" si="6"/>
        <v>0</v>
      </c>
      <c r="AD55" s="108">
        <v>189</v>
      </c>
      <c r="AE55" s="109">
        <f t="shared" si="7"/>
        <v>-192</v>
      </c>
    </row>
    <row r="56" spans="14:31" ht="15.6" customHeight="1" thickBot="1" x14ac:dyDescent="0.35">
      <c r="N56" s="213"/>
      <c r="O56" s="99" t="s">
        <v>73</v>
      </c>
      <c r="P56" s="114"/>
      <c r="Q56" s="114">
        <v>256</v>
      </c>
      <c r="R56" s="114">
        <v>56</v>
      </c>
      <c r="S56" s="114">
        <f t="shared" si="1"/>
        <v>16.5</v>
      </c>
      <c r="T56" s="114">
        <v>89</v>
      </c>
      <c r="U56" s="114">
        <f t="shared" si="2"/>
        <v>93</v>
      </c>
      <c r="V56" s="114">
        <v>275</v>
      </c>
      <c r="W56" s="114">
        <f t="shared" si="3"/>
        <v>0.5</v>
      </c>
      <c r="X56" s="114">
        <v>276</v>
      </c>
      <c r="Y56" s="114">
        <f t="shared" si="4"/>
        <v>0</v>
      </c>
      <c r="Z56" s="114">
        <v>276</v>
      </c>
      <c r="AA56" s="114">
        <f t="shared" si="5"/>
        <v>0</v>
      </c>
      <c r="AB56" s="114">
        <v>276</v>
      </c>
      <c r="AC56" s="114">
        <f t="shared" si="6"/>
        <v>0</v>
      </c>
      <c r="AD56" s="114">
        <v>276</v>
      </c>
      <c r="AE56" s="115">
        <f t="shared" si="7"/>
        <v>20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5076</v>
      </c>
      <c r="R57" s="104">
        <v>299</v>
      </c>
      <c r="S57" s="104">
        <f t="shared" si="1"/>
        <v>232</v>
      </c>
      <c r="T57" s="104">
        <v>763</v>
      </c>
      <c r="U57" s="104">
        <f t="shared" si="2"/>
        <v>118</v>
      </c>
      <c r="V57" s="104">
        <v>999</v>
      </c>
      <c r="W57" s="104">
        <f t="shared" si="3"/>
        <v>765</v>
      </c>
      <c r="X57" s="104">
        <v>2529</v>
      </c>
      <c r="Y57" s="104">
        <f t="shared" si="4"/>
        <v>962</v>
      </c>
      <c r="Z57" s="104">
        <v>4453</v>
      </c>
      <c r="AA57" s="104">
        <f t="shared" si="5"/>
        <v>0</v>
      </c>
      <c r="AB57" s="104">
        <v>4453</v>
      </c>
      <c r="AC57" s="104">
        <f t="shared" si="6"/>
        <v>0</v>
      </c>
      <c r="AD57" s="104">
        <v>4453</v>
      </c>
      <c r="AE57" s="105">
        <f t="shared" si="7"/>
        <v>-623</v>
      </c>
    </row>
    <row r="58" spans="14:31" ht="15.6" customHeight="1" x14ac:dyDescent="0.3">
      <c r="N58" s="212"/>
      <c r="O58" s="95" t="s">
        <v>66</v>
      </c>
      <c r="P58" s="106"/>
      <c r="Q58" s="106">
        <v>4035</v>
      </c>
      <c r="R58" s="106">
        <v>991</v>
      </c>
      <c r="S58" s="106">
        <f t="shared" si="1"/>
        <v>197</v>
      </c>
      <c r="T58" s="106">
        <v>1385</v>
      </c>
      <c r="U58" s="106">
        <f t="shared" si="2"/>
        <v>139.5</v>
      </c>
      <c r="V58" s="106">
        <v>1664</v>
      </c>
      <c r="W58" s="106">
        <f t="shared" si="3"/>
        <v>230.5</v>
      </c>
      <c r="X58" s="106">
        <v>2125</v>
      </c>
      <c r="Y58" s="106">
        <f t="shared" si="4"/>
        <v>648.5</v>
      </c>
      <c r="Z58" s="106">
        <v>3422</v>
      </c>
      <c r="AA58" s="106">
        <f t="shared" si="5"/>
        <v>0</v>
      </c>
      <c r="AB58" s="106">
        <v>3422</v>
      </c>
      <c r="AC58" s="106">
        <f t="shared" si="6"/>
        <v>0</v>
      </c>
      <c r="AD58" s="106">
        <v>3422</v>
      </c>
      <c r="AE58" s="107">
        <f t="shared" si="7"/>
        <v>-613</v>
      </c>
    </row>
    <row r="59" spans="14:31" ht="15.6" customHeight="1" x14ac:dyDescent="0.3">
      <c r="N59" s="212"/>
      <c r="O59" s="94" t="s">
        <v>67</v>
      </c>
      <c r="P59" s="108"/>
      <c r="Q59" s="108">
        <v>3420</v>
      </c>
      <c r="R59" s="108">
        <v>277</v>
      </c>
      <c r="S59" s="108">
        <f t="shared" si="1"/>
        <v>225.5</v>
      </c>
      <c r="T59" s="108">
        <v>728</v>
      </c>
      <c r="U59" s="108">
        <f t="shared" si="2"/>
        <v>304.5</v>
      </c>
      <c r="V59" s="108">
        <v>1337</v>
      </c>
      <c r="W59" s="108">
        <f t="shared" si="3"/>
        <v>75.5</v>
      </c>
      <c r="X59" s="108">
        <v>1488</v>
      </c>
      <c r="Y59" s="108">
        <f t="shared" si="4"/>
        <v>581.5</v>
      </c>
      <c r="Z59" s="108">
        <v>2651</v>
      </c>
      <c r="AA59" s="108">
        <f t="shared" si="5"/>
        <v>0</v>
      </c>
      <c r="AB59" s="108">
        <v>2651</v>
      </c>
      <c r="AC59" s="108">
        <f t="shared" si="6"/>
        <v>0</v>
      </c>
      <c r="AD59" s="108">
        <v>2651</v>
      </c>
      <c r="AE59" s="109">
        <f t="shared" si="7"/>
        <v>-769</v>
      </c>
    </row>
    <row r="60" spans="14:31" ht="15.6" customHeight="1" thickBot="1" x14ac:dyDescent="0.3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6619</v>
      </c>
      <c r="R61" s="104">
        <v>1207</v>
      </c>
      <c r="S61" s="104">
        <f t="shared" si="1"/>
        <v>426.5</v>
      </c>
      <c r="T61" s="104">
        <v>2060</v>
      </c>
      <c r="U61" s="104">
        <f t="shared" si="2"/>
        <v>288</v>
      </c>
      <c r="V61" s="104">
        <v>2636</v>
      </c>
      <c r="W61" s="104">
        <f t="shared" si="3"/>
        <v>742</v>
      </c>
      <c r="X61" s="104">
        <v>4120</v>
      </c>
      <c r="Y61" s="104">
        <f t="shared" si="4"/>
        <v>0</v>
      </c>
      <c r="Z61" s="104">
        <v>4120</v>
      </c>
      <c r="AA61" s="104">
        <f t="shared" si="5"/>
        <v>0</v>
      </c>
      <c r="AB61" s="104">
        <v>4120</v>
      </c>
      <c r="AC61" s="104">
        <f t="shared" si="6"/>
        <v>0</v>
      </c>
      <c r="AD61" s="104">
        <v>4120</v>
      </c>
      <c r="AE61" s="105">
        <f t="shared" si="7"/>
        <v>-2499</v>
      </c>
    </row>
    <row r="62" spans="14:31" ht="15.6" customHeight="1" x14ac:dyDescent="0.3">
      <c r="N62" s="212"/>
      <c r="O62" s="95" t="s">
        <v>66</v>
      </c>
      <c r="P62" s="106"/>
      <c r="Q62" s="106">
        <v>7748</v>
      </c>
      <c r="R62" s="106">
        <v>2558</v>
      </c>
      <c r="S62" s="106">
        <f t="shared" si="1"/>
        <v>534.5</v>
      </c>
      <c r="T62" s="106">
        <v>3627</v>
      </c>
      <c r="U62" s="106">
        <f t="shared" si="2"/>
        <v>135</v>
      </c>
      <c r="V62" s="106">
        <v>3897</v>
      </c>
      <c r="W62" s="106">
        <f t="shared" si="3"/>
        <v>334</v>
      </c>
      <c r="X62" s="106">
        <v>4565</v>
      </c>
      <c r="Y62" s="106">
        <f t="shared" si="4"/>
        <v>177.5</v>
      </c>
      <c r="Z62" s="106">
        <v>4920</v>
      </c>
      <c r="AA62" s="106">
        <f t="shared" si="5"/>
        <v>0</v>
      </c>
      <c r="AB62" s="106">
        <v>4920</v>
      </c>
      <c r="AC62" s="106">
        <f t="shared" si="6"/>
        <v>0</v>
      </c>
      <c r="AD62" s="106">
        <v>4920</v>
      </c>
      <c r="AE62" s="107">
        <f t="shared" si="7"/>
        <v>-2828</v>
      </c>
    </row>
    <row r="63" spans="14:31" ht="15.6" customHeight="1" x14ac:dyDescent="0.3">
      <c r="N63" s="212"/>
      <c r="O63" s="94" t="s">
        <v>67</v>
      </c>
      <c r="P63" s="108"/>
      <c r="Q63" s="108">
        <v>5560</v>
      </c>
      <c r="R63" s="108">
        <v>1690</v>
      </c>
      <c r="S63" s="108">
        <f t="shared" si="1"/>
        <v>605.5</v>
      </c>
      <c r="T63" s="108">
        <v>2901</v>
      </c>
      <c r="U63" s="108">
        <f t="shared" si="2"/>
        <v>235.5</v>
      </c>
      <c r="V63" s="108">
        <v>3372</v>
      </c>
      <c r="W63" s="108">
        <f t="shared" si="3"/>
        <v>240</v>
      </c>
      <c r="X63" s="108">
        <v>3852</v>
      </c>
      <c r="Y63" s="108">
        <f t="shared" si="4"/>
        <v>0</v>
      </c>
      <c r="Z63" s="108">
        <v>3852</v>
      </c>
      <c r="AA63" s="108">
        <f t="shared" si="5"/>
        <v>0</v>
      </c>
      <c r="AB63" s="108">
        <v>3852</v>
      </c>
      <c r="AC63" s="108">
        <f t="shared" si="6"/>
        <v>0</v>
      </c>
      <c r="AD63" s="108">
        <v>3852</v>
      </c>
      <c r="AE63" s="109">
        <f t="shared" si="7"/>
        <v>-1708</v>
      </c>
    </row>
    <row r="64" spans="14:31" ht="15.6" customHeight="1" thickBot="1" x14ac:dyDescent="0.35">
      <c r="N64" s="213"/>
      <c r="O64" s="99" t="s">
        <v>68</v>
      </c>
      <c r="P64" s="114"/>
      <c r="Q64" s="114">
        <v>2364</v>
      </c>
      <c r="R64" s="114">
        <v>457</v>
      </c>
      <c r="S64" s="114">
        <f t="shared" si="1"/>
        <v>56.5</v>
      </c>
      <c r="T64" s="114">
        <v>570</v>
      </c>
      <c r="U64" s="114">
        <f t="shared" si="2"/>
        <v>42</v>
      </c>
      <c r="V64" s="114">
        <v>654</v>
      </c>
      <c r="W64" s="114">
        <f t="shared" si="3"/>
        <v>113</v>
      </c>
      <c r="X64" s="114">
        <v>880</v>
      </c>
      <c r="Y64" s="114">
        <f t="shared" si="4"/>
        <v>72</v>
      </c>
      <c r="Z64" s="114">
        <v>1024</v>
      </c>
      <c r="AA64" s="114">
        <f t="shared" si="5"/>
        <v>0</v>
      </c>
      <c r="AB64" s="114">
        <v>1024</v>
      </c>
      <c r="AC64" s="114">
        <f t="shared" si="6"/>
        <v>0</v>
      </c>
      <c r="AD64" s="114">
        <v>1024</v>
      </c>
      <c r="AE64" s="115">
        <f t="shared" si="7"/>
        <v>-1340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31" priority="11" operator="lessThan">
      <formula>0</formula>
    </cfRule>
    <cfRule type="cellIs" dxfId="1330" priority="12" operator="greaterThan">
      <formula>0</formula>
    </cfRule>
  </conditionalFormatting>
  <conditionalFormatting sqref="R25:AC25">
    <cfRule type="cellIs" dxfId="1329" priority="9" operator="lessThan">
      <formula>0</formula>
    </cfRule>
    <cfRule type="cellIs" dxfId="1328" priority="10" operator="greaterThan">
      <formula>0</formula>
    </cfRule>
  </conditionalFormatting>
  <conditionalFormatting sqref="R26 T26 V26 X26 Z26 AB26">
    <cfRule type="cellIs" dxfId="1327" priority="7" operator="lessThan">
      <formula>0</formula>
    </cfRule>
    <cfRule type="cellIs" dxfId="1326" priority="8" operator="greaterThan">
      <formula>0</formula>
    </cfRule>
  </conditionalFormatting>
  <conditionalFormatting sqref="AD24:AE24">
    <cfRule type="cellIs" dxfId="1325" priority="5" operator="lessThan">
      <formula>0</formula>
    </cfRule>
    <cfRule type="cellIs" dxfId="1324" priority="6" operator="greaterThan">
      <formula>0</formula>
    </cfRule>
  </conditionalFormatting>
  <conditionalFormatting sqref="AD25:AE25">
    <cfRule type="cellIs" dxfId="1323" priority="3" operator="lessThan">
      <formula>0</formula>
    </cfRule>
    <cfRule type="cellIs" dxfId="1322" priority="4" operator="greaterThan">
      <formula>0</formula>
    </cfRule>
  </conditionalFormatting>
  <conditionalFormatting sqref="AD26">
    <cfRule type="cellIs" dxfId="1321" priority="1" operator="lessThan">
      <formula>0</formula>
    </cfRule>
    <cfRule type="cellIs" dxfId="132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44408</v>
      </c>
    </row>
    <row r="3" spans="2:42" ht="18.75" customHeight="1" thickBot="1" x14ac:dyDescent="0.35">
      <c r="B3" t="s">
        <v>1</v>
      </c>
      <c r="C3" s="3">
        <f>C2+1</f>
        <v>44409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18980</v>
      </c>
      <c r="G6" s="117">
        <v>15714.735624999999</v>
      </c>
      <c r="H6" s="117">
        <v>12726.19135432001</v>
      </c>
      <c r="I6" s="19">
        <f>G6+H6</f>
        <v>28440.926979320007</v>
      </c>
      <c r="J6" s="119">
        <v>18430</v>
      </c>
      <c r="K6" s="117">
        <v>14811.36375</v>
      </c>
      <c r="L6" s="117">
        <v>11651.721747700019</v>
      </c>
      <c r="M6" s="19">
        <f>K6+L6</f>
        <v>26463.08549770002</v>
      </c>
      <c r="N6" s="85">
        <v>80</v>
      </c>
      <c r="O6" s="85">
        <v>60</v>
      </c>
      <c r="P6" s="92"/>
      <c r="Q6" s="20">
        <f>J6-P6</f>
        <v>18430</v>
      </c>
      <c r="R6" s="21">
        <v>3102</v>
      </c>
      <c r="S6" s="20">
        <f>IF(R6&gt;0,(R6-R7-$Q6),"")</f>
        <v>-15332</v>
      </c>
      <c r="T6" s="21">
        <v>6320</v>
      </c>
      <c r="U6" s="20">
        <f>IF(T6&gt;0,(T6-T7-$Q6),"")</f>
        <v>-12114</v>
      </c>
      <c r="V6" s="21">
        <v>8255</v>
      </c>
      <c r="W6" s="20">
        <f>IF(V6&gt;0,(V6-V7-$Q6),"")</f>
        <v>-10486</v>
      </c>
      <c r="X6" s="21">
        <v>12189</v>
      </c>
      <c r="Y6" s="20">
        <f>IF(X6&gt;0,(X6-X7-$Q6),"")</f>
        <v>-6572</v>
      </c>
      <c r="Z6" s="21">
        <v>14103</v>
      </c>
      <c r="AA6" s="20">
        <f>IF(Z6&gt;0,(Z6-Z7-$Q6),"")</f>
        <v>-4689</v>
      </c>
      <c r="AB6" s="21">
        <v>14103</v>
      </c>
      <c r="AC6" s="22">
        <f>IF(AB6&gt;0,(AB6-AB7-$Q6),"")</f>
        <v>-4689</v>
      </c>
      <c r="AD6" s="21">
        <v>14103</v>
      </c>
      <c r="AE6" s="22">
        <f>IF(AD6&gt;0,(AD6-AD7-$Q6),"")</f>
        <v>-4689</v>
      </c>
    </row>
    <row r="7" spans="2:42" x14ac:dyDescent="0.3">
      <c r="B7" s="16" t="s">
        <v>23</v>
      </c>
      <c r="C7" s="17">
        <v>2149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4</v>
      </c>
      <c r="S7" s="24"/>
      <c r="T7" s="25">
        <v>4</v>
      </c>
      <c r="U7" s="24"/>
      <c r="V7" s="25">
        <v>311</v>
      </c>
      <c r="W7" s="24"/>
      <c r="X7" s="25">
        <v>331</v>
      </c>
      <c r="Y7" s="24"/>
      <c r="Z7" s="25">
        <v>362</v>
      </c>
      <c r="AA7" s="24"/>
      <c r="AB7" s="25">
        <v>362</v>
      </c>
      <c r="AC7" s="26"/>
      <c r="AD7" s="25">
        <v>362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3002</v>
      </c>
      <c r="E8" s="29" t="s">
        <v>27</v>
      </c>
      <c r="F8" s="119">
        <v>14975</v>
      </c>
      <c r="G8" s="117">
        <v>6366.0450000000001</v>
      </c>
      <c r="H8" s="117">
        <v>1387.1294375</v>
      </c>
      <c r="I8" s="19">
        <f>G8+H8</f>
        <v>7753.1744374999998</v>
      </c>
      <c r="J8" s="119">
        <v>11616</v>
      </c>
      <c r="K8" s="117">
        <v>4809.375</v>
      </c>
      <c r="L8" s="117">
        <v>1453.2921894000001</v>
      </c>
      <c r="M8" s="19">
        <f>K8+L8</f>
        <v>6262.6671894000001</v>
      </c>
      <c r="N8" s="87">
        <v>37</v>
      </c>
      <c r="O8" s="87">
        <v>25</v>
      </c>
      <c r="P8" s="92"/>
      <c r="Q8" s="20">
        <f>J8-P8</f>
        <v>11616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2154</v>
      </c>
      <c r="W8" s="20">
        <f>IF(V8&gt;0,(V8-V9-$Q8),"")</f>
        <v>-9462</v>
      </c>
      <c r="X8" s="21">
        <v>3406</v>
      </c>
      <c r="Y8" s="20">
        <f>IF(X8&gt;0,(X8-X9-$Q8),"")</f>
        <v>-8210</v>
      </c>
      <c r="Z8" s="21">
        <v>9203</v>
      </c>
      <c r="AA8" s="20">
        <f>IF(Z8&gt;0,(Z8-Z9-$Q8),"")</f>
        <v>-2413</v>
      </c>
      <c r="AB8" s="21">
        <v>11606</v>
      </c>
      <c r="AC8" s="22">
        <f>IF(AB8&gt;0,(AB8-AB9-$Q8),"")</f>
        <v>-10</v>
      </c>
      <c r="AD8" s="21">
        <v>11606</v>
      </c>
      <c r="AE8" s="22">
        <f>IF(AD8&gt;0,(AD8-AD9-$Q8),"")</f>
        <v>-10</v>
      </c>
    </row>
    <row r="9" spans="2:42" x14ac:dyDescent="0.3">
      <c r="B9" s="28" t="s">
        <v>28</v>
      </c>
      <c r="C9" s="17">
        <v>1468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4392</v>
      </c>
      <c r="E10" s="18" t="s">
        <v>31</v>
      </c>
      <c r="F10" s="119">
        <v>18176</v>
      </c>
      <c r="G10" s="117">
        <v>14440.815124999999</v>
      </c>
      <c r="H10" s="117">
        <v>1647.0052000000001</v>
      </c>
      <c r="I10" s="19">
        <f>G10+H10</f>
        <v>16087.820324999999</v>
      </c>
      <c r="J10" s="119">
        <v>20696</v>
      </c>
      <c r="K10" s="117">
        <v>15712.036625000001</v>
      </c>
      <c r="L10" s="117">
        <v>1635.399985</v>
      </c>
      <c r="M10" s="19">
        <f>K10+L10</f>
        <v>17347.436610000001</v>
      </c>
      <c r="N10" s="88">
        <v>55</v>
      </c>
      <c r="O10" s="88">
        <v>43</v>
      </c>
      <c r="P10" s="92"/>
      <c r="Q10" s="20">
        <f>J10-P10</f>
        <v>20696</v>
      </c>
      <c r="R10" s="21">
        <v>5990</v>
      </c>
      <c r="S10" s="20">
        <f>IF(R10&gt;0,(R10-R11-$Q10),"")</f>
        <v>-15436</v>
      </c>
      <c r="T10" s="21">
        <v>9997</v>
      </c>
      <c r="U10" s="20">
        <f>IF(T10&gt;0,(T10-T11-$Q10),"")</f>
        <v>-11790</v>
      </c>
      <c r="V10" s="21">
        <v>11911</v>
      </c>
      <c r="W10" s="20">
        <f>IF(V10&gt;0,(V10-V11-$Q10),"")</f>
        <v>-10098</v>
      </c>
      <c r="X10" s="21">
        <v>15254</v>
      </c>
      <c r="Y10" s="20">
        <f>IF(X10&gt;0,(X10-X11-$Q10),"")</f>
        <v>-6906</v>
      </c>
      <c r="Z10" s="21">
        <v>17039</v>
      </c>
      <c r="AA10" s="20">
        <f>IF(Z10&gt;0,(Z10-Z11-$Q10),"")</f>
        <v>-5261</v>
      </c>
      <c r="AB10" s="21">
        <v>17039</v>
      </c>
      <c r="AC10" s="22">
        <f>IF(AB10&gt;0,(AB10-AB11-$Q10),"")</f>
        <v>-5261</v>
      </c>
      <c r="AD10" s="21">
        <v>17039</v>
      </c>
      <c r="AE10" s="22">
        <f>IF(AD10&gt;0,(AD10-AD11-$Q10),"")</f>
        <v>-5261</v>
      </c>
    </row>
    <row r="11" spans="2:42" x14ac:dyDescent="0.3">
      <c r="B11" s="16" t="s">
        <v>32</v>
      </c>
      <c r="C11" s="17">
        <v>2080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730</v>
      </c>
      <c r="S11" s="24"/>
      <c r="T11" s="30">
        <v>1091</v>
      </c>
      <c r="U11" s="24"/>
      <c r="V11" s="30">
        <v>1313</v>
      </c>
      <c r="W11" s="24"/>
      <c r="X11" s="30">
        <v>1464</v>
      </c>
      <c r="Y11" s="24"/>
      <c r="Z11" s="30">
        <v>1604</v>
      </c>
      <c r="AA11" s="24"/>
      <c r="AB11" s="30">
        <v>1604</v>
      </c>
      <c r="AC11" s="26"/>
      <c r="AD11" s="30">
        <v>1604</v>
      </c>
      <c r="AE11" s="26"/>
    </row>
    <row r="12" spans="2:42" x14ac:dyDescent="0.3">
      <c r="B12" s="16" t="s">
        <v>34</v>
      </c>
      <c r="C12" s="17">
        <v>1771</v>
      </c>
      <c r="E12" s="29" t="s">
        <v>35</v>
      </c>
      <c r="F12" s="119">
        <v>10951</v>
      </c>
      <c r="G12" s="117">
        <v>9726.6784999999982</v>
      </c>
      <c r="H12" s="117">
        <v>17781.142452759988</v>
      </c>
      <c r="I12" s="19">
        <f>G12+H12</f>
        <v>27507.820952759987</v>
      </c>
      <c r="J12" s="119">
        <v>11516</v>
      </c>
      <c r="K12" s="117">
        <v>9230.9575000000004</v>
      </c>
      <c r="L12" s="117">
        <v>15343.91887256</v>
      </c>
      <c r="M12" s="19">
        <f>K12+L12</f>
        <v>24574.87637256</v>
      </c>
      <c r="N12" s="88">
        <v>54</v>
      </c>
      <c r="O12" s="88">
        <v>45</v>
      </c>
      <c r="P12" s="92"/>
      <c r="Q12" s="20">
        <f>J12-P12</f>
        <v>11516</v>
      </c>
      <c r="R12" s="21">
        <v>1734</v>
      </c>
      <c r="S12" s="20">
        <f>IF(R12&gt;0,(R12-R13-$Q12),"")</f>
        <v>-10098</v>
      </c>
      <c r="T12" s="21">
        <v>3700</v>
      </c>
      <c r="U12" s="20">
        <f>IF(T12&gt;0,(T12-T13-$Q12),"")</f>
        <v>-8575</v>
      </c>
      <c r="V12" s="21">
        <v>6392</v>
      </c>
      <c r="W12" s="20">
        <f>IF(V12&gt;0,(V12-V13-$Q12),"")</f>
        <v>-5909</v>
      </c>
      <c r="X12" s="21">
        <v>7905</v>
      </c>
      <c r="Y12" s="20">
        <f>IF(X12&gt;0,(X12-X13-$Q12),"")</f>
        <v>-4396</v>
      </c>
      <c r="Z12" s="21">
        <v>7905</v>
      </c>
      <c r="AA12" s="20">
        <f>IF(Z12&gt;0,(Z12-Z13-$Q12),"")</f>
        <v>-4396</v>
      </c>
      <c r="AB12" s="21">
        <v>7905</v>
      </c>
      <c r="AC12" s="22">
        <f>IF(AB12&gt;0,(AB12-AB13-$Q12),"")</f>
        <v>-4396</v>
      </c>
      <c r="AD12" s="21">
        <v>7905</v>
      </c>
      <c r="AE12" s="22">
        <f>IF(AD12&gt;0,(AD12-AD13-$Q12),"")</f>
        <v>-4396</v>
      </c>
    </row>
    <row r="13" spans="2:42" x14ac:dyDescent="0.3">
      <c r="B13" s="16" t="s">
        <v>36</v>
      </c>
      <c r="C13" s="17">
        <v>4636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316</v>
      </c>
      <c r="S13" s="24"/>
      <c r="T13" s="30">
        <v>759</v>
      </c>
      <c r="U13" s="24"/>
      <c r="V13" s="30">
        <v>785</v>
      </c>
      <c r="W13" s="24"/>
      <c r="X13" s="30">
        <v>785</v>
      </c>
      <c r="Y13" s="24"/>
      <c r="Z13" s="30">
        <v>785</v>
      </c>
      <c r="AA13" s="24"/>
      <c r="AB13" s="30">
        <v>785</v>
      </c>
      <c r="AC13" s="26"/>
      <c r="AD13" s="30">
        <v>785</v>
      </c>
      <c r="AE13" s="26"/>
    </row>
    <row r="14" spans="2:42" x14ac:dyDescent="0.3">
      <c r="B14" s="16" t="s">
        <v>38</v>
      </c>
      <c r="C14" s="17">
        <v>8330</v>
      </c>
      <c r="E14" s="18" t="s">
        <v>39</v>
      </c>
      <c r="F14" s="119">
        <v>18581</v>
      </c>
      <c r="G14" s="117">
        <v>16538.96875</v>
      </c>
      <c r="H14" s="117">
        <v>19237.16257011499</v>
      </c>
      <c r="I14" s="19">
        <f>G14+H14</f>
        <v>35776.13132011499</v>
      </c>
      <c r="J14" s="119">
        <v>18581</v>
      </c>
      <c r="K14" s="117">
        <v>16538.96875</v>
      </c>
      <c r="L14" s="117">
        <v>19142.004650114999</v>
      </c>
      <c r="M14" s="19">
        <f>K14+L14</f>
        <v>35680.973400114999</v>
      </c>
      <c r="N14" s="88">
        <v>76</v>
      </c>
      <c r="O14" s="88">
        <v>57</v>
      </c>
      <c r="P14" s="92"/>
      <c r="Q14" s="20">
        <f>J14-P14</f>
        <v>18581</v>
      </c>
      <c r="R14" s="21">
        <v>4757</v>
      </c>
      <c r="S14" s="20">
        <f>IF(R14&gt;0,(R14-R15-$Q14),"")</f>
        <v>-17926</v>
      </c>
      <c r="T14" s="21">
        <v>8286</v>
      </c>
      <c r="U14" s="20">
        <f>IF(T14&gt;0,(T14-T15-$Q14),"")</f>
        <v>-17340</v>
      </c>
      <c r="V14" s="21">
        <v>10602</v>
      </c>
      <c r="W14" s="20">
        <f>IF(V14&gt;0,(V14-V15-$Q14),"")</f>
        <v>-16716</v>
      </c>
      <c r="X14" s="21">
        <v>12941</v>
      </c>
      <c r="Y14" s="20">
        <f>IF(X14&gt;0,(X14-X15-$Q14),"")</f>
        <v>-15288</v>
      </c>
      <c r="Z14" s="21">
        <v>12941</v>
      </c>
      <c r="AA14" s="20">
        <f>IF(Z14&gt;0,(Z14-Z15-$Q14),"")</f>
        <v>-15288</v>
      </c>
      <c r="AB14" s="21">
        <v>12941</v>
      </c>
      <c r="AC14" s="22">
        <f>IF(AB14&gt;0,(AB14-AB15-$Q14),"")</f>
        <v>-15288</v>
      </c>
      <c r="AD14" s="21">
        <v>12941</v>
      </c>
      <c r="AE14" s="22">
        <f>IF(AD14&gt;0,(AD14-AD15-$Q14),"")</f>
        <v>-15288</v>
      </c>
    </row>
    <row r="15" spans="2:42" ht="15" customHeight="1" thickBot="1" x14ac:dyDescent="0.3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4102</v>
      </c>
      <c r="S15" s="24"/>
      <c r="T15" s="25">
        <v>7045</v>
      </c>
      <c r="U15" s="24"/>
      <c r="V15" s="25">
        <v>8737</v>
      </c>
      <c r="W15" s="24"/>
      <c r="X15" s="25">
        <v>9648</v>
      </c>
      <c r="Y15" s="24"/>
      <c r="Z15" s="25">
        <v>9648</v>
      </c>
      <c r="AA15" s="24"/>
      <c r="AB15" s="25">
        <v>9648</v>
      </c>
      <c r="AC15" s="26"/>
      <c r="AD15" s="25">
        <v>9648</v>
      </c>
      <c r="AE15" s="26"/>
    </row>
    <row r="16" spans="2:42" ht="15" customHeight="1" thickBot="1" x14ac:dyDescent="0.35">
      <c r="B16" s="28" t="s">
        <v>42</v>
      </c>
      <c r="C16" s="17">
        <v>11631</v>
      </c>
      <c r="E16" s="84"/>
      <c r="F16" s="31">
        <f t="shared" ref="F16:M16" si="0">SUM(F6:F15)</f>
        <v>81663</v>
      </c>
      <c r="G16" s="31">
        <f t="shared" si="0"/>
        <v>62787.243000000002</v>
      </c>
      <c r="H16" s="31">
        <f t="shared" si="0"/>
        <v>52778.631014694984</v>
      </c>
      <c r="I16" s="32">
        <f t="shared" si="0"/>
        <v>115565.87401469499</v>
      </c>
      <c r="J16" s="33">
        <f t="shared" si="0"/>
        <v>80839</v>
      </c>
      <c r="K16" s="33">
        <f t="shared" si="0"/>
        <v>61102.701625000002</v>
      </c>
      <c r="L16" s="33">
        <f t="shared" si="0"/>
        <v>49226.337444775018</v>
      </c>
      <c r="M16" s="33">
        <f t="shared" si="0"/>
        <v>110329.03906977503</v>
      </c>
      <c r="N16" s="31">
        <f>SUM(N14,N12,N10,N8,N6)</f>
        <v>302</v>
      </c>
      <c r="O16" s="31">
        <f>SUM(O14,O12,O10,O8,O6)</f>
        <v>230</v>
      </c>
      <c r="P16" s="34">
        <f>SUM(P6:P15)</f>
        <v>0</v>
      </c>
      <c r="Q16" s="34">
        <f>SUM(Q6:Q15)</f>
        <v>80839</v>
      </c>
      <c r="R16" s="35">
        <f>R6+R8+R10+R12+R14-R7-R9-R11-R13-R15</f>
        <v>10431</v>
      </c>
      <c r="S16" s="36">
        <f>IF(R16&gt;1,(R16-$Q16),"")</f>
        <v>-70408</v>
      </c>
      <c r="T16" s="35">
        <f>T6+T8+T10+T12+T14-T7-T9-T11-T13-T15</f>
        <v>19404</v>
      </c>
      <c r="U16" s="36">
        <f>IF(T16&gt;1,(T16-$Q16),"")</f>
        <v>-61435</v>
      </c>
      <c r="V16" s="35">
        <f>V6+V8+V10+V12+V14-V7-V9-V11-V13-V15</f>
        <v>28168</v>
      </c>
      <c r="W16" s="36">
        <f>IF(V16&gt;1,(V16-$Q16),"")</f>
        <v>-52671</v>
      </c>
      <c r="X16" s="35">
        <f>X6+X8+X10+X12+X14-X7-X9-X11-X13-X15</f>
        <v>39467</v>
      </c>
      <c r="Y16" s="36">
        <f>IF(X16&gt;1,(X16-$Q16),"")</f>
        <v>-41372</v>
      </c>
      <c r="Z16" s="35">
        <f>Z6+Z8+Z10+Z12+Z14-Z7-Z9-Z11-Z13-Z15</f>
        <v>48792</v>
      </c>
      <c r="AA16" s="36">
        <f>IF(Z16&gt;1,(Z16-$Q16),"")</f>
        <v>-32047</v>
      </c>
      <c r="AB16" s="35">
        <f>AB6+AB8+AB10+AB12+AB14-AB7-AB9-AB11-AB13-AB15</f>
        <v>51195</v>
      </c>
      <c r="AC16" s="37">
        <f>IF(AB16&gt;1,(AB16-$Q16),"")</f>
        <v>-29644</v>
      </c>
      <c r="AD16" s="35">
        <f>AD6+AD8+AD10+AD12+AD14-AD7-AD9-AD11-AD13-AD15</f>
        <v>51195</v>
      </c>
      <c r="AE16" s="37">
        <f>IF(AD16&gt;1,(AD16-$Q16),"")</f>
        <v>-29644</v>
      </c>
    </row>
    <row r="17" spans="2:43" s="4" customFormat="1" ht="15" customHeight="1" thickBot="1" x14ac:dyDescent="0.35">
      <c r="B17" s="43" t="s">
        <v>47</v>
      </c>
      <c r="C17" s="17">
        <v>2111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72</v>
      </c>
      <c r="P17" s="38" t="s">
        <v>44</v>
      </c>
      <c r="Q17" s="39"/>
      <c r="R17" s="40">
        <f>R15+R13+R11+R9+R7</f>
        <v>5152</v>
      </c>
      <c r="S17" s="41"/>
      <c r="T17" s="40">
        <f>T15+T13+T11+T9+T7</f>
        <v>8899</v>
      </c>
      <c r="U17" s="41"/>
      <c r="V17" s="40">
        <f>V15+V13+V11+V9+V7</f>
        <v>11146</v>
      </c>
      <c r="W17" s="41"/>
      <c r="X17" s="40">
        <f>X15+X13+X11+X9+X7</f>
        <v>12228</v>
      </c>
      <c r="Y17" s="41"/>
      <c r="Z17" s="40">
        <f>Z15+Z13+Z11+Z9+Z7</f>
        <v>12399</v>
      </c>
      <c r="AA17" s="41"/>
      <c r="AB17" s="40">
        <f>AB15+AB13+AB11+AB9+AB7</f>
        <v>12399</v>
      </c>
      <c r="AC17" s="42"/>
      <c r="AD17" s="40">
        <f>AD15+AD13+AD11+AD9+AD7</f>
        <v>12399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5215.5</v>
      </c>
      <c r="S18" s="46"/>
      <c r="T18" s="47">
        <f>IF(T16&gt;0,(T16-R16)/2,"")</f>
        <v>4486.5</v>
      </c>
      <c r="U18" s="46"/>
      <c r="V18" s="47">
        <f>IF(V16&gt;0,(V16-T16)/2,"")</f>
        <v>4382</v>
      </c>
      <c r="W18" s="46"/>
      <c r="X18" s="47">
        <f>IF(X16&gt;0,(X16-V16)/2,"")</f>
        <v>5649.5</v>
      </c>
      <c r="Y18" s="46"/>
      <c r="Z18" s="47">
        <f>IF(Z16&gt;0,(Z16-X16)/2,"")</f>
        <v>4662.5</v>
      </c>
      <c r="AA18" s="46"/>
      <c r="AB18" s="47">
        <f>IF(AB16&gt;0,(AB16-Z16)/2,"")</f>
        <v>1201.5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8660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2514</v>
      </c>
      <c r="L20" s="4"/>
      <c r="M20" s="4"/>
      <c r="Q20" s="51" t="s">
        <v>49</v>
      </c>
      <c r="R20" s="35">
        <v>7008</v>
      </c>
      <c r="S20" s="36">
        <v>-69785</v>
      </c>
      <c r="T20" s="35">
        <v>10535</v>
      </c>
      <c r="U20" s="36">
        <v>-66258</v>
      </c>
      <c r="V20" s="35">
        <v>20132</v>
      </c>
      <c r="W20" s="36">
        <v>-56661</v>
      </c>
      <c r="X20" s="35">
        <v>32884</v>
      </c>
      <c r="Y20" s="36">
        <v>-43909</v>
      </c>
      <c r="Z20" s="35">
        <v>44859</v>
      </c>
      <c r="AA20" s="36">
        <v>-31934</v>
      </c>
      <c r="AB20" s="35">
        <v>45152</v>
      </c>
      <c r="AC20" s="37">
        <v>-31641</v>
      </c>
      <c r="AD20" s="35">
        <v>45152</v>
      </c>
      <c r="AE20" s="37">
        <v>-31641</v>
      </c>
    </row>
    <row r="21" spans="2:43" ht="15" customHeight="1" thickBot="1" x14ac:dyDescent="0.35">
      <c r="B21" s="57" t="s">
        <v>52</v>
      </c>
      <c r="C21" s="58">
        <v>4203</v>
      </c>
      <c r="M21" s="4"/>
      <c r="Q21" s="52"/>
      <c r="R21" s="40">
        <v>6580</v>
      </c>
      <c r="S21" s="41"/>
      <c r="T21" s="40">
        <v>9753</v>
      </c>
      <c r="U21" s="41"/>
      <c r="V21" s="40">
        <v>11084</v>
      </c>
      <c r="W21" s="41"/>
      <c r="X21" s="40">
        <v>13150</v>
      </c>
      <c r="Y21" s="41"/>
      <c r="Z21" s="40">
        <v>13432</v>
      </c>
      <c r="AA21" s="41"/>
      <c r="AB21" s="40">
        <v>13432</v>
      </c>
      <c r="AC21" s="42"/>
      <c r="AD21" s="40">
        <v>13432</v>
      </c>
      <c r="AE21" s="42"/>
    </row>
    <row r="22" spans="2:43" ht="15" customHeight="1" thickBot="1" x14ac:dyDescent="0.35">
      <c r="M22" s="4"/>
      <c r="Q22" s="54"/>
      <c r="R22" s="55">
        <v>3504</v>
      </c>
      <c r="S22" s="55"/>
      <c r="T22" s="55">
        <v>1763.5</v>
      </c>
      <c r="U22" s="55"/>
      <c r="V22" s="55">
        <v>4798.5</v>
      </c>
      <c r="W22" s="55"/>
      <c r="X22" s="55">
        <v>6376</v>
      </c>
      <c r="Y22" s="55"/>
      <c r="Z22" s="55">
        <v>5987.5</v>
      </c>
      <c r="AA22" s="55"/>
      <c r="AB22" s="55">
        <v>146.5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3423</v>
      </c>
      <c r="S24" s="60"/>
      <c r="T24" s="60">
        <f>IF(T16&gt;0,T16-T20,"")</f>
        <v>8869</v>
      </c>
      <c r="U24" s="60"/>
      <c r="V24" s="60">
        <f>IF(V16&gt;0,V16-V20,"")</f>
        <v>8036</v>
      </c>
      <c r="W24" s="60"/>
      <c r="X24" s="60">
        <f>IF(X16&gt;0,X16-X20,"")</f>
        <v>6583</v>
      </c>
      <c r="Y24" s="60"/>
      <c r="Z24" s="60">
        <f>IF(Z16&gt;0,Z16-Z20,"")</f>
        <v>3933</v>
      </c>
      <c r="AA24" s="60"/>
      <c r="AB24" s="60">
        <f>IF(AB16&gt;0,AB16-AB20,"")</f>
        <v>6043</v>
      </c>
      <c r="AC24" s="61"/>
      <c r="AD24" s="60">
        <f>IF(AD16&gt;0,AD16-AD20,"")</f>
        <v>6043</v>
      </c>
      <c r="AE24" s="61"/>
    </row>
    <row r="25" spans="2:43" x14ac:dyDescent="0.3">
      <c r="M25" s="4"/>
      <c r="Q25" s="62"/>
      <c r="R25" s="63">
        <f>IF(R17&gt;=0,R17-R21,"")</f>
        <v>-1428</v>
      </c>
      <c r="S25" s="64"/>
      <c r="T25" s="63">
        <f>IF(T17&gt;=0,T17-T21,"")</f>
        <v>-854</v>
      </c>
      <c r="U25" s="64"/>
      <c r="V25" s="63">
        <f>IF(V17&gt;=0,V17-V21,"")</f>
        <v>62</v>
      </c>
      <c r="W25" s="64"/>
      <c r="X25" s="63">
        <f>IF(X17&gt;=0,X17-X21,"")</f>
        <v>-922</v>
      </c>
      <c r="Y25" s="64"/>
      <c r="Z25" s="63">
        <f>IF(Z17&gt;=0,Z17-Z21,"")</f>
        <v>-1033</v>
      </c>
      <c r="AA25" s="64"/>
      <c r="AB25" s="63">
        <f>IF(AB17&gt;=0,AB17-AB21,"")</f>
        <v>-1033</v>
      </c>
      <c r="AC25" s="65"/>
      <c r="AD25" s="63">
        <f>IF(AD17&gt;=0,AD17-AD21,"")</f>
        <v>-1033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1711.5</v>
      </c>
      <c r="S26" s="55"/>
      <c r="T26" s="67">
        <f>IFERROR(IF(T18&gt;0,T18-T22,""),"")</f>
        <v>2723</v>
      </c>
      <c r="U26" s="55"/>
      <c r="V26" s="67">
        <f>IFERROR(IF(V18&gt;0,V18-V22,""),"")</f>
        <v>-416.5</v>
      </c>
      <c r="W26" s="55"/>
      <c r="X26" s="67">
        <f>IFERROR(IF(X18&gt;0,X18-X22,""),"")</f>
        <v>-726.5</v>
      </c>
      <c r="Y26" s="55"/>
      <c r="Z26" s="67">
        <f>IFERROR(IF(Z18&gt;0,Z18-Z22,""),"")</f>
        <v>-1325</v>
      </c>
      <c r="AA26" s="55"/>
      <c r="AB26" s="67">
        <f>IFERROR(IF(AB18&gt;0,AB18-AB22,""),"")</f>
        <v>1055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8381</v>
      </c>
      <c r="D29" s="76">
        <f>C14</f>
        <v>8330</v>
      </c>
      <c r="E29" s="77">
        <f>D29-C29</f>
        <v>-51</v>
      </c>
      <c r="O29" s="4"/>
    </row>
    <row r="30" spans="2:43" x14ac:dyDescent="0.3">
      <c r="B30" s="74" t="s">
        <v>56</v>
      </c>
      <c r="C30" s="122">
        <v>34083</v>
      </c>
      <c r="D30" s="76">
        <f>C7+C15+C16+C17+C18</f>
        <v>19072</v>
      </c>
      <c r="E30" s="77">
        <f>D30-C30</f>
        <v>-15011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12879</v>
      </c>
      <c r="D32" s="76">
        <f>C10+C11+C12+C13</f>
        <v>12879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14495</v>
      </c>
      <c r="D33" s="76">
        <f>C19+C20+C21</f>
        <v>15377</v>
      </c>
      <c r="E33" s="77">
        <f>D33-C33</f>
        <v>882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4470</v>
      </c>
      <c r="D34" s="80">
        <f>SUM(C8+C9)</f>
        <v>4470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1009</v>
      </c>
      <c r="R35" s="104">
        <v>6</v>
      </c>
      <c r="S35" s="104">
        <f t="shared" ref="S35:S64" si="1">IF(T35&gt;0,(T35-R35)/2,"")</f>
        <v>0</v>
      </c>
      <c r="T35" s="104">
        <v>6</v>
      </c>
      <c r="U35" s="104">
        <f t="shared" ref="U35:U64" si="2">IF(V35&gt;0,(V35-T35)/2,"")</f>
        <v>397</v>
      </c>
      <c r="V35" s="104">
        <v>800</v>
      </c>
      <c r="W35" s="104">
        <f t="shared" ref="W35:W64" si="3">IF(X35&gt;0,(X35-V35)/2,"")</f>
        <v>0</v>
      </c>
      <c r="X35" s="104">
        <v>800</v>
      </c>
      <c r="Y35" s="104">
        <f t="shared" ref="Y35:Y64" si="4">IF(Z35&gt;0,(Z35-X35)/2,"")</f>
        <v>0</v>
      </c>
      <c r="Z35" s="104">
        <v>800</v>
      </c>
      <c r="AA35" s="104">
        <f t="shared" ref="AA35:AA64" si="5">IF(AB35&gt;0,(AB35-Z35)/2,"")</f>
        <v>0</v>
      </c>
      <c r="AB35" s="104">
        <v>800</v>
      </c>
      <c r="AC35" s="104">
        <f t="shared" ref="AC35:AC64" si="6">IF(AD35&gt;0,(AD35-AB35)/2,"")</f>
        <v>0</v>
      </c>
      <c r="AD35" s="104">
        <v>800</v>
      </c>
      <c r="AE35" s="105">
        <f t="shared" ref="AE35:AE64" si="7">AD35-Q35</f>
        <v>-209</v>
      </c>
    </row>
    <row r="36" spans="2:31" ht="15.6" customHeight="1" x14ac:dyDescent="0.3">
      <c r="N36" s="212"/>
      <c r="O36" s="95" t="s">
        <v>66</v>
      </c>
      <c r="P36" s="106"/>
      <c r="Q36" s="106">
        <v>1089</v>
      </c>
      <c r="R36" s="106">
        <v>5</v>
      </c>
      <c r="S36" s="106">
        <f t="shared" si="1"/>
        <v>0</v>
      </c>
      <c r="T36" s="106">
        <v>5</v>
      </c>
      <c r="U36" s="106">
        <f t="shared" si="2"/>
        <v>0</v>
      </c>
      <c r="V36" s="106">
        <v>5</v>
      </c>
      <c r="W36" s="106">
        <f t="shared" si="3"/>
        <v>256.5</v>
      </c>
      <c r="X36" s="106">
        <v>518</v>
      </c>
      <c r="Y36" s="106">
        <f t="shared" si="4"/>
        <v>0</v>
      </c>
      <c r="Z36" s="106">
        <v>518</v>
      </c>
      <c r="AA36" s="106">
        <f t="shared" si="5"/>
        <v>0</v>
      </c>
      <c r="AB36" s="106">
        <v>518</v>
      </c>
      <c r="AC36" s="106">
        <f t="shared" si="6"/>
        <v>0</v>
      </c>
      <c r="AD36" s="106">
        <v>518</v>
      </c>
      <c r="AE36" s="107">
        <f t="shared" si="7"/>
        <v>-571</v>
      </c>
    </row>
    <row r="37" spans="2:31" ht="15.6" customHeight="1" x14ac:dyDescent="0.3">
      <c r="N37" s="212"/>
      <c r="O37" s="94" t="s">
        <v>67</v>
      </c>
      <c r="P37" s="108"/>
      <c r="Q37" s="108">
        <v>3455</v>
      </c>
      <c r="R37" s="108">
        <v>420</v>
      </c>
      <c r="S37" s="108">
        <f t="shared" si="1"/>
        <v>176.5</v>
      </c>
      <c r="T37" s="108">
        <v>773</v>
      </c>
      <c r="U37" s="108">
        <f t="shared" si="2"/>
        <v>210</v>
      </c>
      <c r="V37" s="108">
        <v>1193</v>
      </c>
      <c r="W37" s="108">
        <f t="shared" si="3"/>
        <v>513</v>
      </c>
      <c r="X37" s="108">
        <v>2219</v>
      </c>
      <c r="Y37" s="108">
        <f t="shared" si="4"/>
        <v>631</v>
      </c>
      <c r="Z37" s="108">
        <v>3481</v>
      </c>
      <c r="AA37" s="108">
        <f t="shared" si="5"/>
        <v>0</v>
      </c>
      <c r="AB37" s="108">
        <v>3481</v>
      </c>
      <c r="AC37" s="108">
        <f t="shared" si="6"/>
        <v>0</v>
      </c>
      <c r="AD37" s="108">
        <v>3481</v>
      </c>
      <c r="AE37" s="109">
        <f t="shared" si="7"/>
        <v>26</v>
      </c>
    </row>
    <row r="38" spans="2:31" ht="15.6" customHeight="1" x14ac:dyDescent="0.3">
      <c r="N38" s="212"/>
      <c r="O38" s="95" t="s">
        <v>68</v>
      </c>
      <c r="P38" s="106"/>
      <c r="Q38" s="106">
        <v>3595</v>
      </c>
      <c r="R38" s="106">
        <v>727</v>
      </c>
      <c r="S38" s="106">
        <f t="shared" si="1"/>
        <v>259.5</v>
      </c>
      <c r="T38" s="106">
        <v>1246</v>
      </c>
      <c r="U38" s="106">
        <f t="shared" si="2"/>
        <v>0</v>
      </c>
      <c r="V38" s="106">
        <v>1246</v>
      </c>
      <c r="W38" s="106">
        <f t="shared" si="3"/>
        <v>398</v>
      </c>
      <c r="X38" s="106">
        <v>2042</v>
      </c>
      <c r="Y38" s="106">
        <f t="shared" si="4"/>
        <v>115</v>
      </c>
      <c r="Z38" s="106">
        <v>2272</v>
      </c>
      <c r="AA38" s="106">
        <f t="shared" si="5"/>
        <v>0</v>
      </c>
      <c r="AB38" s="106">
        <v>2272</v>
      </c>
      <c r="AC38" s="106">
        <f t="shared" si="6"/>
        <v>0</v>
      </c>
      <c r="AD38" s="106">
        <v>2272</v>
      </c>
      <c r="AE38" s="107">
        <f t="shared" si="7"/>
        <v>-1323</v>
      </c>
    </row>
    <row r="39" spans="2:31" ht="15.6" customHeight="1" x14ac:dyDescent="0.3">
      <c r="N39" s="212"/>
      <c r="O39" s="94" t="s">
        <v>69</v>
      </c>
      <c r="P39" s="108"/>
      <c r="Q39" s="108">
        <v>1946</v>
      </c>
      <c r="R39" s="108">
        <v>4</v>
      </c>
      <c r="S39" s="108">
        <f t="shared" si="1"/>
        <v>527.5</v>
      </c>
      <c r="T39" s="108">
        <v>1059</v>
      </c>
      <c r="U39" s="108">
        <f t="shared" si="2"/>
        <v>0</v>
      </c>
      <c r="V39" s="108">
        <v>1059</v>
      </c>
      <c r="W39" s="108">
        <f t="shared" si="3"/>
        <v>333</v>
      </c>
      <c r="X39" s="108">
        <v>1725</v>
      </c>
      <c r="Y39" s="108">
        <f t="shared" si="4"/>
        <v>0</v>
      </c>
      <c r="Z39" s="108">
        <v>1725</v>
      </c>
      <c r="AA39" s="108">
        <f t="shared" si="5"/>
        <v>0</v>
      </c>
      <c r="AB39" s="108">
        <v>1725</v>
      </c>
      <c r="AC39" s="108">
        <f t="shared" si="6"/>
        <v>0</v>
      </c>
      <c r="AD39" s="108">
        <v>1725</v>
      </c>
      <c r="AE39" s="109">
        <f t="shared" si="7"/>
        <v>-221</v>
      </c>
    </row>
    <row r="40" spans="2:31" ht="15.6" customHeight="1" x14ac:dyDescent="0.3">
      <c r="N40" s="212"/>
      <c r="O40" s="95" t="s">
        <v>70</v>
      </c>
      <c r="P40" s="106"/>
      <c r="Q40" s="106">
        <v>2723</v>
      </c>
      <c r="R40" s="106">
        <v>744</v>
      </c>
      <c r="S40" s="106">
        <f t="shared" si="1"/>
        <v>283.5</v>
      </c>
      <c r="T40" s="106">
        <v>1311</v>
      </c>
      <c r="U40" s="106">
        <f t="shared" si="2"/>
        <v>176</v>
      </c>
      <c r="V40" s="106">
        <v>1663</v>
      </c>
      <c r="W40" s="106">
        <f t="shared" si="3"/>
        <v>0</v>
      </c>
      <c r="X40" s="106">
        <v>1663</v>
      </c>
      <c r="Y40" s="106">
        <f t="shared" si="4"/>
        <v>155</v>
      </c>
      <c r="Z40" s="106">
        <v>1973</v>
      </c>
      <c r="AA40" s="106">
        <f t="shared" si="5"/>
        <v>0</v>
      </c>
      <c r="AB40" s="106">
        <v>1973</v>
      </c>
      <c r="AC40" s="106">
        <f t="shared" si="6"/>
        <v>0</v>
      </c>
      <c r="AD40" s="106">
        <v>1973</v>
      </c>
      <c r="AE40" s="107">
        <f t="shared" si="7"/>
        <v>-750</v>
      </c>
    </row>
    <row r="41" spans="2:31" ht="15.6" customHeight="1" x14ac:dyDescent="0.3">
      <c r="N41" s="212"/>
      <c r="O41" s="94" t="s">
        <v>71</v>
      </c>
      <c r="P41" s="108"/>
      <c r="Q41" s="108">
        <v>1092</v>
      </c>
      <c r="R41" s="108">
        <v>494</v>
      </c>
      <c r="S41" s="108">
        <f t="shared" si="1"/>
        <v>0</v>
      </c>
      <c r="T41" s="108">
        <v>494</v>
      </c>
      <c r="U41" s="108">
        <f t="shared" si="2"/>
        <v>170</v>
      </c>
      <c r="V41" s="108">
        <v>834</v>
      </c>
      <c r="W41" s="108">
        <f t="shared" si="3"/>
        <v>0</v>
      </c>
      <c r="X41" s="108">
        <v>834</v>
      </c>
      <c r="Y41" s="108">
        <f t="shared" si="4"/>
        <v>1</v>
      </c>
      <c r="Z41" s="108">
        <v>836</v>
      </c>
      <c r="AA41" s="108">
        <f t="shared" si="5"/>
        <v>0</v>
      </c>
      <c r="AB41" s="108">
        <v>836</v>
      </c>
      <c r="AC41" s="108">
        <f t="shared" si="6"/>
        <v>0</v>
      </c>
      <c r="AD41" s="108">
        <v>836</v>
      </c>
      <c r="AE41" s="109">
        <f t="shared" si="7"/>
        <v>-256</v>
      </c>
    </row>
    <row r="42" spans="2:31" ht="15.6" customHeight="1" x14ac:dyDescent="0.3">
      <c r="N42" s="212"/>
      <c r="O42" s="95" t="s">
        <v>72</v>
      </c>
      <c r="P42" s="106"/>
      <c r="Q42" s="106">
        <v>1422</v>
      </c>
      <c r="R42" s="106">
        <v>694</v>
      </c>
      <c r="S42" s="106">
        <f t="shared" si="1"/>
        <v>296.5</v>
      </c>
      <c r="T42" s="106">
        <v>1287</v>
      </c>
      <c r="U42" s="106">
        <f t="shared" si="2"/>
        <v>14.5</v>
      </c>
      <c r="V42" s="106">
        <v>1316</v>
      </c>
      <c r="W42" s="106">
        <f t="shared" si="3"/>
        <v>0</v>
      </c>
      <c r="X42" s="106">
        <v>1316</v>
      </c>
      <c r="Y42" s="106">
        <f t="shared" si="4"/>
        <v>55</v>
      </c>
      <c r="Z42" s="106">
        <v>1426</v>
      </c>
      <c r="AA42" s="106">
        <f t="shared" si="5"/>
        <v>0</v>
      </c>
      <c r="AB42" s="106">
        <v>1426</v>
      </c>
      <c r="AC42" s="106">
        <f t="shared" si="6"/>
        <v>0</v>
      </c>
      <c r="AD42" s="106">
        <v>1426</v>
      </c>
      <c r="AE42" s="107">
        <f t="shared" si="7"/>
        <v>4</v>
      </c>
    </row>
    <row r="43" spans="2:31" ht="15.6" customHeight="1" thickBot="1" x14ac:dyDescent="0.35">
      <c r="N43" s="213"/>
      <c r="O43" s="97" t="s">
        <v>73</v>
      </c>
      <c r="P43" s="110"/>
      <c r="Q43" s="110">
        <v>1692</v>
      </c>
      <c r="R43" s="110">
        <v>8</v>
      </c>
      <c r="S43" s="110">
        <f t="shared" si="1"/>
        <v>0</v>
      </c>
      <c r="T43" s="110">
        <v>8</v>
      </c>
      <c r="U43" s="110">
        <f t="shared" si="2"/>
        <v>0</v>
      </c>
      <c r="V43" s="110">
        <v>8</v>
      </c>
      <c r="W43" s="110">
        <f t="shared" si="3"/>
        <v>384.5</v>
      </c>
      <c r="X43" s="110">
        <v>777</v>
      </c>
      <c r="Y43" s="110">
        <f t="shared" si="4"/>
        <v>0</v>
      </c>
      <c r="Z43" s="110">
        <v>777</v>
      </c>
      <c r="AA43" s="110">
        <f t="shared" si="5"/>
        <v>0</v>
      </c>
      <c r="AB43" s="110">
        <v>777</v>
      </c>
      <c r="AC43" s="110">
        <f t="shared" si="6"/>
        <v>0</v>
      </c>
      <c r="AD43" s="110">
        <v>777</v>
      </c>
      <c r="AE43" s="111">
        <f t="shared" si="7"/>
        <v>-915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2988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1494</v>
      </c>
      <c r="Z44" s="112">
        <v>2988</v>
      </c>
      <c r="AA44" s="112">
        <f t="shared" si="5"/>
        <v>0</v>
      </c>
      <c r="AB44" s="112">
        <v>2988</v>
      </c>
      <c r="AC44" s="112">
        <f t="shared" si="6"/>
        <v>0</v>
      </c>
      <c r="AD44" s="112">
        <v>2988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2549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575</v>
      </c>
      <c r="Z45" s="108">
        <v>1150</v>
      </c>
      <c r="AA45" s="108">
        <f t="shared" si="5"/>
        <v>699.5</v>
      </c>
      <c r="AB45" s="108">
        <v>2549</v>
      </c>
      <c r="AC45" s="108">
        <f t="shared" si="6"/>
        <v>0</v>
      </c>
      <c r="AD45" s="108">
        <v>2549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2862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929</v>
      </c>
      <c r="X46" s="106">
        <v>1858</v>
      </c>
      <c r="Y46" s="106">
        <f t="shared" si="4"/>
        <v>0</v>
      </c>
      <c r="Z46" s="106">
        <v>1858</v>
      </c>
      <c r="AA46" s="106">
        <f t="shared" si="5"/>
        <v>502</v>
      </c>
      <c r="AB46" s="106">
        <v>2862</v>
      </c>
      <c r="AC46" s="106">
        <f t="shared" si="6"/>
        <v>0</v>
      </c>
      <c r="AD46" s="106">
        <v>2862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3217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1077</v>
      </c>
      <c r="V47" s="110">
        <v>2154</v>
      </c>
      <c r="W47" s="110">
        <f t="shared" si="3"/>
        <v>-303</v>
      </c>
      <c r="X47" s="110">
        <v>1548</v>
      </c>
      <c r="Y47" s="110">
        <f t="shared" si="4"/>
        <v>829.5</v>
      </c>
      <c r="Z47" s="110">
        <v>3207</v>
      </c>
      <c r="AA47" s="110">
        <f t="shared" si="5"/>
        <v>0</v>
      </c>
      <c r="AB47" s="110">
        <v>3207</v>
      </c>
      <c r="AC47" s="110">
        <f t="shared" si="6"/>
        <v>0</v>
      </c>
      <c r="AD47" s="110">
        <v>3207</v>
      </c>
      <c r="AE47" s="111">
        <f t="shared" si="7"/>
        <v>-10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3185</v>
      </c>
      <c r="R48" s="112">
        <v>961</v>
      </c>
      <c r="S48" s="112">
        <f t="shared" si="1"/>
        <v>466</v>
      </c>
      <c r="T48" s="112">
        <v>1893</v>
      </c>
      <c r="U48" s="112">
        <f t="shared" si="2"/>
        <v>60.5</v>
      </c>
      <c r="V48" s="112">
        <v>2014</v>
      </c>
      <c r="W48" s="112">
        <f t="shared" si="3"/>
        <v>9.5</v>
      </c>
      <c r="X48" s="112">
        <v>2033</v>
      </c>
      <c r="Y48" s="112">
        <f t="shared" si="4"/>
        <v>496.5</v>
      </c>
      <c r="Z48" s="112">
        <v>3026</v>
      </c>
      <c r="AA48" s="112">
        <f t="shared" si="5"/>
        <v>0</v>
      </c>
      <c r="AB48" s="112">
        <v>3026</v>
      </c>
      <c r="AC48" s="112">
        <f t="shared" si="6"/>
        <v>0</v>
      </c>
      <c r="AD48" s="112">
        <v>3026</v>
      </c>
      <c r="AE48" s="113">
        <f t="shared" si="7"/>
        <v>-159</v>
      </c>
    </row>
    <row r="49" spans="14:31" ht="15.6" customHeight="1" x14ac:dyDescent="0.3">
      <c r="N49" s="212"/>
      <c r="O49" s="94" t="s">
        <v>66</v>
      </c>
      <c r="P49" s="108"/>
      <c r="Q49" s="108">
        <v>2869</v>
      </c>
      <c r="R49" s="108">
        <v>1052</v>
      </c>
      <c r="S49" s="108">
        <f t="shared" si="1"/>
        <v>224.5</v>
      </c>
      <c r="T49" s="108">
        <v>1501</v>
      </c>
      <c r="U49" s="108">
        <f t="shared" si="2"/>
        <v>0</v>
      </c>
      <c r="V49" s="108">
        <v>1501</v>
      </c>
      <c r="W49" s="108">
        <f t="shared" si="3"/>
        <v>528.5</v>
      </c>
      <c r="X49" s="108">
        <v>2558</v>
      </c>
      <c r="Y49" s="108">
        <f t="shared" si="4"/>
        <v>90</v>
      </c>
      <c r="Z49" s="108">
        <v>2738</v>
      </c>
      <c r="AA49" s="108">
        <f t="shared" si="5"/>
        <v>0</v>
      </c>
      <c r="AB49" s="108">
        <v>2738</v>
      </c>
      <c r="AC49" s="108">
        <f t="shared" si="6"/>
        <v>0</v>
      </c>
      <c r="AD49" s="108">
        <v>2738</v>
      </c>
      <c r="AE49" s="109">
        <f t="shared" si="7"/>
        <v>-131</v>
      </c>
    </row>
    <row r="50" spans="14:31" ht="15.6" customHeight="1" x14ac:dyDescent="0.3">
      <c r="N50" s="212"/>
      <c r="O50" s="95" t="s">
        <v>67</v>
      </c>
      <c r="P50" s="106"/>
      <c r="Q50" s="106">
        <v>1742</v>
      </c>
      <c r="R50" s="106">
        <v>754</v>
      </c>
      <c r="S50" s="106">
        <f t="shared" si="1"/>
        <v>-48.5</v>
      </c>
      <c r="T50" s="106">
        <v>657</v>
      </c>
      <c r="U50" s="106">
        <f t="shared" si="2"/>
        <v>22</v>
      </c>
      <c r="V50" s="106">
        <v>701</v>
      </c>
      <c r="W50" s="106">
        <f t="shared" si="3"/>
        <v>75</v>
      </c>
      <c r="X50" s="106">
        <v>851</v>
      </c>
      <c r="Y50" s="106">
        <f t="shared" si="4"/>
        <v>0</v>
      </c>
      <c r="Z50" s="106">
        <v>851</v>
      </c>
      <c r="AA50" s="106">
        <f t="shared" si="5"/>
        <v>0</v>
      </c>
      <c r="AB50" s="106">
        <v>851</v>
      </c>
      <c r="AC50" s="106">
        <f t="shared" si="6"/>
        <v>0</v>
      </c>
      <c r="AD50" s="106">
        <v>851</v>
      </c>
      <c r="AE50" s="107">
        <f t="shared" si="7"/>
        <v>-891</v>
      </c>
    </row>
    <row r="51" spans="14:31" ht="15.6" customHeight="1" x14ac:dyDescent="0.3">
      <c r="N51" s="212"/>
      <c r="O51" s="94" t="s">
        <v>68</v>
      </c>
      <c r="P51" s="108"/>
      <c r="Q51" s="108">
        <v>1707</v>
      </c>
      <c r="R51" s="108">
        <v>327</v>
      </c>
      <c r="S51" s="108">
        <f t="shared" si="1"/>
        <v>435</v>
      </c>
      <c r="T51" s="108">
        <v>1197</v>
      </c>
      <c r="U51" s="108">
        <f t="shared" si="2"/>
        <v>0</v>
      </c>
      <c r="V51" s="108">
        <v>1197</v>
      </c>
      <c r="W51" s="108">
        <f t="shared" si="3"/>
        <v>147</v>
      </c>
      <c r="X51" s="108">
        <v>1491</v>
      </c>
      <c r="Y51" s="108">
        <f t="shared" si="4"/>
        <v>5.5</v>
      </c>
      <c r="Z51" s="108">
        <v>1502</v>
      </c>
      <c r="AA51" s="108">
        <f t="shared" si="5"/>
        <v>0</v>
      </c>
      <c r="AB51" s="108">
        <v>1502</v>
      </c>
      <c r="AC51" s="108">
        <f t="shared" si="6"/>
        <v>0</v>
      </c>
      <c r="AD51" s="108">
        <v>1502</v>
      </c>
      <c r="AE51" s="109">
        <f t="shared" si="7"/>
        <v>-205</v>
      </c>
    </row>
    <row r="52" spans="14:31" ht="15.6" customHeight="1" x14ac:dyDescent="0.3">
      <c r="N52" s="212"/>
      <c r="O52" s="95" t="s">
        <v>69</v>
      </c>
      <c r="P52" s="106"/>
      <c r="Q52" s="106">
        <v>1461</v>
      </c>
      <c r="R52" s="106">
        <v>3</v>
      </c>
      <c r="S52" s="106">
        <f t="shared" si="1"/>
        <v>352</v>
      </c>
      <c r="T52" s="106">
        <v>707</v>
      </c>
      <c r="U52" s="106">
        <f t="shared" si="2"/>
        <v>60</v>
      </c>
      <c r="V52" s="106">
        <v>827</v>
      </c>
      <c r="W52" s="106">
        <f t="shared" si="3"/>
        <v>0</v>
      </c>
      <c r="X52" s="106">
        <v>827</v>
      </c>
      <c r="Y52" s="106">
        <f t="shared" si="4"/>
        <v>142.5</v>
      </c>
      <c r="Z52" s="106">
        <v>1112</v>
      </c>
      <c r="AA52" s="106">
        <f t="shared" si="5"/>
        <v>0</v>
      </c>
      <c r="AB52" s="106">
        <v>1112</v>
      </c>
      <c r="AC52" s="106">
        <f t="shared" si="6"/>
        <v>0</v>
      </c>
      <c r="AD52" s="106">
        <v>1112</v>
      </c>
      <c r="AE52" s="107">
        <f t="shared" si="7"/>
        <v>-349</v>
      </c>
    </row>
    <row r="53" spans="14:31" ht="15.6" customHeight="1" x14ac:dyDescent="0.3">
      <c r="N53" s="212"/>
      <c r="O53" s="94" t="s">
        <v>70</v>
      </c>
      <c r="P53" s="108"/>
      <c r="Q53" s="108">
        <v>4533</v>
      </c>
      <c r="R53" s="108">
        <v>1687</v>
      </c>
      <c r="S53" s="108">
        <f t="shared" si="1"/>
        <v>574.5</v>
      </c>
      <c r="T53" s="108">
        <v>2836</v>
      </c>
      <c r="U53" s="108">
        <f t="shared" si="2"/>
        <v>60</v>
      </c>
      <c r="V53" s="108">
        <v>2956</v>
      </c>
      <c r="W53" s="108">
        <f t="shared" si="3"/>
        <v>167.5</v>
      </c>
      <c r="X53" s="108">
        <v>3291</v>
      </c>
      <c r="Y53" s="108">
        <f t="shared" si="4"/>
        <v>158</v>
      </c>
      <c r="Z53" s="108">
        <v>3607</v>
      </c>
      <c r="AA53" s="108">
        <f t="shared" si="5"/>
        <v>0</v>
      </c>
      <c r="AB53" s="108">
        <v>3607</v>
      </c>
      <c r="AC53" s="108">
        <f t="shared" si="6"/>
        <v>0</v>
      </c>
      <c r="AD53" s="108">
        <v>3607</v>
      </c>
      <c r="AE53" s="109">
        <f t="shared" si="7"/>
        <v>-926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3923</v>
      </c>
      <c r="R55" s="108">
        <v>1206</v>
      </c>
      <c r="S55" s="108">
        <f t="shared" si="1"/>
        <v>0</v>
      </c>
      <c r="T55" s="108">
        <v>1206</v>
      </c>
      <c r="U55" s="108">
        <f t="shared" si="2"/>
        <v>753</v>
      </c>
      <c r="V55" s="108">
        <v>2712</v>
      </c>
      <c r="W55" s="108">
        <f t="shared" si="3"/>
        <v>526.5</v>
      </c>
      <c r="X55" s="108">
        <v>3765</v>
      </c>
      <c r="Y55" s="108">
        <f t="shared" si="4"/>
        <v>0</v>
      </c>
      <c r="Z55" s="108">
        <v>3765</v>
      </c>
      <c r="AA55" s="108">
        <f t="shared" si="5"/>
        <v>0</v>
      </c>
      <c r="AB55" s="108">
        <v>3765</v>
      </c>
      <c r="AC55" s="108">
        <f t="shared" si="6"/>
        <v>0</v>
      </c>
      <c r="AD55" s="108">
        <v>3765</v>
      </c>
      <c r="AE55" s="109">
        <f t="shared" si="7"/>
        <v>-158</v>
      </c>
    </row>
    <row r="56" spans="14:31" ht="15.6" customHeight="1" thickBot="1" x14ac:dyDescent="0.35">
      <c r="N56" s="213"/>
      <c r="O56" s="99" t="s">
        <v>73</v>
      </c>
      <c r="P56" s="114"/>
      <c r="Q56" s="114">
        <v>1276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1.5</v>
      </c>
      <c r="V56" s="114">
        <v>3</v>
      </c>
      <c r="W56" s="114">
        <f t="shared" si="3"/>
        <v>217.5</v>
      </c>
      <c r="X56" s="114">
        <v>438</v>
      </c>
      <c r="Y56" s="114">
        <f t="shared" si="4"/>
        <v>0</v>
      </c>
      <c r="Z56" s="114">
        <v>438</v>
      </c>
      <c r="AA56" s="114">
        <f t="shared" si="5"/>
        <v>0</v>
      </c>
      <c r="AB56" s="114">
        <v>438</v>
      </c>
      <c r="AC56" s="114">
        <f t="shared" si="6"/>
        <v>0</v>
      </c>
      <c r="AD56" s="114">
        <v>438</v>
      </c>
      <c r="AE56" s="115">
        <f t="shared" si="7"/>
        <v>-838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2626</v>
      </c>
      <c r="R57" s="104">
        <v>216</v>
      </c>
      <c r="S57" s="104">
        <f t="shared" si="1"/>
        <v>54</v>
      </c>
      <c r="T57" s="104">
        <v>324</v>
      </c>
      <c r="U57" s="104">
        <f t="shared" si="2"/>
        <v>185.5</v>
      </c>
      <c r="V57" s="104">
        <v>695</v>
      </c>
      <c r="W57" s="104">
        <f t="shared" si="3"/>
        <v>285</v>
      </c>
      <c r="X57" s="104">
        <v>1265</v>
      </c>
      <c r="Y57" s="104">
        <f t="shared" si="4"/>
        <v>0</v>
      </c>
      <c r="Z57" s="104">
        <v>1265</v>
      </c>
      <c r="AA57" s="104">
        <f t="shared" si="5"/>
        <v>0</v>
      </c>
      <c r="AB57" s="104">
        <v>1265</v>
      </c>
      <c r="AC57" s="104">
        <f t="shared" si="6"/>
        <v>0</v>
      </c>
      <c r="AD57" s="104">
        <v>1265</v>
      </c>
      <c r="AE57" s="105">
        <f t="shared" si="7"/>
        <v>-1361</v>
      </c>
    </row>
    <row r="58" spans="14:31" ht="15.6" customHeight="1" x14ac:dyDescent="0.3">
      <c r="N58" s="212"/>
      <c r="O58" s="95" t="s">
        <v>66</v>
      </c>
      <c r="P58" s="106"/>
      <c r="Q58" s="106">
        <v>2389</v>
      </c>
      <c r="R58" s="106">
        <v>239</v>
      </c>
      <c r="S58" s="106">
        <f t="shared" si="1"/>
        <v>498.5</v>
      </c>
      <c r="T58" s="106">
        <v>1236</v>
      </c>
      <c r="U58" s="106">
        <f t="shared" si="2"/>
        <v>252</v>
      </c>
      <c r="V58" s="106">
        <v>1740</v>
      </c>
      <c r="W58" s="106">
        <f t="shared" si="3"/>
        <v>0</v>
      </c>
      <c r="X58" s="106">
        <v>1740</v>
      </c>
      <c r="Y58" s="106">
        <f t="shared" si="4"/>
        <v>0</v>
      </c>
      <c r="Z58" s="106">
        <v>1740</v>
      </c>
      <c r="AA58" s="106">
        <f t="shared" si="5"/>
        <v>0</v>
      </c>
      <c r="AB58" s="106">
        <v>1740</v>
      </c>
      <c r="AC58" s="106">
        <f t="shared" si="6"/>
        <v>0</v>
      </c>
      <c r="AD58" s="106">
        <v>1740</v>
      </c>
      <c r="AE58" s="107">
        <f t="shared" si="7"/>
        <v>-649</v>
      </c>
    </row>
    <row r="59" spans="14:31" ht="15.6" customHeight="1" x14ac:dyDescent="0.3">
      <c r="N59" s="212"/>
      <c r="O59" s="94" t="s">
        <v>67</v>
      </c>
      <c r="P59" s="108"/>
      <c r="Q59" s="108">
        <v>3418</v>
      </c>
      <c r="R59" s="108">
        <v>559</v>
      </c>
      <c r="S59" s="108">
        <f t="shared" si="1"/>
        <v>430.5</v>
      </c>
      <c r="T59" s="108">
        <v>1420</v>
      </c>
      <c r="U59" s="108">
        <f t="shared" si="2"/>
        <v>71</v>
      </c>
      <c r="V59" s="108">
        <v>1562</v>
      </c>
      <c r="W59" s="108">
        <f t="shared" si="3"/>
        <v>277.5</v>
      </c>
      <c r="X59" s="108">
        <v>2117</v>
      </c>
      <c r="Y59" s="108">
        <f t="shared" si="4"/>
        <v>0</v>
      </c>
      <c r="Z59" s="108">
        <v>2117</v>
      </c>
      <c r="AA59" s="108">
        <f t="shared" si="5"/>
        <v>0</v>
      </c>
      <c r="AB59" s="108">
        <v>2117</v>
      </c>
      <c r="AC59" s="108">
        <f t="shared" si="6"/>
        <v>0</v>
      </c>
      <c r="AD59" s="108">
        <v>2117</v>
      </c>
      <c r="AE59" s="109">
        <f t="shared" si="7"/>
        <v>-1301</v>
      </c>
    </row>
    <row r="60" spans="14:31" ht="15.6" customHeight="1" thickBot="1" x14ac:dyDescent="0.35">
      <c r="N60" s="213"/>
      <c r="O60" s="99" t="s">
        <v>68</v>
      </c>
      <c r="P60" s="114"/>
      <c r="Q60" s="114">
        <v>3083</v>
      </c>
      <c r="R60" s="114">
        <v>720</v>
      </c>
      <c r="S60" s="114">
        <f t="shared" si="1"/>
        <v>0</v>
      </c>
      <c r="T60" s="114">
        <v>720</v>
      </c>
      <c r="U60" s="114">
        <f t="shared" si="2"/>
        <v>837.5</v>
      </c>
      <c r="V60" s="114">
        <v>2395</v>
      </c>
      <c r="W60" s="114">
        <f t="shared" si="3"/>
        <v>194</v>
      </c>
      <c r="X60" s="114">
        <v>2783</v>
      </c>
      <c r="Y60" s="114">
        <f t="shared" si="4"/>
        <v>0</v>
      </c>
      <c r="Z60" s="114">
        <v>2783</v>
      </c>
      <c r="AA60" s="114">
        <f t="shared" si="5"/>
        <v>0</v>
      </c>
      <c r="AB60" s="114">
        <v>2783</v>
      </c>
      <c r="AC60" s="114">
        <f t="shared" si="6"/>
        <v>0</v>
      </c>
      <c r="AD60" s="114">
        <v>2783</v>
      </c>
      <c r="AE60" s="115">
        <f t="shared" si="7"/>
        <v>-300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3345</v>
      </c>
      <c r="R61" s="104">
        <v>801</v>
      </c>
      <c r="S61" s="104">
        <f t="shared" si="1"/>
        <v>261.5</v>
      </c>
      <c r="T61" s="104">
        <v>1324</v>
      </c>
      <c r="U61" s="104">
        <f t="shared" si="2"/>
        <v>283.5</v>
      </c>
      <c r="V61" s="104">
        <v>1891</v>
      </c>
      <c r="W61" s="104">
        <f t="shared" si="3"/>
        <v>190</v>
      </c>
      <c r="X61" s="104">
        <v>2271</v>
      </c>
      <c r="Y61" s="104">
        <f t="shared" si="4"/>
        <v>0</v>
      </c>
      <c r="Z61" s="104">
        <v>2271</v>
      </c>
      <c r="AA61" s="104">
        <f t="shared" si="5"/>
        <v>0</v>
      </c>
      <c r="AB61" s="104">
        <v>2271</v>
      </c>
      <c r="AC61" s="104">
        <f t="shared" si="6"/>
        <v>0</v>
      </c>
      <c r="AD61" s="104">
        <v>2271</v>
      </c>
      <c r="AE61" s="105">
        <f t="shared" si="7"/>
        <v>-1074</v>
      </c>
    </row>
    <row r="62" spans="14:31" ht="15.6" customHeight="1" x14ac:dyDescent="0.3">
      <c r="N62" s="212"/>
      <c r="O62" s="95" t="s">
        <v>66</v>
      </c>
      <c r="P62" s="106"/>
      <c r="Q62" s="106">
        <v>2914</v>
      </c>
      <c r="R62" s="106">
        <v>121</v>
      </c>
      <c r="S62" s="106">
        <f t="shared" si="1"/>
        <v>391</v>
      </c>
      <c r="T62" s="106">
        <v>903</v>
      </c>
      <c r="U62" s="106">
        <f t="shared" si="2"/>
        <v>243.5</v>
      </c>
      <c r="V62" s="106">
        <v>1390</v>
      </c>
      <c r="W62" s="106">
        <f t="shared" si="3"/>
        <v>156</v>
      </c>
      <c r="X62" s="106">
        <v>1702</v>
      </c>
      <c r="Y62" s="106">
        <f t="shared" si="4"/>
        <v>0</v>
      </c>
      <c r="Z62" s="106">
        <v>1702</v>
      </c>
      <c r="AA62" s="106">
        <f t="shared" si="5"/>
        <v>0</v>
      </c>
      <c r="AB62" s="106">
        <v>1702</v>
      </c>
      <c r="AC62" s="106">
        <f t="shared" si="6"/>
        <v>0</v>
      </c>
      <c r="AD62" s="106">
        <v>1702</v>
      </c>
      <c r="AE62" s="107">
        <f t="shared" si="7"/>
        <v>-1212</v>
      </c>
    </row>
    <row r="63" spans="14:31" ht="15.6" customHeight="1" x14ac:dyDescent="0.3">
      <c r="N63" s="212"/>
      <c r="O63" s="94" t="s">
        <v>67</v>
      </c>
      <c r="P63" s="108"/>
      <c r="Q63" s="108">
        <v>1890</v>
      </c>
      <c r="R63" s="108">
        <v>307</v>
      </c>
      <c r="S63" s="108">
        <f t="shared" si="1"/>
        <v>262.5</v>
      </c>
      <c r="T63" s="108">
        <v>832</v>
      </c>
      <c r="U63" s="108">
        <f t="shared" si="2"/>
        <v>239.5</v>
      </c>
      <c r="V63" s="108">
        <v>1311</v>
      </c>
      <c r="W63" s="108">
        <f t="shared" si="3"/>
        <v>109.5</v>
      </c>
      <c r="X63" s="108">
        <v>1530</v>
      </c>
      <c r="Y63" s="108">
        <f t="shared" si="4"/>
        <v>0</v>
      </c>
      <c r="Z63" s="108">
        <v>1530</v>
      </c>
      <c r="AA63" s="108">
        <f t="shared" si="5"/>
        <v>0</v>
      </c>
      <c r="AB63" s="108">
        <v>1530</v>
      </c>
      <c r="AC63" s="108">
        <f t="shared" si="6"/>
        <v>0</v>
      </c>
      <c r="AD63" s="108">
        <v>1530</v>
      </c>
      <c r="AE63" s="109">
        <f t="shared" si="7"/>
        <v>-360</v>
      </c>
    </row>
    <row r="64" spans="14:31" ht="15.6" customHeight="1" thickBot="1" x14ac:dyDescent="0.35">
      <c r="N64" s="213"/>
      <c r="O64" s="99" t="s">
        <v>68</v>
      </c>
      <c r="P64" s="114"/>
      <c r="Q64" s="114">
        <v>2619</v>
      </c>
      <c r="R64" s="114">
        <v>827</v>
      </c>
      <c r="S64" s="114">
        <f t="shared" si="1"/>
        <v>158.5</v>
      </c>
      <c r="T64" s="114">
        <v>1144</v>
      </c>
      <c r="U64" s="114">
        <f t="shared" si="2"/>
        <v>155.5</v>
      </c>
      <c r="V64" s="114">
        <v>1455</v>
      </c>
      <c r="W64" s="114">
        <f t="shared" si="3"/>
        <v>138.5</v>
      </c>
      <c r="X64" s="114">
        <v>1732</v>
      </c>
      <c r="Y64" s="114">
        <f t="shared" si="4"/>
        <v>0</v>
      </c>
      <c r="Z64" s="114">
        <v>1732</v>
      </c>
      <c r="AA64" s="114">
        <f t="shared" si="5"/>
        <v>0</v>
      </c>
      <c r="AB64" s="114">
        <v>1732</v>
      </c>
      <c r="AC64" s="114">
        <f t="shared" si="6"/>
        <v>0</v>
      </c>
      <c r="AD64" s="114">
        <v>1732</v>
      </c>
      <c r="AE64" s="115">
        <f t="shared" si="7"/>
        <v>-887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19" priority="11" operator="lessThan">
      <formula>0</formula>
    </cfRule>
    <cfRule type="cellIs" dxfId="1318" priority="12" operator="greaterThan">
      <formula>0</formula>
    </cfRule>
  </conditionalFormatting>
  <conditionalFormatting sqref="R25:AC25">
    <cfRule type="cellIs" dxfId="1317" priority="9" operator="lessThan">
      <formula>0</formula>
    </cfRule>
    <cfRule type="cellIs" dxfId="1316" priority="10" operator="greaterThan">
      <formula>0</formula>
    </cfRule>
  </conditionalFormatting>
  <conditionalFormatting sqref="R26 T26 V26 X26 Z26 AB26">
    <cfRule type="cellIs" dxfId="1315" priority="7" operator="lessThan">
      <formula>0</formula>
    </cfRule>
    <cfRule type="cellIs" dxfId="1314" priority="8" operator="greaterThan">
      <formula>0</formula>
    </cfRule>
  </conditionalFormatting>
  <conditionalFormatting sqref="AD24:AE24">
    <cfRule type="cellIs" dxfId="1313" priority="5" operator="lessThan">
      <formula>0</formula>
    </cfRule>
    <cfRule type="cellIs" dxfId="1312" priority="6" operator="greaterThan">
      <formula>0</formula>
    </cfRule>
  </conditionalFormatting>
  <conditionalFormatting sqref="AD25:AE25">
    <cfRule type="cellIs" dxfId="1311" priority="3" operator="lessThan">
      <formula>0</formula>
    </cfRule>
    <cfRule type="cellIs" dxfId="1310" priority="4" operator="greaterThan">
      <formula>0</formula>
    </cfRule>
  </conditionalFormatting>
  <conditionalFormatting sqref="AD26">
    <cfRule type="cellIs" dxfId="1309" priority="1" operator="lessThan">
      <formula>0</formula>
    </cfRule>
    <cfRule type="cellIs" dxfId="130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44409</v>
      </c>
    </row>
    <row r="3" spans="2:42" ht="18.75" customHeight="1" thickBot="1" x14ac:dyDescent="0.35">
      <c r="B3" t="s">
        <v>1</v>
      </c>
      <c r="C3" s="3">
        <f>C2+1</f>
        <v>44410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2388</v>
      </c>
      <c r="E6" s="18" t="s">
        <v>22</v>
      </c>
      <c r="F6" s="119">
        <v>21411</v>
      </c>
      <c r="G6" s="117">
        <v>17437.372875000001</v>
      </c>
      <c r="H6" s="117">
        <v>15590.05759530001</v>
      </c>
      <c r="I6" s="19">
        <f>G6+H6</f>
        <v>33027.430470300009</v>
      </c>
      <c r="J6" s="119">
        <v>20963</v>
      </c>
      <c r="K6" s="117">
        <v>16825.044125000011</v>
      </c>
      <c r="L6" s="117">
        <v>14119.61699086001</v>
      </c>
      <c r="M6" s="19">
        <f>K6+L6</f>
        <v>30944.661115860021</v>
      </c>
      <c r="N6" s="85">
        <v>74</v>
      </c>
      <c r="O6" s="85">
        <v>55</v>
      </c>
      <c r="P6" s="92"/>
      <c r="Q6" s="20">
        <f>J6-P6</f>
        <v>20963</v>
      </c>
      <c r="R6" s="21">
        <v>820</v>
      </c>
      <c r="S6" s="20">
        <f>IF(R6&gt;0,(R6-R7-$Q6),"")</f>
        <v>-20143</v>
      </c>
      <c r="T6" s="21">
        <v>2133</v>
      </c>
      <c r="U6" s="20">
        <f>IF(T6&gt;0,(T6-T7-$Q6),"")</f>
        <v>-18830</v>
      </c>
      <c r="V6" s="21">
        <v>9539</v>
      </c>
      <c r="W6" s="20">
        <f>IF(V6&gt;0,(V6-V7-$Q6),"")</f>
        <v>-11426</v>
      </c>
      <c r="X6" s="21">
        <v>11057</v>
      </c>
      <c r="Y6" s="20">
        <f>IF(X6&gt;0,(X6-X7-$Q6),"")</f>
        <v>-9908</v>
      </c>
      <c r="Z6" s="21">
        <v>13507</v>
      </c>
      <c r="AA6" s="20">
        <f>IF(Z6&gt;0,(Z6-Z7-$Q6),"")</f>
        <v>-8095</v>
      </c>
      <c r="AB6" s="21">
        <v>16695</v>
      </c>
      <c r="AC6" s="22">
        <f>IF(AB6&gt;0,(AB6-AB7-$Q6),"")</f>
        <v>-6131</v>
      </c>
      <c r="AD6" s="21">
        <v>16695</v>
      </c>
      <c r="AE6" s="22">
        <f>IF(AD6&gt;0,(AD6-AD7-$Q6),"")</f>
        <v>-6131</v>
      </c>
    </row>
    <row r="7" spans="2:42" x14ac:dyDescent="0.3">
      <c r="B7" s="16" t="s">
        <v>23</v>
      </c>
      <c r="C7" s="17">
        <v>193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2</v>
      </c>
      <c r="W7" s="24"/>
      <c r="X7" s="25">
        <v>2</v>
      </c>
      <c r="Y7" s="24"/>
      <c r="Z7" s="25">
        <v>639</v>
      </c>
      <c r="AA7" s="24"/>
      <c r="AB7" s="25">
        <v>1863</v>
      </c>
      <c r="AC7" s="26"/>
      <c r="AD7" s="25">
        <v>1863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2155</v>
      </c>
      <c r="E8" s="29" t="s">
        <v>27</v>
      </c>
      <c r="F8" s="119">
        <v>10470</v>
      </c>
      <c r="G8" s="117">
        <v>4335.0349999999999</v>
      </c>
      <c r="H8" s="117">
        <v>1332.9179059999999</v>
      </c>
      <c r="I8" s="19">
        <f>G8+H8</f>
        <v>5667.9529059999995</v>
      </c>
      <c r="J8" s="119">
        <v>10170</v>
      </c>
      <c r="K8" s="117">
        <v>4180.4400000000014</v>
      </c>
      <c r="L8" s="117">
        <v>1265.2420416</v>
      </c>
      <c r="M8" s="19">
        <f>K8+L8</f>
        <v>5445.682041600001</v>
      </c>
      <c r="N8" s="87">
        <v>32</v>
      </c>
      <c r="O8" s="87">
        <v>21</v>
      </c>
      <c r="P8" s="92"/>
      <c r="Q8" s="20">
        <f>J8-P8</f>
        <v>10170</v>
      </c>
      <c r="R8" s="21">
        <v>4</v>
      </c>
      <c r="S8" s="20">
        <f>IF(R8&gt;0,(R8-R9-$Q8),"")</f>
        <v>-10166</v>
      </c>
      <c r="T8" s="21">
        <v>4</v>
      </c>
      <c r="U8" s="20">
        <f>IF(T8&gt;0,(T8-T9-$Q8),"")</f>
        <v>-10166</v>
      </c>
      <c r="V8" s="21">
        <v>1434</v>
      </c>
      <c r="W8" s="20">
        <f>IF(V8&gt;0,(V8-V9-$Q8),"")</f>
        <v>-8736</v>
      </c>
      <c r="X8" s="21">
        <v>4008</v>
      </c>
      <c r="Y8" s="20">
        <f>IF(X8&gt;0,(X8-X9-$Q8),"")</f>
        <v>-6162</v>
      </c>
      <c r="Z8" s="21">
        <v>9230</v>
      </c>
      <c r="AA8" s="20">
        <f>IF(Z8&gt;0,(Z8-Z9-$Q8),"")</f>
        <v>-940</v>
      </c>
      <c r="AB8" s="21">
        <v>9230</v>
      </c>
      <c r="AC8" s="22">
        <f>IF(AB8&gt;0,(AB8-AB9-$Q8),"")</f>
        <v>-940</v>
      </c>
      <c r="AD8" s="21">
        <v>9230</v>
      </c>
      <c r="AE8" s="22">
        <f>IF(AD8&gt;0,(AD8-AD9-$Q8),"")</f>
        <v>-940</v>
      </c>
    </row>
    <row r="9" spans="2:42" x14ac:dyDescent="0.3">
      <c r="B9" s="28" t="s">
        <v>28</v>
      </c>
      <c r="C9" s="17">
        <v>1481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4167</v>
      </c>
      <c r="E10" s="18" t="s">
        <v>31</v>
      </c>
      <c r="F10" s="119">
        <v>12907</v>
      </c>
      <c r="G10" s="117">
        <v>9104.1571249999979</v>
      </c>
      <c r="H10" s="117">
        <v>1886.287525</v>
      </c>
      <c r="I10" s="19">
        <f>G10+H10</f>
        <v>10990.444649999998</v>
      </c>
      <c r="J10" s="119">
        <v>12531</v>
      </c>
      <c r="K10" s="117">
        <v>8835.0711250000004</v>
      </c>
      <c r="L10" s="117">
        <v>1823.0919925000001</v>
      </c>
      <c r="M10" s="19">
        <f>K10+L10</f>
        <v>10658.1631175</v>
      </c>
      <c r="N10" s="88">
        <v>38</v>
      </c>
      <c r="O10" s="88">
        <v>30</v>
      </c>
      <c r="P10" s="92"/>
      <c r="Q10" s="20">
        <f>J10-P10</f>
        <v>12531</v>
      </c>
      <c r="R10" s="21">
        <v>380</v>
      </c>
      <c r="S10" s="20">
        <f>IF(R10&gt;0,(R10-R11-$Q10),"")</f>
        <v>-12151</v>
      </c>
      <c r="T10" s="21">
        <v>1946</v>
      </c>
      <c r="U10" s="20">
        <f>IF(T10&gt;0,(T10-T11-$Q10),"")</f>
        <v>-11434</v>
      </c>
      <c r="V10" s="21">
        <v>4948</v>
      </c>
      <c r="W10" s="20">
        <f>IF(V10&gt;0,(V10-V11-$Q10),"")</f>
        <v>-8912</v>
      </c>
      <c r="X10" s="21">
        <v>6450</v>
      </c>
      <c r="Y10" s="20">
        <f>IF(X10&gt;0,(X10-X11-$Q10),"")</f>
        <v>-7803</v>
      </c>
      <c r="Z10" s="21">
        <v>6450</v>
      </c>
      <c r="AA10" s="20">
        <f>IF(Z10&gt;0,(Z10-Z11-$Q10),"")</f>
        <v>-7803</v>
      </c>
      <c r="AB10" s="21">
        <v>6450</v>
      </c>
      <c r="AC10" s="22">
        <f>IF(AB10&gt;0,(AB10-AB11-$Q10),"")</f>
        <v>-7803</v>
      </c>
      <c r="AD10" s="21">
        <v>6450</v>
      </c>
      <c r="AE10" s="22">
        <f>IF(AD10&gt;0,(AD10-AD11-$Q10),"")</f>
        <v>-7803</v>
      </c>
    </row>
    <row r="11" spans="2:42" x14ac:dyDescent="0.3">
      <c r="B11" s="16" t="s">
        <v>32</v>
      </c>
      <c r="C11" s="17">
        <v>2213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0</v>
      </c>
      <c r="S11" s="24"/>
      <c r="T11" s="30">
        <v>849</v>
      </c>
      <c r="U11" s="24"/>
      <c r="V11" s="30">
        <v>1329</v>
      </c>
      <c r="W11" s="24"/>
      <c r="X11" s="30">
        <v>1722</v>
      </c>
      <c r="Y11" s="24"/>
      <c r="Z11" s="30">
        <v>1722</v>
      </c>
      <c r="AA11" s="24"/>
      <c r="AB11" s="30">
        <v>1722</v>
      </c>
      <c r="AC11" s="26"/>
      <c r="AD11" s="30">
        <v>1722</v>
      </c>
      <c r="AE11" s="26"/>
    </row>
    <row r="12" spans="2:42" x14ac:dyDescent="0.3">
      <c r="B12" s="16" t="s">
        <v>34</v>
      </c>
      <c r="C12" s="17">
        <v>1635</v>
      </c>
      <c r="E12" s="29" t="s">
        <v>35</v>
      </c>
      <c r="F12" s="119">
        <v>15173</v>
      </c>
      <c r="G12" s="117">
        <v>10898.143749999999</v>
      </c>
      <c r="H12" s="117">
        <v>15777.26651415999</v>
      </c>
      <c r="I12" s="19">
        <f>G12+H12</f>
        <v>26675.410264159989</v>
      </c>
      <c r="J12" s="119">
        <v>14668</v>
      </c>
      <c r="K12" s="117">
        <v>10749.161749999999</v>
      </c>
      <c r="L12" s="117">
        <v>14369.24819389999</v>
      </c>
      <c r="M12" s="19">
        <f>K12+L12</f>
        <v>25118.409943899991</v>
      </c>
      <c r="N12" s="88">
        <v>52</v>
      </c>
      <c r="O12" s="88">
        <v>42</v>
      </c>
      <c r="P12" s="92"/>
      <c r="Q12" s="20">
        <f>J12-P12</f>
        <v>14668</v>
      </c>
      <c r="R12" s="21">
        <v>3198</v>
      </c>
      <c r="S12" s="20">
        <f>IF(R12&gt;0,(R12-R13-$Q12),"")</f>
        <v>-12520</v>
      </c>
      <c r="T12" s="21">
        <v>5993</v>
      </c>
      <c r="U12" s="20">
        <f>IF(T12&gt;0,(T12-T13-$Q12),"")</f>
        <v>-10203</v>
      </c>
      <c r="V12" s="21">
        <v>7916</v>
      </c>
      <c r="W12" s="20">
        <f>IF(V12&gt;0,(V12-V13-$Q12),"")</f>
        <v>-8287</v>
      </c>
      <c r="X12" s="21">
        <v>10479</v>
      </c>
      <c r="Y12" s="20">
        <f>IF(X12&gt;0,(X12-X13-$Q12),"")</f>
        <v>-5726</v>
      </c>
      <c r="Z12" s="21">
        <v>10479</v>
      </c>
      <c r="AA12" s="20">
        <f>IF(Z12&gt;0,(Z12-Z13-$Q12),"")</f>
        <v>-5726</v>
      </c>
      <c r="AB12" s="21">
        <v>10479</v>
      </c>
      <c r="AC12" s="22">
        <f>IF(AB12&gt;0,(AB12-AB13-$Q12),"")</f>
        <v>-5726</v>
      </c>
      <c r="AD12" s="21">
        <v>10479</v>
      </c>
      <c r="AE12" s="22">
        <f>IF(AD12&gt;0,(AD12-AD13-$Q12),"")</f>
        <v>-5726</v>
      </c>
    </row>
    <row r="13" spans="2:42" x14ac:dyDescent="0.3">
      <c r="B13" s="16" t="s">
        <v>36</v>
      </c>
      <c r="C13" s="17">
        <v>4693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1050</v>
      </c>
      <c r="S13" s="24"/>
      <c r="T13" s="30">
        <v>1528</v>
      </c>
      <c r="U13" s="24"/>
      <c r="V13" s="30">
        <v>1535</v>
      </c>
      <c r="W13" s="24"/>
      <c r="X13" s="30">
        <v>1537</v>
      </c>
      <c r="Y13" s="24"/>
      <c r="Z13" s="30">
        <v>1537</v>
      </c>
      <c r="AA13" s="24"/>
      <c r="AB13" s="30">
        <v>1537</v>
      </c>
      <c r="AC13" s="26"/>
      <c r="AD13" s="30">
        <v>1537</v>
      </c>
      <c r="AE13" s="26"/>
    </row>
    <row r="14" spans="2:42" x14ac:dyDescent="0.3">
      <c r="B14" s="16" t="s">
        <v>38</v>
      </c>
      <c r="C14" s="17">
        <v>11535</v>
      </c>
      <c r="E14" s="18" t="s">
        <v>39</v>
      </c>
      <c r="F14" s="119">
        <v>16308</v>
      </c>
      <c r="G14" s="117">
        <v>14255.8125</v>
      </c>
      <c r="H14" s="117">
        <v>16141.028528979999</v>
      </c>
      <c r="I14" s="19">
        <f>G14+H14</f>
        <v>30396.841028980001</v>
      </c>
      <c r="J14" s="119">
        <v>16371</v>
      </c>
      <c r="K14" s="117">
        <v>14360.53125</v>
      </c>
      <c r="L14" s="117">
        <v>16142.99262838</v>
      </c>
      <c r="M14" s="19">
        <f>K14+L14</f>
        <v>30503.523878380001</v>
      </c>
      <c r="N14" s="88">
        <v>69</v>
      </c>
      <c r="O14" s="88">
        <v>44</v>
      </c>
      <c r="P14" s="92"/>
      <c r="Q14" s="20">
        <f>J14-P14</f>
        <v>16371</v>
      </c>
      <c r="R14" s="21">
        <v>3043</v>
      </c>
      <c r="S14" s="20">
        <f>IF(R14&gt;0,(R14-R15-$Q14),"")</f>
        <v>-15893</v>
      </c>
      <c r="T14" s="21">
        <v>6383</v>
      </c>
      <c r="U14" s="20">
        <f>IF(T14&gt;0,(T14-T15-$Q14),"")</f>
        <v>-15329</v>
      </c>
      <c r="V14" s="21">
        <v>9603</v>
      </c>
      <c r="W14" s="20">
        <f>IF(V14&gt;0,(V14-V15-$Q14),"")</f>
        <v>-15188</v>
      </c>
      <c r="X14" s="21">
        <v>11505</v>
      </c>
      <c r="Y14" s="20">
        <f>IF(X14&gt;0,(X14-X15-$Q14),"")</f>
        <v>-14535</v>
      </c>
      <c r="Z14" s="21">
        <v>11817</v>
      </c>
      <c r="AA14" s="20">
        <f>IF(Z14&gt;0,(Z14-Z15-$Q14),"")</f>
        <v>-14223</v>
      </c>
      <c r="AB14" s="21">
        <v>11817</v>
      </c>
      <c r="AC14" s="22">
        <f>IF(AB14&gt;0,(AB14-AB15-$Q14),"")</f>
        <v>-14223</v>
      </c>
      <c r="AD14" s="21">
        <v>11817</v>
      </c>
      <c r="AE14" s="22">
        <f>IF(AD14&gt;0,(AD14-AD15-$Q14),"")</f>
        <v>-14223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2565</v>
      </c>
      <c r="S15" s="24"/>
      <c r="T15" s="25">
        <v>5341</v>
      </c>
      <c r="U15" s="24"/>
      <c r="V15" s="25">
        <v>8420</v>
      </c>
      <c r="W15" s="24"/>
      <c r="X15" s="25">
        <v>9669</v>
      </c>
      <c r="Y15" s="24"/>
      <c r="Z15" s="25">
        <v>9669</v>
      </c>
      <c r="AA15" s="24"/>
      <c r="AB15" s="25">
        <v>9669</v>
      </c>
      <c r="AC15" s="26"/>
      <c r="AD15" s="25">
        <v>9669</v>
      </c>
      <c r="AE15" s="26"/>
    </row>
    <row r="16" spans="2:42" ht="15" customHeight="1" thickBot="1" x14ac:dyDescent="0.35">
      <c r="B16" s="28" t="s">
        <v>42</v>
      </c>
      <c r="C16" s="17">
        <v>10430</v>
      </c>
      <c r="E16" s="84"/>
      <c r="F16" s="31">
        <f t="shared" ref="F16:M16" si="0">SUM(F6:F15)</f>
        <v>76269</v>
      </c>
      <c r="G16" s="31">
        <f t="shared" si="0"/>
        <v>56030.521249999998</v>
      </c>
      <c r="H16" s="31">
        <f t="shared" si="0"/>
        <v>50727.558069440005</v>
      </c>
      <c r="I16" s="32">
        <f t="shared" si="0"/>
        <v>106758.07931944</v>
      </c>
      <c r="J16" s="33">
        <f t="shared" si="0"/>
        <v>74703</v>
      </c>
      <c r="K16" s="33">
        <f t="shared" si="0"/>
        <v>54950.248250000011</v>
      </c>
      <c r="L16" s="33">
        <f t="shared" si="0"/>
        <v>47720.191847239999</v>
      </c>
      <c r="M16" s="33">
        <f t="shared" si="0"/>
        <v>102670.44009724002</v>
      </c>
      <c r="N16" s="31">
        <f>SUM(N14,N12,N10,N8,N6)</f>
        <v>265</v>
      </c>
      <c r="O16" s="31">
        <f>SUM(O14,O12,O10,O8,O6)</f>
        <v>192</v>
      </c>
      <c r="P16" s="34">
        <f>SUM(P6:P15)</f>
        <v>0</v>
      </c>
      <c r="Q16" s="34">
        <f>SUM(Q6:Q15)</f>
        <v>74703</v>
      </c>
      <c r="R16" s="35">
        <f>R6+R8+R10+R12+R14-R7-R9-R11-R13-R15</f>
        <v>3830</v>
      </c>
      <c r="S16" s="36">
        <f>IF(R16&gt;1,(R16-$Q16),"")</f>
        <v>-70873</v>
      </c>
      <c r="T16" s="35">
        <f>T6+T8+T10+T12+T14-T7-T9-T11-T13-T15</f>
        <v>8741</v>
      </c>
      <c r="U16" s="36">
        <f>IF(T16&gt;1,(T16-$Q16),"")</f>
        <v>-65962</v>
      </c>
      <c r="V16" s="35">
        <f>V6+V8+V10+V12+V14-V7-V9-V11-V13-V15</f>
        <v>22154</v>
      </c>
      <c r="W16" s="36">
        <f>IF(V16&gt;1,(V16-$Q16),"")</f>
        <v>-52549</v>
      </c>
      <c r="X16" s="35">
        <f>X6+X8+X10+X12+X14-X7-X9-X11-X13-X15</f>
        <v>30569</v>
      </c>
      <c r="Y16" s="36">
        <f>IF(X16&gt;1,(X16-$Q16),"")</f>
        <v>-44134</v>
      </c>
      <c r="Z16" s="35">
        <f>Z6+Z8+Z10+Z12+Z14-Z7-Z9-Z11-Z13-Z15</f>
        <v>37916</v>
      </c>
      <c r="AA16" s="36">
        <f>IF(Z16&gt;1,(Z16-$Q16),"")</f>
        <v>-36787</v>
      </c>
      <c r="AB16" s="35">
        <f>AB6+AB8+AB10+AB12+AB14-AB7-AB9-AB11-AB13-AB15</f>
        <v>39880</v>
      </c>
      <c r="AC16" s="37">
        <f>IF(AB16&gt;1,(AB16-$Q16),"")</f>
        <v>-34823</v>
      </c>
      <c r="AD16" s="35">
        <f>AD6+AD8+AD10+AD12+AD14-AD7-AD9-AD11-AD13-AD15</f>
        <v>39880</v>
      </c>
      <c r="AE16" s="37">
        <f>IF(AD16&gt;1,(AD16-$Q16),"")</f>
        <v>-34823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73</v>
      </c>
      <c r="P17" s="38" t="s">
        <v>44</v>
      </c>
      <c r="Q17" s="39"/>
      <c r="R17" s="40">
        <f>R15+R13+R11+R9+R7</f>
        <v>3615</v>
      </c>
      <c r="S17" s="41"/>
      <c r="T17" s="40">
        <f>T15+T13+T11+T9+T7</f>
        <v>7718</v>
      </c>
      <c r="U17" s="41"/>
      <c r="V17" s="40">
        <f>V15+V13+V11+V9+V7</f>
        <v>11286</v>
      </c>
      <c r="W17" s="41"/>
      <c r="X17" s="40">
        <f>X15+X13+X11+X9+X7</f>
        <v>12930</v>
      </c>
      <c r="Y17" s="41"/>
      <c r="Z17" s="40">
        <f>Z15+Z13+Z11+Z9+Z7</f>
        <v>13567</v>
      </c>
      <c r="AA17" s="41"/>
      <c r="AB17" s="40">
        <f>AB15+AB13+AB11+AB9+AB7</f>
        <v>14791</v>
      </c>
      <c r="AC17" s="42"/>
      <c r="AD17" s="40">
        <f>AD15+AD13+AD11+AD9+AD7</f>
        <v>14791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1915</v>
      </c>
      <c r="S18" s="46"/>
      <c r="T18" s="47">
        <f>IF(T16&gt;0,(T16-R16)/2,"")</f>
        <v>2455.5</v>
      </c>
      <c r="U18" s="46"/>
      <c r="V18" s="47">
        <f>IF(V16&gt;0,(V16-T16)/2,"")</f>
        <v>6706.5</v>
      </c>
      <c r="W18" s="46"/>
      <c r="X18" s="47">
        <f>IF(X16&gt;0,(X16-V16)/2,"")</f>
        <v>4207.5</v>
      </c>
      <c r="Y18" s="46"/>
      <c r="Z18" s="47">
        <f>IF(Z16&gt;0,(Z16-X16)/2,"")</f>
        <v>3673.5</v>
      </c>
      <c r="AA18" s="46"/>
      <c r="AB18" s="47">
        <f>IF(AB16&gt;0,(AB16-Z16)/2,"")</f>
        <v>982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7892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1215</v>
      </c>
      <c r="L20" s="4"/>
      <c r="M20" s="4"/>
      <c r="Q20" s="51" t="s">
        <v>49</v>
      </c>
      <c r="R20" s="35">
        <v>10431</v>
      </c>
      <c r="S20" s="36"/>
      <c r="T20" s="35">
        <v>19404</v>
      </c>
      <c r="U20" s="36"/>
      <c r="V20" s="35">
        <v>28168</v>
      </c>
      <c r="W20" s="36"/>
      <c r="X20" s="35">
        <v>39467</v>
      </c>
      <c r="Y20" s="36"/>
      <c r="Z20" s="35">
        <v>48792</v>
      </c>
      <c r="AA20" s="36"/>
      <c r="AB20" s="35">
        <v>51195</v>
      </c>
      <c r="AC20" s="37"/>
      <c r="AD20" s="35">
        <v>51195</v>
      </c>
      <c r="AE20" s="37">
        <v>-29644</v>
      </c>
    </row>
    <row r="21" spans="2:43" ht="15" customHeight="1" thickBot="1" x14ac:dyDescent="0.35">
      <c r="B21" s="57" t="s">
        <v>52</v>
      </c>
      <c r="C21" s="58">
        <v>4224</v>
      </c>
      <c r="M21" s="4"/>
      <c r="Q21" s="52"/>
      <c r="R21" s="40">
        <v>5152</v>
      </c>
      <c r="S21" s="41"/>
      <c r="T21" s="40">
        <v>8899</v>
      </c>
      <c r="U21" s="41"/>
      <c r="V21" s="40">
        <v>11146</v>
      </c>
      <c r="W21" s="41"/>
      <c r="X21" s="40">
        <v>12228</v>
      </c>
      <c r="Y21" s="41"/>
      <c r="Z21" s="40">
        <v>12399</v>
      </c>
      <c r="AA21" s="41"/>
      <c r="AB21" s="40">
        <v>12399</v>
      </c>
      <c r="AC21" s="42"/>
      <c r="AD21" s="40">
        <v>12399</v>
      </c>
      <c r="AE21" s="42"/>
    </row>
    <row r="22" spans="2:43" ht="15" customHeight="1" thickBot="1" x14ac:dyDescent="0.35">
      <c r="M22" s="4"/>
      <c r="Q22" s="54"/>
      <c r="R22" s="55">
        <v>3504</v>
      </c>
      <c r="S22" s="55"/>
      <c r="T22" s="55">
        <v>1763.5</v>
      </c>
      <c r="U22" s="55"/>
      <c r="V22" s="55">
        <v>4798.5</v>
      </c>
      <c r="W22" s="55"/>
      <c r="X22" s="55">
        <v>6376</v>
      </c>
      <c r="Y22" s="55"/>
      <c r="Z22" s="55">
        <v>5987.5</v>
      </c>
      <c r="AA22" s="55"/>
      <c r="AB22" s="55">
        <v>146.5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-6601</v>
      </c>
      <c r="S24" s="60"/>
      <c r="T24" s="60">
        <f>IF(T16&gt;0,T16-T20,"")</f>
        <v>-10663</v>
      </c>
      <c r="U24" s="60"/>
      <c r="V24" s="60">
        <f>IF(V16&gt;0,V16-V20,"")</f>
        <v>-6014</v>
      </c>
      <c r="W24" s="60"/>
      <c r="X24" s="60">
        <f>IF(X16&gt;0,X16-X20,"")</f>
        <v>-8898</v>
      </c>
      <c r="Y24" s="60"/>
      <c r="Z24" s="60">
        <f>IF(Z16&gt;0,Z16-Z20,"")</f>
        <v>-10876</v>
      </c>
      <c r="AA24" s="60"/>
      <c r="AB24" s="60">
        <f>IF(AB16&gt;0,AB16-AB20,"")</f>
        <v>-11315</v>
      </c>
      <c r="AC24" s="61"/>
      <c r="AD24" s="60">
        <f>IF(AD16&gt;0,AD16-AD20,"")</f>
        <v>-11315</v>
      </c>
      <c r="AE24" s="61"/>
    </row>
    <row r="25" spans="2:43" x14ac:dyDescent="0.3">
      <c r="M25" s="4"/>
      <c r="Q25" s="62"/>
      <c r="R25" s="63">
        <f>IF(R17&gt;=0,R17-R21,"")</f>
        <v>-1537</v>
      </c>
      <c r="S25" s="64"/>
      <c r="T25" s="63">
        <f>IF(T17&gt;=0,T17-T21,"")</f>
        <v>-1181</v>
      </c>
      <c r="U25" s="64"/>
      <c r="V25" s="63">
        <f>IF(V17&gt;=0,V17-V21,"")</f>
        <v>140</v>
      </c>
      <c r="W25" s="64"/>
      <c r="X25" s="63">
        <f>IF(X17&gt;=0,X17-X21,"")</f>
        <v>702</v>
      </c>
      <c r="Y25" s="64"/>
      <c r="Z25" s="63">
        <f>IF(Z17&gt;=0,Z17-Z21,"")</f>
        <v>1168</v>
      </c>
      <c r="AA25" s="64"/>
      <c r="AB25" s="63">
        <f>IF(AB17&gt;=0,AB17-AB21,"")</f>
        <v>2392</v>
      </c>
      <c r="AC25" s="65"/>
      <c r="AD25" s="63">
        <f>IF(AD17&gt;=0,AD17-AD21,"")</f>
        <v>2392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-1589</v>
      </c>
      <c r="S26" s="55"/>
      <c r="T26" s="67">
        <f>IFERROR(IF(T18&gt;0,T18-T22,""),"")</f>
        <v>692</v>
      </c>
      <c r="U26" s="55"/>
      <c r="V26" s="67">
        <f>IFERROR(IF(V18&gt;0,V18-V22,""),"")</f>
        <v>1908</v>
      </c>
      <c r="W26" s="55"/>
      <c r="X26" s="67">
        <f>IFERROR(IF(X18&gt;0,X18-X22,""),"")</f>
        <v>-2168.5</v>
      </c>
      <c r="Y26" s="55"/>
      <c r="Z26" s="67">
        <f>IFERROR(IF(Z18&gt;0,Z18-Z22,""),"")</f>
        <v>-2314</v>
      </c>
      <c r="AA26" s="55"/>
      <c r="AB26" s="67">
        <f>IFERROR(IF(AB18&gt;0,AB18-AB22,""),"")</f>
        <v>835.5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12001</v>
      </c>
      <c r="D29" s="76">
        <f>C14</f>
        <v>11535</v>
      </c>
      <c r="E29" s="77">
        <f>D29-C29</f>
        <v>-466</v>
      </c>
      <c r="O29" s="4"/>
    </row>
    <row r="30" spans="2:43" x14ac:dyDescent="0.3">
      <c r="B30" s="74" t="s">
        <v>56</v>
      </c>
      <c r="C30" s="122">
        <v>24305</v>
      </c>
      <c r="D30" s="76">
        <f>C7+C15+C16+C17+C18</f>
        <v>10623</v>
      </c>
      <c r="E30" s="77">
        <f>D30-C30</f>
        <v>-13682</v>
      </c>
      <c r="J30" s="53"/>
      <c r="O30" s="4"/>
    </row>
    <row r="31" spans="2:43" x14ac:dyDescent="0.3">
      <c r="B31" s="74" t="s">
        <v>21</v>
      </c>
      <c r="C31" s="122">
        <v>2388</v>
      </c>
      <c r="D31" s="76">
        <f>C6</f>
        <v>2388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12708</v>
      </c>
      <c r="D32" s="76">
        <f>C10+C11+C12+C13</f>
        <v>12708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13765</v>
      </c>
      <c r="D33" s="76">
        <f>C19+C20+C21</f>
        <v>13331</v>
      </c>
      <c r="E33" s="77">
        <f>D33-C33</f>
        <v>-434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3636</v>
      </c>
      <c r="D34" s="80">
        <f>SUM(C8+C9)</f>
        <v>3636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1056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269</v>
      </c>
      <c r="X35" s="104">
        <v>538</v>
      </c>
      <c r="Y35" s="104">
        <f t="shared" ref="Y35:Y64" si="4">IF(Z35&gt;0,(Z35-X35)/2,"")</f>
        <v>269</v>
      </c>
      <c r="Z35" s="104">
        <v>1076</v>
      </c>
      <c r="AA35" s="104">
        <f t="shared" ref="AA35:AA64" si="5">IF(AB35&gt;0,(AB35-Z35)/2,"")</f>
        <v>259</v>
      </c>
      <c r="AB35" s="104">
        <v>1594</v>
      </c>
      <c r="AC35" s="104">
        <f t="shared" ref="AC35:AC64" si="6">IF(AD35&gt;0,(AD35-AB35)/2,"")</f>
        <v>0</v>
      </c>
      <c r="AD35" s="104">
        <v>1594</v>
      </c>
      <c r="AE35" s="105">
        <f t="shared" ref="AE35:AE64" si="7">AD35-Q35</f>
        <v>538</v>
      </c>
    </row>
    <row r="36" spans="2:31" ht="15.6" customHeight="1" x14ac:dyDescent="0.3">
      <c r="N36" s="212"/>
      <c r="O36" s="95" t="s">
        <v>66</v>
      </c>
      <c r="P36" s="106"/>
      <c r="Q36" s="106">
        <v>1431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445</v>
      </c>
      <c r="Z36" s="106">
        <v>890</v>
      </c>
      <c r="AA36" s="106">
        <f t="shared" si="5"/>
        <v>263</v>
      </c>
      <c r="AB36" s="106">
        <v>1416</v>
      </c>
      <c r="AC36" s="106">
        <f t="shared" si="6"/>
        <v>0</v>
      </c>
      <c r="AD36" s="106">
        <v>1416</v>
      </c>
      <c r="AE36" s="107">
        <f t="shared" si="7"/>
        <v>-15</v>
      </c>
    </row>
    <row r="37" spans="2:31" ht="15.6" customHeight="1" x14ac:dyDescent="0.3">
      <c r="N37" s="212"/>
      <c r="O37" s="94" t="s">
        <v>67</v>
      </c>
      <c r="P37" s="108"/>
      <c r="Q37" s="108">
        <v>3642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426</v>
      </c>
      <c r="V37" s="108">
        <v>1272</v>
      </c>
      <c r="W37" s="108">
        <f t="shared" si="3"/>
        <v>92.5</v>
      </c>
      <c r="X37" s="108">
        <v>1457</v>
      </c>
      <c r="Y37" s="108">
        <f t="shared" si="4"/>
        <v>0</v>
      </c>
      <c r="Z37" s="108">
        <v>1457</v>
      </c>
      <c r="AA37" s="108">
        <f t="shared" si="5"/>
        <v>570.5</v>
      </c>
      <c r="AB37" s="108">
        <v>2598</v>
      </c>
      <c r="AC37" s="108">
        <f t="shared" si="6"/>
        <v>0</v>
      </c>
      <c r="AD37" s="108">
        <v>2598</v>
      </c>
      <c r="AE37" s="109">
        <f t="shared" si="7"/>
        <v>-1044</v>
      </c>
    </row>
    <row r="38" spans="2:31" ht="15.6" customHeight="1" x14ac:dyDescent="0.3">
      <c r="N38" s="212"/>
      <c r="O38" s="95" t="s">
        <v>68</v>
      </c>
      <c r="P38" s="106"/>
      <c r="Q38" s="106">
        <v>3701</v>
      </c>
      <c r="R38" s="106">
        <v>400</v>
      </c>
      <c r="S38" s="106">
        <f t="shared" si="1"/>
        <v>287.5</v>
      </c>
      <c r="T38" s="106">
        <v>975</v>
      </c>
      <c r="U38" s="106">
        <f t="shared" si="2"/>
        <v>739</v>
      </c>
      <c r="V38" s="106">
        <v>2453</v>
      </c>
      <c r="W38" s="106">
        <f t="shared" si="3"/>
        <v>0</v>
      </c>
      <c r="X38" s="106">
        <v>2453</v>
      </c>
      <c r="Y38" s="106">
        <f t="shared" si="4"/>
        <v>161</v>
      </c>
      <c r="Z38" s="106">
        <v>2775</v>
      </c>
      <c r="AA38" s="106">
        <f t="shared" si="5"/>
        <v>261.5</v>
      </c>
      <c r="AB38" s="106">
        <v>3298</v>
      </c>
      <c r="AC38" s="106">
        <f t="shared" si="6"/>
        <v>0</v>
      </c>
      <c r="AD38" s="106">
        <v>3298</v>
      </c>
      <c r="AE38" s="107">
        <f t="shared" si="7"/>
        <v>-403</v>
      </c>
    </row>
    <row r="39" spans="2:31" ht="15.6" customHeight="1" x14ac:dyDescent="0.3">
      <c r="N39" s="212"/>
      <c r="O39" s="94" t="s">
        <v>69</v>
      </c>
      <c r="P39" s="108"/>
      <c r="Q39" s="108">
        <v>2563</v>
      </c>
      <c r="R39" s="108">
        <v>0</v>
      </c>
      <c r="S39" s="108">
        <f t="shared" si="1"/>
        <v>296.5</v>
      </c>
      <c r="T39" s="108">
        <v>593</v>
      </c>
      <c r="U39" s="108">
        <f t="shared" si="2"/>
        <v>508</v>
      </c>
      <c r="V39" s="108">
        <v>1609</v>
      </c>
      <c r="W39" s="108">
        <f t="shared" si="3"/>
        <v>0</v>
      </c>
      <c r="X39" s="108">
        <v>1609</v>
      </c>
      <c r="Y39" s="108">
        <f t="shared" si="4"/>
        <v>0</v>
      </c>
      <c r="Z39" s="108">
        <v>1609</v>
      </c>
      <c r="AA39" s="108">
        <f t="shared" si="5"/>
        <v>0</v>
      </c>
      <c r="AB39" s="108">
        <v>1609</v>
      </c>
      <c r="AC39" s="108">
        <f t="shared" si="6"/>
        <v>0</v>
      </c>
      <c r="AD39" s="108">
        <v>1609</v>
      </c>
      <c r="AE39" s="109">
        <f t="shared" si="7"/>
        <v>-954</v>
      </c>
    </row>
    <row r="40" spans="2:31" ht="15.6" customHeight="1" x14ac:dyDescent="0.3">
      <c r="N40" s="212"/>
      <c r="O40" s="95" t="s">
        <v>70</v>
      </c>
      <c r="P40" s="106"/>
      <c r="Q40" s="106">
        <v>3489</v>
      </c>
      <c r="R40" s="106">
        <v>0</v>
      </c>
      <c r="S40" s="106" t="str">
        <f t="shared" si="1"/>
        <v/>
      </c>
      <c r="T40" s="106">
        <v>0</v>
      </c>
      <c r="U40" s="106">
        <f t="shared" si="2"/>
        <v>849</v>
      </c>
      <c r="V40" s="106">
        <v>1698</v>
      </c>
      <c r="W40" s="106">
        <f t="shared" si="3"/>
        <v>168.5</v>
      </c>
      <c r="X40" s="106">
        <v>2035</v>
      </c>
      <c r="Y40" s="106">
        <f t="shared" si="4"/>
        <v>91</v>
      </c>
      <c r="Z40" s="106">
        <v>2217</v>
      </c>
      <c r="AA40" s="106">
        <f t="shared" si="5"/>
        <v>0</v>
      </c>
      <c r="AB40" s="106">
        <v>2217</v>
      </c>
      <c r="AC40" s="106">
        <f t="shared" si="6"/>
        <v>0</v>
      </c>
      <c r="AD40" s="106">
        <v>2217</v>
      </c>
      <c r="AE40" s="107">
        <f t="shared" si="7"/>
        <v>-1272</v>
      </c>
    </row>
    <row r="41" spans="2:31" ht="15.6" customHeight="1" x14ac:dyDescent="0.3">
      <c r="N41" s="212"/>
      <c r="O41" s="94" t="s">
        <v>71</v>
      </c>
      <c r="P41" s="108"/>
      <c r="Q41" s="108">
        <v>1148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534.5</v>
      </c>
      <c r="V41" s="108">
        <v>1069</v>
      </c>
      <c r="W41" s="108">
        <f t="shared" si="3"/>
        <v>0</v>
      </c>
      <c r="X41" s="108">
        <v>1069</v>
      </c>
      <c r="Y41" s="108">
        <f t="shared" si="4"/>
        <v>0</v>
      </c>
      <c r="Z41" s="108">
        <v>1069</v>
      </c>
      <c r="AA41" s="108">
        <f t="shared" si="5"/>
        <v>39</v>
      </c>
      <c r="AB41" s="108">
        <v>1147</v>
      </c>
      <c r="AC41" s="108">
        <f t="shared" si="6"/>
        <v>0</v>
      </c>
      <c r="AD41" s="108">
        <v>1147</v>
      </c>
      <c r="AE41" s="109">
        <f t="shared" si="7"/>
        <v>-1</v>
      </c>
    </row>
    <row r="42" spans="2:31" ht="15.6" customHeight="1" x14ac:dyDescent="0.3">
      <c r="N42" s="212"/>
      <c r="O42" s="95" t="s">
        <v>72</v>
      </c>
      <c r="P42" s="106"/>
      <c r="Q42" s="106">
        <v>1691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552.5</v>
      </c>
      <c r="V42" s="106">
        <v>1105</v>
      </c>
      <c r="W42" s="106">
        <f t="shared" si="3"/>
        <v>213.5</v>
      </c>
      <c r="X42" s="106">
        <v>1532</v>
      </c>
      <c r="Y42" s="106">
        <f t="shared" si="4"/>
        <v>0</v>
      </c>
      <c r="Z42" s="106">
        <v>1532</v>
      </c>
      <c r="AA42" s="106">
        <f t="shared" si="5"/>
        <v>0</v>
      </c>
      <c r="AB42" s="106">
        <v>1532</v>
      </c>
      <c r="AC42" s="106">
        <f t="shared" si="6"/>
        <v>0</v>
      </c>
      <c r="AD42" s="106">
        <v>1532</v>
      </c>
      <c r="AE42" s="107">
        <f t="shared" si="7"/>
        <v>-159</v>
      </c>
    </row>
    <row r="43" spans="2:31" ht="15.6" customHeight="1" thickBot="1" x14ac:dyDescent="0.35">
      <c r="N43" s="213"/>
      <c r="O43" s="97" t="s">
        <v>73</v>
      </c>
      <c r="P43" s="110"/>
      <c r="Q43" s="110">
        <v>1714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>
        <f t="shared" si="4"/>
        <v>197</v>
      </c>
      <c r="Z43" s="110">
        <v>394</v>
      </c>
      <c r="AA43" s="110">
        <f t="shared" si="5"/>
        <v>201</v>
      </c>
      <c r="AB43" s="110">
        <v>796</v>
      </c>
      <c r="AC43" s="110">
        <f t="shared" si="6"/>
        <v>0</v>
      </c>
      <c r="AD43" s="110">
        <v>796</v>
      </c>
      <c r="AE43" s="111">
        <f t="shared" si="7"/>
        <v>-918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2695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1347.5</v>
      </c>
      <c r="Z44" s="112">
        <v>2695</v>
      </c>
      <c r="AA44" s="112">
        <f t="shared" si="5"/>
        <v>0</v>
      </c>
      <c r="AB44" s="112">
        <v>2695</v>
      </c>
      <c r="AC44" s="112">
        <f t="shared" si="6"/>
        <v>0</v>
      </c>
      <c r="AD44" s="112">
        <v>2695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2156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482.5</v>
      </c>
      <c r="X45" s="108">
        <v>965</v>
      </c>
      <c r="Y45" s="108">
        <f t="shared" si="4"/>
        <v>595.5</v>
      </c>
      <c r="Z45" s="108">
        <v>2156</v>
      </c>
      <c r="AA45" s="108">
        <f t="shared" si="5"/>
        <v>0</v>
      </c>
      <c r="AB45" s="108">
        <v>2156</v>
      </c>
      <c r="AC45" s="108">
        <f t="shared" si="6"/>
        <v>0</v>
      </c>
      <c r="AD45" s="108">
        <v>2156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2445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804.5</v>
      </c>
      <c r="X46" s="106">
        <v>1609</v>
      </c>
      <c r="Y46" s="106">
        <f t="shared" si="4"/>
        <v>418</v>
      </c>
      <c r="Z46" s="106">
        <v>2445</v>
      </c>
      <c r="AA46" s="106">
        <f t="shared" si="5"/>
        <v>0</v>
      </c>
      <c r="AB46" s="106">
        <v>2445</v>
      </c>
      <c r="AC46" s="106">
        <f t="shared" si="6"/>
        <v>0</v>
      </c>
      <c r="AD46" s="106">
        <v>2445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2874</v>
      </c>
      <c r="R47" s="110">
        <v>4</v>
      </c>
      <c r="S47" s="110">
        <f t="shared" si="1"/>
        <v>0</v>
      </c>
      <c r="T47" s="110">
        <v>4</v>
      </c>
      <c r="U47" s="110">
        <f t="shared" si="2"/>
        <v>715</v>
      </c>
      <c r="V47" s="110">
        <v>1434</v>
      </c>
      <c r="W47" s="110">
        <f t="shared" si="3"/>
        <v>0</v>
      </c>
      <c r="X47" s="110">
        <v>1434</v>
      </c>
      <c r="Y47" s="110">
        <f t="shared" si="4"/>
        <v>250</v>
      </c>
      <c r="Z47" s="110">
        <v>1934</v>
      </c>
      <c r="AA47" s="110">
        <f t="shared" si="5"/>
        <v>0</v>
      </c>
      <c r="AB47" s="110">
        <v>1934</v>
      </c>
      <c r="AC47" s="110">
        <f t="shared" si="6"/>
        <v>0</v>
      </c>
      <c r="AD47" s="110">
        <v>1934</v>
      </c>
      <c r="AE47" s="111">
        <f t="shared" si="7"/>
        <v>-940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207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6.5</v>
      </c>
      <c r="V48" s="112">
        <v>13</v>
      </c>
      <c r="W48" s="112">
        <f t="shared" si="3"/>
        <v>54.5</v>
      </c>
      <c r="X48" s="112">
        <v>122</v>
      </c>
      <c r="Y48" s="112">
        <f t="shared" si="4"/>
        <v>0</v>
      </c>
      <c r="Z48" s="112">
        <v>122</v>
      </c>
      <c r="AA48" s="112">
        <f t="shared" si="5"/>
        <v>0</v>
      </c>
      <c r="AB48" s="112">
        <v>122</v>
      </c>
      <c r="AC48" s="112">
        <f t="shared" si="6"/>
        <v>0</v>
      </c>
      <c r="AD48" s="112">
        <v>122</v>
      </c>
      <c r="AE48" s="113">
        <f t="shared" si="7"/>
        <v>-85</v>
      </c>
    </row>
    <row r="49" spans="14:31" ht="15.6" customHeight="1" x14ac:dyDescent="0.3">
      <c r="N49" s="212"/>
      <c r="O49" s="94" t="s">
        <v>66</v>
      </c>
      <c r="P49" s="108"/>
      <c r="Q49" s="108">
        <v>377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35.5</v>
      </c>
      <c r="V49" s="108">
        <v>71</v>
      </c>
      <c r="W49" s="108">
        <f t="shared" si="3"/>
        <v>165</v>
      </c>
      <c r="X49" s="108">
        <v>401</v>
      </c>
      <c r="Y49" s="108">
        <f t="shared" si="4"/>
        <v>0</v>
      </c>
      <c r="Z49" s="108">
        <v>401</v>
      </c>
      <c r="AA49" s="108">
        <f t="shared" si="5"/>
        <v>0</v>
      </c>
      <c r="AB49" s="108">
        <v>401</v>
      </c>
      <c r="AC49" s="108">
        <f t="shared" si="6"/>
        <v>0</v>
      </c>
      <c r="AD49" s="108">
        <v>401</v>
      </c>
      <c r="AE49" s="109">
        <f t="shared" si="7"/>
        <v>24</v>
      </c>
    </row>
    <row r="50" spans="14:31" ht="15.6" customHeight="1" x14ac:dyDescent="0.3">
      <c r="N50" s="212"/>
      <c r="O50" s="95" t="s">
        <v>67</v>
      </c>
      <c r="P50" s="106"/>
      <c r="Q50" s="106">
        <v>1716</v>
      </c>
      <c r="R50" s="106">
        <v>0</v>
      </c>
      <c r="S50" s="106">
        <f t="shared" si="1"/>
        <v>209</v>
      </c>
      <c r="T50" s="106">
        <v>418</v>
      </c>
      <c r="U50" s="106">
        <f t="shared" si="2"/>
        <v>219</v>
      </c>
      <c r="V50" s="106">
        <v>856</v>
      </c>
      <c r="W50" s="106">
        <f t="shared" si="3"/>
        <v>77.5</v>
      </c>
      <c r="X50" s="106">
        <v>1011</v>
      </c>
      <c r="Y50" s="106">
        <f t="shared" si="4"/>
        <v>0</v>
      </c>
      <c r="Z50" s="106">
        <v>1011</v>
      </c>
      <c r="AA50" s="106">
        <f t="shared" si="5"/>
        <v>0</v>
      </c>
      <c r="AB50" s="106">
        <v>1011</v>
      </c>
      <c r="AC50" s="106">
        <f t="shared" si="6"/>
        <v>0</v>
      </c>
      <c r="AD50" s="106">
        <v>1011</v>
      </c>
      <c r="AE50" s="107">
        <f t="shared" si="7"/>
        <v>-705</v>
      </c>
    </row>
    <row r="51" spans="14:31" ht="15.6" customHeight="1" x14ac:dyDescent="0.3">
      <c r="N51" s="212"/>
      <c r="O51" s="94" t="s">
        <v>68</v>
      </c>
      <c r="P51" s="108"/>
      <c r="Q51" s="108">
        <v>2629</v>
      </c>
      <c r="R51" s="108">
        <v>0</v>
      </c>
      <c r="S51" s="108">
        <f t="shared" si="1"/>
        <v>251</v>
      </c>
      <c r="T51" s="108">
        <v>502</v>
      </c>
      <c r="U51" s="108">
        <f t="shared" si="2"/>
        <v>516</v>
      </c>
      <c r="V51" s="108">
        <v>1534</v>
      </c>
      <c r="W51" s="108">
        <f t="shared" si="3"/>
        <v>136.5</v>
      </c>
      <c r="X51" s="108">
        <v>1807</v>
      </c>
      <c r="Y51" s="108">
        <f t="shared" si="4"/>
        <v>0</v>
      </c>
      <c r="Z51" s="108">
        <v>1807</v>
      </c>
      <c r="AA51" s="108">
        <f t="shared" si="5"/>
        <v>0</v>
      </c>
      <c r="AB51" s="108">
        <v>1807</v>
      </c>
      <c r="AC51" s="108">
        <f t="shared" si="6"/>
        <v>0</v>
      </c>
      <c r="AD51" s="108">
        <v>1807</v>
      </c>
      <c r="AE51" s="109">
        <f t="shared" si="7"/>
        <v>-822</v>
      </c>
    </row>
    <row r="52" spans="14:31" ht="15.6" customHeight="1" x14ac:dyDescent="0.3">
      <c r="N52" s="212"/>
      <c r="O52" s="95" t="s">
        <v>69</v>
      </c>
      <c r="P52" s="106"/>
      <c r="Q52" s="106">
        <v>1410</v>
      </c>
      <c r="R52" s="106">
        <v>0</v>
      </c>
      <c r="S52" s="106">
        <f t="shared" si="1"/>
        <v>166.5</v>
      </c>
      <c r="T52" s="106">
        <v>333</v>
      </c>
      <c r="U52" s="106">
        <f t="shared" si="2"/>
        <v>-6.5</v>
      </c>
      <c r="V52" s="106">
        <v>320</v>
      </c>
      <c r="W52" s="106">
        <f t="shared" si="3"/>
        <v>74</v>
      </c>
      <c r="X52" s="106">
        <v>468</v>
      </c>
      <c r="Y52" s="106">
        <f t="shared" si="4"/>
        <v>0</v>
      </c>
      <c r="Z52" s="106">
        <v>468</v>
      </c>
      <c r="AA52" s="106">
        <f t="shared" si="5"/>
        <v>0</v>
      </c>
      <c r="AB52" s="106">
        <v>468</v>
      </c>
      <c r="AC52" s="106">
        <f t="shared" si="6"/>
        <v>0</v>
      </c>
      <c r="AD52" s="106">
        <v>468</v>
      </c>
      <c r="AE52" s="107">
        <f t="shared" si="7"/>
        <v>-942</v>
      </c>
    </row>
    <row r="53" spans="14:31" ht="15.6" customHeight="1" x14ac:dyDescent="0.3">
      <c r="N53" s="212"/>
      <c r="O53" s="94" t="s">
        <v>70</v>
      </c>
      <c r="P53" s="108"/>
      <c r="Q53" s="108">
        <v>4885</v>
      </c>
      <c r="R53" s="108">
        <v>380</v>
      </c>
      <c r="S53" s="108">
        <f t="shared" si="1"/>
        <v>156.5</v>
      </c>
      <c r="T53" s="108">
        <v>693</v>
      </c>
      <c r="U53" s="108">
        <f t="shared" si="2"/>
        <v>307.5</v>
      </c>
      <c r="V53" s="108">
        <v>1308</v>
      </c>
      <c r="W53" s="108">
        <f t="shared" si="3"/>
        <v>209.5</v>
      </c>
      <c r="X53" s="108">
        <v>1727</v>
      </c>
      <c r="Y53" s="108">
        <f t="shared" si="4"/>
        <v>0</v>
      </c>
      <c r="Z53" s="108">
        <v>1727</v>
      </c>
      <c r="AA53" s="108">
        <f t="shared" si="5"/>
        <v>0</v>
      </c>
      <c r="AB53" s="108">
        <v>1727</v>
      </c>
      <c r="AC53" s="108">
        <f t="shared" si="6"/>
        <v>0</v>
      </c>
      <c r="AD53" s="108">
        <v>1727</v>
      </c>
      <c r="AE53" s="109">
        <f t="shared" si="7"/>
        <v>-3158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196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98</v>
      </c>
      <c r="V55" s="108">
        <v>196</v>
      </c>
      <c r="W55" s="108">
        <f t="shared" si="3"/>
        <v>0</v>
      </c>
      <c r="X55" s="108">
        <v>196</v>
      </c>
      <c r="Y55" s="108">
        <f t="shared" si="4"/>
        <v>0</v>
      </c>
      <c r="Z55" s="108">
        <v>196</v>
      </c>
      <c r="AA55" s="108">
        <f t="shared" si="5"/>
        <v>0</v>
      </c>
      <c r="AB55" s="108">
        <v>196</v>
      </c>
      <c r="AC55" s="108">
        <f t="shared" si="6"/>
        <v>0</v>
      </c>
      <c r="AD55" s="108">
        <v>196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1111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325</v>
      </c>
      <c r="V56" s="114">
        <v>650</v>
      </c>
      <c r="W56" s="114">
        <f t="shared" si="3"/>
        <v>34</v>
      </c>
      <c r="X56" s="114">
        <v>718</v>
      </c>
      <c r="Y56" s="114">
        <f t="shared" si="4"/>
        <v>0</v>
      </c>
      <c r="Z56" s="114">
        <v>718</v>
      </c>
      <c r="AA56" s="114">
        <f t="shared" si="5"/>
        <v>0</v>
      </c>
      <c r="AB56" s="114">
        <v>718</v>
      </c>
      <c r="AC56" s="114">
        <f t="shared" si="6"/>
        <v>0</v>
      </c>
      <c r="AD56" s="114">
        <v>718</v>
      </c>
      <c r="AE56" s="115">
        <f t="shared" si="7"/>
        <v>-393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2969</v>
      </c>
      <c r="R57" s="104">
        <v>145</v>
      </c>
      <c r="S57" s="104">
        <f t="shared" si="1"/>
        <v>124</v>
      </c>
      <c r="T57" s="104">
        <v>393</v>
      </c>
      <c r="U57" s="104">
        <f t="shared" si="2"/>
        <v>65</v>
      </c>
      <c r="V57" s="104">
        <v>523</v>
      </c>
      <c r="W57" s="104">
        <f t="shared" si="3"/>
        <v>322.5</v>
      </c>
      <c r="X57" s="104">
        <v>1168</v>
      </c>
      <c r="Y57" s="104">
        <f t="shared" si="4"/>
        <v>0</v>
      </c>
      <c r="Z57" s="104">
        <v>1168</v>
      </c>
      <c r="AA57" s="104">
        <f t="shared" si="5"/>
        <v>0</v>
      </c>
      <c r="AB57" s="104">
        <v>1168</v>
      </c>
      <c r="AC57" s="104">
        <f t="shared" si="6"/>
        <v>0</v>
      </c>
      <c r="AD57" s="104">
        <v>1168</v>
      </c>
      <c r="AE57" s="105">
        <f t="shared" si="7"/>
        <v>-1801</v>
      </c>
    </row>
    <row r="58" spans="14:31" ht="15.6" customHeight="1" x14ac:dyDescent="0.3">
      <c r="N58" s="212"/>
      <c r="O58" s="95" t="s">
        <v>66</v>
      </c>
      <c r="P58" s="106"/>
      <c r="Q58" s="106">
        <v>2720</v>
      </c>
      <c r="R58" s="106">
        <v>1656</v>
      </c>
      <c r="S58" s="106">
        <f t="shared" si="1"/>
        <v>402.5</v>
      </c>
      <c r="T58" s="106">
        <v>2461</v>
      </c>
      <c r="U58" s="106">
        <f t="shared" si="2"/>
        <v>234</v>
      </c>
      <c r="V58" s="106">
        <v>2929</v>
      </c>
      <c r="W58" s="106">
        <f t="shared" si="3"/>
        <v>0</v>
      </c>
      <c r="X58" s="106">
        <v>2929</v>
      </c>
      <c r="Y58" s="106">
        <f t="shared" si="4"/>
        <v>0</v>
      </c>
      <c r="Z58" s="106">
        <v>2929</v>
      </c>
      <c r="AA58" s="106">
        <f t="shared" si="5"/>
        <v>0</v>
      </c>
      <c r="AB58" s="106">
        <v>2929</v>
      </c>
      <c r="AC58" s="106">
        <f t="shared" si="6"/>
        <v>0</v>
      </c>
      <c r="AD58" s="106">
        <v>2929</v>
      </c>
      <c r="AE58" s="107">
        <f t="shared" si="7"/>
        <v>209</v>
      </c>
    </row>
    <row r="59" spans="14:31" ht="15.6" customHeight="1" x14ac:dyDescent="0.3">
      <c r="N59" s="212"/>
      <c r="O59" s="94" t="s">
        <v>67</v>
      </c>
      <c r="P59" s="108"/>
      <c r="Q59" s="108">
        <v>5465</v>
      </c>
      <c r="R59" s="108">
        <v>635</v>
      </c>
      <c r="S59" s="108">
        <f t="shared" si="1"/>
        <v>365.5</v>
      </c>
      <c r="T59" s="108">
        <v>1366</v>
      </c>
      <c r="U59" s="108">
        <f t="shared" si="2"/>
        <v>225.5</v>
      </c>
      <c r="V59" s="108">
        <v>1817</v>
      </c>
      <c r="W59" s="108">
        <f t="shared" si="3"/>
        <v>601.5</v>
      </c>
      <c r="X59" s="108">
        <v>3020</v>
      </c>
      <c r="Y59" s="108">
        <f t="shared" si="4"/>
        <v>0</v>
      </c>
      <c r="Z59" s="108">
        <v>3020</v>
      </c>
      <c r="AA59" s="108">
        <f t="shared" si="5"/>
        <v>0</v>
      </c>
      <c r="AB59" s="108">
        <v>3020</v>
      </c>
      <c r="AC59" s="108">
        <f t="shared" si="6"/>
        <v>0</v>
      </c>
      <c r="AD59" s="108">
        <v>3020</v>
      </c>
      <c r="AE59" s="109">
        <f t="shared" si="7"/>
        <v>-2445</v>
      </c>
    </row>
    <row r="60" spans="14:31" ht="15.6" customHeight="1" thickBot="1" x14ac:dyDescent="0.35">
      <c r="N60" s="213"/>
      <c r="O60" s="99" t="s">
        <v>68</v>
      </c>
      <c r="P60" s="114"/>
      <c r="Q60" s="114">
        <v>3514</v>
      </c>
      <c r="R60" s="114">
        <v>762</v>
      </c>
      <c r="S60" s="114">
        <f t="shared" si="1"/>
        <v>505.5</v>
      </c>
      <c r="T60" s="114">
        <v>1773</v>
      </c>
      <c r="U60" s="114">
        <f t="shared" si="2"/>
        <v>437</v>
      </c>
      <c r="V60" s="114">
        <v>2647</v>
      </c>
      <c r="W60" s="114">
        <f t="shared" si="3"/>
        <v>357.5</v>
      </c>
      <c r="X60" s="114">
        <v>3362</v>
      </c>
      <c r="Y60" s="114">
        <f t="shared" si="4"/>
        <v>0</v>
      </c>
      <c r="Z60" s="114">
        <v>3362</v>
      </c>
      <c r="AA60" s="114">
        <f t="shared" si="5"/>
        <v>0</v>
      </c>
      <c r="AB60" s="114">
        <v>3362</v>
      </c>
      <c r="AC60" s="114">
        <f t="shared" si="6"/>
        <v>0</v>
      </c>
      <c r="AD60" s="114">
        <v>3362</v>
      </c>
      <c r="AE60" s="115">
        <f t="shared" si="7"/>
        <v>-152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2645</v>
      </c>
      <c r="R61" s="104">
        <v>214</v>
      </c>
      <c r="S61" s="104">
        <f t="shared" si="1"/>
        <v>270</v>
      </c>
      <c r="T61" s="104">
        <v>754</v>
      </c>
      <c r="U61" s="104">
        <f t="shared" si="2"/>
        <v>437.5</v>
      </c>
      <c r="V61" s="104">
        <v>1629</v>
      </c>
      <c r="W61" s="104">
        <f t="shared" si="3"/>
        <v>59.5</v>
      </c>
      <c r="X61" s="104">
        <v>1748</v>
      </c>
      <c r="Y61" s="104">
        <f t="shared" si="4"/>
        <v>0</v>
      </c>
      <c r="Z61" s="104">
        <v>1748</v>
      </c>
      <c r="AA61" s="104">
        <f t="shared" si="5"/>
        <v>0</v>
      </c>
      <c r="AB61" s="104">
        <v>1748</v>
      </c>
      <c r="AC61" s="104">
        <f t="shared" si="6"/>
        <v>0</v>
      </c>
      <c r="AD61" s="104">
        <v>1748</v>
      </c>
      <c r="AE61" s="105">
        <f t="shared" si="7"/>
        <v>-897</v>
      </c>
    </row>
    <row r="62" spans="14:31" ht="15.6" customHeight="1" x14ac:dyDescent="0.3">
      <c r="N62" s="212"/>
      <c r="O62" s="95" t="s">
        <v>66</v>
      </c>
      <c r="P62" s="106"/>
      <c r="Q62" s="106">
        <v>3771</v>
      </c>
      <c r="R62" s="106">
        <v>229</v>
      </c>
      <c r="S62" s="106">
        <f t="shared" si="1"/>
        <v>619</v>
      </c>
      <c r="T62" s="106">
        <v>1467</v>
      </c>
      <c r="U62" s="106">
        <f t="shared" si="2"/>
        <v>11.5</v>
      </c>
      <c r="V62" s="106">
        <v>1490</v>
      </c>
      <c r="W62" s="106">
        <f t="shared" si="3"/>
        <v>132</v>
      </c>
      <c r="X62" s="106">
        <v>1754</v>
      </c>
      <c r="Y62" s="106">
        <f t="shared" si="4"/>
        <v>0</v>
      </c>
      <c r="Z62" s="106">
        <v>1754</v>
      </c>
      <c r="AA62" s="106">
        <f t="shared" si="5"/>
        <v>0</v>
      </c>
      <c r="AB62" s="106">
        <v>1754</v>
      </c>
      <c r="AC62" s="106">
        <f t="shared" si="6"/>
        <v>0</v>
      </c>
      <c r="AD62" s="106">
        <v>1754</v>
      </c>
      <c r="AE62" s="107">
        <f t="shared" si="7"/>
        <v>-2017</v>
      </c>
    </row>
    <row r="63" spans="14:31" ht="15.6" customHeight="1" x14ac:dyDescent="0.3">
      <c r="N63" s="212"/>
      <c r="O63" s="94" t="s">
        <v>67</v>
      </c>
      <c r="P63" s="108"/>
      <c r="Q63" s="108">
        <v>1046</v>
      </c>
      <c r="R63" s="108">
        <v>413</v>
      </c>
      <c r="S63" s="108">
        <f t="shared" si="1"/>
        <v>199.5</v>
      </c>
      <c r="T63" s="108">
        <v>812</v>
      </c>
      <c r="U63" s="108">
        <f t="shared" si="2"/>
        <v>195</v>
      </c>
      <c r="V63" s="108">
        <v>1202</v>
      </c>
      <c r="W63" s="108">
        <f t="shared" si="3"/>
        <v>5.5</v>
      </c>
      <c r="X63" s="108">
        <v>1213</v>
      </c>
      <c r="Y63" s="108">
        <f t="shared" si="4"/>
        <v>0</v>
      </c>
      <c r="Z63" s="108">
        <v>1213</v>
      </c>
      <c r="AA63" s="108">
        <f t="shared" si="5"/>
        <v>0</v>
      </c>
      <c r="AB63" s="108">
        <v>1213</v>
      </c>
      <c r="AC63" s="108">
        <f t="shared" si="6"/>
        <v>0</v>
      </c>
      <c r="AD63" s="108">
        <v>1213</v>
      </c>
      <c r="AE63" s="109">
        <f t="shared" si="7"/>
        <v>167</v>
      </c>
    </row>
    <row r="64" spans="14:31" ht="15.6" customHeight="1" thickBot="1" x14ac:dyDescent="0.35">
      <c r="N64" s="213"/>
      <c r="O64" s="99" t="s">
        <v>68</v>
      </c>
      <c r="P64" s="114"/>
      <c r="Q64" s="114">
        <v>2064</v>
      </c>
      <c r="R64" s="114">
        <v>540</v>
      </c>
      <c r="S64" s="114">
        <f t="shared" si="1"/>
        <v>152.5</v>
      </c>
      <c r="T64" s="114">
        <v>845</v>
      </c>
      <c r="U64" s="114">
        <f t="shared" si="2"/>
        <v>288.5</v>
      </c>
      <c r="V64" s="114">
        <v>1422</v>
      </c>
      <c r="W64" s="114">
        <f t="shared" si="3"/>
        <v>105</v>
      </c>
      <c r="X64" s="114">
        <v>1632</v>
      </c>
      <c r="Y64" s="114">
        <f t="shared" si="4"/>
        <v>0</v>
      </c>
      <c r="Z64" s="114">
        <v>1632</v>
      </c>
      <c r="AA64" s="114">
        <f t="shared" si="5"/>
        <v>0</v>
      </c>
      <c r="AB64" s="114">
        <v>1632</v>
      </c>
      <c r="AC64" s="114">
        <f t="shared" si="6"/>
        <v>0</v>
      </c>
      <c r="AD64" s="114">
        <v>1632</v>
      </c>
      <c r="AE64" s="115">
        <f t="shared" si="7"/>
        <v>-432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07" priority="11" operator="lessThan">
      <formula>0</formula>
    </cfRule>
    <cfRule type="cellIs" dxfId="1306" priority="12" operator="greaterThan">
      <formula>0</formula>
    </cfRule>
  </conditionalFormatting>
  <conditionalFormatting sqref="R25:AC25">
    <cfRule type="cellIs" dxfId="1305" priority="9" operator="lessThan">
      <formula>0</formula>
    </cfRule>
    <cfRule type="cellIs" dxfId="1304" priority="10" operator="greaterThan">
      <formula>0</formula>
    </cfRule>
  </conditionalFormatting>
  <conditionalFormatting sqref="R26 T26 V26 X26 Z26 AB26">
    <cfRule type="cellIs" dxfId="1303" priority="7" operator="lessThan">
      <formula>0</formula>
    </cfRule>
    <cfRule type="cellIs" dxfId="1302" priority="8" operator="greaterThan">
      <formula>0</formula>
    </cfRule>
  </conditionalFormatting>
  <conditionalFormatting sqref="AD24:AE24">
    <cfRule type="cellIs" dxfId="1301" priority="5" operator="lessThan">
      <formula>0</formula>
    </cfRule>
    <cfRule type="cellIs" dxfId="1300" priority="6" operator="greaterThan">
      <formula>0</formula>
    </cfRule>
  </conditionalFormatting>
  <conditionalFormatting sqref="AD25:AE25">
    <cfRule type="cellIs" dxfId="1299" priority="3" operator="lessThan">
      <formula>0</formula>
    </cfRule>
    <cfRule type="cellIs" dxfId="1298" priority="4" operator="greaterThan">
      <formula>0</formula>
    </cfRule>
  </conditionalFormatting>
  <conditionalFormatting sqref="AD26">
    <cfRule type="cellIs" dxfId="1297" priority="1" operator="lessThan">
      <formula>0</formula>
    </cfRule>
    <cfRule type="cellIs" dxfId="129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44410</v>
      </c>
    </row>
    <row r="3" spans="2:42" ht="18.75" customHeight="1" thickBot="1" x14ac:dyDescent="0.35">
      <c r="B3" t="s">
        <v>1</v>
      </c>
      <c r="C3" s="3">
        <f>C2+1</f>
        <v>44411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2330</v>
      </c>
      <c r="E6" s="18" t="s">
        <v>22</v>
      </c>
      <c r="F6" s="119">
        <v>20124</v>
      </c>
      <c r="G6" s="117">
        <v>16288.906000000001</v>
      </c>
      <c r="H6" s="117">
        <v>13921.30885340002</v>
      </c>
      <c r="I6" s="19">
        <f>G6+H6</f>
        <v>30210.214853400023</v>
      </c>
      <c r="J6" s="119">
        <v>20446</v>
      </c>
      <c r="K6" s="117">
        <v>16488.759249999999</v>
      </c>
      <c r="L6" s="117">
        <v>14019.22073708001</v>
      </c>
      <c r="M6" s="19">
        <f>K6+L6</f>
        <v>30507.979987080009</v>
      </c>
      <c r="N6" s="85">
        <v>60</v>
      </c>
      <c r="O6" s="85">
        <v>47</v>
      </c>
      <c r="P6" s="92"/>
      <c r="Q6" s="20">
        <f>J6-P6</f>
        <v>20446</v>
      </c>
      <c r="R6" s="21">
        <v>134</v>
      </c>
      <c r="S6" s="20">
        <f>IF(R6&gt;0,(R6-R7-$Q6),"")</f>
        <v>-20312</v>
      </c>
      <c r="T6" s="21">
        <v>1216</v>
      </c>
      <c r="U6" s="20">
        <f>IF(T6&gt;0,(T6-T7-$Q6),"")</f>
        <v>-19231</v>
      </c>
      <c r="V6" s="21">
        <v>1959</v>
      </c>
      <c r="W6" s="20">
        <f>IF(V6&gt;0,(V6-V7-$Q6),"")</f>
        <v>-18493</v>
      </c>
      <c r="X6" s="21">
        <v>9490</v>
      </c>
      <c r="Y6" s="20">
        <f>IF(X6&gt;0,(X6-X7-$Q6),"")</f>
        <v>-11164</v>
      </c>
      <c r="Z6" s="21">
        <v>8858</v>
      </c>
      <c r="AA6" s="20">
        <f>IF(Z6&gt;0,(Z6-Z7-$Q6),"")</f>
        <v>-11840</v>
      </c>
      <c r="AB6" s="21">
        <v>12231</v>
      </c>
      <c r="AC6" s="22">
        <f>IF(AB6&gt;0,(AB6-AB7-$Q6),"")</f>
        <v>-9141</v>
      </c>
      <c r="AD6" s="21">
        <v>12386</v>
      </c>
      <c r="AE6" s="22">
        <f>IF(AD6&gt;0,(AD6-AD7-$Q6),"")</f>
        <v>-8986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0</v>
      </c>
      <c r="S7" s="24"/>
      <c r="T7" s="25">
        <v>1</v>
      </c>
      <c r="U7" s="24"/>
      <c r="V7" s="25">
        <v>6</v>
      </c>
      <c r="W7" s="24"/>
      <c r="X7" s="25">
        <v>208</v>
      </c>
      <c r="Y7" s="24"/>
      <c r="Z7" s="25">
        <v>252</v>
      </c>
      <c r="AA7" s="24"/>
      <c r="AB7" s="25">
        <v>926</v>
      </c>
      <c r="AC7" s="26"/>
      <c r="AD7" s="25">
        <v>926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2526</v>
      </c>
      <c r="E8" s="29" t="s">
        <v>27</v>
      </c>
      <c r="F8" s="119">
        <v>11150</v>
      </c>
      <c r="G8" s="117">
        <v>4634.9400000000014</v>
      </c>
      <c r="H8" s="117">
        <v>1425.1546125</v>
      </c>
      <c r="I8" s="19">
        <f>G8+H8</f>
        <v>6060.0946125000009</v>
      </c>
      <c r="J8" s="119">
        <v>11804</v>
      </c>
      <c r="K8" s="117">
        <v>4862.1859999999997</v>
      </c>
      <c r="L8" s="117">
        <v>1494.6998945</v>
      </c>
      <c r="M8" s="19">
        <f>K8+L8</f>
        <v>6356.8858944999993</v>
      </c>
      <c r="N8" s="87">
        <v>28</v>
      </c>
      <c r="O8" s="87">
        <v>18</v>
      </c>
      <c r="P8" s="92"/>
      <c r="Q8" s="20">
        <f>J8-P8</f>
        <v>11804</v>
      </c>
      <c r="R8" s="21">
        <v>22</v>
      </c>
      <c r="S8" s="20">
        <f>IF(R8&gt;0,(R8-R9-$Q8),"")</f>
        <v>-11782</v>
      </c>
      <c r="T8" s="21">
        <v>22</v>
      </c>
      <c r="U8" s="20">
        <f>IF(T8&gt;0,(T8-T9-$Q8),"")</f>
        <v>-11782</v>
      </c>
      <c r="V8" s="21">
        <v>22</v>
      </c>
      <c r="W8" s="20">
        <f>IF(V8&gt;0,(V8-V9-$Q8),"")</f>
        <v>-11782</v>
      </c>
      <c r="X8" s="21">
        <v>357</v>
      </c>
      <c r="Y8" s="20">
        <f>IF(X8&gt;0,(X8-X9-$Q8),"")</f>
        <v>-11447</v>
      </c>
      <c r="Z8" s="21">
        <v>5021</v>
      </c>
      <c r="AA8" s="20">
        <f>IF(Z8&gt;0,(Z8-Z9-$Q8),"")</f>
        <v>-6783</v>
      </c>
      <c r="AB8" s="21">
        <v>9153</v>
      </c>
      <c r="AC8" s="22">
        <f>IF(AB8&gt;0,(AB8-AB9-$Q8),"")</f>
        <v>-2651</v>
      </c>
      <c r="AD8" s="21">
        <v>9153</v>
      </c>
      <c r="AE8" s="22">
        <f>IF(AD8&gt;0,(AD8-AD9-$Q8),"")</f>
        <v>-2651</v>
      </c>
    </row>
    <row r="9" spans="2:42" x14ac:dyDescent="0.3">
      <c r="B9" s="28" t="s">
        <v>28</v>
      </c>
      <c r="C9" s="17">
        <v>1603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5889</v>
      </c>
      <c r="E10" s="18" t="s">
        <v>31</v>
      </c>
      <c r="F10" s="119">
        <v>12759</v>
      </c>
      <c r="G10" s="117">
        <v>8621.4058749999986</v>
      </c>
      <c r="H10" s="117">
        <v>1750.6996375000001</v>
      </c>
      <c r="I10" s="19">
        <f>G10+H10</f>
        <v>10372.105512499998</v>
      </c>
      <c r="J10" s="119">
        <v>15446</v>
      </c>
      <c r="K10" s="117">
        <v>10970.573375</v>
      </c>
      <c r="L10" s="117">
        <v>1765.6467375</v>
      </c>
      <c r="M10" s="19">
        <f>K10+L10</f>
        <v>12736.220112499999</v>
      </c>
      <c r="N10" s="88">
        <v>41</v>
      </c>
      <c r="O10" s="88">
        <v>28</v>
      </c>
      <c r="P10" s="92"/>
      <c r="Q10" s="20">
        <f>J10-P10</f>
        <v>15446</v>
      </c>
      <c r="R10" s="21">
        <v>2788</v>
      </c>
      <c r="S10" s="20">
        <f>IF(R10&gt;0,(R10-R11-$Q10),"")</f>
        <v>-13256</v>
      </c>
      <c r="T10" s="21">
        <v>5642</v>
      </c>
      <c r="U10" s="20">
        <f>IF(T10&gt;0,(T10-T11-$Q10),"")</f>
        <v>-10893</v>
      </c>
      <c r="V10" s="21">
        <v>7829</v>
      </c>
      <c r="W10" s="20">
        <f>IF(V10&gt;0,(V10-V11-$Q10),"")</f>
        <v>-9083</v>
      </c>
      <c r="X10" s="21">
        <v>9541</v>
      </c>
      <c r="Y10" s="20">
        <f>IF(X10&gt;0,(X10-X11-$Q10),"")</f>
        <v>-7487</v>
      </c>
      <c r="Z10" s="21">
        <v>13761</v>
      </c>
      <c r="AA10" s="20">
        <f>IF(Z10&gt;0,(Z10-Z11-$Q10),"")</f>
        <v>-6685</v>
      </c>
      <c r="AB10" s="21">
        <v>13761</v>
      </c>
      <c r="AC10" s="22">
        <f>IF(AB10&gt;0,(AB10-AB11-$Q10),"")</f>
        <v>-6685</v>
      </c>
      <c r="AD10" s="21">
        <v>13761</v>
      </c>
      <c r="AE10" s="22">
        <f>IF(AD10&gt;0,(AD10-AD11-$Q10),"")</f>
        <v>-6685</v>
      </c>
    </row>
    <row r="11" spans="2:42" x14ac:dyDescent="0.3">
      <c r="B11" s="16" t="s">
        <v>32</v>
      </c>
      <c r="C11" s="17">
        <v>2282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598</v>
      </c>
      <c r="S11" s="24"/>
      <c r="T11" s="30">
        <v>1089</v>
      </c>
      <c r="U11" s="24"/>
      <c r="V11" s="30">
        <v>1466</v>
      </c>
      <c r="W11" s="24"/>
      <c r="X11" s="30">
        <v>1582</v>
      </c>
      <c r="Y11" s="24"/>
      <c r="Z11" s="30">
        <v>5000</v>
      </c>
      <c r="AA11" s="24"/>
      <c r="AB11" s="30">
        <v>5000</v>
      </c>
      <c r="AC11" s="26"/>
      <c r="AD11" s="30">
        <v>5000</v>
      </c>
      <c r="AE11" s="26"/>
    </row>
    <row r="12" spans="2:42" x14ac:dyDescent="0.3">
      <c r="B12" s="16" t="s">
        <v>34</v>
      </c>
      <c r="C12" s="17">
        <v>1610</v>
      </c>
      <c r="E12" s="29" t="s">
        <v>35</v>
      </c>
      <c r="F12" s="119">
        <v>14265</v>
      </c>
      <c r="G12" s="117">
        <v>12090.045</v>
      </c>
      <c r="H12" s="117">
        <v>15901.14731969999</v>
      </c>
      <c r="I12" s="19">
        <f>G12+H12</f>
        <v>27991.192319699992</v>
      </c>
      <c r="J12" s="119">
        <v>16452</v>
      </c>
      <c r="K12" s="117">
        <v>13989.460999999999</v>
      </c>
      <c r="L12" s="117">
        <v>18662.392286440001</v>
      </c>
      <c r="M12" s="19">
        <f>K12+L12</f>
        <v>32651.85328644</v>
      </c>
      <c r="N12" s="88">
        <v>46</v>
      </c>
      <c r="O12" s="88">
        <v>34</v>
      </c>
      <c r="P12" s="92"/>
      <c r="Q12" s="20">
        <f>J12-P12</f>
        <v>16452</v>
      </c>
      <c r="R12" s="21">
        <v>774</v>
      </c>
      <c r="S12" s="20">
        <f>IF(R12&gt;0,(R12-R13-$Q12),"")</f>
        <v>-15678</v>
      </c>
      <c r="T12" s="21">
        <v>1638</v>
      </c>
      <c r="U12" s="20">
        <f>IF(T12&gt;0,(T12-T13-$Q12),"")</f>
        <v>-15181</v>
      </c>
      <c r="V12" s="21">
        <v>5100</v>
      </c>
      <c r="W12" s="20">
        <f>IF(V12&gt;0,(V12-V13-$Q12),"")</f>
        <v>-12537</v>
      </c>
      <c r="X12" s="21">
        <v>8914</v>
      </c>
      <c r="Y12" s="20">
        <f>IF(X12&gt;0,(X12-X13-$Q12),"")</f>
        <v>-8777</v>
      </c>
      <c r="Z12" s="21">
        <v>12135</v>
      </c>
      <c r="AA12" s="20">
        <f>IF(Z12&gt;0,(Z12-Z13-$Q12),"")</f>
        <v>-5556</v>
      </c>
      <c r="AB12" s="21">
        <v>12135</v>
      </c>
      <c r="AC12" s="22">
        <f>IF(AB12&gt;0,(AB12-AB13-$Q12),"")</f>
        <v>-5556</v>
      </c>
      <c r="AD12" s="21">
        <v>12135</v>
      </c>
      <c r="AE12" s="22">
        <f>IF(AD12&gt;0,(AD12-AD13-$Q12),"")</f>
        <v>-5556</v>
      </c>
    </row>
    <row r="13" spans="2:42" x14ac:dyDescent="0.3">
      <c r="B13" s="16" t="s">
        <v>36</v>
      </c>
      <c r="C13" s="17">
        <v>4702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0</v>
      </c>
      <c r="S13" s="24"/>
      <c r="T13" s="30">
        <v>367</v>
      </c>
      <c r="U13" s="24"/>
      <c r="V13" s="30">
        <v>1185</v>
      </c>
      <c r="W13" s="24"/>
      <c r="X13" s="30">
        <v>1239</v>
      </c>
      <c r="Y13" s="24"/>
      <c r="Z13" s="30">
        <v>1239</v>
      </c>
      <c r="AA13" s="24"/>
      <c r="AB13" s="30">
        <v>1239</v>
      </c>
      <c r="AC13" s="26"/>
      <c r="AD13" s="30">
        <v>1239</v>
      </c>
      <c r="AE13" s="26"/>
    </row>
    <row r="14" spans="2:42" x14ac:dyDescent="0.3">
      <c r="B14" s="16" t="s">
        <v>38</v>
      </c>
      <c r="C14" s="17">
        <v>9874</v>
      </c>
      <c r="E14" s="18" t="s">
        <v>39</v>
      </c>
      <c r="F14" s="119">
        <v>23807</v>
      </c>
      <c r="G14" s="117">
        <v>17416.53125</v>
      </c>
      <c r="H14" s="117">
        <v>22437.272806925019</v>
      </c>
      <c r="I14" s="19">
        <f>G14+H14</f>
        <v>39853.804056925015</v>
      </c>
      <c r="J14" s="119">
        <v>23926</v>
      </c>
      <c r="K14" s="117">
        <v>17490.90625</v>
      </c>
      <c r="L14" s="117">
        <v>22782.295052005</v>
      </c>
      <c r="M14" s="19">
        <f>K14+L14</f>
        <v>40273.201302005</v>
      </c>
      <c r="N14" s="88">
        <v>61</v>
      </c>
      <c r="O14" s="88">
        <v>48</v>
      </c>
      <c r="P14" s="92"/>
      <c r="Q14" s="20">
        <f>J14-P14</f>
        <v>23926</v>
      </c>
      <c r="R14" s="21">
        <v>5535</v>
      </c>
      <c r="S14" s="20">
        <f>IF(R14&gt;0,(R14-R15-$Q14),"")</f>
        <v>-23455</v>
      </c>
      <c r="T14" s="21">
        <v>8707</v>
      </c>
      <c r="U14" s="20">
        <f>IF(T14&gt;0,(T14-T15-$Q14),"")</f>
        <v>-22448</v>
      </c>
      <c r="V14" s="21">
        <v>10557</v>
      </c>
      <c r="W14" s="20">
        <f>IF(V14&gt;0,(V14-V15-$Q14),"")</f>
        <v>-21405</v>
      </c>
      <c r="X14" s="21">
        <v>13185</v>
      </c>
      <c r="Y14" s="20">
        <f>IF(X14&gt;0,(X14-X15-$Q14),"")</f>
        <v>-19752</v>
      </c>
      <c r="Z14" s="21">
        <v>14860</v>
      </c>
      <c r="AA14" s="20">
        <f>IF(Z14&gt;0,(Z14-Z15-$Q14),"")</f>
        <v>-18086</v>
      </c>
      <c r="AB14" s="21">
        <v>14860</v>
      </c>
      <c r="AC14" s="22">
        <f>IF(AB14&gt;0,(AB14-AB15-$Q14),"")</f>
        <v>-18086</v>
      </c>
      <c r="AD14" s="21">
        <v>14860</v>
      </c>
      <c r="AE14" s="22">
        <f>IF(AD14&gt;0,(AD14-AD15-$Q14),"")</f>
        <v>-18086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5064</v>
      </c>
      <c r="S15" s="24"/>
      <c r="T15" s="25">
        <v>7229</v>
      </c>
      <c r="U15" s="24"/>
      <c r="V15" s="25">
        <v>8036</v>
      </c>
      <c r="W15" s="24"/>
      <c r="X15" s="25">
        <v>9011</v>
      </c>
      <c r="Y15" s="24"/>
      <c r="Z15" s="25">
        <v>9020</v>
      </c>
      <c r="AA15" s="24"/>
      <c r="AB15" s="25">
        <v>9020</v>
      </c>
      <c r="AC15" s="26"/>
      <c r="AD15" s="25">
        <v>9020</v>
      </c>
      <c r="AE15" s="26"/>
    </row>
    <row r="16" spans="2:42" ht="15" customHeight="1" thickBot="1" x14ac:dyDescent="0.35">
      <c r="B16" s="28" t="s">
        <v>42</v>
      </c>
      <c r="C16" s="17">
        <v>14879</v>
      </c>
      <c r="E16" s="84"/>
      <c r="F16" s="31">
        <f t="shared" ref="F16:M16" si="0">SUM(F6:F15)</f>
        <v>82105</v>
      </c>
      <c r="G16" s="31">
        <f t="shared" si="0"/>
        <v>59051.828125</v>
      </c>
      <c r="H16" s="31">
        <f t="shared" si="0"/>
        <v>55435.583230025033</v>
      </c>
      <c r="I16" s="32">
        <f t="shared" si="0"/>
        <v>114487.41135502503</v>
      </c>
      <c r="J16" s="33">
        <f t="shared" si="0"/>
        <v>88074</v>
      </c>
      <c r="K16" s="33">
        <f t="shared" si="0"/>
        <v>63801.885874999993</v>
      </c>
      <c r="L16" s="33">
        <f t="shared" si="0"/>
        <v>58724.254707525011</v>
      </c>
      <c r="M16" s="33">
        <f t="shared" si="0"/>
        <v>122526.140582525</v>
      </c>
      <c r="N16" s="31">
        <f>SUM(N14,N12,N10,N8,N6)</f>
        <v>236</v>
      </c>
      <c r="O16" s="31">
        <f>SUM(O14,O12,O10,O8,O6)</f>
        <v>175</v>
      </c>
      <c r="P16" s="34">
        <f>SUM(P6:P15)</f>
        <v>0</v>
      </c>
      <c r="Q16" s="34">
        <f>SUM(Q6:Q15)</f>
        <v>88074</v>
      </c>
      <c r="R16" s="35">
        <f>R6+R8+R10+R12+R14-R7-R9-R11-R13-R15</f>
        <v>3591</v>
      </c>
      <c r="S16" s="36">
        <f>IF(R16&gt;1,(R16-$Q16),"")</f>
        <v>-84483</v>
      </c>
      <c r="T16" s="35">
        <f>T6+T8+T10+T12+T14-T7-T9-T11-T13-T15</f>
        <v>8539</v>
      </c>
      <c r="U16" s="36">
        <f>IF(T16&gt;1,(T16-$Q16),"")</f>
        <v>-79535</v>
      </c>
      <c r="V16" s="35">
        <f>V6+V8+V10+V12+V14-V7-V9-V11-V13-V15</f>
        <v>14774</v>
      </c>
      <c r="W16" s="36">
        <f>IF(V16&gt;1,(V16-$Q16),"")</f>
        <v>-73300</v>
      </c>
      <c r="X16" s="35">
        <f>X6+X8+X10+X12+X14-X7-X9-X11-X13-X15</f>
        <v>29447</v>
      </c>
      <c r="Y16" s="36">
        <f>IF(X16&gt;1,(X16-$Q16),"")</f>
        <v>-58627</v>
      </c>
      <c r="Z16" s="35">
        <f>Z6+Z8+Z10+Z12+Z14-Z7-Z9-Z11-Z13-Z15</f>
        <v>39124</v>
      </c>
      <c r="AA16" s="36">
        <f>IF(Z16&gt;1,(Z16-$Q16),"")</f>
        <v>-48950</v>
      </c>
      <c r="AB16" s="35">
        <f>AB6+AB8+AB10+AB12+AB14-AB7-AB9-AB11-AB13-AB15</f>
        <v>45955</v>
      </c>
      <c r="AC16" s="37">
        <f>IF(AB16&gt;1,(AB16-$Q16),"")</f>
        <v>-42119</v>
      </c>
      <c r="AD16" s="35">
        <f>AD6+AD8+AD10+AD12+AD14-AD7-AD9-AD11-AD13-AD15</f>
        <v>46110</v>
      </c>
      <c r="AE16" s="37">
        <f>IF(AD16&gt;1,(AD16-$Q16),"")</f>
        <v>-41964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5662</v>
      </c>
      <c r="S17" s="41"/>
      <c r="T17" s="40">
        <f>T15+T13+T11+T9+T7</f>
        <v>8686</v>
      </c>
      <c r="U17" s="41"/>
      <c r="V17" s="40">
        <f>V15+V13+V11+V9+V7</f>
        <v>10693</v>
      </c>
      <c r="W17" s="41"/>
      <c r="X17" s="40">
        <f>X15+X13+X11+X9+X7</f>
        <v>12040</v>
      </c>
      <c r="Y17" s="41"/>
      <c r="Z17" s="40">
        <f>Z15+Z13+Z11+Z9+Z7</f>
        <v>15511</v>
      </c>
      <c r="AA17" s="41"/>
      <c r="AB17" s="40">
        <f>AB15+AB13+AB11+AB9+AB7</f>
        <v>16185</v>
      </c>
      <c r="AC17" s="42"/>
      <c r="AD17" s="40">
        <f>AD15+AD13+AD11+AD9+AD7</f>
        <v>16185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1795.5</v>
      </c>
      <c r="S18" s="46"/>
      <c r="T18" s="47">
        <f>IF(T16&gt;0,(T16-R16)/2,"")</f>
        <v>2474</v>
      </c>
      <c r="U18" s="46"/>
      <c r="V18" s="47">
        <f>IF(V16&gt;0,(V16-T16)/2,"")</f>
        <v>3117.5</v>
      </c>
      <c r="W18" s="46"/>
      <c r="X18" s="47">
        <f>IF(X16&gt;0,(X16-V16)/2,"")</f>
        <v>7336.5</v>
      </c>
      <c r="Y18" s="46"/>
      <c r="Z18" s="47">
        <f>IF(Z16&gt;0,(Z16-X16)/2,"")</f>
        <v>4838.5</v>
      </c>
      <c r="AA18" s="46"/>
      <c r="AB18" s="47">
        <f>IF(AB16&gt;0,(AB16-Z16)/2,"")</f>
        <v>3415.5</v>
      </c>
      <c r="AC18" s="48"/>
      <c r="AD18" s="47">
        <f>IF(AD16&gt;0,(AD16-AB16)/2,"")</f>
        <v>77.5</v>
      </c>
      <c r="AE18" s="48"/>
    </row>
    <row r="19" spans="2:43" ht="15" customHeight="1" thickBot="1" x14ac:dyDescent="0.35">
      <c r="B19" s="16" t="s">
        <v>50</v>
      </c>
      <c r="C19" s="17">
        <v>8700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2370</v>
      </c>
      <c r="L20" s="4"/>
      <c r="M20" s="4"/>
      <c r="Q20" s="51" t="s">
        <v>49</v>
      </c>
      <c r="R20" s="35">
        <v>3830</v>
      </c>
      <c r="S20" s="36"/>
      <c r="T20" s="35">
        <v>8741</v>
      </c>
      <c r="U20" s="36"/>
      <c r="V20" s="35">
        <v>22154</v>
      </c>
      <c r="W20" s="36"/>
      <c r="X20" s="35">
        <v>30569</v>
      </c>
      <c r="Y20" s="36"/>
      <c r="Z20" s="35">
        <v>37916</v>
      </c>
      <c r="AA20" s="36"/>
      <c r="AB20" s="35">
        <v>39880</v>
      </c>
      <c r="AC20" s="37"/>
      <c r="AD20" s="35">
        <v>39880</v>
      </c>
      <c r="AE20" s="37">
        <v>-34823</v>
      </c>
    </row>
    <row r="21" spans="2:43" ht="15" customHeight="1" thickBot="1" x14ac:dyDescent="0.35">
      <c r="B21" s="57" t="s">
        <v>52</v>
      </c>
      <c r="C21" s="58">
        <v>4344</v>
      </c>
      <c r="M21" s="4"/>
      <c r="Q21" s="52"/>
      <c r="R21" s="40">
        <v>3615</v>
      </c>
      <c r="S21" s="41"/>
      <c r="T21" s="40">
        <v>7718</v>
      </c>
      <c r="U21" s="41"/>
      <c r="V21" s="40">
        <v>11286</v>
      </c>
      <c r="W21" s="41"/>
      <c r="X21" s="40">
        <v>12930</v>
      </c>
      <c r="Y21" s="41"/>
      <c r="Z21" s="40">
        <v>13567</v>
      </c>
      <c r="AA21" s="41"/>
      <c r="AB21" s="40">
        <v>14791</v>
      </c>
      <c r="AC21" s="42"/>
      <c r="AD21" s="40">
        <v>14791</v>
      </c>
      <c r="AE21" s="42"/>
    </row>
    <row r="22" spans="2:43" ht="15" customHeight="1" thickBot="1" x14ac:dyDescent="0.35">
      <c r="M22" s="4"/>
      <c r="Q22" s="54"/>
      <c r="R22" s="55">
        <v>3504</v>
      </c>
      <c r="S22" s="55"/>
      <c r="T22" s="55">
        <v>1763.5</v>
      </c>
      <c r="U22" s="55"/>
      <c r="V22" s="55">
        <v>4798.5</v>
      </c>
      <c r="W22" s="55"/>
      <c r="X22" s="55">
        <v>6376</v>
      </c>
      <c r="Y22" s="55"/>
      <c r="Z22" s="55">
        <v>5987.5</v>
      </c>
      <c r="AA22" s="55"/>
      <c r="AB22" s="55">
        <v>146.5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-239</v>
      </c>
      <c r="S24" s="60"/>
      <c r="T24" s="60">
        <f>IF(T16&gt;0,T16-T20,"")</f>
        <v>-202</v>
      </c>
      <c r="U24" s="60"/>
      <c r="V24" s="60">
        <f>IF(V16&gt;0,V16-V20,"")</f>
        <v>-7380</v>
      </c>
      <c r="W24" s="60"/>
      <c r="X24" s="60">
        <f>IF(X16&gt;0,X16-X20,"")</f>
        <v>-1122</v>
      </c>
      <c r="Y24" s="60"/>
      <c r="Z24" s="60">
        <f>IF(Z16&gt;0,Z16-Z20,"")</f>
        <v>1208</v>
      </c>
      <c r="AA24" s="60"/>
      <c r="AB24" s="60">
        <f>IF(AB16&gt;0,AB16-AB20,"")</f>
        <v>6075</v>
      </c>
      <c r="AC24" s="61"/>
      <c r="AD24" s="60">
        <f>IF(AD16&gt;0,AD16-AD20,"")</f>
        <v>6230</v>
      </c>
      <c r="AE24" s="61"/>
    </row>
    <row r="25" spans="2:43" x14ac:dyDescent="0.3">
      <c r="M25" s="4"/>
      <c r="Q25" s="62"/>
      <c r="R25" s="63">
        <f>IF(R17&gt;=0,R17-R21,"")</f>
        <v>2047</v>
      </c>
      <c r="S25" s="64"/>
      <c r="T25" s="63">
        <f>IF(T17&gt;=0,T17-T21,"")</f>
        <v>968</v>
      </c>
      <c r="U25" s="64"/>
      <c r="V25" s="63">
        <f>IF(V17&gt;=0,V17-V21,"")</f>
        <v>-593</v>
      </c>
      <c r="W25" s="64"/>
      <c r="X25" s="63">
        <f>IF(X17&gt;=0,X17-X21,"")</f>
        <v>-890</v>
      </c>
      <c r="Y25" s="64"/>
      <c r="Z25" s="63">
        <f>IF(Z17&gt;=0,Z17-Z21,"")</f>
        <v>1944</v>
      </c>
      <c r="AA25" s="64"/>
      <c r="AB25" s="63">
        <f>IF(AB17&gt;=0,AB17-AB21,"")</f>
        <v>1394</v>
      </c>
      <c r="AC25" s="65"/>
      <c r="AD25" s="63">
        <f>IF(AD17&gt;=0,AD17-AD21,"")</f>
        <v>1394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-1708.5</v>
      </c>
      <c r="S26" s="55"/>
      <c r="T26" s="67">
        <f>IFERROR(IF(T18&gt;0,T18-T22,""),"")</f>
        <v>710.5</v>
      </c>
      <c r="U26" s="55"/>
      <c r="V26" s="67">
        <f>IFERROR(IF(V18&gt;0,V18-V22,""),"")</f>
        <v>-1681</v>
      </c>
      <c r="W26" s="55"/>
      <c r="X26" s="67">
        <f>IFERROR(IF(X18&gt;0,X18-X22,""),"")</f>
        <v>960.5</v>
      </c>
      <c r="Y26" s="55"/>
      <c r="Z26" s="67">
        <f>IFERROR(IF(Z18&gt;0,Z18-Z22,""),"")</f>
        <v>-1149</v>
      </c>
      <c r="AA26" s="55"/>
      <c r="AB26" s="67">
        <f>IFERROR(IF(AB18&gt;0,AB18-AB22,""),"")</f>
        <v>3269</v>
      </c>
      <c r="AC26" s="56"/>
      <c r="AD26" s="67">
        <f>IFERROR(IF(AD18&gt;0,AD18-AD22,""),"")</f>
        <v>77.5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9960</v>
      </c>
      <c r="D29" s="76">
        <f>C14</f>
        <v>9874</v>
      </c>
      <c r="E29" s="77">
        <f>D29-C29</f>
        <v>-86</v>
      </c>
      <c r="O29" s="4"/>
    </row>
    <row r="30" spans="2:43" x14ac:dyDescent="0.3">
      <c r="B30" s="74" t="s">
        <v>56</v>
      </c>
      <c r="C30" s="122">
        <v>26610</v>
      </c>
      <c r="D30" s="76">
        <f>C7+C15+C16+C17+C18</f>
        <v>14879</v>
      </c>
      <c r="E30" s="77">
        <f>D30-C30</f>
        <v>-11731</v>
      </c>
      <c r="J30" s="53"/>
      <c r="O30" s="4"/>
    </row>
    <row r="31" spans="2:43" x14ac:dyDescent="0.3">
      <c r="B31" s="74" t="s">
        <v>21</v>
      </c>
      <c r="C31" s="122">
        <v>2330</v>
      </c>
      <c r="D31" s="76">
        <f>C6</f>
        <v>2330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14483</v>
      </c>
      <c r="D32" s="76">
        <f>C10+C11+C12+C13</f>
        <v>14483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14705</v>
      </c>
      <c r="D33" s="76">
        <f>C19+C20+C21</f>
        <v>15414</v>
      </c>
      <c r="E33" s="77">
        <f>D33-C33</f>
        <v>709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4129</v>
      </c>
      <c r="D34" s="80">
        <f>SUM(C8+C9)</f>
        <v>4129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1023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264</v>
      </c>
      <c r="X35" s="104">
        <v>528</v>
      </c>
      <c r="Y35" s="104">
        <f t="shared" ref="Y35:Y64" si="4">IF(Z35&gt;0,(Z35-X35)/2,"")</f>
        <v>0</v>
      </c>
      <c r="Z35" s="104">
        <v>528</v>
      </c>
      <c r="AA35" s="104">
        <f t="shared" ref="AA35:AA64" si="5">IF(AB35&gt;0,(AB35-Z35)/2,"")</f>
        <v>226</v>
      </c>
      <c r="AB35" s="104">
        <v>980</v>
      </c>
      <c r="AC35" s="104">
        <f t="shared" ref="AC35:AC64" si="6">IF(AD35&gt;0,(AD35-AB35)/2,"")</f>
        <v>0</v>
      </c>
      <c r="AD35" s="104">
        <v>980</v>
      </c>
      <c r="AE35" s="105">
        <f t="shared" ref="AE35:AE64" si="7">AD35-Q35</f>
        <v>-43</v>
      </c>
    </row>
    <row r="36" spans="2:31" ht="15.6" customHeight="1" x14ac:dyDescent="0.3">
      <c r="N36" s="212"/>
      <c r="O36" s="95" t="s">
        <v>66</v>
      </c>
      <c r="P36" s="106"/>
      <c r="Q36" s="106">
        <v>1462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570.5</v>
      </c>
      <c r="X36" s="106">
        <v>1141</v>
      </c>
      <c r="Y36" s="106">
        <f t="shared" si="4"/>
        <v>-297</v>
      </c>
      <c r="Z36" s="106">
        <v>547</v>
      </c>
      <c r="AA36" s="106">
        <f t="shared" si="5"/>
        <v>5</v>
      </c>
      <c r="AB36" s="106">
        <v>557</v>
      </c>
      <c r="AC36" s="106">
        <f t="shared" si="6"/>
        <v>0</v>
      </c>
      <c r="AD36" s="106">
        <v>557</v>
      </c>
      <c r="AE36" s="107">
        <f t="shared" si="7"/>
        <v>-905</v>
      </c>
    </row>
    <row r="37" spans="2:31" ht="15.6" customHeight="1" x14ac:dyDescent="0.3">
      <c r="N37" s="212"/>
      <c r="O37" s="94" t="s">
        <v>67</v>
      </c>
      <c r="P37" s="108"/>
      <c r="Q37" s="108">
        <v>3726</v>
      </c>
      <c r="R37" s="108">
        <v>0</v>
      </c>
      <c r="S37" s="108">
        <f t="shared" si="1"/>
        <v>176</v>
      </c>
      <c r="T37" s="108">
        <v>352</v>
      </c>
      <c r="U37" s="108">
        <f t="shared" si="2"/>
        <v>0</v>
      </c>
      <c r="V37" s="108">
        <v>352</v>
      </c>
      <c r="W37" s="108">
        <f t="shared" si="3"/>
        <v>420.5</v>
      </c>
      <c r="X37" s="108">
        <v>1193</v>
      </c>
      <c r="Y37" s="108">
        <f t="shared" si="4"/>
        <v>-225</v>
      </c>
      <c r="Z37" s="108">
        <v>743</v>
      </c>
      <c r="AA37" s="108">
        <f t="shared" si="5"/>
        <v>480.5</v>
      </c>
      <c r="AB37" s="108">
        <v>1704</v>
      </c>
      <c r="AC37" s="108">
        <f t="shared" si="6"/>
        <v>0</v>
      </c>
      <c r="AD37" s="108">
        <v>1704</v>
      </c>
      <c r="AE37" s="109">
        <f t="shared" si="7"/>
        <v>-2022</v>
      </c>
    </row>
    <row r="38" spans="2:31" ht="15.6" customHeight="1" x14ac:dyDescent="0.3">
      <c r="N38" s="212"/>
      <c r="O38" s="95" t="s">
        <v>68</v>
      </c>
      <c r="P38" s="106"/>
      <c r="Q38" s="106">
        <v>3832</v>
      </c>
      <c r="R38" s="106">
        <v>99</v>
      </c>
      <c r="S38" s="106">
        <f t="shared" si="1"/>
        <v>365</v>
      </c>
      <c r="T38" s="106">
        <v>829</v>
      </c>
      <c r="U38" s="106">
        <f t="shared" si="2"/>
        <v>0</v>
      </c>
      <c r="V38" s="106">
        <v>829</v>
      </c>
      <c r="W38" s="106">
        <f t="shared" si="3"/>
        <v>1025</v>
      </c>
      <c r="X38" s="106">
        <v>2879</v>
      </c>
      <c r="Y38" s="106">
        <f t="shared" si="4"/>
        <v>-366</v>
      </c>
      <c r="Z38" s="106">
        <v>2147</v>
      </c>
      <c r="AA38" s="106">
        <f t="shared" si="5"/>
        <v>32.5</v>
      </c>
      <c r="AB38" s="106">
        <v>2212</v>
      </c>
      <c r="AC38" s="106">
        <f t="shared" si="6"/>
        <v>0</v>
      </c>
      <c r="AD38" s="106">
        <v>2212</v>
      </c>
      <c r="AE38" s="107">
        <f t="shared" si="7"/>
        <v>-1620</v>
      </c>
    </row>
    <row r="39" spans="2:31" ht="15.6" customHeight="1" x14ac:dyDescent="0.3">
      <c r="N39" s="212"/>
      <c r="O39" s="94" t="s">
        <v>69</v>
      </c>
      <c r="P39" s="108"/>
      <c r="Q39" s="108">
        <v>2288</v>
      </c>
      <c r="R39" s="108">
        <v>24</v>
      </c>
      <c r="S39" s="108">
        <f t="shared" si="1"/>
        <v>0</v>
      </c>
      <c r="T39" s="108">
        <v>24</v>
      </c>
      <c r="U39" s="108">
        <f t="shared" si="2"/>
        <v>0</v>
      </c>
      <c r="V39" s="108">
        <v>24</v>
      </c>
      <c r="W39" s="108">
        <f t="shared" si="3"/>
        <v>376.5</v>
      </c>
      <c r="X39" s="108">
        <v>777</v>
      </c>
      <c r="Y39" s="108">
        <f t="shared" si="4"/>
        <v>351.5</v>
      </c>
      <c r="Z39" s="108">
        <v>1480</v>
      </c>
      <c r="AA39" s="108">
        <f t="shared" si="5"/>
        <v>0</v>
      </c>
      <c r="AB39" s="108">
        <v>1480</v>
      </c>
      <c r="AC39" s="108">
        <f t="shared" si="6"/>
        <v>0</v>
      </c>
      <c r="AD39" s="108">
        <v>1480</v>
      </c>
      <c r="AE39" s="109">
        <f t="shared" si="7"/>
        <v>-808</v>
      </c>
    </row>
    <row r="40" spans="2:31" ht="15.6" customHeight="1" x14ac:dyDescent="0.3">
      <c r="N40" s="212"/>
      <c r="O40" s="95" t="s">
        <v>70</v>
      </c>
      <c r="P40" s="106"/>
      <c r="Q40" s="106">
        <v>3080</v>
      </c>
      <c r="R40" s="106">
        <v>11</v>
      </c>
      <c r="S40" s="106">
        <f t="shared" si="1"/>
        <v>0</v>
      </c>
      <c r="T40" s="106">
        <v>11</v>
      </c>
      <c r="U40" s="106">
        <f t="shared" si="2"/>
        <v>0</v>
      </c>
      <c r="V40" s="106">
        <v>11</v>
      </c>
      <c r="W40" s="106">
        <f t="shared" si="3"/>
        <v>591.5</v>
      </c>
      <c r="X40" s="106">
        <v>1194</v>
      </c>
      <c r="Y40" s="106">
        <f t="shared" si="4"/>
        <v>76</v>
      </c>
      <c r="Z40" s="106">
        <v>1346</v>
      </c>
      <c r="AA40" s="106">
        <f t="shared" si="5"/>
        <v>0</v>
      </c>
      <c r="AB40" s="106">
        <v>1346</v>
      </c>
      <c r="AC40" s="106">
        <f t="shared" si="6"/>
        <v>0</v>
      </c>
      <c r="AD40" s="106">
        <v>1346</v>
      </c>
      <c r="AE40" s="107">
        <f t="shared" si="7"/>
        <v>-1734</v>
      </c>
    </row>
    <row r="41" spans="2:31" ht="15.6" customHeight="1" x14ac:dyDescent="0.3">
      <c r="N41" s="212"/>
      <c r="O41" s="94" t="s">
        <v>71</v>
      </c>
      <c r="P41" s="108"/>
      <c r="Q41" s="108">
        <v>1117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517.5</v>
      </c>
      <c r="X41" s="108">
        <v>1035</v>
      </c>
      <c r="Y41" s="108">
        <f t="shared" si="4"/>
        <v>0</v>
      </c>
      <c r="Z41" s="108">
        <v>1035</v>
      </c>
      <c r="AA41" s="108">
        <f t="shared" si="5"/>
        <v>0</v>
      </c>
      <c r="AB41" s="108">
        <v>1035</v>
      </c>
      <c r="AC41" s="108">
        <f t="shared" si="6"/>
        <v>0</v>
      </c>
      <c r="AD41" s="108">
        <v>1035</v>
      </c>
      <c r="AE41" s="109">
        <f t="shared" si="7"/>
        <v>-82</v>
      </c>
    </row>
    <row r="42" spans="2:31" ht="15.6" customHeight="1" x14ac:dyDescent="0.3">
      <c r="N42" s="212"/>
      <c r="O42" s="95" t="s">
        <v>72</v>
      </c>
      <c r="P42" s="106"/>
      <c r="Q42" s="106">
        <v>1580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362.5</v>
      </c>
      <c r="V42" s="106">
        <v>725</v>
      </c>
      <c r="W42" s="106">
        <f t="shared" si="3"/>
        <v>0</v>
      </c>
      <c r="X42" s="106">
        <v>725</v>
      </c>
      <c r="Y42" s="106">
        <f t="shared" si="4"/>
        <v>15.5</v>
      </c>
      <c r="Z42" s="106">
        <v>756</v>
      </c>
      <c r="AA42" s="106">
        <f t="shared" si="5"/>
        <v>314</v>
      </c>
      <c r="AB42" s="106">
        <v>1384</v>
      </c>
      <c r="AC42" s="106">
        <f t="shared" si="6"/>
        <v>71</v>
      </c>
      <c r="AD42" s="106">
        <v>1526</v>
      </c>
      <c r="AE42" s="107">
        <f t="shared" si="7"/>
        <v>-54</v>
      </c>
    </row>
    <row r="43" spans="2:31" ht="15.6" customHeight="1" thickBot="1" x14ac:dyDescent="0.35">
      <c r="N43" s="213"/>
      <c r="O43" s="97" t="s">
        <v>73</v>
      </c>
      <c r="P43" s="110"/>
      <c r="Q43" s="110">
        <v>1746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>
        <f t="shared" si="4"/>
        <v>3</v>
      </c>
      <c r="Z43" s="110">
        <v>6</v>
      </c>
      <c r="AA43" s="110">
        <f t="shared" si="5"/>
        <v>555</v>
      </c>
      <c r="AB43" s="110">
        <v>1116</v>
      </c>
      <c r="AC43" s="110">
        <f t="shared" si="6"/>
        <v>0</v>
      </c>
      <c r="AD43" s="110">
        <v>1116</v>
      </c>
      <c r="AE43" s="111">
        <f t="shared" si="7"/>
        <v>-630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3101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980.5</v>
      </c>
      <c r="Z44" s="112">
        <v>1961</v>
      </c>
      <c r="AA44" s="112">
        <f t="shared" si="5"/>
        <v>570</v>
      </c>
      <c r="AB44" s="112">
        <v>3101</v>
      </c>
      <c r="AC44" s="112">
        <f t="shared" si="6"/>
        <v>0</v>
      </c>
      <c r="AD44" s="112">
        <v>3101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2591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573.5</v>
      </c>
      <c r="Z45" s="108">
        <v>1147</v>
      </c>
      <c r="AA45" s="108">
        <f t="shared" si="5"/>
        <v>722</v>
      </c>
      <c r="AB45" s="108">
        <v>2591</v>
      </c>
      <c r="AC45" s="108">
        <f t="shared" si="6"/>
        <v>0</v>
      </c>
      <c r="AD45" s="108">
        <v>2591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2892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167.5</v>
      </c>
      <c r="X46" s="106">
        <v>335</v>
      </c>
      <c r="Y46" s="106">
        <f t="shared" si="4"/>
        <v>778</v>
      </c>
      <c r="Z46" s="106">
        <v>1891</v>
      </c>
      <c r="AA46" s="106">
        <f t="shared" si="5"/>
        <v>495.5</v>
      </c>
      <c r="AB46" s="106">
        <v>2882</v>
      </c>
      <c r="AC46" s="106">
        <f t="shared" si="6"/>
        <v>0</v>
      </c>
      <c r="AD46" s="106">
        <v>2882</v>
      </c>
      <c r="AE46" s="107">
        <f t="shared" si="7"/>
        <v>-10</v>
      </c>
    </row>
    <row r="47" spans="2:31" ht="15.6" customHeight="1" thickBot="1" x14ac:dyDescent="0.35">
      <c r="N47" s="213"/>
      <c r="O47" s="97" t="s">
        <v>68</v>
      </c>
      <c r="P47" s="110"/>
      <c r="Q47" s="110">
        <v>3220</v>
      </c>
      <c r="R47" s="110">
        <v>22</v>
      </c>
      <c r="S47" s="110">
        <f t="shared" si="1"/>
        <v>0</v>
      </c>
      <c r="T47" s="110">
        <v>22</v>
      </c>
      <c r="U47" s="110">
        <f t="shared" si="2"/>
        <v>0</v>
      </c>
      <c r="V47" s="110">
        <v>22</v>
      </c>
      <c r="W47" s="110">
        <f t="shared" si="3"/>
        <v>0</v>
      </c>
      <c r="X47" s="110">
        <v>22</v>
      </c>
      <c r="Y47" s="110">
        <f t="shared" si="4"/>
        <v>0</v>
      </c>
      <c r="Z47" s="110">
        <v>22</v>
      </c>
      <c r="AA47" s="110">
        <f t="shared" si="5"/>
        <v>278.5</v>
      </c>
      <c r="AB47" s="110">
        <v>579</v>
      </c>
      <c r="AC47" s="110">
        <f t="shared" si="6"/>
        <v>0</v>
      </c>
      <c r="AD47" s="110">
        <v>579</v>
      </c>
      <c r="AE47" s="111">
        <f t="shared" si="7"/>
        <v>-2641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379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69</v>
      </c>
      <c r="V48" s="112">
        <v>138</v>
      </c>
      <c r="W48" s="112">
        <f t="shared" si="3"/>
        <v>0</v>
      </c>
      <c r="X48" s="112">
        <v>138</v>
      </c>
      <c r="Y48" s="112">
        <f t="shared" si="4"/>
        <v>193.5</v>
      </c>
      <c r="Z48" s="112">
        <v>525</v>
      </c>
      <c r="AA48" s="112">
        <f t="shared" si="5"/>
        <v>0</v>
      </c>
      <c r="AB48" s="112">
        <v>525</v>
      </c>
      <c r="AC48" s="112">
        <f t="shared" si="6"/>
        <v>0</v>
      </c>
      <c r="AD48" s="112">
        <v>525</v>
      </c>
      <c r="AE48" s="113">
        <f t="shared" si="7"/>
        <v>146</v>
      </c>
    </row>
    <row r="49" spans="14:31" ht="15.6" customHeight="1" x14ac:dyDescent="0.3">
      <c r="N49" s="212"/>
      <c r="O49" s="94" t="s">
        <v>66</v>
      </c>
      <c r="P49" s="108"/>
      <c r="Q49" s="108">
        <v>379</v>
      </c>
      <c r="R49" s="108">
        <v>5</v>
      </c>
      <c r="S49" s="108">
        <f t="shared" si="1"/>
        <v>0</v>
      </c>
      <c r="T49" s="108">
        <v>5</v>
      </c>
      <c r="U49" s="108">
        <f t="shared" si="2"/>
        <v>73.5</v>
      </c>
      <c r="V49" s="108">
        <v>152</v>
      </c>
      <c r="W49" s="108">
        <f t="shared" si="3"/>
        <v>0</v>
      </c>
      <c r="X49" s="108">
        <v>152</v>
      </c>
      <c r="Y49" s="108">
        <f t="shared" si="4"/>
        <v>0</v>
      </c>
      <c r="Z49" s="108">
        <v>152</v>
      </c>
      <c r="AA49" s="108">
        <f t="shared" si="5"/>
        <v>0</v>
      </c>
      <c r="AB49" s="108">
        <v>152</v>
      </c>
      <c r="AC49" s="108">
        <f t="shared" si="6"/>
        <v>0</v>
      </c>
      <c r="AD49" s="108">
        <v>152</v>
      </c>
      <c r="AE49" s="109">
        <f t="shared" si="7"/>
        <v>-227</v>
      </c>
    </row>
    <row r="50" spans="14:31" ht="15.6" customHeight="1" x14ac:dyDescent="0.3">
      <c r="N50" s="212"/>
      <c r="O50" s="95" t="s">
        <v>67</v>
      </c>
      <c r="P50" s="106"/>
      <c r="Q50" s="106">
        <v>2232</v>
      </c>
      <c r="R50" s="106">
        <v>524</v>
      </c>
      <c r="S50" s="106">
        <f t="shared" si="1"/>
        <v>118.5</v>
      </c>
      <c r="T50" s="106">
        <v>761</v>
      </c>
      <c r="U50" s="106">
        <f t="shared" si="2"/>
        <v>193</v>
      </c>
      <c r="V50" s="106">
        <v>1147</v>
      </c>
      <c r="W50" s="106">
        <f t="shared" si="3"/>
        <v>15</v>
      </c>
      <c r="X50" s="106">
        <v>1177</v>
      </c>
      <c r="Y50" s="106">
        <f t="shared" si="4"/>
        <v>559</v>
      </c>
      <c r="Z50" s="106">
        <v>2295</v>
      </c>
      <c r="AA50" s="106">
        <f t="shared" si="5"/>
        <v>0</v>
      </c>
      <c r="AB50" s="106">
        <v>2295</v>
      </c>
      <c r="AC50" s="106">
        <f t="shared" si="6"/>
        <v>0</v>
      </c>
      <c r="AD50" s="106">
        <v>2295</v>
      </c>
      <c r="AE50" s="107">
        <f t="shared" si="7"/>
        <v>63</v>
      </c>
    </row>
    <row r="51" spans="14:31" ht="15.6" customHeight="1" x14ac:dyDescent="0.3">
      <c r="N51" s="212"/>
      <c r="O51" s="94" t="s">
        <v>68</v>
      </c>
      <c r="P51" s="108"/>
      <c r="Q51" s="108">
        <v>2499</v>
      </c>
      <c r="R51" s="108">
        <v>343</v>
      </c>
      <c r="S51" s="108">
        <f t="shared" si="1"/>
        <v>432</v>
      </c>
      <c r="T51" s="108">
        <v>1207</v>
      </c>
      <c r="U51" s="108">
        <f t="shared" si="2"/>
        <v>439</v>
      </c>
      <c r="V51" s="108">
        <v>2085</v>
      </c>
      <c r="W51" s="108">
        <f t="shared" si="3"/>
        <v>84</v>
      </c>
      <c r="X51" s="108">
        <v>2253</v>
      </c>
      <c r="Y51" s="108">
        <f t="shared" si="4"/>
        <v>30.5</v>
      </c>
      <c r="Z51" s="108">
        <v>2314</v>
      </c>
      <c r="AA51" s="108">
        <f t="shared" si="5"/>
        <v>0</v>
      </c>
      <c r="AB51" s="108">
        <v>2314</v>
      </c>
      <c r="AC51" s="108">
        <f t="shared" si="6"/>
        <v>0</v>
      </c>
      <c r="AD51" s="108">
        <v>2314</v>
      </c>
      <c r="AE51" s="109">
        <f t="shared" si="7"/>
        <v>-185</v>
      </c>
    </row>
    <row r="52" spans="14:31" ht="15.6" customHeight="1" x14ac:dyDescent="0.3">
      <c r="N52" s="212"/>
      <c r="O52" s="95" t="s">
        <v>69</v>
      </c>
      <c r="P52" s="106"/>
      <c r="Q52" s="106">
        <v>1437</v>
      </c>
      <c r="R52" s="106">
        <v>53</v>
      </c>
      <c r="S52" s="106">
        <f t="shared" si="1"/>
        <v>266.5</v>
      </c>
      <c r="T52" s="106">
        <v>586</v>
      </c>
      <c r="U52" s="106">
        <f t="shared" si="2"/>
        <v>15.5</v>
      </c>
      <c r="V52" s="106">
        <v>617</v>
      </c>
      <c r="W52" s="106">
        <f t="shared" si="3"/>
        <v>70.5</v>
      </c>
      <c r="X52" s="106">
        <v>758</v>
      </c>
      <c r="Y52" s="106">
        <f t="shared" si="4"/>
        <v>3</v>
      </c>
      <c r="Z52" s="106">
        <v>764</v>
      </c>
      <c r="AA52" s="106">
        <f t="shared" si="5"/>
        <v>0</v>
      </c>
      <c r="AB52" s="106">
        <v>764</v>
      </c>
      <c r="AC52" s="106">
        <f t="shared" si="6"/>
        <v>0</v>
      </c>
      <c r="AD52" s="106">
        <v>764</v>
      </c>
      <c r="AE52" s="107">
        <f t="shared" si="7"/>
        <v>-673</v>
      </c>
    </row>
    <row r="53" spans="14:31" ht="15.6" customHeight="1" x14ac:dyDescent="0.3">
      <c r="N53" s="212"/>
      <c r="O53" s="94" t="s">
        <v>70</v>
      </c>
      <c r="P53" s="108"/>
      <c r="Q53" s="108">
        <v>5050</v>
      </c>
      <c r="R53" s="108">
        <v>1861</v>
      </c>
      <c r="S53" s="108">
        <f t="shared" si="1"/>
        <v>610</v>
      </c>
      <c r="T53" s="108">
        <v>3081</v>
      </c>
      <c r="U53" s="108">
        <f t="shared" si="2"/>
        <v>119.5</v>
      </c>
      <c r="V53" s="108">
        <v>3320</v>
      </c>
      <c r="W53" s="108">
        <f t="shared" si="3"/>
        <v>681.5</v>
      </c>
      <c r="X53" s="108">
        <v>4683</v>
      </c>
      <c r="Y53" s="108">
        <f t="shared" si="4"/>
        <v>170.5</v>
      </c>
      <c r="Z53" s="108">
        <v>5024</v>
      </c>
      <c r="AA53" s="108">
        <f t="shared" si="5"/>
        <v>0</v>
      </c>
      <c r="AB53" s="108">
        <v>5024</v>
      </c>
      <c r="AC53" s="108">
        <f t="shared" si="6"/>
        <v>0</v>
      </c>
      <c r="AD53" s="108">
        <v>5024</v>
      </c>
      <c r="AE53" s="109">
        <f t="shared" si="7"/>
        <v>-26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204</v>
      </c>
      <c r="R55" s="108">
        <v>2</v>
      </c>
      <c r="S55" s="108">
        <f t="shared" si="1"/>
        <v>0</v>
      </c>
      <c r="T55" s="108">
        <v>2</v>
      </c>
      <c r="U55" s="108">
        <f t="shared" si="2"/>
        <v>0</v>
      </c>
      <c r="V55" s="108">
        <v>2</v>
      </c>
      <c r="W55" s="108">
        <f t="shared" si="3"/>
        <v>0</v>
      </c>
      <c r="X55" s="108">
        <v>2</v>
      </c>
      <c r="Y55" s="108">
        <f t="shared" si="4"/>
        <v>0</v>
      </c>
      <c r="Z55" s="108">
        <v>2</v>
      </c>
      <c r="AA55" s="108">
        <f t="shared" si="5"/>
        <v>0</v>
      </c>
      <c r="AB55" s="108">
        <v>2</v>
      </c>
      <c r="AC55" s="108">
        <f t="shared" si="6"/>
        <v>0</v>
      </c>
      <c r="AD55" s="108">
        <v>2</v>
      </c>
      <c r="AE55" s="109">
        <f t="shared" si="7"/>
        <v>-202</v>
      </c>
    </row>
    <row r="56" spans="14:31" ht="15.6" customHeight="1" thickBot="1" x14ac:dyDescent="0.35">
      <c r="N56" s="213"/>
      <c r="O56" s="99" t="s">
        <v>73</v>
      </c>
      <c r="P56" s="114"/>
      <c r="Q56" s="114">
        <v>3266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184</v>
      </c>
      <c r="V56" s="114">
        <v>368</v>
      </c>
      <c r="W56" s="114">
        <f t="shared" si="3"/>
        <v>5</v>
      </c>
      <c r="X56" s="114">
        <v>378</v>
      </c>
      <c r="Y56" s="114">
        <f t="shared" si="4"/>
        <v>1153.5</v>
      </c>
      <c r="Z56" s="114">
        <v>2685</v>
      </c>
      <c r="AA56" s="114">
        <f t="shared" si="5"/>
        <v>0</v>
      </c>
      <c r="AB56" s="114">
        <v>2685</v>
      </c>
      <c r="AC56" s="114">
        <f t="shared" si="6"/>
        <v>0</v>
      </c>
      <c r="AD56" s="114">
        <v>2685</v>
      </c>
      <c r="AE56" s="115">
        <f t="shared" si="7"/>
        <v>-581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3692</v>
      </c>
      <c r="R57" s="104">
        <v>300</v>
      </c>
      <c r="S57" s="104">
        <f t="shared" si="1"/>
        <v>14</v>
      </c>
      <c r="T57" s="104">
        <v>328</v>
      </c>
      <c r="U57" s="104">
        <f t="shared" si="2"/>
        <v>0</v>
      </c>
      <c r="V57" s="104">
        <v>328</v>
      </c>
      <c r="W57" s="104">
        <f t="shared" si="3"/>
        <v>348</v>
      </c>
      <c r="X57" s="104">
        <v>1024</v>
      </c>
      <c r="Y57" s="104">
        <f t="shared" si="4"/>
        <v>536.5</v>
      </c>
      <c r="Z57" s="104">
        <v>2097</v>
      </c>
      <c r="AA57" s="104">
        <f t="shared" si="5"/>
        <v>0</v>
      </c>
      <c r="AB57" s="104">
        <v>2097</v>
      </c>
      <c r="AC57" s="104">
        <f t="shared" si="6"/>
        <v>0</v>
      </c>
      <c r="AD57" s="104">
        <v>2097</v>
      </c>
      <c r="AE57" s="105">
        <f t="shared" si="7"/>
        <v>-1595</v>
      </c>
    </row>
    <row r="58" spans="14:31" ht="15.6" customHeight="1" x14ac:dyDescent="0.3">
      <c r="N58" s="212"/>
      <c r="O58" s="95" t="s">
        <v>66</v>
      </c>
      <c r="P58" s="106"/>
      <c r="Q58" s="106">
        <v>4538</v>
      </c>
      <c r="R58" s="106">
        <v>0</v>
      </c>
      <c r="S58" s="106">
        <f t="shared" si="1"/>
        <v>144.5</v>
      </c>
      <c r="T58" s="106">
        <v>289</v>
      </c>
      <c r="U58" s="106">
        <f t="shared" si="2"/>
        <v>619</v>
      </c>
      <c r="V58" s="106">
        <v>1527</v>
      </c>
      <c r="W58" s="106">
        <f t="shared" si="3"/>
        <v>699</v>
      </c>
      <c r="X58" s="106">
        <v>2925</v>
      </c>
      <c r="Y58" s="106">
        <f t="shared" si="4"/>
        <v>539.5</v>
      </c>
      <c r="Z58" s="106">
        <v>4004</v>
      </c>
      <c r="AA58" s="106">
        <f t="shared" si="5"/>
        <v>0</v>
      </c>
      <c r="AB58" s="106">
        <v>4004</v>
      </c>
      <c r="AC58" s="106">
        <f t="shared" si="6"/>
        <v>0</v>
      </c>
      <c r="AD58" s="106">
        <v>4004</v>
      </c>
      <c r="AE58" s="107">
        <f t="shared" si="7"/>
        <v>-534</v>
      </c>
    </row>
    <row r="59" spans="14:31" ht="15.6" customHeight="1" x14ac:dyDescent="0.3">
      <c r="N59" s="212"/>
      <c r="O59" s="94" t="s">
        <v>67</v>
      </c>
      <c r="P59" s="108"/>
      <c r="Q59" s="108">
        <v>4185</v>
      </c>
      <c r="R59" s="108">
        <v>20</v>
      </c>
      <c r="S59" s="108">
        <f t="shared" si="1"/>
        <v>39</v>
      </c>
      <c r="T59" s="108">
        <v>98</v>
      </c>
      <c r="U59" s="108">
        <f t="shared" si="2"/>
        <v>563</v>
      </c>
      <c r="V59" s="108">
        <v>1224</v>
      </c>
      <c r="W59" s="108">
        <f t="shared" si="3"/>
        <v>408</v>
      </c>
      <c r="X59" s="108">
        <v>2040</v>
      </c>
      <c r="Y59" s="108">
        <f t="shared" si="4"/>
        <v>178</v>
      </c>
      <c r="Z59" s="108">
        <v>2396</v>
      </c>
      <c r="AA59" s="108">
        <f t="shared" si="5"/>
        <v>0</v>
      </c>
      <c r="AB59" s="108">
        <v>2396</v>
      </c>
      <c r="AC59" s="108">
        <f t="shared" si="6"/>
        <v>0</v>
      </c>
      <c r="AD59" s="108">
        <v>2396</v>
      </c>
      <c r="AE59" s="109">
        <f t="shared" si="7"/>
        <v>-1789</v>
      </c>
    </row>
    <row r="60" spans="14:31" ht="15.6" customHeight="1" thickBot="1" x14ac:dyDescent="0.35">
      <c r="N60" s="213"/>
      <c r="O60" s="99" t="s">
        <v>68</v>
      </c>
      <c r="P60" s="114"/>
      <c r="Q60" s="114">
        <v>4037</v>
      </c>
      <c r="R60" s="114">
        <v>454</v>
      </c>
      <c r="S60" s="114">
        <f t="shared" si="1"/>
        <v>234.5</v>
      </c>
      <c r="T60" s="114">
        <v>923</v>
      </c>
      <c r="U60" s="114">
        <f t="shared" si="2"/>
        <v>549</v>
      </c>
      <c r="V60" s="114">
        <v>2021</v>
      </c>
      <c r="W60" s="114">
        <f t="shared" si="3"/>
        <v>452</v>
      </c>
      <c r="X60" s="114">
        <v>2925</v>
      </c>
      <c r="Y60" s="114">
        <f t="shared" si="4"/>
        <v>356.5</v>
      </c>
      <c r="Z60" s="114">
        <v>3638</v>
      </c>
      <c r="AA60" s="114">
        <f t="shared" si="5"/>
        <v>0</v>
      </c>
      <c r="AB60" s="114">
        <v>3638</v>
      </c>
      <c r="AC60" s="114">
        <f t="shared" si="6"/>
        <v>0</v>
      </c>
      <c r="AD60" s="114">
        <v>3638</v>
      </c>
      <c r="AE60" s="115">
        <f t="shared" si="7"/>
        <v>-399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4216</v>
      </c>
      <c r="R61" s="104">
        <v>652</v>
      </c>
      <c r="S61" s="104">
        <f t="shared" si="1"/>
        <v>335</v>
      </c>
      <c r="T61" s="104">
        <v>1322</v>
      </c>
      <c r="U61" s="104">
        <f t="shared" si="2"/>
        <v>236.5</v>
      </c>
      <c r="V61" s="104">
        <v>1795</v>
      </c>
      <c r="W61" s="104">
        <f t="shared" si="3"/>
        <v>297</v>
      </c>
      <c r="X61" s="104">
        <v>2389</v>
      </c>
      <c r="Y61" s="104">
        <f t="shared" si="4"/>
        <v>69.5</v>
      </c>
      <c r="Z61" s="104">
        <v>2528</v>
      </c>
      <c r="AA61" s="104">
        <f t="shared" si="5"/>
        <v>0</v>
      </c>
      <c r="AB61" s="104">
        <v>2528</v>
      </c>
      <c r="AC61" s="104">
        <f t="shared" si="6"/>
        <v>0</v>
      </c>
      <c r="AD61" s="104">
        <v>2528</v>
      </c>
      <c r="AE61" s="105">
        <f t="shared" si="7"/>
        <v>-1688</v>
      </c>
    </row>
    <row r="62" spans="14:31" ht="15.6" customHeight="1" x14ac:dyDescent="0.3">
      <c r="N62" s="212"/>
      <c r="O62" s="95" t="s">
        <v>66</v>
      </c>
      <c r="P62" s="106"/>
      <c r="Q62" s="106">
        <v>2878</v>
      </c>
      <c r="R62" s="106">
        <v>63</v>
      </c>
      <c r="S62" s="106">
        <f t="shared" si="1"/>
        <v>164.5</v>
      </c>
      <c r="T62" s="106">
        <v>392</v>
      </c>
      <c r="U62" s="106">
        <f t="shared" si="2"/>
        <v>293</v>
      </c>
      <c r="V62" s="106">
        <v>978</v>
      </c>
      <c r="W62" s="106">
        <f t="shared" si="3"/>
        <v>478</v>
      </c>
      <c r="X62" s="106">
        <v>1934</v>
      </c>
      <c r="Y62" s="106">
        <f t="shared" si="4"/>
        <v>124.5</v>
      </c>
      <c r="Z62" s="106">
        <v>2183</v>
      </c>
      <c r="AA62" s="106">
        <f t="shared" si="5"/>
        <v>0</v>
      </c>
      <c r="AB62" s="106">
        <v>2183</v>
      </c>
      <c r="AC62" s="106">
        <f t="shared" si="6"/>
        <v>0</v>
      </c>
      <c r="AD62" s="106">
        <v>2183</v>
      </c>
      <c r="AE62" s="107">
        <f t="shared" si="7"/>
        <v>-695</v>
      </c>
    </row>
    <row r="63" spans="14:31" ht="15.6" customHeight="1" x14ac:dyDescent="0.3">
      <c r="N63" s="212"/>
      <c r="O63" s="94" t="s">
        <v>67</v>
      </c>
      <c r="P63" s="108"/>
      <c r="Q63" s="108">
        <v>3664</v>
      </c>
      <c r="R63" s="108">
        <v>405</v>
      </c>
      <c r="S63" s="108">
        <f t="shared" si="1"/>
        <v>370</v>
      </c>
      <c r="T63" s="108">
        <v>1145</v>
      </c>
      <c r="U63" s="108">
        <f t="shared" si="2"/>
        <v>52</v>
      </c>
      <c r="V63" s="108">
        <v>1249</v>
      </c>
      <c r="W63" s="108">
        <f t="shared" si="3"/>
        <v>94</v>
      </c>
      <c r="X63" s="108">
        <v>1437</v>
      </c>
      <c r="Y63" s="108">
        <f t="shared" si="4"/>
        <v>163.5</v>
      </c>
      <c r="Z63" s="108">
        <v>1764</v>
      </c>
      <c r="AA63" s="108">
        <f t="shared" si="5"/>
        <v>0</v>
      </c>
      <c r="AB63" s="108">
        <v>1764</v>
      </c>
      <c r="AC63" s="108">
        <f t="shared" si="6"/>
        <v>0</v>
      </c>
      <c r="AD63" s="108">
        <v>1764</v>
      </c>
      <c r="AE63" s="109">
        <f t="shared" si="7"/>
        <v>-1900</v>
      </c>
    </row>
    <row r="64" spans="14:31" ht="15.6" customHeight="1" thickBot="1" x14ac:dyDescent="0.35">
      <c r="N64" s="213"/>
      <c r="O64" s="99" t="s">
        <v>68</v>
      </c>
      <c r="P64" s="114"/>
      <c r="Q64" s="114">
        <v>3143</v>
      </c>
      <c r="R64" s="114">
        <v>1146</v>
      </c>
      <c r="S64" s="114">
        <f t="shared" si="1"/>
        <v>150</v>
      </c>
      <c r="T64" s="114">
        <v>1446</v>
      </c>
      <c r="U64" s="114">
        <f t="shared" si="2"/>
        <v>16</v>
      </c>
      <c r="V64" s="114">
        <v>1478</v>
      </c>
      <c r="W64" s="114">
        <f t="shared" si="3"/>
        <v>142</v>
      </c>
      <c r="X64" s="114">
        <v>1762</v>
      </c>
      <c r="Y64" s="114">
        <f t="shared" si="4"/>
        <v>58</v>
      </c>
      <c r="Z64" s="114">
        <v>1878</v>
      </c>
      <c r="AA64" s="114">
        <f t="shared" si="5"/>
        <v>0</v>
      </c>
      <c r="AB64" s="114">
        <v>1878</v>
      </c>
      <c r="AC64" s="114">
        <f t="shared" si="6"/>
        <v>0</v>
      </c>
      <c r="AD64" s="114">
        <v>1878</v>
      </c>
      <c r="AE64" s="115">
        <f t="shared" si="7"/>
        <v>-1265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95" priority="11" operator="lessThan">
      <formula>0</formula>
    </cfRule>
    <cfRule type="cellIs" dxfId="1294" priority="12" operator="greaterThan">
      <formula>0</formula>
    </cfRule>
  </conditionalFormatting>
  <conditionalFormatting sqref="R25:AC25">
    <cfRule type="cellIs" dxfId="1293" priority="9" operator="lessThan">
      <formula>0</formula>
    </cfRule>
    <cfRule type="cellIs" dxfId="1292" priority="10" operator="greaterThan">
      <formula>0</formula>
    </cfRule>
  </conditionalFormatting>
  <conditionalFormatting sqref="R26 T26 V26 X26 Z26 AB26">
    <cfRule type="cellIs" dxfId="1291" priority="7" operator="lessThan">
      <formula>0</formula>
    </cfRule>
    <cfRule type="cellIs" dxfId="1290" priority="8" operator="greaterThan">
      <formula>0</formula>
    </cfRule>
  </conditionalFormatting>
  <conditionalFormatting sqref="AD24:AE24">
    <cfRule type="cellIs" dxfId="1289" priority="5" operator="lessThan">
      <formula>0</formula>
    </cfRule>
    <cfRule type="cellIs" dxfId="1288" priority="6" operator="greaterThan">
      <formula>0</formula>
    </cfRule>
  </conditionalFormatting>
  <conditionalFormatting sqref="AD25:AE25">
    <cfRule type="cellIs" dxfId="1287" priority="3" operator="lessThan">
      <formula>0</formula>
    </cfRule>
    <cfRule type="cellIs" dxfId="1286" priority="4" operator="greaterThan">
      <formula>0</formula>
    </cfRule>
  </conditionalFormatting>
  <conditionalFormatting sqref="AD26">
    <cfRule type="cellIs" dxfId="1285" priority="1" operator="lessThan">
      <formula>0</formula>
    </cfRule>
    <cfRule type="cellIs" dxfId="128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44411</v>
      </c>
    </row>
    <row r="3" spans="2:42" ht="18.75" customHeight="1" thickBot="1" x14ac:dyDescent="0.35">
      <c r="B3" t="s">
        <v>1</v>
      </c>
      <c r="C3" s="3">
        <f>C2+1</f>
        <v>44412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4164</v>
      </c>
      <c r="E6" s="18" t="s">
        <v>22</v>
      </c>
      <c r="F6" s="119">
        <v>20828</v>
      </c>
      <c r="G6" s="117">
        <v>16539.780624999989</v>
      </c>
      <c r="H6" s="117">
        <v>14360.51039542</v>
      </c>
      <c r="I6" s="19">
        <f>G6+H6</f>
        <v>30900.291020419987</v>
      </c>
      <c r="J6" s="119">
        <v>21899</v>
      </c>
      <c r="K6" s="117">
        <v>18023.304375</v>
      </c>
      <c r="L6" s="117">
        <v>15742.974770419991</v>
      </c>
      <c r="M6" s="19">
        <f>K6+L6</f>
        <v>33766.279145419991</v>
      </c>
      <c r="N6" s="85">
        <v>63</v>
      </c>
      <c r="O6" s="85">
        <v>55</v>
      </c>
      <c r="P6" s="92"/>
      <c r="Q6" s="20">
        <f>J6-P6</f>
        <v>21899</v>
      </c>
      <c r="R6" s="21">
        <v>22</v>
      </c>
      <c r="S6" s="20">
        <f>IF(R6&gt;0,(R6-R7-$Q6),"")</f>
        <v>-21877</v>
      </c>
      <c r="T6" s="21">
        <v>5377</v>
      </c>
      <c r="U6" s="20">
        <f>IF(T6&gt;0,(T6-T7-$Q6),"")</f>
        <v>-16525</v>
      </c>
      <c r="V6" s="21">
        <v>5948</v>
      </c>
      <c r="W6" s="20">
        <f>IF(V6&gt;0,(V6-V7-$Q6),"")</f>
        <v>-15952</v>
      </c>
      <c r="X6" s="21">
        <v>8756</v>
      </c>
      <c r="Y6" s="20">
        <f>IF(X6&gt;0,(X6-X7-$Q6),"")</f>
        <v>-13683</v>
      </c>
      <c r="Z6" s="21">
        <v>13009</v>
      </c>
      <c r="AA6" s="20">
        <f>IF(Z6&gt;0,(Z6-Z7-$Q6),"")</f>
        <v>-9624</v>
      </c>
      <c r="AB6" s="21">
        <v>13009</v>
      </c>
      <c r="AC6" s="22">
        <f>IF(AB6&gt;0,(AB6-AB7-$Q6),"")</f>
        <v>-9624</v>
      </c>
      <c r="AD6" s="21">
        <v>13009</v>
      </c>
      <c r="AE6" s="22">
        <f>IF(AD6&gt;0,(AD6-AD7-$Q6),"")</f>
        <v>-9624</v>
      </c>
    </row>
    <row r="7" spans="2:42" x14ac:dyDescent="0.3">
      <c r="B7" s="16" t="s">
        <v>23</v>
      </c>
      <c r="C7" s="17">
        <v>2661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0</v>
      </c>
      <c r="S7" s="24"/>
      <c r="T7" s="25">
        <v>3</v>
      </c>
      <c r="U7" s="24"/>
      <c r="V7" s="25">
        <v>1</v>
      </c>
      <c r="W7" s="24"/>
      <c r="X7" s="25">
        <v>540</v>
      </c>
      <c r="Y7" s="24"/>
      <c r="Z7" s="25">
        <v>734</v>
      </c>
      <c r="AA7" s="24"/>
      <c r="AB7" s="25">
        <v>734</v>
      </c>
      <c r="AC7" s="26"/>
      <c r="AD7" s="25">
        <v>734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2533</v>
      </c>
      <c r="E8" s="29" t="s">
        <v>27</v>
      </c>
      <c r="F8" s="119">
        <v>10975</v>
      </c>
      <c r="G8" s="117">
        <v>4524.3900000000003</v>
      </c>
      <c r="H8" s="117">
        <v>1371.090445</v>
      </c>
      <c r="I8" s="19">
        <f>G8+H8</f>
        <v>5895.4804450000001</v>
      </c>
      <c r="J8" s="119">
        <v>10865</v>
      </c>
      <c r="K8" s="117">
        <v>4442.5630000000001</v>
      </c>
      <c r="L8" s="117">
        <v>1364.8332643000001</v>
      </c>
      <c r="M8" s="19">
        <f>K8+L8</f>
        <v>5807.3962643000004</v>
      </c>
      <c r="N8" s="87">
        <v>23</v>
      </c>
      <c r="O8" s="87">
        <v>21</v>
      </c>
      <c r="P8" s="92"/>
      <c r="Q8" s="20">
        <f>J8-P8</f>
        <v>10865</v>
      </c>
      <c r="R8" s="21">
        <v>10</v>
      </c>
      <c r="S8" s="20">
        <f>IF(R8&gt;0,(R8-R9-$Q8),"")</f>
        <v>-10855</v>
      </c>
      <c r="T8" s="21">
        <v>10</v>
      </c>
      <c r="U8" s="20">
        <f>IF(T8&gt;0,(T8-T9-$Q8),"")</f>
        <v>-10855</v>
      </c>
      <c r="V8" s="21">
        <v>5899</v>
      </c>
      <c r="W8" s="20">
        <f>IF(V8&gt;0,(V8-V9-$Q8),"")</f>
        <v>-4966</v>
      </c>
      <c r="X8" s="21">
        <v>9707</v>
      </c>
      <c r="Y8" s="20">
        <f>IF(X8&gt;0,(X8-X9-$Q8),"")</f>
        <v>-1158</v>
      </c>
      <c r="Z8" s="21">
        <v>9707</v>
      </c>
      <c r="AA8" s="20">
        <f>IF(Z8&gt;0,(Z8-Z9-$Q8),"")</f>
        <v>-1158</v>
      </c>
      <c r="AB8" s="21">
        <v>9707</v>
      </c>
      <c r="AC8" s="22">
        <f>IF(AB8&gt;0,(AB8-AB9-$Q8),"")</f>
        <v>-1158</v>
      </c>
      <c r="AD8" s="21">
        <v>9707</v>
      </c>
      <c r="AE8" s="22">
        <f>IF(AD8&gt;0,(AD8-AD9-$Q8),"")</f>
        <v>-1158</v>
      </c>
    </row>
    <row r="9" spans="2:42" x14ac:dyDescent="0.3">
      <c r="B9" s="28" t="s">
        <v>28</v>
      </c>
      <c r="C9" s="17">
        <v>1603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4696</v>
      </c>
      <c r="E10" s="18" t="s">
        <v>31</v>
      </c>
      <c r="F10" s="119">
        <v>24080</v>
      </c>
      <c r="G10" s="117">
        <v>17981.40525</v>
      </c>
      <c r="H10" s="117">
        <v>1751.607475</v>
      </c>
      <c r="I10" s="19">
        <f>G10+H10</f>
        <v>19733.012725000001</v>
      </c>
      <c r="J10" s="119">
        <v>24830</v>
      </c>
      <c r="K10" s="117">
        <v>18641.05675</v>
      </c>
      <c r="L10" s="117">
        <v>1861.0782650000001</v>
      </c>
      <c r="M10" s="19">
        <f>K10+L10</f>
        <v>20502.135015</v>
      </c>
      <c r="N10" s="88">
        <v>41</v>
      </c>
      <c r="O10" s="88">
        <v>37</v>
      </c>
      <c r="P10" s="92"/>
      <c r="Q10" s="20">
        <f>J10-P10</f>
        <v>24830</v>
      </c>
      <c r="R10" s="21">
        <v>3984</v>
      </c>
      <c r="S10" s="20">
        <f>IF(R10&gt;0,(R10-R11-$Q10),"")</f>
        <v>-20846</v>
      </c>
      <c r="T10" s="21">
        <v>6472</v>
      </c>
      <c r="U10" s="20">
        <f>IF(T10&gt;0,(T10-T11-$Q10),"")</f>
        <v>-18809</v>
      </c>
      <c r="V10" s="21">
        <v>10446</v>
      </c>
      <c r="W10" s="20">
        <f>IF(V10&gt;0,(V10-V11-$Q10),"")</f>
        <v>-15404</v>
      </c>
      <c r="X10" s="21">
        <v>12364</v>
      </c>
      <c r="Y10" s="20">
        <f>IF(X10&gt;0,(X10-X11-$Q10),"")</f>
        <v>-13889</v>
      </c>
      <c r="Z10" s="21">
        <v>16977</v>
      </c>
      <c r="AA10" s="20">
        <f>IF(Z10&gt;0,(Z10-Z11-$Q10),"")</f>
        <v>-9648</v>
      </c>
      <c r="AB10" s="21">
        <v>16977</v>
      </c>
      <c r="AC10" s="22">
        <f>IF(AB10&gt;0,(AB10-AB11-$Q10),"")</f>
        <v>-9648</v>
      </c>
      <c r="AD10" s="21">
        <v>16977</v>
      </c>
      <c r="AE10" s="22">
        <f>IF(AD10&gt;0,(AD10-AD11-$Q10),"")</f>
        <v>-9648</v>
      </c>
    </row>
    <row r="11" spans="2:42" x14ac:dyDescent="0.3">
      <c r="B11" s="16" t="s">
        <v>32</v>
      </c>
      <c r="C11" s="17">
        <v>2315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451</v>
      </c>
      <c r="U11" s="24"/>
      <c r="V11" s="30">
        <v>1020</v>
      </c>
      <c r="W11" s="24"/>
      <c r="X11" s="30">
        <v>1423</v>
      </c>
      <c r="Y11" s="24"/>
      <c r="Z11" s="30">
        <v>1795</v>
      </c>
      <c r="AA11" s="24"/>
      <c r="AB11" s="30">
        <v>1795</v>
      </c>
      <c r="AC11" s="26"/>
      <c r="AD11" s="30">
        <v>1795</v>
      </c>
      <c r="AE11" s="26"/>
    </row>
    <row r="12" spans="2:42" x14ac:dyDescent="0.3">
      <c r="B12" s="16" t="s">
        <v>34</v>
      </c>
      <c r="C12" s="17">
        <v>1648</v>
      </c>
      <c r="E12" s="29" t="s">
        <v>35</v>
      </c>
      <c r="F12" s="119">
        <v>16179</v>
      </c>
      <c r="G12" s="117">
        <v>11158.034250000001</v>
      </c>
      <c r="H12" s="117">
        <v>19290.413959199988</v>
      </c>
      <c r="I12" s="19">
        <f>G12+H12</f>
        <v>30448.448209199989</v>
      </c>
      <c r="J12" s="119">
        <v>17302</v>
      </c>
      <c r="K12" s="117">
        <v>12449.054249999999</v>
      </c>
      <c r="L12" s="117">
        <v>19679.848161590009</v>
      </c>
      <c r="M12" s="19">
        <f>K12+L12</f>
        <v>32128.90241159001</v>
      </c>
      <c r="N12" s="88">
        <v>45</v>
      </c>
      <c r="O12" s="88">
        <v>40</v>
      </c>
      <c r="P12" s="92"/>
      <c r="Q12" s="20">
        <f>J12-P12</f>
        <v>17302</v>
      </c>
      <c r="R12" s="21">
        <v>2367</v>
      </c>
      <c r="S12" s="20">
        <f>IF(R12&gt;0,(R12-R13-$Q12),"")</f>
        <v>-15690</v>
      </c>
      <c r="T12" s="21">
        <v>3824</v>
      </c>
      <c r="U12" s="20">
        <f>IF(T12&gt;0,(T12-T13-$Q12),"")</f>
        <v>-13834</v>
      </c>
      <c r="V12" s="21">
        <v>4840</v>
      </c>
      <c r="W12" s="20">
        <f>IF(V12&gt;0,(V12-V13-$Q12),"")</f>
        <v>-12818</v>
      </c>
      <c r="X12" s="21">
        <v>7470</v>
      </c>
      <c r="Y12" s="20">
        <f>IF(X12&gt;0,(X12-X13-$Q12),"")</f>
        <v>-11965</v>
      </c>
      <c r="Z12" s="21">
        <v>10942</v>
      </c>
      <c r="AA12" s="20">
        <f>IF(Z12&gt;0,(Z12-Z13-$Q12),"")</f>
        <v>-10770</v>
      </c>
      <c r="AB12" s="21">
        <v>10942</v>
      </c>
      <c r="AC12" s="22">
        <f>IF(AB12&gt;0,(AB12-AB13-$Q12),"")</f>
        <v>-10770</v>
      </c>
      <c r="AD12" s="21">
        <v>10942</v>
      </c>
      <c r="AE12" s="22">
        <f>IF(AD12&gt;0,(AD12-AD13-$Q12),"")</f>
        <v>-10770</v>
      </c>
    </row>
    <row r="13" spans="2:42" x14ac:dyDescent="0.3">
      <c r="B13" s="16" t="s">
        <v>36</v>
      </c>
      <c r="C13" s="17">
        <v>4855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5</v>
      </c>
      <c r="P13" s="93" t="s">
        <v>37</v>
      </c>
      <c r="Q13" s="24"/>
      <c r="R13" s="30">
        <v>755</v>
      </c>
      <c r="S13" s="24"/>
      <c r="T13" s="30">
        <v>356</v>
      </c>
      <c r="U13" s="24"/>
      <c r="V13" s="30">
        <v>356</v>
      </c>
      <c r="W13" s="24"/>
      <c r="X13" s="30">
        <v>2133</v>
      </c>
      <c r="Y13" s="24"/>
      <c r="Z13" s="30">
        <v>4410</v>
      </c>
      <c r="AA13" s="24"/>
      <c r="AB13" s="30">
        <v>4410</v>
      </c>
      <c r="AC13" s="26"/>
      <c r="AD13" s="30">
        <v>4410</v>
      </c>
      <c r="AE13" s="26"/>
    </row>
    <row r="14" spans="2:42" x14ac:dyDescent="0.3">
      <c r="B14" s="16" t="s">
        <v>38</v>
      </c>
      <c r="C14" s="17">
        <v>11071</v>
      </c>
      <c r="E14" s="18" t="s">
        <v>39</v>
      </c>
      <c r="F14" s="119">
        <v>20041</v>
      </c>
      <c r="G14" s="117">
        <v>17411.1875</v>
      </c>
      <c r="H14" s="117">
        <v>20545.556841940019</v>
      </c>
      <c r="I14" s="19">
        <f>G14+H14</f>
        <v>37956.744341940022</v>
      </c>
      <c r="J14" s="119">
        <v>20454</v>
      </c>
      <c r="K14" s="117">
        <v>17867.3125</v>
      </c>
      <c r="L14" s="117">
        <v>21100.588334840009</v>
      </c>
      <c r="M14" s="19">
        <f>K14+L14</f>
        <v>38967.900834840009</v>
      </c>
      <c r="N14" s="88">
        <v>61</v>
      </c>
      <c r="O14" s="88">
        <v>50</v>
      </c>
      <c r="P14" s="92"/>
      <c r="Q14" s="20">
        <f>J14-P14</f>
        <v>20454</v>
      </c>
      <c r="R14" s="21">
        <v>4392</v>
      </c>
      <c r="S14" s="20">
        <f>IF(R14&gt;0,(R14-R15-$Q14),"")</f>
        <v>-19591</v>
      </c>
      <c r="T14" s="21">
        <v>9309</v>
      </c>
      <c r="U14" s="20">
        <f>IF(T14&gt;0,(T14-T15-$Q14),"")</f>
        <v>-18962</v>
      </c>
      <c r="V14" s="21">
        <v>11459</v>
      </c>
      <c r="W14" s="20">
        <f>IF(V14&gt;0,(V14-V15-$Q14),"")</f>
        <v>-17979</v>
      </c>
      <c r="X14" s="21">
        <v>13372</v>
      </c>
      <c r="Y14" s="20">
        <f>IF(X14&gt;0,(X14-X15-$Q14),"")</f>
        <v>-16271</v>
      </c>
      <c r="Z14" s="21">
        <v>13372</v>
      </c>
      <c r="AA14" s="20">
        <f>IF(Z14&gt;0,(Z14-Z15-$Q14),"")</f>
        <v>-16271</v>
      </c>
      <c r="AB14" s="21">
        <v>13372</v>
      </c>
      <c r="AC14" s="22">
        <f>IF(AB14&gt;0,(AB14-AB15-$Q14),"")</f>
        <v>-16271</v>
      </c>
      <c r="AD14" s="21">
        <v>13372</v>
      </c>
      <c r="AE14" s="22">
        <f>IF(AD14&gt;0,(AD14-AD15-$Q14),"")</f>
        <v>-16271</v>
      </c>
    </row>
    <row r="15" spans="2:42" ht="15" customHeight="1" thickBot="1" x14ac:dyDescent="0.3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3529</v>
      </c>
      <c r="S15" s="24"/>
      <c r="T15" s="25">
        <v>7817</v>
      </c>
      <c r="U15" s="24"/>
      <c r="V15" s="25">
        <v>8984</v>
      </c>
      <c r="W15" s="24"/>
      <c r="X15" s="25">
        <v>9189</v>
      </c>
      <c r="Y15" s="24"/>
      <c r="Z15" s="25">
        <v>9189</v>
      </c>
      <c r="AA15" s="24"/>
      <c r="AB15" s="25">
        <v>9189</v>
      </c>
      <c r="AC15" s="26"/>
      <c r="AD15" s="25">
        <v>9189</v>
      </c>
      <c r="AE15" s="26"/>
    </row>
    <row r="16" spans="2:42" ht="15" customHeight="1" thickBot="1" x14ac:dyDescent="0.35">
      <c r="B16" s="28" t="s">
        <v>42</v>
      </c>
      <c r="C16" s="17">
        <v>14619</v>
      </c>
      <c r="E16" s="84"/>
      <c r="F16" s="31">
        <f t="shared" ref="F16:M16" si="0">SUM(F6:F15)</f>
        <v>92103</v>
      </c>
      <c r="G16" s="31">
        <f t="shared" si="0"/>
        <v>67614.797624999992</v>
      </c>
      <c r="H16" s="31">
        <f t="shared" si="0"/>
        <v>57319.179116560015</v>
      </c>
      <c r="I16" s="32">
        <f t="shared" si="0"/>
        <v>124933.97674155999</v>
      </c>
      <c r="J16" s="33">
        <f t="shared" si="0"/>
        <v>95350</v>
      </c>
      <c r="K16" s="33">
        <f t="shared" si="0"/>
        <v>71423.290875000006</v>
      </c>
      <c r="L16" s="33">
        <f t="shared" si="0"/>
        <v>59749.322796150009</v>
      </c>
      <c r="M16" s="33">
        <f t="shared" si="0"/>
        <v>131172.61367115</v>
      </c>
      <c r="N16" s="31">
        <f>SUM(N14,N12,N10,N8,N6)</f>
        <v>233</v>
      </c>
      <c r="O16" s="31">
        <f>SUM(O14,O12,O10,O8,O6)</f>
        <v>203</v>
      </c>
      <c r="P16" s="34">
        <f>SUM(P6:P15)</f>
        <v>0</v>
      </c>
      <c r="Q16" s="34">
        <f>SUM(Q6:Q15)</f>
        <v>95350</v>
      </c>
      <c r="R16" s="35">
        <f>R6+R8+R10+R12+R14-R7-R9-R11-R13-R15</f>
        <v>6491</v>
      </c>
      <c r="S16" s="36">
        <f>IF(R16&gt;1,(R16-$Q16),"")</f>
        <v>-88859</v>
      </c>
      <c r="T16" s="35">
        <f>T6+T8+T10+T12+T14-T7-T9-T11-T13-T15</f>
        <v>16365</v>
      </c>
      <c r="U16" s="36">
        <f>IF(T16&gt;1,(T16-$Q16),"")</f>
        <v>-78985</v>
      </c>
      <c r="V16" s="35">
        <f>V6+V8+V10+V12+V14-V7-V9-V11-V13-V15</f>
        <v>28231</v>
      </c>
      <c r="W16" s="36">
        <f>IF(V16&gt;1,(V16-$Q16),"")</f>
        <v>-67119</v>
      </c>
      <c r="X16" s="35">
        <f>X6+X8+X10+X12+X14-X7-X9-X11-X13-X15</f>
        <v>38384</v>
      </c>
      <c r="Y16" s="36">
        <f>IF(X16&gt;1,(X16-$Q16),"")</f>
        <v>-56966</v>
      </c>
      <c r="Z16" s="35">
        <f>Z6+Z8+Z10+Z12+Z14-Z7-Z9-Z11-Z13-Z15</f>
        <v>47879</v>
      </c>
      <c r="AA16" s="36">
        <f>IF(Z16&gt;1,(Z16-$Q16),"")</f>
        <v>-47471</v>
      </c>
      <c r="AB16" s="35">
        <f>AB6+AB8+AB10+AB12+AB14-AB7-AB9-AB11-AB13-AB15</f>
        <v>47879</v>
      </c>
      <c r="AC16" s="37">
        <f>IF(AB16&gt;1,(AB16-$Q16),"")</f>
        <v>-47471</v>
      </c>
      <c r="AD16" s="35">
        <f>AD6+AD8+AD10+AD12+AD14-AD7-AD9-AD11-AD13-AD15</f>
        <v>47879</v>
      </c>
      <c r="AE16" s="37">
        <f>IF(AD16&gt;1,(AD16-$Q16),"")</f>
        <v>-47471</v>
      </c>
    </row>
    <row r="17" spans="2:43" s="4" customFormat="1" ht="15" customHeight="1" thickBot="1" x14ac:dyDescent="0.35">
      <c r="B17" s="43" t="s">
        <v>47</v>
      </c>
      <c r="C17" s="17">
        <v>1480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30</v>
      </c>
      <c r="P17" s="38" t="s">
        <v>44</v>
      </c>
      <c r="Q17" s="39"/>
      <c r="R17" s="40">
        <f>R15+R13+R11+R9+R7</f>
        <v>4284</v>
      </c>
      <c r="S17" s="41"/>
      <c r="T17" s="40">
        <f>T15+T13+T11+T9+T7</f>
        <v>8627</v>
      </c>
      <c r="U17" s="41"/>
      <c r="V17" s="40">
        <f>V15+V13+V11+V9+V7</f>
        <v>10361</v>
      </c>
      <c r="W17" s="41"/>
      <c r="X17" s="40">
        <f>X15+X13+X11+X9+X7</f>
        <v>13285</v>
      </c>
      <c r="Y17" s="41"/>
      <c r="Z17" s="40">
        <f>Z15+Z13+Z11+Z9+Z7</f>
        <v>16128</v>
      </c>
      <c r="AA17" s="41"/>
      <c r="AB17" s="40">
        <f>AB15+AB13+AB11+AB9+AB7</f>
        <v>16128</v>
      </c>
      <c r="AC17" s="42"/>
      <c r="AD17" s="40">
        <f>AD15+AD13+AD11+AD9+AD7</f>
        <v>16128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3245.5</v>
      </c>
      <c r="S18" s="46"/>
      <c r="T18" s="47">
        <f>IF(T16&gt;0,(T16-R16)/2,"")</f>
        <v>4937</v>
      </c>
      <c r="U18" s="46"/>
      <c r="V18" s="47">
        <f>IF(V16&gt;0,(V16-T16)/2,"")</f>
        <v>5933</v>
      </c>
      <c r="W18" s="46"/>
      <c r="X18" s="47">
        <f>IF(X16&gt;0,(X16-V16)/2,"")</f>
        <v>5076.5</v>
      </c>
      <c r="Y18" s="46"/>
      <c r="Z18" s="47">
        <f>IF(Z16&gt;0,(Z16-X16)/2,"")</f>
        <v>4747.5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8675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1203</v>
      </c>
      <c r="L20" s="4"/>
      <c r="M20" s="4"/>
      <c r="Q20" s="51" t="s">
        <v>49</v>
      </c>
      <c r="R20" s="35">
        <v>3591</v>
      </c>
      <c r="S20" s="36">
        <v>-84483</v>
      </c>
      <c r="T20" s="35">
        <v>8539</v>
      </c>
      <c r="U20" s="36">
        <v>-79535</v>
      </c>
      <c r="V20" s="35">
        <v>14774</v>
      </c>
      <c r="W20" s="36">
        <v>-73300</v>
      </c>
      <c r="X20" s="35">
        <v>29447</v>
      </c>
      <c r="Y20" s="36">
        <v>-58627</v>
      </c>
      <c r="Z20" s="35">
        <v>39124</v>
      </c>
      <c r="AA20" s="36">
        <v>-48950</v>
      </c>
      <c r="AB20" s="35">
        <v>45955</v>
      </c>
      <c r="AC20" s="37">
        <v>-42119</v>
      </c>
      <c r="AD20" s="35">
        <v>46110</v>
      </c>
      <c r="AE20" s="37">
        <v>-41964</v>
      </c>
    </row>
    <row r="21" spans="2:43" ht="15" customHeight="1" thickBot="1" x14ac:dyDescent="0.35">
      <c r="B21" s="57" t="s">
        <v>52</v>
      </c>
      <c r="C21" s="58">
        <v>4499</v>
      </c>
      <c r="M21" s="4"/>
      <c r="Q21" s="52"/>
      <c r="R21" s="40">
        <v>5662</v>
      </c>
      <c r="S21" s="41"/>
      <c r="T21" s="40">
        <v>8686</v>
      </c>
      <c r="U21" s="41"/>
      <c r="V21" s="40">
        <v>10693</v>
      </c>
      <c r="W21" s="41"/>
      <c r="X21" s="40">
        <v>12040</v>
      </c>
      <c r="Y21" s="41"/>
      <c r="Z21" s="40">
        <v>15511</v>
      </c>
      <c r="AA21" s="41"/>
      <c r="AB21" s="40">
        <v>16185</v>
      </c>
      <c r="AC21" s="42"/>
      <c r="AD21" s="40">
        <v>16185</v>
      </c>
      <c r="AE21" s="42"/>
    </row>
    <row r="22" spans="2:43" ht="15" customHeight="1" thickBot="1" x14ac:dyDescent="0.35">
      <c r="M22" s="4"/>
      <c r="Q22" s="54"/>
      <c r="R22" s="55">
        <v>1795.5</v>
      </c>
      <c r="S22" s="55"/>
      <c r="T22" s="55">
        <v>2474</v>
      </c>
      <c r="U22" s="55"/>
      <c r="V22" s="55">
        <v>3117.5</v>
      </c>
      <c r="W22" s="55"/>
      <c r="X22" s="55">
        <v>7336.5</v>
      </c>
      <c r="Y22" s="55"/>
      <c r="Z22" s="55">
        <v>4838.5</v>
      </c>
      <c r="AA22" s="55"/>
      <c r="AB22" s="55">
        <v>3415.5</v>
      </c>
      <c r="AC22" s="56"/>
      <c r="AD22" s="55">
        <v>77.5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2900</v>
      </c>
      <c r="S24" s="60"/>
      <c r="T24" s="60">
        <f>IF(T16&gt;0,T16-T20,"")</f>
        <v>7826</v>
      </c>
      <c r="U24" s="60"/>
      <c r="V24" s="60">
        <f>IF(V16&gt;0,V16-V20,"")</f>
        <v>13457</v>
      </c>
      <c r="W24" s="60"/>
      <c r="X24" s="60">
        <f>IF(X16&gt;0,X16-X20,"")</f>
        <v>8937</v>
      </c>
      <c r="Y24" s="60"/>
      <c r="Z24" s="60">
        <f>IF(Z16&gt;0,Z16-Z20,"")</f>
        <v>8755</v>
      </c>
      <c r="AA24" s="60"/>
      <c r="AB24" s="60">
        <f>IF(AB16&gt;0,AB16-AB20,"")</f>
        <v>1924</v>
      </c>
      <c r="AC24" s="61"/>
      <c r="AD24" s="60">
        <f>IF(AD16&gt;0,AD16-AD20,"")</f>
        <v>1769</v>
      </c>
      <c r="AE24" s="61"/>
    </row>
    <row r="25" spans="2:43" x14ac:dyDescent="0.3">
      <c r="M25" s="4"/>
      <c r="Q25" s="62"/>
      <c r="R25" s="63">
        <f>IF(R17&gt;=0,R17-R21,"")</f>
        <v>-1378</v>
      </c>
      <c r="S25" s="64"/>
      <c r="T25" s="63">
        <f>IF(T17&gt;=0,T17-T21,"")</f>
        <v>-59</v>
      </c>
      <c r="U25" s="64"/>
      <c r="V25" s="63">
        <f>IF(V17&gt;=0,V17-V21,"")</f>
        <v>-332</v>
      </c>
      <c r="W25" s="64"/>
      <c r="X25" s="63">
        <f>IF(X17&gt;=0,X17-X21,"")</f>
        <v>1245</v>
      </c>
      <c r="Y25" s="64"/>
      <c r="Z25" s="63">
        <f>IF(Z17&gt;=0,Z17-Z21,"")</f>
        <v>617</v>
      </c>
      <c r="AA25" s="64"/>
      <c r="AB25" s="63">
        <f>IF(AB17&gt;=0,AB17-AB21,"")</f>
        <v>-57</v>
      </c>
      <c r="AC25" s="65"/>
      <c r="AD25" s="63">
        <f>IF(AD17&gt;=0,AD17-AD21,"")</f>
        <v>-57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1450</v>
      </c>
      <c r="S26" s="55"/>
      <c r="T26" s="67">
        <f>IFERROR(IF(T18&gt;0,T18-T22,""),"")</f>
        <v>2463</v>
      </c>
      <c r="U26" s="55"/>
      <c r="V26" s="67">
        <f>IFERROR(IF(V18&gt;0,V18-V22,""),"")</f>
        <v>2815.5</v>
      </c>
      <c r="W26" s="55"/>
      <c r="X26" s="67">
        <f>IFERROR(IF(X18&gt;0,X18-X22,""),"")</f>
        <v>-2260</v>
      </c>
      <c r="Y26" s="55"/>
      <c r="Z26" s="67">
        <f>IFERROR(IF(Z18&gt;0,Z18-Z22,""),"")</f>
        <v>-91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10178</v>
      </c>
      <c r="D29" s="76">
        <f>C14</f>
        <v>11071</v>
      </c>
      <c r="E29" s="77">
        <f>D29-C29</f>
        <v>893</v>
      </c>
      <c r="O29" s="4"/>
    </row>
    <row r="30" spans="2:43" x14ac:dyDescent="0.3">
      <c r="B30" s="74" t="s">
        <v>56</v>
      </c>
      <c r="C30" s="122">
        <v>37949</v>
      </c>
      <c r="D30" s="76">
        <f>C7+C15+C16+C17+C18</f>
        <v>21941</v>
      </c>
      <c r="E30" s="77">
        <f>D30-C30</f>
        <v>-16008</v>
      </c>
      <c r="J30" s="53"/>
      <c r="O30" s="4"/>
    </row>
    <row r="31" spans="2:43" x14ac:dyDescent="0.3">
      <c r="B31" s="74" t="s">
        <v>21</v>
      </c>
      <c r="C31" s="122">
        <v>4164</v>
      </c>
      <c r="D31" s="76">
        <f>C6</f>
        <v>4164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13514</v>
      </c>
      <c r="D32" s="76">
        <f>C10+C11+C12+C13</f>
        <v>13514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14475</v>
      </c>
      <c r="D33" s="76">
        <f>C19+C20+C21</f>
        <v>14377</v>
      </c>
      <c r="E33" s="77">
        <f>D33-C33</f>
        <v>-98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4136</v>
      </c>
      <c r="D34" s="80">
        <f>SUM(C8+C9)</f>
        <v>4136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1071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2.5</v>
      </c>
      <c r="V35" s="104">
        <v>5</v>
      </c>
      <c r="W35" s="104">
        <f t="shared" ref="W35:W64" si="3">IF(X35&gt;0,(X35-V35)/2,"")</f>
        <v>13.5</v>
      </c>
      <c r="X35" s="104">
        <v>32</v>
      </c>
      <c r="Y35" s="104">
        <f t="shared" ref="Y35:Y64" si="4">IF(Z35&gt;0,(Z35-X35)/2,"")</f>
        <v>0</v>
      </c>
      <c r="Z35" s="104">
        <v>32</v>
      </c>
      <c r="AA35" s="104">
        <f t="shared" ref="AA35:AA64" si="5">IF(AB35&gt;0,(AB35-Z35)/2,"")</f>
        <v>0</v>
      </c>
      <c r="AB35" s="104">
        <v>32</v>
      </c>
      <c r="AC35" s="104">
        <f t="shared" ref="AC35:AC64" si="6">IF(AD35&gt;0,(AD35-AB35)/2,"")</f>
        <v>0</v>
      </c>
      <c r="AD35" s="104">
        <v>32</v>
      </c>
      <c r="AE35" s="105">
        <f t="shared" ref="AE35:AE64" si="7">AD35-Q35</f>
        <v>-1039</v>
      </c>
    </row>
    <row r="36" spans="2:31" ht="15.6" customHeight="1" x14ac:dyDescent="0.3">
      <c r="N36" s="212"/>
      <c r="O36" s="95" t="s">
        <v>66</v>
      </c>
      <c r="P36" s="106"/>
      <c r="Q36" s="106">
        <v>1713</v>
      </c>
      <c r="R36" s="106">
        <v>0</v>
      </c>
      <c r="S36" s="106">
        <f t="shared" si="1"/>
        <v>302.5</v>
      </c>
      <c r="T36" s="106">
        <v>605</v>
      </c>
      <c r="U36" s="106">
        <f t="shared" si="2"/>
        <v>7</v>
      </c>
      <c r="V36" s="106">
        <v>619</v>
      </c>
      <c r="W36" s="106">
        <f t="shared" si="3"/>
        <v>9</v>
      </c>
      <c r="X36" s="106">
        <v>637</v>
      </c>
      <c r="Y36" s="106">
        <f t="shared" si="4"/>
        <v>0</v>
      </c>
      <c r="Z36" s="106">
        <v>637</v>
      </c>
      <c r="AA36" s="106">
        <f t="shared" si="5"/>
        <v>0</v>
      </c>
      <c r="AB36" s="106">
        <v>637</v>
      </c>
      <c r="AC36" s="106">
        <f t="shared" si="6"/>
        <v>0</v>
      </c>
      <c r="AD36" s="106">
        <v>637</v>
      </c>
      <c r="AE36" s="107">
        <f t="shared" si="7"/>
        <v>-1076</v>
      </c>
    </row>
    <row r="37" spans="2:31" ht="15.6" customHeight="1" x14ac:dyDescent="0.3">
      <c r="N37" s="212"/>
      <c r="O37" s="94" t="s">
        <v>67</v>
      </c>
      <c r="P37" s="108"/>
      <c r="Q37" s="108">
        <v>3927</v>
      </c>
      <c r="R37" s="108">
        <v>0</v>
      </c>
      <c r="S37" s="108">
        <f t="shared" si="1"/>
        <v>606.5</v>
      </c>
      <c r="T37" s="108">
        <v>1213</v>
      </c>
      <c r="U37" s="108">
        <f t="shared" si="2"/>
        <v>-171</v>
      </c>
      <c r="V37" s="108">
        <v>871</v>
      </c>
      <c r="W37" s="108">
        <f t="shared" si="3"/>
        <v>271</v>
      </c>
      <c r="X37" s="108">
        <v>1413</v>
      </c>
      <c r="Y37" s="108">
        <f t="shared" si="4"/>
        <v>314.5</v>
      </c>
      <c r="Z37" s="108">
        <v>2042</v>
      </c>
      <c r="AA37" s="108">
        <f t="shared" si="5"/>
        <v>0</v>
      </c>
      <c r="AB37" s="108">
        <v>2042</v>
      </c>
      <c r="AC37" s="108">
        <f t="shared" si="6"/>
        <v>0</v>
      </c>
      <c r="AD37" s="108">
        <v>2042</v>
      </c>
      <c r="AE37" s="109">
        <f t="shared" si="7"/>
        <v>-1885</v>
      </c>
    </row>
    <row r="38" spans="2:31" ht="15.6" customHeight="1" x14ac:dyDescent="0.3">
      <c r="N38" s="212"/>
      <c r="O38" s="95" t="s">
        <v>68</v>
      </c>
      <c r="P38" s="106"/>
      <c r="Q38" s="106">
        <v>3872</v>
      </c>
      <c r="R38" s="106">
        <v>0</v>
      </c>
      <c r="S38" s="106">
        <f t="shared" si="1"/>
        <v>376</v>
      </c>
      <c r="T38" s="106">
        <v>752</v>
      </c>
      <c r="U38" s="106">
        <f t="shared" si="2"/>
        <v>231.5</v>
      </c>
      <c r="V38" s="106">
        <v>1215</v>
      </c>
      <c r="W38" s="106">
        <f t="shared" si="3"/>
        <v>556</v>
      </c>
      <c r="X38" s="106">
        <v>2327</v>
      </c>
      <c r="Y38" s="106">
        <f t="shared" si="4"/>
        <v>311.5</v>
      </c>
      <c r="Z38" s="106">
        <v>2950</v>
      </c>
      <c r="AA38" s="106">
        <f t="shared" si="5"/>
        <v>0</v>
      </c>
      <c r="AB38" s="106">
        <v>2950</v>
      </c>
      <c r="AC38" s="106">
        <f t="shared" si="6"/>
        <v>0</v>
      </c>
      <c r="AD38" s="106">
        <v>2950</v>
      </c>
      <c r="AE38" s="107">
        <f t="shared" si="7"/>
        <v>-922</v>
      </c>
    </row>
    <row r="39" spans="2:31" ht="15.6" customHeight="1" x14ac:dyDescent="0.3">
      <c r="N39" s="212"/>
      <c r="O39" s="94" t="s">
        <v>69</v>
      </c>
      <c r="P39" s="108"/>
      <c r="Q39" s="108">
        <v>2584</v>
      </c>
      <c r="R39" s="108">
        <v>11</v>
      </c>
      <c r="S39" s="108">
        <f t="shared" si="1"/>
        <v>0</v>
      </c>
      <c r="T39" s="108">
        <v>11</v>
      </c>
      <c r="U39" s="108">
        <f t="shared" si="2"/>
        <v>0</v>
      </c>
      <c r="V39" s="108">
        <v>11</v>
      </c>
      <c r="W39" s="108">
        <f t="shared" si="3"/>
        <v>144</v>
      </c>
      <c r="X39" s="108">
        <v>299</v>
      </c>
      <c r="Y39" s="108">
        <f t="shared" si="4"/>
        <v>752.5</v>
      </c>
      <c r="Z39" s="108">
        <v>1804</v>
      </c>
      <c r="AA39" s="108">
        <f t="shared" si="5"/>
        <v>0</v>
      </c>
      <c r="AB39" s="108">
        <v>1804</v>
      </c>
      <c r="AC39" s="108">
        <f t="shared" si="6"/>
        <v>0</v>
      </c>
      <c r="AD39" s="108">
        <v>1804</v>
      </c>
      <c r="AE39" s="109">
        <f t="shared" si="7"/>
        <v>-780</v>
      </c>
    </row>
    <row r="40" spans="2:31" ht="15.6" customHeight="1" x14ac:dyDescent="0.3">
      <c r="N40" s="212"/>
      <c r="O40" s="95" t="s">
        <v>70</v>
      </c>
      <c r="P40" s="106"/>
      <c r="Q40" s="106">
        <v>3419</v>
      </c>
      <c r="R40" s="106">
        <v>11</v>
      </c>
      <c r="S40" s="106">
        <f t="shared" si="1"/>
        <v>478.5</v>
      </c>
      <c r="T40" s="106">
        <v>968</v>
      </c>
      <c r="U40" s="106">
        <f t="shared" si="2"/>
        <v>0</v>
      </c>
      <c r="V40" s="106">
        <v>968</v>
      </c>
      <c r="W40" s="106">
        <f t="shared" si="3"/>
        <v>202.5</v>
      </c>
      <c r="X40" s="106">
        <v>1373</v>
      </c>
      <c r="Y40" s="106">
        <f t="shared" si="4"/>
        <v>454</v>
      </c>
      <c r="Z40" s="106">
        <v>2281</v>
      </c>
      <c r="AA40" s="106">
        <f t="shared" si="5"/>
        <v>0</v>
      </c>
      <c r="AB40" s="106">
        <v>2281</v>
      </c>
      <c r="AC40" s="106">
        <f t="shared" si="6"/>
        <v>0</v>
      </c>
      <c r="AD40" s="106">
        <v>2281</v>
      </c>
      <c r="AE40" s="107">
        <f t="shared" si="7"/>
        <v>-1138</v>
      </c>
    </row>
    <row r="41" spans="2:31" ht="15.6" customHeight="1" x14ac:dyDescent="0.3">
      <c r="N41" s="212"/>
      <c r="O41" s="94" t="s">
        <v>71</v>
      </c>
      <c r="P41" s="108"/>
      <c r="Q41" s="108">
        <v>1166</v>
      </c>
      <c r="R41" s="108">
        <v>0</v>
      </c>
      <c r="S41" s="108">
        <f t="shared" si="1"/>
        <v>251.5</v>
      </c>
      <c r="T41" s="108">
        <v>503</v>
      </c>
      <c r="U41" s="108">
        <f t="shared" si="2"/>
        <v>159.5</v>
      </c>
      <c r="V41" s="108">
        <v>822</v>
      </c>
      <c r="W41" s="108">
        <f t="shared" si="3"/>
        <v>198.5</v>
      </c>
      <c r="X41" s="108">
        <v>1219</v>
      </c>
      <c r="Y41" s="108">
        <f t="shared" si="4"/>
        <v>0</v>
      </c>
      <c r="Z41" s="108">
        <v>1219</v>
      </c>
      <c r="AA41" s="108">
        <f t="shared" si="5"/>
        <v>0</v>
      </c>
      <c r="AB41" s="108">
        <v>1219</v>
      </c>
      <c r="AC41" s="108">
        <f t="shared" si="6"/>
        <v>0</v>
      </c>
      <c r="AD41" s="108">
        <v>1219</v>
      </c>
      <c r="AE41" s="109">
        <f t="shared" si="7"/>
        <v>53</v>
      </c>
    </row>
    <row r="42" spans="2:31" ht="15.6" customHeight="1" x14ac:dyDescent="0.3">
      <c r="N42" s="212"/>
      <c r="O42" s="95" t="s">
        <v>72</v>
      </c>
      <c r="P42" s="106"/>
      <c r="Q42" s="106">
        <v>1746</v>
      </c>
      <c r="R42" s="106">
        <v>0</v>
      </c>
      <c r="S42" s="106">
        <f t="shared" si="1"/>
        <v>369.5</v>
      </c>
      <c r="T42" s="106">
        <v>739</v>
      </c>
      <c r="U42" s="106">
        <f t="shared" si="2"/>
        <v>223.5</v>
      </c>
      <c r="V42" s="106">
        <v>1186</v>
      </c>
      <c r="W42" s="106">
        <f t="shared" si="3"/>
        <v>5</v>
      </c>
      <c r="X42" s="106">
        <v>1196</v>
      </c>
      <c r="Y42" s="106">
        <f t="shared" si="4"/>
        <v>51</v>
      </c>
      <c r="Z42" s="106">
        <v>1298</v>
      </c>
      <c r="AA42" s="106">
        <f t="shared" si="5"/>
        <v>0</v>
      </c>
      <c r="AB42" s="106">
        <v>1298</v>
      </c>
      <c r="AC42" s="106">
        <f t="shared" si="6"/>
        <v>0</v>
      </c>
      <c r="AD42" s="106">
        <v>1298</v>
      </c>
      <c r="AE42" s="107">
        <f t="shared" si="7"/>
        <v>-448</v>
      </c>
    </row>
    <row r="43" spans="2:31" ht="15.6" customHeight="1" thickBot="1" x14ac:dyDescent="0.35">
      <c r="N43" s="213"/>
      <c r="O43" s="97" t="s">
        <v>73</v>
      </c>
      <c r="P43" s="110"/>
      <c r="Q43" s="110">
        <v>1768</v>
      </c>
      <c r="R43" s="110">
        <v>0</v>
      </c>
      <c r="S43" s="110">
        <f t="shared" si="1"/>
        <v>292.5</v>
      </c>
      <c r="T43" s="110">
        <v>585</v>
      </c>
      <c r="U43" s="110">
        <f t="shared" si="2"/>
        <v>-167.5</v>
      </c>
      <c r="V43" s="110">
        <v>250</v>
      </c>
      <c r="W43" s="110">
        <f t="shared" si="3"/>
        <v>4.5</v>
      </c>
      <c r="X43" s="110">
        <v>259</v>
      </c>
      <c r="Y43" s="110">
        <f t="shared" si="4"/>
        <v>0</v>
      </c>
      <c r="Z43" s="110">
        <v>259</v>
      </c>
      <c r="AA43" s="110">
        <f t="shared" si="5"/>
        <v>0</v>
      </c>
      <c r="AB43" s="110">
        <v>259</v>
      </c>
      <c r="AC43" s="110">
        <f t="shared" si="6"/>
        <v>0</v>
      </c>
      <c r="AD43" s="110">
        <v>259</v>
      </c>
      <c r="AE43" s="111">
        <f t="shared" si="7"/>
        <v>-1509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2908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942.5</v>
      </c>
      <c r="V44" s="112">
        <v>1885</v>
      </c>
      <c r="W44" s="112">
        <f t="shared" si="3"/>
        <v>511.5</v>
      </c>
      <c r="X44" s="112">
        <v>2908</v>
      </c>
      <c r="Y44" s="112">
        <f t="shared" si="4"/>
        <v>0</v>
      </c>
      <c r="Z44" s="112">
        <v>2908</v>
      </c>
      <c r="AA44" s="112">
        <f t="shared" si="5"/>
        <v>0</v>
      </c>
      <c r="AB44" s="112">
        <v>2908</v>
      </c>
      <c r="AC44" s="112">
        <f t="shared" si="6"/>
        <v>0</v>
      </c>
      <c r="AD44" s="112">
        <v>2908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2325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515</v>
      </c>
      <c r="V45" s="108">
        <v>1030</v>
      </c>
      <c r="W45" s="108">
        <f t="shared" si="3"/>
        <v>647.5</v>
      </c>
      <c r="X45" s="108">
        <v>2325</v>
      </c>
      <c r="Y45" s="108">
        <f t="shared" si="4"/>
        <v>0</v>
      </c>
      <c r="Z45" s="108">
        <v>2325</v>
      </c>
      <c r="AA45" s="108">
        <f t="shared" si="5"/>
        <v>0</v>
      </c>
      <c r="AB45" s="108">
        <v>2325</v>
      </c>
      <c r="AC45" s="108">
        <f t="shared" si="6"/>
        <v>0</v>
      </c>
      <c r="AD45" s="108">
        <v>2325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2613</v>
      </c>
      <c r="R46" s="106">
        <v>10</v>
      </c>
      <c r="S46" s="106">
        <f t="shared" si="1"/>
        <v>0</v>
      </c>
      <c r="T46" s="106">
        <v>10</v>
      </c>
      <c r="U46" s="106">
        <f t="shared" si="2"/>
        <v>722.5</v>
      </c>
      <c r="V46" s="106">
        <v>1455</v>
      </c>
      <c r="W46" s="106">
        <f t="shared" si="3"/>
        <v>0</v>
      </c>
      <c r="X46" s="106">
        <v>1455</v>
      </c>
      <c r="Y46" s="106">
        <f t="shared" si="4"/>
        <v>0</v>
      </c>
      <c r="Z46" s="106">
        <v>1455</v>
      </c>
      <c r="AA46" s="106">
        <f t="shared" si="5"/>
        <v>0</v>
      </c>
      <c r="AB46" s="106">
        <v>1455</v>
      </c>
      <c r="AC46" s="106">
        <f t="shared" si="6"/>
        <v>0</v>
      </c>
      <c r="AD46" s="106">
        <v>1455</v>
      </c>
      <c r="AE46" s="107">
        <f t="shared" si="7"/>
        <v>-1158</v>
      </c>
    </row>
    <row r="47" spans="2:31" ht="15.6" customHeight="1" thickBot="1" x14ac:dyDescent="0.35">
      <c r="N47" s="213"/>
      <c r="O47" s="97" t="s">
        <v>68</v>
      </c>
      <c r="P47" s="110"/>
      <c r="Q47" s="110">
        <v>3019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764.5</v>
      </c>
      <c r="V47" s="110">
        <v>1529</v>
      </c>
      <c r="W47" s="110">
        <f t="shared" si="3"/>
        <v>745</v>
      </c>
      <c r="X47" s="110">
        <v>3019</v>
      </c>
      <c r="Y47" s="110">
        <f t="shared" si="4"/>
        <v>0</v>
      </c>
      <c r="Z47" s="110">
        <v>3019</v>
      </c>
      <c r="AA47" s="110">
        <f t="shared" si="5"/>
        <v>0</v>
      </c>
      <c r="AB47" s="110">
        <v>3019</v>
      </c>
      <c r="AC47" s="110">
        <f t="shared" si="6"/>
        <v>0</v>
      </c>
      <c r="AD47" s="110">
        <v>3019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3224</v>
      </c>
      <c r="R48" s="112">
        <v>480</v>
      </c>
      <c r="S48" s="112">
        <f t="shared" si="1"/>
        <v>449</v>
      </c>
      <c r="T48" s="112">
        <v>1378</v>
      </c>
      <c r="U48" s="112">
        <f t="shared" si="2"/>
        <v>0</v>
      </c>
      <c r="V48" s="112">
        <v>1378</v>
      </c>
      <c r="W48" s="112">
        <f t="shared" si="3"/>
        <v>0</v>
      </c>
      <c r="X48" s="112">
        <v>1378</v>
      </c>
      <c r="Y48" s="112">
        <f t="shared" si="4"/>
        <v>508.5</v>
      </c>
      <c r="Z48" s="112">
        <v>2395</v>
      </c>
      <c r="AA48" s="112">
        <f t="shared" si="5"/>
        <v>64</v>
      </c>
      <c r="AB48" s="112">
        <v>2523</v>
      </c>
      <c r="AC48" s="112">
        <f t="shared" si="6"/>
        <v>0</v>
      </c>
      <c r="AD48" s="112">
        <v>2523</v>
      </c>
      <c r="AE48" s="113">
        <f t="shared" si="7"/>
        <v>-701</v>
      </c>
    </row>
    <row r="49" spans="14:31" ht="15.6" customHeight="1" x14ac:dyDescent="0.3">
      <c r="N49" s="212"/>
      <c r="O49" s="94" t="s">
        <v>66</v>
      </c>
      <c r="P49" s="108"/>
      <c r="Q49" s="108">
        <v>2795</v>
      </c>
      <c r="R49" s="108">
        <v>900</v>
      </c>
      <c r="S49" s="108">
        <f t="shared" si="1"/>
        <v>233</v>
      </c>
      <c r="T49" s="108">
        <v>1366</v>
      </c>
      <c r="U49" s="108">
        <f t="shared" si="2"/>
        <v>500</v>
      </c>
      <c r="V49" s="108">
        <v>2366</v>
      </c>
      <c r="W49" s="108">
        <f t="shared" si="3"/>
        <v>0</v>
      </c>
      <c r="X49" s="108">
        <v>2366</v>
      </c>
      <c r="Y49" s="108">
        <f t="shared" si="4"/>
        <v>129.5</v>
      </c>
      <c r="Z49" s="108">
        <v>2625</v>
      </c>
      <c r="AA49" s="108">
        <f t="shared" si="5"/>
        <v>81</v>
      </c>
      <c r="AB49" s="108">
        <v>2787</v>
      </c>
      <c r="AC49" s="108">
        <f t="shared" si="6"/>
        <v>0</v>
      </c>
      <c r="AD49" s="108">
        <v>2787</v>
      </c>
      <c r="AE49" s="109">
        <f t="shared" si="7"/>
        <v>-8</v>
      </c>
    </row>
    <row r="50" spans="14:31" ht="15.6" customHeight="1" x14ac:dyDescent="0.3">
      <c r="N50" s="212"/>
      <c r="O50" s="95" t="s">
        <v>67</v>
      </c>
      <c r="P50" s="106"/>
      <c r="Q50" s="106">
        <v>2247</v>
      </c>
      <c r="R50" s="106">
        <v>0</v>
      </c>
      <c r="S50" s="106">
        <f t="shared" si="1"/>
        <v>248</v>
      </c>
      <c r="T50" s="106">
        <v>496</v>
      </c>
      <c r="U50" s="106">
        <f t="shared" si="2"/>
        <v>124</v>
      </c>
      <c r="V50" s="106">
        <v>744</v>
      </c>
      <c r="W50" s="106">
        <f t="shared" si="3"/>
        <v>-69.5</v>
      </c>
      <c r="X50" s="106">
        <v>605</v>
      </c>
      <c r="Y50" s="106">
        <f t="shared" si="4"/>
        <v>181</v>
      </c>
      <c r="Z50" s="106">
        <v>967</v>
      </c>
      <c r="AA50" s="106">
        <f t="shared" si="5"/>
        <v>0</v>
      </c>
      <c r="AB50" s="106">
        <v>967</v>
      </c>
      <c r="AC50" s="106">
        <f t="shared" si="6"/>
        <v>0</v>
      </c>
      <c r="AD50" s="106">
        <v>967</v>
      </c>
      <c r="AE50" s="107">
        <f t="shared" si="7"/>
        <v>-1280</v>
      </c>
    </row>
    <row r="51" spans="14:31" ht="15.6" customHeight="1" x14ac:dyDescent="0.3">
      <c r="N51" s="212"/>
      <c r="O51" s="94" t="s">
        <v>68</v>
      </c>
      <c r="P51" s="108"/>
      <c r="Q51" s="108">
        <v>3013</v>
      </c>
      <c r="R51" s="108">
        <v>25</v>
      </c>
      <c r="S51" s="108">
        <f t="shared" si="1"/>
        <v>62.5</v>
      </c>
      <c r="T51" s="108">
        <v>150</v>
      </c>
      <c r="U51" s="108">
        <f t="shared" si="2"/>
        <v>269.5</v>
      </c>
      <c r="V51" s="108">
        <v>689</v>
      </c>
      <c r="W51" s="108">
        <f t="shared" si="3"/>
        <v>425.5</v>
      </c>
      <c r="X51" s="108">
        <v>1540</v>
      </c>
      <c r="Y51" s="108">
        <f t="shared" si="4"/>
        <v>81</v>
      </c>
      <c r="Z51" s="108">
        <v>1702</v>
      </c>
      <c r="AA51" s="108">
        <f t="shared" si="5"/>
        <v>0</v>
      </c>
      <c r="AB51" s="108">
        <v>1702</v>
      </c>
      <c r="AC51" s="108">
        <f t="shared" si="6"/>
        <v>0</v>
      </c>
      <c r="AD51" s="108">
        <v>1702</v>
      </c>
      <c r="AE51" s="109">
        <f t="shared" si="7"/>
        <v>-1311</v>
      </c>
    </row>
    <row r="52" spans="14:31" ht="15.6" customHeight="1" x14ac:dyDescent="0.3">
      <c r="N52" s="212"/>
      <c r="O52" s="95" t="s">
        <v>69</v>
      </c>
      <c r="P52" s="106"/>
      <c r="Q52" s="106">
        <v>1380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361.5</v>
      </c>
      <c r="V52" s="106">
        <v>723</v>
      </c>
      <c r="W52" s="106">
        <f t="shared" si="3"/>
        <v>7.5</v>
      </c>
      <c r="X52" s="106">
        <v>738</v>
      </c>
      <c r="Y52" s="106">
        <f t="shared" si="4"/>
        <v>80</v>
      </c>
      <c r="Z52" s="106">
        <v>898</v>
      </c>
      <c r="AA52" s="106">
        <f t="shared" si="5"/>
        <v>0</v>
      </c>
      <c r="AB52" s="106">
        <v>898</v>
      </c>
      <c r="AC52" s="106">
        <f t="shared" si="6"/>
        <v>0</v>
      </c>
      <c r="AD52" s="106">
        <v>898</v>
      </c>
      <c r="AE52" s="107">
        <f t="shared" si="7"/>
        <v>-482</v>
      </c>
    </row>
    <row r="53" spans="14:31" ht="15.6" customHeight="1" x14ac:dyDescent="0.3">
      <c r="N53" s="212"/>
      <c r="O53" s="94" t="s">
        <v>70</v>
      </c>
      <c r="P53" s="108"/>
      <c r="Q53" s="108">
        <v>5255</v>
      </c>
      <c r="R53" s="108">
        <v>1360</v>
      </c>
      <c r="S53" s="108">
        <f t="shared" si="1"/>
        <v>251.5</v>
      </c>
      <c r="T53" s="108">
        <v>1863</v>
      </c>
      <c r="U53" s="108">
        <f t="shared" si="2"/>
        <v>132</v>
      </c>
      <c r="V53" s="108">
        <v>2127</v>
      </c>
      <c r="W53" s="108">
        <f t="shared" si="3"/>
        <v>409.5</v>
      </c>
      <c r="X53" s="108">
        <v>2946</v>
      </c>
      <c r="Y53" s="108">
        <f t="shared" si="4"/>
        <v>493.5</v>
      </c>
      <c r="Z53" s="108">
        <v>3933</v>
      </c>
      <c r="AA53" s="108">
        <f t="shared" si="5"/>
        <v>134</v>
      </c>
      <c r="AB53" s="108">
        <v>4201</v>
      </c>
      <c r="AC53" s="108">
        <f t="shared" si="6"/>
        <v>0</v>
      </c>
      <c r="AD53" s="108">
        <v>4201</v>
      </c>
      <c r="AE53" s="109">
        <f t="shared" si="7"/>
        <v>-1054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3680</v>
      </c>
      <c r="R55" s="108">
        <v>1219</v>
      </c>
      <c r="S55" s="108">
        <f t="shared" si="1"/>
        <v>0</v>
      </c>
      <c r="T55" s="108">
        <v>1219</v>
      </c>
      <c r="U55" s="108">
        <f t="shared" si="2"/>
        <v>600</v>
      </c>
      <c r="V55" s="108">
        <v>2419</v>
      </c>
      <c r="W55" s="108">
        <f t="shared" si="3"/>
        <v>0</v>
      </c>
      <c r="X55" s="108">
        <v>2419</v>
      </c>
      <c r="Y55" s="108">
        <f t="shared" si="4"/>
        <v>495.5</v>
      </c>
      <c r="Z55" s="108">
        <v>3410</v>
      </c>
      <c r="AA55" s="108">
        <f t="shared" si="5"/>
        <v>41.5</v>
      </c>
      <c r="AB55" s="108">
        <v>3493</v>
      </c>
      <c r="AC55" s="108">
        <f t="shared" si="6"/>
        <v>0</v>
      </c>
      <c r="AD55" s="108">
        <v>3493</v>
      </c>
      <c r="AE55" s="109">
        <f t="shared" si="7"/>
        <v>-187</v>
      </c>
    </row>
    <row r="56" spans="14:31" ht="15.6" customHeight="1" thickBot="1" x14ac:dyDescent="0.35">
      <c r="N56" s="213"/>
      <c r="O56" s="99" t="s">
        <v>73</v>
      </c>
      <c r="P56" s="114"/>
      <c r="Q56" s="114">
        <v>3236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186</v>
      </c>
      <c r="X56" s="114">
        <v>372</v>
      </c>
      <c r="Y56" s="114">
        <f t="shared" si="4"/>
        <v>337.5</v>
      </c>
      <c r="Z56" s="114">
        <v>1047</v>
      </c>
      <c r="AA56" s="114">
        <f t="shared" si="5"/>
        <v>0</v>
      </c>
      <c r="AB56" s="114">
        <v>1047</v>
      </c>
      <c r="AC56" s="114">
        <f t="shared" si="6"/>
        <v>0</v>
      </c>
      <c r="AD56" s="114">
        <v>1047</v>
      </c>
      <c r="AE56" s="115">
        <f t="shared" si="7"/>
        <v>-2189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3786</v>
      </c>
      <c r="R57" s="104">
        <v>413</v>
      </c>
      <c r="S57" s="104">
        <f t="shared" si="1"/>
        <v>13</v>
      </c>
      <c r="T57" s="104">
        <v>439</v>
      </c>
      <c r="U57" s="104">
        <f t="shared" si="2"/>
        <v>68.5</v>
      </c>
      <c r="V57" s="104">
        <v>576</v>
      </c>
      <c r="W57" s="104">
        <f t="shared" si="3"/>
        <v>3</v>
      </c>
      <c r="X57" s="104">
        <v>582</v>
      </c>
      <c r="Y57" s="104">
        <f t="shared" si="4"/>
        <v>0</v>
      </c>
      <c r="Z57" s="104">
        <v>582</v>
      </c>
      <c r="AA57" s="104">
        <f t="shared" si="5"/>
        <v>364.5</v>
      </c>
      <c r="AB57" s="104">
        <v>1311</v>
      </c>
      <c r="AC57" s="104">
        <f t="shared" si="6"/>
        <v>0</v>
      </c>
      <c r="AD57" s="104">
        <v>1311</v>
      </c>
      <c r="AE57" s="105">
        <f t="shared" si="7"/>
        <v>-2475</v>
      </c>
    </row>
    <row r="58" spans="14:31" ht="15.6" customHeight="1" x14ac:dyDescent="0.3">
      <c r="N58" s="212"/>
      <c r="O58" s="95" t="s">
        <v>66</v>
      </c>
      <c r="P58" s="106"/>
      <c r="Q58" s="106">
        <v>3615</v>
      </c>
      <c r="R58" s="106">
        <v>926</v>
      </c>
      <c r="S58" s="106">
        <f t="shared" si="1"/>
        <v>511.5</v>
      </c>
      <c r="T58" s="106">
        <v>1949</v>
      </c>
      <c r="U58" s="106">
        <f t="shared" si="2"/>
        <v>224.5</v>
      </c>
      <c r="V58" s="106">
        <v>2398</v>
      </c>
      <c r="W58" s="106">
        <f t="shared" si="3"/>
        <v>220.5</v>
      </c>
      <c r="X58" s="106">
        <v>2839</v>
      </c>
      <c r="Y58" s="106">
        <f t="shared" si="4"/>
        <v>0</v>
      </c>
      <c r="Z58" s="106">
        <v>2839</v>
      </c>
      <c r="AA58" s="106">
        <f t="shared" si="5"/>
        <v>530</v>
      </c>
      <c r="AB58" s="106">
        <v>3899</v>
      </c>
      <c r="AC58" s="106">
        <f t="shared" si="6"/>
        <v>0</v>
      </c>
      <c r="AD58" s="106">
        <v>3899</v>
      </c>
      <c r="AE58" s="107">
        <f t="shared" si="7"/>
        <v>284</v>
      </c>
    </row>
    <row r="59" spans="14:31" ht="15.6" customHeight="1" x14ac:dyDescent="0.3">
      <c r="N59" s="212"/>
      <c r="O59" s="94" t="s">
        <v>67</v>
      </c>
      <c r="P59" s="108"/>
      <c r="Q59" s="108">
        <v>6274</v>
      </c>
      <c r="R59" s="108">
        <v>399</v>
      </c>
      <c r="S59" s="108">
        <f t="shared" si="1"/>
        <v>-180.5</v>
      </c>
      <c r="T59" s="108">
        <v>38</v>
      </c>
      <c r="U59" s="108">
        <f t="shared" si="2"/>
        <v>0</v>
      </c>
      <c r="V59" s="108">
        <v>38</v>
      </c>
      <c r="W59" s="108">
        <f t="shared" si="3"/>
        <v>806</v>
      </c>
      <c r="X59" s="108">
        <v>1650</v>
      </c>
      <c r="Y59" s="108">
        <f t="shared" si="4"/>
        <v>1736</v>
      </c>
      <c r="Z59" s="108">
        <v>5122</v>
      </c>
      <c r="AA59" s="108">
        <f t="shared" si="5"/>
        <v>273</v>
      </c>
      <c r="AB59" s="108">
        <v>5668</v>
      </c>
      <c r="AC59" s="108">
        <f t="shared" si="6"/>
        <v>0</v>
      </c>
      <c r="AD59" s="108">
        <v>5668</v>
      </c>
      <c r="AE59" s="109">
        <f t="shared" si="7"/>
        <v>-606</v>
      </c>
    </row>
    <row r="60" spans="14:31" ht="15.6" customHeight="1" thickBot="1" x14ac:dyDescent="0.35">
      <c r="N60" s="213"/>
      <c r="O60" s="99" t="s">
        <v>68</v>
      </c>
      <c r="P60" s="114"/>
      <c r="Q60" s="114">
        <v>3627</v>
      </c>
      <c r="R60" s="114">
        <v>629</v>
      </c>
      <c r="S60" s="114">
        <f t="shared" si="1"/>
        <v>384.5</v>
      </c>
      <c r="T60" s="114">
        <v>1398</v>
      </c>
      <c r="U60" s="114">
        <f t="shared" si="2"/>
        <v>215</v>
      </c>
      <c r="V60" s="114">
        <v>1828</v>
      </c>
      <c r="W60" s="114">
        <f t="shared" si="3"/>
        <v>285.5</v>
      </c>
      <c r="X60" s="114">
        <v>2399</v>
      </c>
      <c r="Y60" s="114">
        <f t="shared" si="4"/>
        <v>0</v>
      </c>
      <c r="Z60" s="114">
        <v>2399</v>
      </c>
      <c r="AA60" s="114">
        <f t="shared" si="5"/>
        <v>187.5</v>
      </c>
      <c r="AB60" s="114">
        <v>2774</v>
      </c>
      <c r="AC60" s="114">
        <f t="shared" si="6"/>
        <v>0</v>
      </c>
      <c r="AD60" s="114">
        <v>2774</v>
      </c>
      <c r="AE60" s="115">
        <f t="shared" si="7"/>
        <v>-853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3526</v>
      </c>
      <c r="R61" s="104">
        <v>816</v>
      </c>
      <c r="S61" s="104">
        <f t="shared" si="1"/>
        <v>495</v>
      </c>
      <c r="T61" s="104">
        <v>1806</v>
      </c>
      <c r="U61" s="104">
        <f t="shared" si="2"/>
        <v>199</v>
      </c>
      <c r="V61" s="104">
        <v>2204</v>
      </c>
      <c r="W61" s="104">
        <f t="shared" si="3"/>
        <v>127.5</v>
      </c>
      <c r="X61" s="104">
        <v>2459</v>
      </c>
      <c r="Y61" s="104">
        <f t="shared" si="4"/>
        <v>0</v>
      </c>
      <c r="Z61" s="104">
        <v>2459</v>
      </c>
      <c r="AA61" s="104">
        <f t="shared" si="5"/>
        <v>0</v>
      </c>
      <c r="AB61" s="104">
        <v>2459</v>
      </c>
      <c r="AC61" s="104">
        <f t="shared" si="6"/>
        <v>0</v>
      </c>
      <c r="AD61" s="104">
        <v>2459</v>
      </c>
      <c r="AE61" s="105">
        <f t="shared" si="7"/>
        <v>-1067</v>
      </c>
    </row>
    <row r="62" spans="14:31" ht="15.6" customHeight="1" x14ac:dyDescent="0.3">
      <c r="N62" s="212"/>
      <c r="O62" s="95" t="s">
        <v>66</v>
      </c>
      <c r="P62" s="106"/>
      <c r="Q62" s="106">
        <v>2679</v>
      </c>
      <c r="R62" s="106">
        <v>264</v>
      </c>
      <c r="S62" s="106">
        <f t="shared" si="1"/>
        <v>234</v>
      </c>
      <c r="T62" s="106">
        <v>732</v>
      </c>
      <c r="U62" s="106">
        <f t="shared" si="2"/>
        <v>373</v>
      </c>
      <c r="V62" s="106">
        <v>1478</v>
      </c>
      <c r="W62" s="106">
        <f t="shared" si="3"/>
        <v>256.5</v>
      </c>
      <c r="X62" s="106">
        <v>1991</v>
      </c>
      <c r="Y62" s="106">
        <f t="shared" si="4"/>
        <v>0</v>
      </c>
      <c r="Z62" s="106">
        <v>1991</v>
      </c>
      <c r="AA62" s="106">
        <f t="shared" si="5"/>
        <v>0</v>
      </c>
      <c r="AB62" s="106">
        <v>1991</v>
      </c>
      <c r="AC62" s="106">
        <f t="shared" si="6"/>
        <v>0</v>
      </c>
      <c r="AD62" s="106">
        <v>1991</v>
      </c>
      <c r="AE62" s="107">
        <f t="shared" si="7"/>
        <v>-688</v>
      </c>
    </row>
    <row r="63" spans="14:31" ht="15.6" customHeight="1" x14ac:dyDescent="0.3">
      <c r="N63" s="212"/>
      <c r="O63" s="94" t="s">
        <v>67</v>
      </c>
      <c r="P63" s="108"/>
      <c r="Q63" s="108">
        <v>1529</v>
      </c>
      <c r="R63" s="108">
        <v>776</v>
      </c>
      <c r="S63" s="108">
        <f t="shared" si="1"/>
        <v>120</v>
      </c>
      <c r="T63" s="108">
        <v>1016</v>
      </c>
      <c r="U63" s="108">
        <f t="shared" si="2"/>
        <v>14</v>
      </c>
      <c r="V63" s="108">
        <v>1044</v>
      </c>
      <c r="W63" s="108">
        <f t="shared" si="3"/>
        <v>0</v>
      </c>
      <c r="X63" s="108">
        <v>1044</v>
      </c>
      <c r="Y63" s="108">
        <f t="shared" si="4"/>
        <v>0</v>
      </c>
      <c r="Z63" s="108">
        <v>1044</v>
      </c>
      <c r="AA63" s="108">
        <f t="shared" si="5"/>
        <v>0</v>
      </c>
      <c r="AB63" s="108">
        <v>1044</v>
      </c>
      <c r="AC63" s="108">
        <f t="shared" si="6"/>
        <v>0</v>
      </c>
      <c r="AD63" s="108">
        <v>1044</v>
      </c>
      <c r="AE63" s="109">
        <f t="shared" si="7"/>
        <v>-485</v>
      </c>
    </row>
    <row r="64" spans="14:31" ht="15.6" customHeight="1" thickBot="1" x14ac:dyDescent="0.35">
      <c r="N64" s="213"/>
      <c r="O64" s="99" t="s">
        <v>68</v>
      </c>
      <c r="P64" s="114"/>
      <c r="Q64" s="114">
        <v>2281</v>
      </c>
      <c r="R64" s="114">
        <v>321</v>
      </c>
      <c r="S64" s="114">
        <f t="shared" si="1"/>
        <v>635.5</v>
      </c>
      <c r="T64" s="114">
        <v>1592</v>
      </c>
      <c r="U64" s="114">
        <f t="shared" si="2"/>
        <v>72.5</v>
      </c>
      <c r="V64" s="114">
        <v>1737</v>
      </c>
      <c r="W64" s="114">
        <f t="shared" si="3"/>
        <v>18.5</v>
      </c>
      <c r="X64" s="114">
        <v>1774</v>
      </c>
      <c r="Y64" s="114">
        <f t="shared" si="4"/>
        <v>0</v>
      </c>
      <c r="Z64" s="114">
        <v>1774</v>
      </c>
      <c r="AA64" s="114">
        <f t="shared" si="5"/>
        <v>0</v>
      </c>
      <c r="AB64" s="114">
        <v>1774</v>
      </c>
      <c r="AC64" s="114">
        <f t="shared" si="6"/>
        <v>0</v>
      </c>
      <c r="AD64" s="114">
        <v>1774</v>
      </c>
      <c r="AE64" s="115">
        <f t="shared" si="7"/>
        <v>-507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83" priority="11" operator="lessThan">
      <formula>0</formula>
    </cfRule>
    <cfRule type="cellIs" dxfId="1282" priority="12" operator="greaterThan">
      <formula>0</formula>
    </cfRule>
  </conditionalFormatting>
  <conditionalFormatting sqref="R25:AC25">
    <cfRule type="cellIs" dxfId="1281" priority="9" operator="lessThan">
      <formula>0</formula>
    </cfRule>
    <cfRule type="cellIs" dxfId="1280" priority="10" operator="greaterThan">
      <formula>0</formula>
    </cfRule>
  </conditionalFormatting>
  <conditionalFormatting sqref="R26 T26 V26 X26 Z26 AB26">
    <cfRule type="cellIs" dxfId="1279" priority="7" operator="lessThan">
      <formula>0</formula>
    </cfRule>
    <cfRule type="cellIs" dxfId="1278" priority="8" operator="greaterThan">
      <formula>0</formula>
    </cfRule>
  </conditionalFormatting>
  <conditionalFormatting sqref="AD24:AE24">
    <cfRule type="cellIs" dxfId="1277" priority="5" operator="lessThan">
      <formula>0</formula>
    </cfRule>
    <cfRule type="cellIs" dxfId="1276" priority="6" operator="greaterThan">
      <formula>0</formula>
    </cfRule>
  </conditionalFormatting>
  <conditionalFormatting sqref="AD25:AE25">
    <cfRule type="cellIs" dxfId="1275" priority="3" operator="lessThan">
      <formula>0</formula>
    </cfRule>
    <cfRule type="cellIs" dxfId="1274" priority="4" operator="greaterThan">
      <formula>0</formula>
    </cfRule>
  </conditionalFormatting>
  <conditionalFormatting sqref="AD26">
    <cfRule type="cellIs" dxfId="1273" priority="1" operator="lessThan">
      <formula>0</formula>
    </cfRule>
    <cfRule type="cellIs" dxfId="12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44412</v>
      </c>
    </row>
    <row r="3" spans="2:42" ht="18.75" customHeight="1" thickBot="1" x14ac:dyDescent="0.35">
      <c r="B3" t="s">
        <v>1</v>
      </c>
      <c r="C3" s="3">
        <f>C2+1</f>
        <v>44413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20979</v>
      </c>
      <c r="G6" s="117">
        <v>17618.200375</v>
      </c>
      <c r="H6" s="117">
        <v>14468.52739170001</v>
      </c>
      <c r="I6" s="19">
        <f>G6+H6</f>
        <v>32086.727766700009</v>
      </c>
      <c r="J6" s="119">
        <v>20950</v>
      </c>
      <c r="K6" s="117">
        <v>17515.217375</v>
      </c>
      <c r="L6" s="117">
        <v>14620.258609160001</v>
      </c>
      <c r="M6" s="19">
        <f>K6+L6</f>
        <v>32135.475984160003</v>
      </c>
      <c r="N6" s="85">
        <v>65</v>
      </c>
      <c r="O6" s="85">
        <v>54</v>
      </c>
      <c r="P6" s="92"/>
      <c r="Q6" s="20">
        <f>J6-P6</f>
        <v>20950</v>
      </c>
      <c r="R6" s="21">
        <v>2887</v>
      </c>
      <c r="S6" s="20">
        <f>IF(R6&gt;0,(R6-R7-$Q6),"")</f>
        <v>-18063</v>
      </c>
      <c r="T6" s="21">
        <v>6341</v>
      </c>
      <c r="U6" s="20">
        <f>IF(T6&gt;0,(T6-T7-$Q6),"")</f>
        <v>-14614</v>
      </c>
      <c r="V6" s="21">
        <v>10815</v>
      </c>
      <c r="W6" s="20">
        <f>IF(V6&gt;0,(V6-V7-$Q6),"")</f>
        <v>-10151</v>
      </c>
      <c r="X6" s="21">
        <v>12474</v>
      </c>
      <c r="Y6" s="20">
        <f>IF(X6&gt;0,(X6-X7-$Q6),"")</f>
        <v>-8503</v>
      </c>
      <c r="Z6" s="21">
        <v>17262</v>
      </c>
      <c r="AA6" s="20">
        <f>IF(Z6&gt;0,(Z6-Z7-$Q6),"")</f>
        <v>-3734</v>
      </c>
      <c r="AB6" s="21">
        <v>20749</v>
      </c>
      <c r="AC6" s="22">
        <f>IF(AB6&gt;0,(AB6-AB7-$Q6),"")</f>
        <v>-273</v>
      </c>
      <c r="AD6" s="21">
        <v>20749</v>
      </c>
      <c r="AE6" s="22">
        <f>IF(AD6&gt;0,(AD6-AD7-$Q6),"")</f>
        <v>-273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0</v>
      </c>
      <c r="S7" s="24"/>
      <c r="T7" s="25">
        <v>5</v>
      </c>
      <c r="U7" s="24"/>
      <c r="V7" s="25">
        <v>16</v>
      </c>
      <c r="W7" s="24"/>
      <c r="X7" s="25">
        <v>27</v>
      </c>
      <c r="Y7" s="24"/>
      <c r="Z7" s="25">
        <v>46</v>
      </c>
      <c r="AA7" s="24"/>
      <c r="AB7" s="25">
        <v>72</v>
      </c>
      <c r="AC7" s="26"/>
      <c r="AD7" s="25">
        <v>72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2503</v>
      </c>
      <c r="E8" s="29" t="s">
        <v>27</v>
      </c>
      <c r="F8" s="119">
        <v>11919</v>
      </c>
      <c r="G8" s="117">
        <v>4921.1839999999993</v>
      </c>
      <c r="H8" s="117">
        <v>1482.8291979999999</v>
      </c>
      <c r="I8" s="19">
        <f>G8+H8</f>
        <v>6404.0131979999987</v>
      </c>
      <c r="J8" s="119">
        <v>12375</v>
      </c>
      <c r="K8" s="117">
        <v>5073.2700000000004</v>
      </c>
      <c r="L8" s="117">
        <v>1537.7528133999999</v>
      </c>
      <c r="M8" s="19">
        <f>K8+L8</f>
        <v>6611.0228134000008</v>
      </c>
      <c r="N8" s="87">
        <v>25</v>
      </c>
      <c r="O8" s="87">
        <v>23</v>
      </c>
      <c r="P8" s="92"/>
      <c r="Q8" s="20">
        <f>J8-P8</f>
        <v>12375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3314</v>
      </c>
      <c r="W8" s="20">
        <f>IF(V8&gt;0,(V8-V9-$Q8),"")</f>
        <v>-9061</v>
      </c>
      <c r="X8" s="21">
        <v>7132</v>
      </c>
      <c r="Y8" s="20">
        <f>IF(X8&gt;0,(X8-X9-$Q8),"")</f>
        <v>-5243</v>
      </c>
      <c r="Z8" s="21">
        <v>12058</v>
      </c>
      <c r="AA8" s="20">
        <f>IF(Z8&gt;0,(Z8-Z9-$Q8),"")</f>
        <v>-317</v>
      </c>
      <c r="AB8" s="21">
        <v>12058</v>
      </c>
      <c r="AC8" s="22">
        <f>IF(AB8&gt;0,(AB8-AB9-$Q8),"")</f>
        <v>-317</v>
      </c>
      <c r="AD8" s="21">
        <v>12058</v>
      </c>
      <c r="AE8" s="22">
        <f>IF(AD8&gt;0,(AD8-AD9-$Q8),"")</f>
        <v>-317</v>
      </c>
    </row>
    <row r="9" spans="2:42" x14ac:dyDescent="0.3">
      <c r="B9" s="28" t="s">
        <v>28</v>
      </c>
      <c r="C9" s="17">
        <v>1882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6223</v>
      </c>
      <c r="E10" s="18" t="s">
        <v>31</v>
      </c>
      <c r="F10" s="119">
        <v>14948</v>
      </c>
      <c r="G10" s="117">
        <v>11001.827499999999</v>
      </c>
      <c r="H10" s="117">
        <v>1798.2247374999999</v>
      </c>
      <c r="I10" s="19">
        <f>G10+H10</f>
        <v>12800.0522375</v>
      </c>
      <c r="J10" s="119">
        <v>15200</v>
      </c>
      <c r="K10" s="117">
        <v>11373.422500000001</v>
      </c>
      <c r="L10" s="117">
        <v>1901.7348500000001</v>
      </c>
      <c r="M10" s="19">
        <f>K10+L10</f>
        <v>13275.157350000001</v>
      </c>
      <c r="N10" s="88">
        <v>43</v>
      </c>
      <c r="O10" s="88">
        <v>32</v>
      </c>
      <c r="P10" s="92"/>
      <c r="Q10" s="20">
        <f>J10-P10</f>
        <v>15200</v>
      </c>
      <c r="R10" s="21">
        <v>2557</v>
      </c>
      <c r="S10" s="20">
        <f>IF(R10&gt;0,(R10-R11-$Q10),"")</f>
        <v>-13125</v>
      </c>
      <c r="T10" s="21">
        <v>5439</v>
      </c>
      <c r="U10" s="20">
        <f>IF(T10&gt;0,(T10-T11-$Q10),"")</f>
        <v>-10466</v>
      </c>
      <c r="V10" s="21">
        <v>7860</v>
      </c>
      <c r="W10" s="20">
        <f>IF(V10&gt;0,(V10-V11-$Q10),"")</f>
        <v>-8673</v>
      </c>
      <c r="X10" s="21">
        <v>9552</v>
      </c>
      <c r="Y10" s="20">
        <f>IF(X10&gt;0,(X10-X11-$Q10),"")</f>
        <v>-7129</v>
      </c>
      <c r="Z10" s="21">
        <v>9552</v>
      </c>
      <c r="AA10" s="20">
        <f>IF(Z10&gt;0,(Z10-Z11-$Q10),"")</f>
        <v>-7129</v>
      </c>
      <c r="AB10" s="21">
        <v>9552</v>
      </c>
      <c r="AC10" s="22">
        <f>IF(AB10&gt;0,(AB10-AB11-$Q10),"")</f>
        <v>-7129</v>
      </c>
      <c r="AD10" s="21">
        <v>9552</v>
      </c>
      <c r="AE10" s="22">
        <f>IF(AD10&gt;0,(AD10-AD11-$Q10),"")</f>
        <v>-7129</v>
      </c>
    </row>
    <row r="11" spans="2:42" x14ac:dyDescent="0.3">
      <c r="B11" s="16" t="s">
        <v>32</v>
      </c>
      <c r="C11" s="17">
        <v>2061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482</v>
      </c>
      <c r="S11" s="24"/>
      <c r="T11" s="30">
        <v>705</v>
      </c>
      <c r="U11" s="24"/>
      <c r="V11" s="30">
        <v>1333</v>
      </c>
      <c r="W11" s="24"/>
      <c r="X11" s="30">
        <v>1481</v>
      </c>
      <c r="Y11" s="24"/>
      <c r="Z11" s="30">
        <v>1481</v>
      </c>
      <c r="AA11" s="24"/>
      <c r="AB11" s="30">
        <v>1481</v>
      </c>
      <c r="AC11" s="26"/>
      <c r="AD11" s="30">
        <v>1481</v>
      </c>
      <c r="AE11" s="26"/>
    </row>
    <row r="12" spans="2:42" x14ac:dyDescent="0.3">
      <c r="B12" s="16" t="s">
        <v>34</v>
      </c>
      <c r="C12" s="17">
        <v>1643</v>
      </c>
      <c r="E12" s="29" t="s">
        <v>35</v>
      </c>
      <c r="F12" s="119">
        <v>15647</v>
      </c>
      <c r="G12" s="117">
        <v>12104.180249999999</v>
      </c>
      <c r="H12" s="117">
        <v>19107.41606504998</v>
      </c>
      <c r="I12" s="19">
        <f>G12+H12</f>
        <v>31211.596315049981</v>
      </c>
      <c r="J12" s="119">
        <v>16520</v>
      </c>
      <c r="K12" s="117">
        <v>12834.70275</v>
      </c>
      <c r="L12" s="117">
        <v>18609.61397423</v>
      </c>
      <c r="M12" s="19">
        <f>K12+L12</f>
        <v>31444.316724230001</v>
      </c>
      <c r="N12" s="88">
        <v>50</v>
      </c>
      <c r="O12" s="88">
        <v>41</v>
      </c>
      <c r="P12" s="92"/>
      <c r="Q12" s="20">
        <f>J12-P12</f>
        <v>16520</v>
      </c>
      <c r="R12" s="21">
        <v>1484</v>
      </c>
      <c r="S12" s="20">
        <f>IF(R12&gt;0,(R12-R13-$Q12),"")</f>
        <v>-15394</v>
      </c>
      <c r="T12" s="21">
        <v>1983</v>
      </c>
      <c r="U12" s="20">
        <f>IF(T12&gt;0,(T12-T13-$Q12),"")</f>
        <v>-14895</v>
      </c>
      <c r="V12" s="21">
        <v>4701</v>
      </c>
      <c r="W12" s="20">
        <f>IF(V12&gt;0,(V12-V13-$Q12),"")</f>
        <v>-13040</v>
      </c>
      <c r="X12" s="21">
        <v>8632</v>
      </c>
      <c r="Y12" s="20">
        <f>IF(X12&gt;0,(X12-X13-$Q12),"")</f>
        <v>-9187</v>
      </c>
      <c r="Z12" s="21">
        <v>13309</v>
      </c>
      <c r="AA12" s="20">
        <f>IF(Z12&gt;0,(Z12-Z13-$Q12),"")</f>
        <v>-4510</v>
      </c>
      <c r="AB12" s="21">
        <v>13309</v>
      </c>
      <c r="AC12" s="22">
        <f>IF(AB12&gt;0,(AB12-AB13-$Q12),"")</f>
        <v>-4510</v>
      </c>
      <c r="AD12" s="21">
        <v>13309</v>
      </c>
      <c r="AE12" s="22">
        <f>IF(AD12&gt;0,(AD12-AD13-$Q12),"")</f>
        <v>-4510</v>
      </c>
    </row>
    <row r="13" spans="2:42" x14ac:dyDescent="0.3">
      <c r="B13" s="16" t="s">
        <v>36</v>
      </c>
      <c r="C13" s="17">
        <v>4811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358</v>
      </c>
      <c r="S13" s="24"/>
      <c r="T13" s="30">
        <v>358</v>
      </c>
      <c r="U13" s="24"/>
      <c r="V13" s="30">
        <v>1221</v>
      </c>
      <c r="W13" s="24"/>
      <c r="X13" s="30">
        <v>1299</v>
      </c>
      <c r="Y13" s="24"/>
      <c r="Z13" s="30">
        <v>1299</v>
      </c>
      <c r="AA13" s="24"/>
      <c r="AB13" s="30">
        <v>1299</v>
      </c>
      <c r="AC13" s="26"/>
      <c r="AD13" s="30">
        <v>1299</v>
      </c>
      <c r="AE13" s="26"/>
    </row>
    <row r="14" spans="2:42" x14ac:dyDescent="0.3">
      <c r="B14" s="16" t="s">
        <v>38</v>
      </c>
      <c r="C14" s="17">
        <v>11407</v>
      </c>
      <c r="E14" s="18" t="s">
        <v>39</v>
      </c>
      <c r="F14" s="119">
        <v>24475</v>
      </c>
      <c r="G14" s="117">
        <v>17512.96875</v>
      </c>
      <c r="H14" s="117">
        <v>21917.006459475</v>
      </c>
      <c r="I14" s="19">
        <f>G14+H14</f>
        <v>39429.975209475</v>
      </c>
      <c r="J14" s="119">
        <v>24583</v>
      </c>
      <c r="K14" s="117">
        <v>17580.46875</v>
      </c>
      <c r="L14" s="117">
        <v>22054.78452803499</v>
      </c>
      <c r="M14" s="19">
        <f>K14+L14</f>
        <v>39635.253278034987</v>
      </c>
      <c r="N14" s="88">
        <v>65</v>
      </c>
      <c r="O14" s="88">
        <v>52</v>
      </c>
      <c r="P14" s="92"/>
      <c r="Q14" s="20">
        <f>J14-P14</f>
        <v>24583</v>
      </c>
      <c r="R14" s="21">
        <v>5324</v>
      </c>
      <c r="S14" s="20">
        <f>IF(R14&gt;0,(R14-R15-$Q14),"")</f>
        <v>-23908</v>
      </c>
      <c r="T14" s="21">
        <v>8619</v>
      </c>
      <c r="U14" s="20">
        <f>IF(T14&gt;0,(T14-T15-$Q14),"")</f>
        <v>-23321</v>
      </c>
      <c r="V14" s="21">
        <v>10023</v>
      </c>
      <c r="W14" s="20">
        <f>IF(V14&gt;0,(V14-V15-$Q14),"")</f>
        <v>-22201</v>
      </c>
      <c r="X14" s="21">
        <v>13662</v>
      </c>
      <c r="Y14" s="20">
        <f>IF(X14&gt;0,(X14-X15-$Q14),"")</f>
        <v>-19784</v>
      </c>
      <c r="Z14" s="21">
        <v>15252</v>
      </c>
      <c r="AA14" s="20">
        <f>IF(Z14&gt;0,(Z14-Z15-$Q14),"")</f>
        <v>-18240</v>
      </c>
      <c r="AB14" s="21">
        <v>15252</v>
      </c>
      <c r="AC14" s="22">
        <f>IF(AB14&gt;0,(AB14-AB15-$Q14),"")</f>
        <v>-18240</v>
      </c>
      <c r="AD14" s="21">
        <v>15252</v>
      </c>
      <c r="AE14" s="22">
        <f>IF(AD14&gt;0,(AD14-AD15-$Q14),"")</f>
        <v>-18240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4649</v>
      </c>
      <c r="S15" s="24"/>
      <c r="T15" s="25">
        <v>7357</v>
      </c>
      <c r="U15" s="24"/>
      <c r="V15" s="25">
        <v>7641</v>
      </c>
      <c r="W15" s="24"/>
      <c r="X15" s="25">
        <v>8863</v>
      </c>
      <c r="Y15" s="24"/>
      <c r="Z15" s="25">
        <v>8909</v>
      </c>
      <c r="AA15" s="24"/>
      <c r="AB15" s="25">
        <v>8909</v>
      </c>
      <c r="AC15" s="26"/>
      <c r="AD15" s="25">
        <v>8909</v>
      </c>
      <c r="AE15" s="26"/>
    </row>
    <row r="16" spans="2:42" ht="15" customHeight="1" thickBot="1" x14ac:dyDescent="0.35">
      <c r="B16" s="28" t="s">
        <v>42</v>
      </c>
      <c r="C16" s="17">
        <v>14217</v>
      </c>
      <c r="E16" s="84"/>
      <c r="F16" s="31">
        <f t="shared" ref="F16:M16" si="0">SUM(F6:F15)</f>
        <v>87968</v>
      </c>
      <c r="G16" s="31">
        <f t="shared" si="0"/>
        <v>63158.360874999998</v>
      </c>
      <c r="H16" s="31">
        <f t="shared" si="0"/>
        <v>58774.003851724992</v>
      </c>
      <c r="I16" s="32">
        <f t="shared" si="0"/>
        <v>121932.36472672499</v>
      </c>
      <c r="J16" s="33">
        <f t="shared" si="0"/>
        <v>89628</v>
      </c>
      <c r="K16" s="33">
        <f t="shared" si="0"/>
        <v>64377.081374999994</v>
      </c>
      <c r="L16" s="33">
        <f t="shared" si="0"/>
        <v>58724.144774824992</v>
      </c>
      <c r="M16" s="33">
        <f t="shared" si="0"/>
        <v>123101.22614982499</v>
      </c>
      <c r="N16" s="31">
        <f>SUM(N14,N12,N10,N8,N6)</f>
        <v>248</v>
      </c>
      <c r="O16" s="31">
        <f>SUM(O14,O12,O10,O8,O6)</f>
        <v>202</v>
      </c>
      <c r="P16" s="34">
        <f>SUM(P6:P15)</f>
        <v>0</v>
      </c>
      <c r="Q16" s="34">
        <f>SUM(Q6:Q15)</f>
        <v>89628</v>
      </c>
      <c r="R16" s="35">
        <f>R6+R8+R10+R12+R14-R7-R9-R11-R13-R15</f>
        <v>6763</v>
      </c>
      <c r="S16" s="36">
        <f>IF(R16&gt;1,(R16-$Q16),"")</f>
        <v>-82865</v>
      </c>
      <c r="T16" s="35">
        <f>T6+T8+T10+T12+T14-T7-T9-T11-T13-T15</f>
        <v>13957</v>
      </c>
      <c r="U16" s="36">
        <f>IF(T16&gt;1,(T16-$Q16),"")</f>
        <v>-75671</v>
      </c>
      <c r="V16" s="35">
        <f>V6+V8+V10+V12+V14-V7-V9-V11-V13-V15</f>
        <v>26502</v>
      </c>
      <c r="W16" s="36">
        <f>IF(V16&gt;1,(V16-$Q16),"")</f>
        <v>-63126</v>
      </c>
      <c r="X16" s="35">
        <f>X6+X8+X10+X12+X14-X7-X9-X11-X13-X15</f>
        <v>39782</v>
      </c>
      <c r="Y16" s="36">
        <f>IF(X16&gt;1,(X16-$Q16),"")</f>
        <v>-49846</v>
      </c>
      <c r="Z16" s="35">
        <f>Z6+Z8+Z10+Z12+Z14-Z7-Z9-Z11-Z13-Z15</f>
        <v>55698</v>
      </c>
      <c r="AA16" s="36">
        <f>IF(Z16&gt;1,(Z16-$Q16),"")</f>
        <v>-33930</v>
      </c>
      <c r="AB16" s="35">
        <f>AB6+AB8+AB10+AB12+AB14-AB7-AB9-AB11-AB13-AB15</f>
        <v>59159</v>
      </c>
      <c r="AC16" s="37">
        <f>IF(AB16&gt;1,(AB16-$Q16),"")</f>
        <v>-30469</v>
      </c>
      <c r="AD16" s="35">
        <f>AD6+AD8+AD10+AD12+AD14-AD7-AD9-AD11-AD13-AD15</f>
        <v>59159</v>
      </c>
      <c r="AE16" s="37">
        <f>IF(AD16&gt;1,(AD16-$Q16),"")</f>
        <v>-30469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5489</v>
      </c>
      <c r="S17" s="41"/>
      <c r="T17" s="40">
        <f>T15+T13+T11+T9+T7</f>
        <v>8425</v>
      </c>
      <c r="U17" s="41"/>
      <c r="V17" s="40">
        <f>V15+V13+V11+V9+V7</f>
        <v>10211</v>
      </c>
      <c r="W17" s="41"/>
      <c r="X17" s="40">
        <f>X15+X13+X11+X9+X7</f>
        <v>11670</v>
      </c>
      <c r="Y17" s="41"/>
      <c r="Z17" s="40">
        <f>Z15+Z13+Z11+Z9+Z7</f>
        <v>11735</v>
      </c>
      <c r="AA17" s="41"/>
      <c r="AB17" s="40">
        <f>AB15+AB13+AB11+AB9+AB7</f>
        <v>11761</v>
      </c>
      <c r="AC17" s="42"/>
      <c r="AD17" s="40">
        <f>AD15+AD13+AD11+AD9+AD7</f>
        <v>11761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3381.5</v>
      </c>
      <c r="S18" s="46"/>
      <c r="T18" s="47">
        <f>IF(T16&gt;0,(T16-R16)/2,"")</f>
        <v>3597</v>
      </c>
      <c r="U18" s="46"/>
      <c r="V18" s="47">
        <f>IF(V16&gt;0,(V16-T16)/2,"")</f>
        <v>6272.5</v>
      </c>
      <c r="W18" s="46"/>
      <c r="X18" s="47">
        <f>IF(X16&gt;0,(X16-V16)/2,"")</f>
        <v>6640</v>
      </c>
      <c r="Y18" s="46"/>
      <c r="Z18" s="47">
        <f>IF(Z16&gt;0,(Z16-X16)/2,"")</f>
        <v>7958</v>
      </c>
      <c r="AA18" s="46"/>
      <c r="AB18" s="47">
        <f>IF(AB16&gt;0,(AB16-Z16)/2,"")</f>
        <v>1730.5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9072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2670</v>
      </c>
      <c r="L20" s="4"/>
      <c r="M20" s="4"/>
      <c r="Q20" s="51" t="s">
        <v>49</v>
      </c>
      <c r="R20" s="35">
        <v>6491</v>
      </c>
      <c r="S20" s="36">
        <v>-88859</v>
      </c>
      <c r="T20" s="35">
        <v>16365</v>
      </c>
      <c r="U20" s="36">
        <v>-78985</v>
      </c>
      <c r="V20" s="35">
        <v>28231</v>
      </c>
      <c r="W20" s="36">
        <v>-67119</v>
      </c>
      <c r="X20" s="35">
        <v>38384</v>
      </c>
      <c r="Y20" s="36">
        <v>-56966</v>
      </c>
      <c r="Z20" s="35">
        <v>47879</v>
      </c>
      <c r="AA20" s="36">
        <v>-47471</v>
      </c>
      <c r="AB20" s="35">
        <v>47879</v>
      </c>
      <c r="AC20" s="37">
        <v>-47471</v>
      </c>
      <c r="AD20" s="35">
        <v>47879</v>
      </c>
      <c r="AE20" s="37">
        <v>-47471</v>
      </c>
    </row>
    <row r="21" spans="2:43" ht="15" customHeight="1" thickBot="1" x14ac:dyDescent="0.35">
      <c r="B21" s="57" t="s">
        <v>52</v>
      </c>
      <c r="C21" s="58">
        <v>4594</v>
      </c>
      <c r="M21" s="4"/>
      <c r="Q21" s="52"/>
      <c r="R21" s="40">
        <v>4284</v>
      </c>
      <c r="S21" s="41"/>
      <c r="T21" s="40">
        <v>8627</v>
      </c>
      <c r="U21" s="41"/>
      <c r="V21" s="40">
        <v>10361</v>
      </c>
      <c r="W21" s="41"/>
      <c r="X21" s="40">
        <v>13285</v>
      </c>
      <c r="Y21" s="41"/>
      <c r="Z21" s="40">
        <v>16128</v>
      </c>
      <c r="AA21" s="41"/>
      <c r="AB21" s="40">
        <v>16128</v>
      </c>
      <c r="AC21" s="42"/>
      <c r="AD21" s="40">
        <v>16128</v>
      </c>
      <c r="AE21" s="42"/>
    </row>
    <row r="22" spans="2:43" ht="15" customHeight="1" thickBot="1" x14ac:dyDescent="0.35">
      <c r="M22" s="4"/>
      <c r="Q22" s="54"/>
      <c r="R22" s="55">
        <v>3245.5</v>
      </c>
      <c r="S22" s="55"/>
      <c r="T22" s="55">
        <v>4937</v>
      </c>
      <c r="U22" s="55"/>
      <c r="V22" s="55">
        <v>5933</v>
      </c>
      <c r="W22" s="55"/>
      <c r="X22" s="55">
        <v>5076.5</v>
      </c>
      <c r="Y22" s="55"/>
      <c r="Z22" s="55">
        <v>4747.5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272</v>
      </c>
      <c r="S24" s="60"/>
      <c r="T24" s="60">
        <f>IF(T16&gt;0,T16-T20,"")</f>
        <v>-2408</v>
      </c>
      <c r="U24" s="60"/>
      <c r="V24" s="60">
        <f>IF(V16&gt;0,V16-V20,"")</f>
        <v>-1729</v>
      </c>
      <c r="W24" s="60"/>
      <c r="X24" s="60">
        <f>IF(X16&gt;0,X16-X20,"")</f>
        <v>1398</v>
      </c>
      <c r="Y24" s="60"/>
      <c r="Z24" s="60">
        <f>IF(Z16&gt;0,Z16-Z20,"")</f>
        <v>7819</v>
      </c>
      <c r="AA24" s="60"/>
      <c r="AB24" s="60">
        <f>IF(AB16&gt;0,AB16-AB20,"")</f>
        <v>11280</v>
      </c>
      <c r="AC24" s="61"/>
      <c r="AD24" s="60">
        <f>IF(AD16&gt;0,AD16-AD20,"")</f>
        <v>11280</v>
      </c>
      <c r="AE24" s="61"/>
    </row>
    <row r="25" spans="2:43" x14ac:dyDescent="0.3">
      <c r="M25" s="4"/>
      <c r="Q25" s="62"/>
      <c r="R25" s="63">
        <f>IF(R17&gt;=0,R17-R21,"")</f>
        <v>1205</v>
      </c>
      <c r="S25" s="64"/>
      <c r="T25" s="63">
        <f>IF(T17&gt;=0,T17-T21,"")</f>
        <v>-202</v>
      </c>
      <c r="U25" s="64"/>
      <c r="V25" s="63">
        <f>IF(V17&gt;=0,V17-V21,"")</f>
        <v>-150</v>
      </c>
      <c r="W25" s="64"/>
      <c r="X25" s="63">
        <f>IF(X17&gt;=0,X17-X21,"")</f>
        <v>-1615</v>
      </c>
      <c r="Y25" s="64"/>
      <c r="Z25" s="63">
        <f>IF(Z17&gt;=0,Z17-Z21,"")</f>
        <v>-4393</v>
      </c>
      <c r="AA25" s="64"/>
      <c r="AB25" s="63">
        <f>IF(AB17&gt;=0,AB17-AB21,"")</f>
        <v>-4367</v>
      </c>
      <c r="AC25" s="65"/>
      <c r="AD25" s="63">
        <f>IF(AD17&gt;=0,AD17-AD21,"")</f>
        <v>-4367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136</v>
      </c>
      <c r="S26" s="55"/>
      <c r="T26" s="67">
        <f>IFERROR(IF(T18&gt;0,T18-T22,""),"")</f>
        <v>-1340</v>
      </c>
      <c r="U26" s="55"/>
      <c r="V26" s="67">
        <f>IFERROR(IF(V18&gt;0,V18-V22,""),"")</f>
        <v>339.5</v>
      </c>
      <c r="W26" s="55"/>
      <c r="X26" s="67">
        <f>IFERROR(IF(X18&gt;0,X18-X22,""),"")</f>
        <v>1563.5</v>
      </c>
      <c r="Y26" s="55"/>
      <c r="Z26" s="67">
        <f>IFERROR(IF(Z18&gt;0,Z18-Z22,""),"")</f>
        <v>3210.5</v>
      </c>
      <c r="AA26" s="55"/>
      <c r="AB26" s="67">
        <f>IFERROR(IF(AB18&gt;0,AB18-AB22,""),"")</f>
        <v>1730.5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11114</v>
      </c>
      <c r="D29" s="76">
        <f>C14</f>
        <v>11407</v>
      </c>
      <c r="E29" s="77">
        <f>D29-C29</f>
        <v>293</v>
      </c>
      <c r="O29" s="4"/>
    </row>
    <row r="30" spans="2:43" x14ac:dyDescent="0.3">
      <c r="B30" s="74" t="s">
        <v>56</v>
      </c>
      <c r="C30" s="122">
        <v>30174</v>
      </c>
      <c r="D30" s="76">
        <f>C7+C15+C16+C17+C18</f>
        <v>14217</v>
      </c>
      <c r="E30" s="77">
        <f>D30-C30</f>
        <v>-15957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14738</v>
      </c>
      <c r="D32" s="76">
        <f>C10+C11+C12+C13</f>
        <v>14738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15734</v>
      </c>
      <c r="D33" s="76">
        <f>C19+C20+C21</f>
        <v>16336</v>
      </c>
      <c r="E33" s="77">
        <f>D33-C33</f>
        <v>602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4495</v>
      </c>
      <c r="D34" s="80">
        <f>SUM(C8+C9)</f>
        <v>4385</v>
      </c>
      <c r="E34" s="81">
        <f>C34-D34</f>
        <v>110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1041</v>
      </c>
      <c r="R35" s="104">
        <v>0</v>
      </c>
      <c r="S35" s="104">
        <f t="shared" ref="S35:S64" si="1">IF(T35&gt;0,(T35-R35)/2,"")</f>
        <v>272.5</v>
      </c>
      <c r="T35" s="104">
        <v>545</v>
      </c>
      <c r="U35" s="104">
        <f t="shared" ref="U35:U64" si="2">IF(V35&gt;0,(V35-T35)/2,"")</f>
        <v>0</v>
      </c>
      <c r="V35" s="104">
        <v>545</v>
      </c>
      <c r="W35" s="104">
        <f t="shared" ref="W35:W64" si="3">IF(X35&gt;0,(X35-V35)/2,"")</f>
        <v>247</v>
      </c>
      <c r="X35" s="104">
        <v>1039</v>
      </c>
      <c r="Y35" s="104">
        <f t="shared" ref="Y35:Y64" si="4">IF(Z35&gt;0,(Z35-X35)/2,"")</f>
        <v>0</v>
      </c>
      <c r="Z35" s="104">
        <v>1039</v>
      </c>
      <c r="AA35" s="104">
        <f t="shared" ref="AA35:AA64" si="5">IF(AB35&gt;0,(AB35-Z35)/2,"")</f>
        <v>0</v>
      </c>
      <c r="AB35" s="104">
        <v>1039</v>
      </c>
      <c r="AC35" s="104">
        <f t="shared" ref="AC35:AC64" si="6">IF(AD35&gt;0,(AD35-AB35)/2,"")</f>
        <v>0</v>
      </c>
      <c r="AD35" s="104">
        <v>1039</v>
      </c>
      <c r="AE35" s="105">
        <f t="shared" ref="AE35:AE64" si="7">AD35-Q35</f>
        <v>-2</v>
      </c>
    </row>
    <row r="36" spans="2:31" ht="15.6" customHeight="1" x14ac:dyDescent="0.3">
      <c r="N36" s="212"/>
      <c r="O36" s="95" t="s">
        <v>66</v>
      </c>
      <c r="P36" s="106"/>
      <c r="Q36" s="106">
        <v>1120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303</v>
      </c>
      <c r="V36" s="106">
        <v>606</v>
      </c>
      <c r="W36" s="106">
        <f t="shared" si="3"/>
        <v>0</v>
      </c>
      <c r="X36" s="106">
        <v>606</v>
      </c>
      <c r="Y36" s="106">
        <f t="shared" si="4"/>
        <v>0</v>
      </c>
      <c r="Z36" s="106">
        <v>606</v>
      </c>
      <c r="AA36" s="106">
        <f t="shared" si="5"/>
        <v>256</v>
      </c>
      <c r="AB36" s="106">
        <v>1118</v>
      </c>
      <c r="AC36" s="106">
        <f t="shared" si="6"/>
        <v>0</v>
      </c>
      <c r="AD36" s="106">
        <v>1118</v>
      </c>
      <c r="AE36" s="107">
        <f t="shared" si="7"/>
        <v>-2</v>
      </c>
    </row>
    <row r="37" spans="2:31" ht="15.6" customHeight="1" x14ac:dyDescent="0.3">
      <c r="N37" s="212"/>
      <c r="O37" s="94" t="s">
        <v>67</v>
      </c>
      <c r="P37" s="108"/>
      <c r="Q37" s="108">
        <v>3745</v>
      </c>
      <c r="R37" s="108">
        <v>420</v>
      </c>
      <c r="S37" s="108">
        <f t="shared" si="1"/>
        <v>210</v>
      </c>
      <c r="T37" s="108">
        <v>840</v>
      </c>
      <c r="U37" s="108">
        <f t="shared" si="2"/>
        <v>200</v>
      </c>
      <c r="V37" s="108">
        <v>1240</v>
      </c>
      <c r="W37" s="108">
        <f t="shared" si="3"/>
        <v>121.5</v>
      </c>
      <c r="X37" s="108">
        <v>1483</v>
      </c>
      <c r="Y37" s="108">
        <f t="shared" si="4"/>
        <v>653</v>
      </c>
      <c r="Z37" s="108">
        <v>2789</v>
      </c>
      <c r="AA37" s="108">
        <f t="shared" si="5"/>
        <v>459.5</v>
      </c>
      <c r="AB37" s="108">
        <v>3708</v>
      </c>
      <c r="AC37" s="108">
        <f t="shared" si="6"/>
        <v>0</v>
      </c>
      <c r="AD37" s="108">
        <v>3708</v>
      </c>
      <c r="AE37" s="109">
        <f t="shared" si="7"/>
        <v>-37</v>
      </c>
    </row>
    <row r="38" spans="2:31" ht="15.6" customHeight="1" x14ac:dyDescent="0.3">
      <c r="N38" s="212"/>
      <c r="O38" s="95" t="s">
        <v>68</v>
      </c>
      <c r="P38" s="106"/>
      <c r="Q38" s="106">
        <v>3776</v>
      </c>
      <c r="R38" s="106">
        <v>724</v>
      </c>
      <c r="S38" s="106">
        <f t="shared" si="1"/>
        <v>0</v>
      </c>
      <c r="T38" s="106">
        <v>724</v>
      </c>
      <c r="U38" s="106">
        <f t="shared" si="2"/>
        <v>638</v>
      </c>
      <c r="V38" s="106">
        <v>2000</v>
      </c>
      <c r="W38" s="106">
        <f t="shared" si="3"/>
        <v>0</v>
      </c>
      <c r="X38" s="106">
        <v>2000</v>
      </c>
      <c r="Y38" s="106">
        <f t="shared" si="4"/>
        <v>533.5</v>
      </c>
      <c r="Z38" s="106">
        <v>3067</v>
      </c>
      <c r="AA38" s="106">
        <f t="shared" si="5"/>
        <v>353.5</v>
      </c>
      <c r="AB38" s="106">
        <v>3774</v>
      </c>
      <c r="AC38" s="106">
        <f t="shared" si="6"/>
        <v>0</v>
      </c>
      <c r="AD38" s="106">
        <v>3774</v>
      </c>
      <c r="AE38" s="107">
        <f t="shared" si="7"/>
        <v>-2</v>
      </c>
    </row>
    <row r="39" spans="2:31" ht="15.6" customHeight="1" x14ac:dyDescent="0.3">
      <c r="N39" s="212"/>
      <c r="O39" s="94" t="s">
        <v>69</v>
      </c>
      <c r="P39" s="108"/>
      <c r="Q39" s="108">
        <v>2591</v>
      </c>
      <c r="R39" s="108">
        <v>0</v>
      </c>
      <c r="S39" s="108">
        <f t="shared" si="1"/>
        <v>442</v>
      </c>
      <c r="T39" s="108">
        <v>884</v>
      </c>
      <c r="U39" s="108">
        <f t="shared" si="2"/>
        <v>108</v>
      </c>
      <c r="V39" s="108">
        <v>1100</v>
      </c>
      <c r="W39" s="108">
        <f t="shared" si="3"/>
        <v>116.5</v>
      </c>
      <c r="X39" s="108">
        <v>1333</v>
      </c>
      <c r="Y39" s="108">
        <f t="shared" si="4"/>
        <v>428.5</v>
      </c>
      <c r="Z39" s="108">
        <v>2190</v>
      </c>
      <c r="AA39" s="108">
        <f t="shared" si="5"/>
        <v>201</v>
      </c>
      <c r="AB39" s="108">
        <v>2592</v>
      </c>
      <c r="AC39" s="108">
        <f t="shared" si="6"/>
        <v>0</v>
      </c>
      <c r="AD39" s="108">
        <v>2592</v>
      </c>
      <c r="AE39" s="109">
        <f t="shared" si="7"/>
        <v>1</v>
      </c>
    </row>
    <row r="40" spans="2:31" ht="15.6" customHeight="1" x14ac:dyDescent="0.3">
      <c r="N40" s="212"/>
      <c r="O40" s="95" t="s">
        <v>70</v>
      </c>
      <c r="P40" s="106"/>
      <c r="Q40" s="106">
        <v>3471</v>
      </c>
      <c r="R40" s="106">
        <v>741</v>
      </c>
      <c r="S40" s="106">
        <f t="shared" si="1"/>
        <v>0</v>
      </c>
      <c r="T40" s="106">
        <v>741</v>
      </c>
      <c r="U40" s="106">
        <f t="shared" si="2"/>
        <v>529</v>
      </c>
      <c r="V40" s="106">
        <v>1799</v>
      </c>
      <c r="W40" s="106">
        <f t="shared" si="3"/>
        <v>187</v>
      </c>
      <c r="X40" s="106">
        <v>2173</v>
      </c>
      <c r="Y40" s="106">
        <f t="shared" si="4"/>
        <v>348</v>
      </c>
      <c r="Z40" s="106">
        <v>2869</v>
      </c>
      <c r="AA40" s="106">
        <f t="shared" si="5"/>
        <v>283</v>
      </c>
      <c r="AB40" s="106">
        <v>3435</v>
      </c>
      <c r="AC40" s="106">
        <f t="shared" si="6"/>
        <v>0</v>
      </c>
      <c r="AD40" s="106">
        <v>3435</v>
      </c>
      <c r="AE40" s="107">
        <f t="shared" si="7"/>
        <v>-36</v>
      </c>
    </row>
    <row r="41" spans="2:31" ht="15.6" customHeight="1" x14ac:dyDescent="0.3">
      <c r="N41" s="212"/>
      <c r="O41" s="94" t="s">
        <v>71</v>
      </c>
      <c r="P41" s="108"/>
      <c r="Q41" s="108">
        <v>1104</v>
      </c>
      <c r="R41" s="108">
        <v>240</v>
      </c>
      <c r="S41" s="108">
        <f t="shared" si="1"/>
        <v>299</v>
      </c>
      <c r="T41" s="108">
        <v>838</v>
      </c>
      <c r="U41" s="108">
        <f t="shared" si="2"/>
        <v>0</v>
      </c>
      <c r="V41" s="108">
        <v>838</v>
      </c>
      <c r="W41" s="108">
        <f t="shared" si="3"/>
        <v>132</v>
      </c>
      <c r="X41" s="108">
        <v>1102</v>
      </c>
      <c r="Y41" s="108">
        <f t="shared" si="4"/>
        <v>0</v>
      </c>
      <c r="Z41" s="108">
        <v>1102</v>
      </c>
      <c r="AA41" s="108">
        <f t="shared" si="5"/>
        <v>0</v>
      </c>
      <c r="AB41" s="108">
        <v>1102</v>
      </c>
      <c r="AC41" s="108">
        <f t="shared" si="6"/>
        <v>0</v>
      </c>
      <c r="AD41" s="108">
        <v>1102</v>
      </c>
      <c r="AE41" s="109">
        <f t="shared" si="7"/>
        <v>-2</v>
      </c>
    </row>
    <row r="42" spans="2:31" ht="15.6" customHeight="1" x14ac:dyDescent="0.3">
      <c r="N42" s="212"/>
      <c r="O42" s="95" t="s">
        <v>72</v>
      </c>
      <c r="P42" s="106"/>
      <c r="Q42" s="106">
        <v>1765</v>
      </c>
      <c r="R42" s="106">
        <v>762</v>
      </c>
      <c r="S42" s="106">
        <f t="shared" si="1"/>
        <v>235</v>
      </c>
      <c r="T42" s="106">
        <v>1232</v>
      </c>
      <c r="U42" s="106">
        <f t="shared" si="2"/>
        <v>204</v>
      </c>
      <c r="V42" s="106">
        <v>1640</v>
      </c>
      <c r="W42" s="106">
        <f t="shared" si="3"/>
        <v>25.5</v>
      </c>
      <c r="X42" s="106">
        <v>1691</v>
      </c>
      <c r="Y42" s="106">
        <f t="shared" si="4"/>
        <v>40.5</v>
      </c>
      <c r="Z42" s="106">
        <v>1772</v>
      </c>
      <c r="AA42" s="106">
        <f t="shared" si="5"/>
        <v>0</v>
      </c>
      <c r="AB42" s="106">
        <v>1772</v>
      </c>
      <c r="AC42" s="106">
        <f t="shared" si="6"/>
        <v>0</v>
      </c>
      <c r="AD42" s="106">
        <v>1772</v>
      </c>
      <c r="AE42" s="107">
        <f t="shared" si="7"/>
        <v>7</v>
      </c>
    </row>
    <row r="43" spans="2:31" ht="15.6" customHeight="1" thickBot="1" x14ac:dyDescent="0.35">
      <c r="N43" s="213"/>
      <c r="O43" s="97" t="s">
        <v>73</v>
      </c>
      <c r="P43" s="110"/>
      <c r="Q43" s="110">
        <v>1688</v>
      </c>
      <c r="R43" s="110">
        <v>0</v>
      </c>
      <c r="S43" s="110">
        <f t="shared" si="1"/>
        <v>268.5</v>
      </c>
      <c r="T43" s="110">
        <v>537</v>
      </c>
      <c r="U43" s="110">
        <f t="shared" si="2"/>
        <v>180</v>
      </c>
      <c r="V43" s="110">
        <v>897</v>
      </c>
      <c r="W43" s="110">
        <f t="shared" si="3"/>
        <v>0</v>
      </c>
      <c r="X43" s="110">
        <v>897</v>
      </c>
      <c r="Y43" s="110">
        <f t="shared" si="4"/>
        <v>390.5</v>
      </c>
      <c r="Z43" s="110">
        <v>1678</v>
      </c>
      <c r="AA43" s="110">
        <f t="shared" si="5"/>
        <v>0</v>
      </c>
      <c r="AB43" s="110">
        <v>1678</v>
      </c>
      <c r="AC43" s="110">
        <f t="shared" si="6"/>
        <v>0</v>
      </c>
      <c r="AD43" s="110">
        <v>1678</v>
      </c>
      <c r="AE43" s="111">
        <f t="shared" si="7"/>
        <v>-10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3253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1626.5</v>
      </c>
      <c r="X44" s="112">
        <v>3253</v>
      </c>
      <c r="Y44" s="112">
        <f t="shared" si="4"/>
        <v>0</v>
      </c>
      <c r="Z44" s="112">
        <v>3253</v>
      </c>
      <c r="AA44" s="112">
        <f t="shared" si="5"/>
        <v>0</v>
      </c>
      <c r="AB44" s="112">
        <v>3253</v>
      </c>
      <c r="AC44" s="112">
        <f t="shared" si="6"/>
        <v>0</v>
      </c>
      <c r="AD44" s="112">
        <v>3253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2731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1365.5</v>
      </c>
      <c r="Z45" s="108">
        <v>2731</v>
      </c>
      <c r="AA45" s="108">
        <f t="shared" si="5"/>
        <v>0</v>
      </c>
      <c r="AB45" s="108">
        <v>2731</v>
      </c>
      <c r="AC45" s="108">
        <f t="shared" si="6"/>
        <v>0</v>
      </c>
      <c r="AD45" s="108">
        <v>2731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3035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829</v>
      </c>
      <c r="V46" s="106">
        <v>1658</v>
      </c>
      <c r="W46" s="106">
        <f t="shared" si="3"/>
        <v>0</v>
      </c>
      <c r="X46" s="106">
        <v>1658</v>
      </c>
      <c r="Y46" s="106">
        <f t="shared" si="4"/>
        <v>530</v>
      </c>
      <c r="Z46" s="106">
        <v>2718</v>
      </c>
      <c r="AA46" s="106">
        <f t="shared" si="5"/>
        <v>0</v>
      </c>
      <c r="AB46" s="106">
        <v>2718</v>
      </c>
      <c r="AC46" s="106">
        <f t="shared" si="6"/>
        <v>0</v>
      </c>
      <c r="AD46" s="106">
        <v>2718</v>
      </c>
      <c r="AE46" s="107">
        <f t="shared" si="7"/>
        <v>-317</v>
      </c>
    </row>
    <row r="47" spans="2:31" ht="15.6" customHeight="1" thickBot="1" x14ac:dyDescent="0.35">
      <c r="N47" s="213"/>
      <c r="O47" s="97" t="s">
        <v>68</v>
      </c>
      <c r="P47" s="110"/>
      <c r="Q47" s="110">
        <v>3356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828</v>
      </c>
      <c r="V47" s="110">
        <v>1656</v>
      </c>
      <c r="W47" s="110">
        <f t="shared" si="3"/>
        <v>282.5</v>
      </c>
      <c r="X47" s="110">
        <v>2221</v>
      </c>
      <c r="Y47" s="110">
        <f t="shared" si="4"/>
        <v>567.5</v>
      </c>
      <c r="Z47" s="110">
        <v>3356</v>
      </c>
      <c r="AA47" s="110">
        <f t="shared" si="5"/>
        <v>0</v>
      </c>
      <c r="AB47" s="110">
        <v>3356</v>
      </c>
      <c r="AC47" s="110">
        <f t="shared" si="6"/>
        <v>0</v>
      </c>
      <c r="AD47" s="110">
        <v>3356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229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14.5</v>
      </c>
      <c r="V48" s="112">
        <v>29</v>
      </c>
      <c r="W48" s="112">
        <f t="shared" si="3"/>
        <v>40</v>
      </c>
      <c r="X48" s="112">
        <v>109</v>
      </c>
      <c r="Y48" s="112">
        <f t="shared" si="4"/>
        <v>0</v>
      </c>
      <c r="Z48" s="112">
        <v>109</v>
      </c>
      <c r="AA48" s="112">
        <f t="shared" si="5"/>
        <v>0</v>
      </c>
      <c r="AB48" s="112">
        <v>109</v>
      </c>
      <c r="AC48" s="112">
        <f t="shared" si="6"/>
        <v>0</v>
      </c>
      <c r="AD48" s="112">
        <v>109</v>
      </c>
      <c r="AE48" s="113">
        <f t="shared" si="7"/>
        <v>-120</v>
      </c>
    </row>
    <row r="49" spans="14:31" ht="15.6" customHeight="1" x14ac:dyDescent="0.3">
      <c r="N49" s="212"/>
      <c r="O49" s="94" t="s">
        <v>66</v>
      </c>
      <c r="P49" s="108"/>
      <c r="Q49" s="108">
        <v>445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38.5</v>
      </c>
      <c r="V49" s="108">
        <v>77</v>
      </c>
      <c r="W49" s="108">
        <f t="shared" si="3"/>
        <v>171.5</v>
      </c>
      <c r="X49" s="108">
        <v>420</v>
      </c>
      <c r="Y49" s="108">
        <f t="shared" si="4"/>
        <v>0</v>
      </c>
      <c r="Z49" s="108">
        <v>420</v>
      </c>
      <c r="AA49" s="108">
        <f t="shared" si="5"/>
        <v>0</v>
      </c>
      <c r="AB49" s="108">
        <v>420</v>
      </c>
      <c r="AC49" s="108">
        <f t="shared" si="6"/>
        <v>0</v>
      </c>
      <c r="AD49" s="108">
        <v>420</v>
      </c>
      <c r="AE49" s="109">
        <f t="shared" si="7"/>
        <v>-25</v>
      </c>
    </row>
    <row r="50" spans="14:31" ht="15.6" customHeight="1" x14ac:dyDescent="0.3">
      <c r="N50" s="212"/>
      <c r="O50" s="95" t="s">
        <v>67</v>
      </c>
      <c r="P50" s="106"/>
      <c r="Q50" s="106">
        <v>1701</v>
      </c>
      <c r="R50" s="106">
        <v>478</v>
      </c>
      <c r="S50" s="106">
        <f t="shared" si="1"/>
        <v>-9.5</v>
      </c>
      <c r="T50" s="106">
        <v>459</v>
      </c>
      <c r="U50" s="106">
        <f t="shared" si="2"/>
        <v>289.5</v>
      </c>
      <c r="V50" s="106">
        <v>1038</v>
      </c>
      <c r="W50" s="106">
        <f t="shared" si="3"/>
        <v>104.5</v>
      </c>
      <c r="X50" s="106">
        <v>1247</v>
      </c>
      <c r="Y50" s="106">
        <f t="shared" si="4"/>
        <v>0</v>
      </c>
      <c r="Z50" s="106">
        <v>1247</v>
      </c>
      <c r="AA50" s="106">
        <f t="shared" si="5"/>
        <v>0</v>
      </c>
      <c r="AB50" s="106">
        <v>1247</v>
      </c>
      <c r="AC50" s="106">
        <f t="shared" si="6"/>
        <v>0</v>
      </c>
      <c r="AD50" s="106">
        <v>1247</v>
      </c>
      <c r="AE50" s="107">
        <f t="shared" si="7"/>
        <v>-454</v>
      </c>
    </row>
    <row r="51" spans="14:31" ht="15.6" customHeight="1" x14ac:dyDescent="0.3">
      <c r="N51" s="212"/>
      <c r="O51" s="94" t="s">
        <v>68</v>
      </c>
      <c r="P51" s="108"/>
      <c r="Q51" s="108">
        <v>1891</v>
      </c>
      <c r="R51" s="108">
        <v>370</v>
      </c>
      <c r="S51" s="108">
        <f t="shared" si="1"/>
        <v>486</v>
      </c>
      <c r="T51" s="108">
        <v>1342</v>
      </c>
      <c r="U51" s="108">
        <f t="shared" si="2"/>
        <v>158</v>
      </c>
      <c r="V51" s="108">
        <v>1658</v>
      </c>
      <c r="W51" s="108">
        <f t="shared" si="3"/>
        <v>85</v>
      </c>
      <c r="X51" s="108">
        <v>1828</v>
      </c>
      <c r="Y51" s="108">
        <f t="shared" si="4"/>
        <v>0</v>
      </c>
      <c r="Z51" s="108">
        <v>1828</v>
      </c>
      <c r="AA51" s="108">
        <f t="shared" si="5"/>
        <v>0</v>
      </c>
      <c r="AB51" s="108">
        <v>1828</v>
      </c>
      <c r="AC51" s="108">
        <f t="shared" si="6"/>
        <v>0</v>
      </c>
      <c r="AD51" s="108">
        <v>1828</v>
      </c>
      <c r="AE51" s="109">
        <f t="shared" si="7"/>
        <v>-63</v>
      </c>
    </row>
    <row r="52" spans="14:31" ht="15.6" customHeight="1" x14ac:dyDescent="0.3">
      <c r="N52" s="212"/>
      <c r="O52" s="95" t="s">
        <v>69</v>
      </c>
      <c r="P52" s="106"/>
      <c r="Q52" s="106">
        <v>1467</v>
      </c>
      <c r="R52" s="106">
        <v>0</v>
      </c>
      <c r="S52" s="106">
        <f t="shared" si="1"/>
        <v>238.5</v>
      </c>
      <c r="T52" s="106">
        <v>477</v>
      </c>
      <c r="U52" s="106">
        <f t="shared" si="2"/>
        <v>25</v>
      </c>
      <c r="V52" s="106">
        <v>527</v>
      </c>
      <c r="W52" s="106">
        <f t="shared" si="3"/>
        <v>23.5</v>
      </c>
      <c r="X52" s="106">
        <v>574</v>
      </c>
      <c r="Y52" s="106">
        <f t="shared" si="4"/>
        <v>0</v>
      </c>
      <c r="Z52" s="106">
        <v>574</v>
      </c>
      <c r="AA52" s="106">
        <f t="shared" si="5"/>
        <v>0</v>
      </c>
      <c r="AB52" s="106">
        <v>574</v>
      </c>
      <c r="AC52" s="106">
        <f t="shared" si="6"/>
        <v>0</v>
      </c>
      <c r="AD52" s="106">
        <v>574</v>
      </c>
      <c r="AE52" s="107">
        <f t="shared" si="7"/>
        <v>-893</v>
      </c>
    </row>
    <row r="53" spans="14:31" ht="15.6" customHeight="1" x14ac:dyDescent="0.3">
      <c r="N53" s="212"/>
      <c r="O53" s="94" t="s">
        <v>70</v>
      </c>
      <c r="P53" s="108"/>
      <c r="Q53" s="108">
        <v>1393</v>
      </c>
      <c r="R53" s="108">
        <v>709</v>
      </c>
      <c r="S53" s="108">
        <f t="shared" si="1"/>
        <v>54</v>
      </c>
      <c r="T53" s="108">
        <v>817</v>
      </c>
      <c r="U53" s="108">
        <f t="shared" si="2"/>
        <v>24</v>
      </c>
      <c r="V53" s="108">
        <v>865</v>
      </c>
      <c r="W53" s="108">
        <f t="shared" si="3"/>
        <v>6.5</v>
      </c>
      <c r="X53" s="108">
        <v>878</v>
      </c>
      <c r="Y53" s="108">
        <f t="shared" si="4"/>
        <v>0</v>
      </c>
      <c r="Z53" s="108">
        <v>878</v>
      </c>
      <c r="AA53" s="108">
        <f t="shared" si="5"/>
        <v>0</v>
      </c>
      <c r="AB53" s="108">
        <v>878</v>
      </c>
      <c r="AC53" s="108">
        <f t="shared" si="6"/>
        <v>0</v>
      </c>
      <c r="AD53" s="108">
        <v>878</v>
      </c>
      <c r="AE53" s="109">
        <f t="shared" si="7"/>
        <v>-515</v>
      </c>
    </row>
    <row r="54" spans="14:31" ht="15.6" customHeight="1" x14ac:dyDescent="0.3">
      <c r="N54" s="212"/>
      <c r="O54" s="95" t="s">
        <v>71</v>
      </c>
      <c r="P54" s="106"/>
      <c r="Q54" s="106">
        <v>3978</v>
      </c>
      <c r="R54" s="106">
        <v>1000</v>
      </c>
      <c r="S54" s="106">
        <f t="shared" si="1"/>
        <v>584.5</v>
      </c>
      <c r="T54" s="106">
        <v>2169</v>
      </c>
      <c r="U54" s="106">
        <f t="shared" si="2"/>
        <v>531.5</v>
      </c>
      <c r="V54" s="106">
        <v>3232</v>
      </c>
      <c r="W54" s="106">
        <f t="shared" si="3"/>
        <v>222.5</v>
      </c>
      <c r="X54" s="106">
        <v>3677</v>
      </c>
      <c r="Y54" s="106">
        <f t="shared" si="4"/>
        <v>0</v>
      </c>
      <c r="Z54" s="106">
        <v>3677</v>
      </c>
      <c r="AA54" s="106">
        <f t="shared" si="5"/>
        <v>0</v>
      </c>
      <c r="AB54" s="106">
        <v>3677</v>
      </c>
      <c r="AC54" s="106">
        <f t="shared" si="6"/>
        <v>0</v>
      </c>
      <c r="AD54" s="106">
        <v>3677</v>
      </c>
      <c r="AE54" s="107">
        <f t="shared" si="7"/>
        <v>-301</v>
      </c>
    </row>
    <row r="55" spans="14:31" ht="15.6" customHeight="1" x14ac:dyDescent="0.3">
      <c r="N55" s="212"/>
      <c r="O55" s="94" t="s">
        <v>72</v>
      </c>
      <c r="P55" s="108"/>
      <c r="Q55" s="108">
        <v>229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113.5</v>
      </c>
      <c r="V55" s="108">
        <v>227</v>
      </c>
      <c r="W55" s="108">
        <f t="shared" si="3"/>
        <v>5</v>
      </c>
      <c r="X55" s="108">
        <v>237</v>
      </c>
      <c r="Y55" s="108">
        <f t="shared" si="4"/>
        <v>0</v>
      </c>
      <c r="Z55" s="108">
        <v>237</v>
      </c>
      <c r="AA55" s="108">
        <f t="shared" si="5"/>
        <v>0</v>
      </c>
      <c r="AB55" s="108">
        <v>237</v>
      </c>
      <c r="AC55" s="108">
        <f t="shared" si="6"/>
        <v>0</v>
      </c>
      <c r="AD55" s="108">
        <v>237</v>
      </c>
      <c r="AE55" s="109">
        <f t="shared" si="7"/>
        <v>8</v>
      </c>
    </row>
    <row r="56" spans="14:31" ht="15.6" customHeight="1" thickBot="1" x14ac:dyDescent="0.35">
      <c r="N56" s="213"/>
      <c r="O56" s="99" t="s">
        <v>73</v>
      </c>
      <c r="P56" s="114"/>
      <c r="Q56" s="114">
        <v>1785</v>
      </c>
      <c r="R56" s="114">
        <v>0</v>
      </c>
      <c r="S56" s="114">
        <f t="shared" si="1"/>
        <v>87.5</v>
      </c>
      <c r="T56" s="114">
        <v>175</v>
      </c>
      <c r="U56" s="114">
        <f t="shared" si="2"/>
        <v>16</v>
      </c>
      <c r="V56" s="114">
        <v>207</v>
      </c>
      <c r="W56" s="114">
        <f t="shared" si="3"/>
        <v>187.5</v>
      </c>
      <c r="X56" s="114">
        <v>582</v>
      </c>
      <c r="Y56" s="114">
        <f t="shared" si="4"/>
        <v>0</v>
      </c>
      <c r="Z56" s="114">
        <v>582</v>
      </c>
      <c r="AA56" s="114">
        <f t="shared" si="5"/>
        <v>0</v>
      </c>
      <c r="AB56" s="114">
        <v>582</v>
      </c>
      <c r="AC56" s="114">
        <f t="shared" si="6"/>
        <v>0</v>
      </c>
      <c r="AD56" s="114">
        <v>582</v>
      </c>
      <c r="AE56" s="115">
        <f t="shared" si="7"/>
        <v>-1203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3635</v>
      </c>
      <c r="R57" s="104">
        <v>465</v>
      </c>
      <c r="S57" s="104">
        <f t="shared" si="1"/>
        <v>0</v>
      </c>
      <c r="T57" s="104">
        <v>465</v>
      </c>
      <c r="U57" s="104">
        <f t="shared" si="2"/>
        <v>294</v>
      </c>
      <c r="V57" s="104">
        <v>1053</v>
      </c>
      <c r="W57" s="104">
        <f t="shared" si="3"/>
        <v>292</v>
      </c>
      <c r="X57" s="104">
        <v>1637</v>
      </c>
      <c r="Y57" s="104">
        <f t="shared" si="4"/>
        <v>254</v>
      </c>
      <c r="Z57" s="104">
        <v>2145</v>
      </c>
      <c r="AA57" s="104">
        <f t="shared" si="5"/>
        <v>0</v>
      </c>
      <c r="AB57" s="104">
        <v>2145</v>
      </c>
      <c r="AC57" s="104">
        <f t="shared" si="6"/>
        <v>0</v>
      </c>
      <c r="AD57" s="104">
        <v>2145</v>
      </c>
      <c r="AE57" s="105">
        <f t="shared" si="7"/>
        <v>-1490</v>
      </c>
    </row>
    <row r="58" spans="14:31" ht="15.6" customHeight="1" x14ac:dyDescent="0.3">
      <c r="N58" s="212"/>
      <c r="O58" s="95" t="s">
        <v>66</v>
      </c>
      <c r="P58" s="106"/>
      <c r="Q58" s="106">
        <v>4285</v>
      </c>
      <c r="R58" s="106">
        <v>348</v>
      </c>
      <c r="S58" s="106">
        <f t="shared" si="1"/>
        <v>0</v>
      </c>
      <c r="T58" s="106">
        <v>348</v>
      </c>
      <c r="U58" s="106">
        <f t="shared" si="2"/>
        <v>0</v>
      </c>
      <c r="V58" s="106">
        <v>348</v>
      </c>
      <c r="W58" s="106">
        <f t="shared" si="3"/>
        <v>880</v>
      </c>
      <c r="X58" s="106">
        <v>2108</v>
      </c>
      <c r="Y58" s="106">
        <f t="shared" si="4"/>
        <v>1058.5</v>
      </c>
      <c r="Z58" s="106">
        <v>4225</v>
      </c>
      <c r="AA58" s="106">
        <f t="shared" si="5"/>
        <v>0</v>
      </c>
      <c r="AB58" s="106">
        <v>4225</v>
      </c>
      <c r="AC58" s="106">
        <f t="shared" si="6"/>
        <v>0</v>
      </c>
      <c r="AD58" s="106">
        <v>4225</v>
      </c>
      <c r="AE58" s="107">
        <f t="shared" si="7"/>
        <v>-60</v>
      </c>
    </row>
    <row r="59" spans="14:31" ht="15.6" customHeight="1" x14ac:dyDescent="0.3">
      <c r="N59" s="212"/>
      <c r="O59" s="94" t="s">
        <v>67</v>
      </c>
      <c r="P59" s="108"/>
      <c r="Q59" s="108">
        <v>3949</v>
      </c>
      <c r="R59" s="108">
        <v>340</v>
      </c>
      <c r="S59" s="108">
        <f t="shared" si="1"/>
        <v>0</v>
      </c>
      <c r="T59" s="108">
        <v>340</v>
      </c>
      <c r="U59" s="108">
        <f t="shared" si="2"/>
        <v>474</v>
      </c>
      <c r="V59" s="108">
        <v>1288</v>
      </c>
      <c r="W59" s="108">
        <f t="shared" si="3"/>
        <v>221.5</v>
      </c>
      <c r="X59" s="108">
        <v>1731</v>
      </c>
      <c r="Y59" s="108">
        <f t="shared" si="4"/>
        <v>563.5</v>
      </c>
      <c r="Z59" s="108">
        <v>2858</v>
      </c>
      <c r="AA59" s="108">
        <f t="shared" si="5"/>
        <v>0</v>
      </c>
      <c r="AB59" s="108">
        <v>2858</v>
      </c>
      <c r="AC59" s="108">
        <f t="shared" si="6"/>
        <v>0</v>
      </c>
      <c r="AD59" s="108">
        <v>2858</v>
      </c>
      <c r="AE59" s="109">
        <f t="shared" si="7"/>
        <v>-1091</v>
      </c>
    </row>
    <row r="60" spans="14:31" ht="15.6" customHeight="1" thickBot="1" x14ac:dyDescent="0.35">
      <c r="N60" s="213"/>
      <c r="O60" s="99" t="s">
        <v>68</v>
      </c>
      <c r="P60" s="114"/>
      <c r="Q60" s="114">
        <v>4093</v>
      </c>
      <c r="R60" s="114">
        <v>331</v>
      </c>
      <c r="S60" s="114">
        <f t="shared" si="1"/>
        <v>249.5</v>
      </c>
      <c r="T60" s="114">
        <v>830</v>
      </c>
      <c r="U60" s="114">
        <f t="shared" si="2"/>
        <v>591</v>
      </c>
      <c r="V60" s="114">
        <v>2012</v>
      </c>
      <c r="W60" s="114">
        <f t="shared" si="3"/>
        <v>572</v>
      </c>
      <c r="X60" s="114">
        <v>3156</v>
      </c>
      <c r="Y60" s="114">
        <f t="shared" si="4"/>
        <v>462.5</v>
      </c>
      <c r="Z60" s="114">
        <v>4081</v>
      </c>
      <c r="AA60" s="114">
        <f t="shared" si="5"/>
        <v>0</v>
      </c>
      <c r="AB60" s="114">
        <v>4081</v>
      </c>
      <c r="AC60" s="114">
        <f t="shared" si="6"/>
        <v>0</v>
      </c>
      <c r="AD60" s="114">
        <v>4081</v>
      </c>
      <c r="AE60" s="115">
        <f t="shared" si="7"/>
        <v>-12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3897</v>
      </c>
      <c r="R61" s="104">
        <v>888</v>
      </c>
      <c r="S61" s="104">
        <f t="shared" si="1"/>
        <v>415</v>
      </c>
      <c r="T61" s="104">
        <v>1718</v>
      </c>
      <c r="U61" s="104">
        <f t="shared" si="2"/>
        <v>0</v>
      </c>
      <c r="V61" s="104">
        <v>1718</v>
      </c>
      <c r="W61" s="104">
        <f t="shared" si="3"/>
        <v>281</v>
      </c>
      <c r="X61" s="104">
        <v>2280</v>
      </c>
      <c r="Y61" s="104">
        <f t="shared" si="4"/>
        <v>67</v>
      </c>
      <c r="Z61" s="104">
        <v>2414</v>
      </c>
      <c r="AA61" s="104">
        <f t="shared" si="5"/>
        <v>0</v>
      </c>
      <c r="AB61" s="104">
        <v>2414</v>
      </c>
      <c r="AC61" s="104">
        <f t="shared" si="6"/>
        <v>0</v>
      </c>
      <c r="AD61" s="104">
        <v>2414</v>
      </c>
      <c r="AE61" s="105">
        <f t="shared" si="7"/>
        <v>-1483</v>
      </c>
    </row>
    <row r="62" spans="14:31" ht="15.6" customHeight="1" x14ac:dyDescent="0.3">
      <c r="N62" s="212"/>
      <c r="O62" s="95" t="s">
        <v>66</v>
      </c>
      <c r="P62" s="106"/>
      <c r="Q62" s="106">
        <v>3982</v>
      </c>
      <c r="R62" s="106">
        <v>59</v>
      </c>
      <c r="S62" s="106">
        <f t="shared" si="1"/>
        <v>69</v>
      </c>
      <c r="T62" s="106">
        <v>197</v>
      </c>
      <c r="U62" s="106">
        <f t="shared" si="2"/>
        <v>340.5</v>
      </c>
      <c r="V62" s="106">
        <v>878</v>
      </c>
      <c r="W62" s="106">
        <f t="shared" si="3"/>
        <v>658</v>
      </c>
      <c r="X62" s="106">
        <v>2194</v>
      </c>
      <c r="Y62" s="106">
        <f t="shared" si="4"/>
        <v>95.5</v>
      </c>
      <c r="Z62" s="106">
        <v>2385</v>
      </c>
      <c r="AA62" s="106">
        <f t="shared" si="5"/>
        <v>0</v>
      </c>
      <c r="AB62" s="106">
        <v>2385</v>
      </c>
      <c r="AC62" s="106">
        <f t="shared" si="6"/>
        <v>0</v>
      </c>
      <c r="AD62" s="106">
        <v>2385</v>
      </c>
      <c r="AE62" s="107">
        <f t="shared" si="7"/>
        <v>-1597</v>
      </c>
    </row>
    <row r="63" spans="14:31" ht="15.6" customHeight="1" x14ac:dyDescent="0.3">
      <c r="N63" s="212"/>
      <c r="O63" s="94" t="s">
        <v>67</v>
      </c>
      <c r="P63" s="108"/>
      <c r="Q63" s="108">
        <v>2634</v>
      </c>
      <c r="R63" s="108">
        <v>1094</v>
      </c>
      <c r="S63" s="108">
        <f t="shared" si="1"/>
        <v>170.5</v>
      </c>
      <c r="T63" s="108">
        <v>1435</v>
      </c>
      <c r="U63" s="108">
        <f t="shared" si="2"/>
        <v>-131</v>
      </c>
      <c r="V63" s="108">
        <v>1173</v>
      </c>
      <c r="W63" s="108">
        <f t="shared" si="3"/>
        <v>99.5</v>
      </c>
      <c r="X63" s="108">
        <v>1372</v>
      </c>
      <c r="Y63" s="108">
        <f t="shared" si="4"/>
        <v>44.5</v>
      </c>
      <c r="Z63" s="108">
        <v>1461</v>
      </c>
      <c r="AA63" s="108">
        <f t="shared" si="5"/>
        <v>0</v>
      </c>
      <c r="AB63" s="108">
        <v>1461</v>
      </c>
      <c r="AC63" s="108">
        <f t="shared" si="6"/>
        <v>0</v>
      </c>
      <c r="AD63" s="108">
        <v>1461</v>
      </c>
      <c r="AE63" s="109">
        <f t="shared" si="7"/>
        <v>-1173</v>
      </c>
    </row>
    <row r="64" spans="14:31" ht="15.6" customHeight="1" thickBot="1" x14ac:dyDescent="0.35">
      <c r="N64" s="213"/>
      <c r="O64" s="99" t="s">
        <v>68</v>
      </c>
      <c r="P64" s="114"/>
      <c r="Q64" s="114">
        <v>3094</v>
      </c>
      <c r="R64" s="114">
        <v>234</v>
      </c>
      <c r="S64" s="114">
        <f t="shared" si="1"/>
        <v>496.5</v>
      </c>
      <c r="T64" s="114">
        <v>1227</v>
      </c>
      <c r="U64" s="114">
        <f t="shared" si="2"/>
        <v>213</v>
      </c>
      <c r="V64" s="114">
        <v>1653</v>
      </c>
      <c r="W64" s="114">
        <f t="shared" si="3"/>
        <v>91.5</v>
      </c>
      <c r="X64" s="114">
        <v>1836</v>
      </c>
      <c r="Y64" s="114">
        <f t="shared" si="4"/>
        <v>9.5</v>
      </c>
      <c r="Z64" s="114">
        <v>1855</v>
      </c>
      <c r="AA64" s="114">
        <f t="shared" si="5"/>
        <v>0</v>
      </c>
      <c r="AB64" s="114">
        <v>1855</v>
      </c>
      <c r="AC64" s="114">
        <f t="shared" si="6"/>
        <v>0</v>
      </c>
      <c r="AD64" s="114">
        <v>1855</v>
      </c>
      <c r="AE64" s="115">
        <f t="shared" si="7"/>
        <v>-1239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71" priority="11" operator="lessThan">
      <formula>0</formula>
    </cfRule>
    <cfRule type="cellIs" dxfId="1270" priority="12" operator="greaterThan">
      <formula>0</formula>
    </cfRule>
  </conditionalFormatting>
  <conditionalFormatting sqref="R25:AC25">
    <cfRule type="cellIs" dxfId="1269" priority="9" operator="lessThan">
      <formula>0</formula>
    </cfRule>
    <cfRule type="cellIs" dxfId="1268" priority="10" operator="greaterThan">
      <formula>0</formula>
    </cfRule>
  </conditionalFormatting>
  <conditionalFormatting sqref="R26 T26 V26 X26 Z26 AB26">
    <cfRule type="cellIs" dxfId="1267" priority="7" operator="lessThan">
      <formula>0</formula>
    </cfRule>
    <cfRule type="cellIs" dxfId="1266" priority="8" operator="greaterThan">
      <formula>0</formula>
    </cfRule>
  </conditionalFormatting>
  <conditionalFormatting sqref="AD24:AE24">
    <cfRule type="cellIs" dxfId="1265" priority="5" operator="lessThan">
      <formula>0</formula>
    </cfRule>
    <cfRule type="cellIs" dxfId="1264" priority="6" operator="greaterThan">
      <formula>0</formula>
    </cfRule>
  </conditionalFormatting>
  <conditionalFormatting sqref="AD25:AE25">
    <cfRule type="cellIs" dxfId="1263" priority="3" operator="lessThan">
      <formula>0</formula>
    </cfRule>
    <cfRule type="cellIs" dxfId="1262" priority="4" operator="greaterThan">
      <formula>0</formula>
    </cfRule>
  </conditionalFormatting>
  <conditionalFormatting sqref="AD26">
    <cfRule type="cellIs" dxfId="1261" priority="1" operator="lessThan">
      <formula>0</formula>
    </cfRule>
    <cfRule type="cellIs" dxfId="12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44413</v>
      </c>
    </row>
    <row r="3" spans="2:42" ht="18.75" customHeight="1" thickBot="1" x14ac:dyDescent="0.35">
      <c r="B3" t="s">
        <v>1</v>
      </c>
      <c r="C3" s="3">
        <f>C2+1</f>
        <v>44414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5683</v>
      </c>
      <c r="E6" s="18" t="s">
        <v>22</v>
      </c>
      <c r="F6" s="119">
        <v>22302</v>
      </c>
      <c r="G6" s="117">
        <v>18571.291625000009</v>
      </c>
      <c r="H6" s="117">
        <v>16897.797439360002</v>
      </c>
      <c r="I6" s="19">
        <f>G6+H6</f>
        <v>35469.089064360014</v>
      </c>
      <c r="J6" s="119">
        <v>22660</v>
      </c>
      <c r="K6" s="117">
        <v>18690.837625</v>
      </c>
      <c r="L6" s="117">
        <v>17199.446608639999</v>
      </c>
      <c r="M6" s="19">
        <f>K6+L6</f>
        <v>35890.284233639999</v>
      </c>
      <c r="N6" s="85">
        <v>65</v>
      </c>
      <c r="O6" s="85">
        <v>53</v>
      </c>
      <c r="P6" s="92"/>
      <c r="Q6" s="20">
        <f>J6-P6</f>
        <v>22660</v>
      </c>
      <c r="R6" s="21">
        <v>0</v>
      </c>
      <c r="S6" s="20" t="str">
        <f>IF(R6&gt;0,(R6-R7-$Q6),"")</f>
        <v/>
      </c>
      <c r="T6" s="21">
        <v>6577</v>
      </c>
      <c r="U6" s="20">
        <f>IF(T6&gt;0,(T6-T7-$Q6),"")</f>
        <v>-16540</v>
      </c>
      <c r="V6" s="21">
        <v>10681</v>
      </c>
      <c r="W6" s="20">
        <f>IF(V6&gt;0,(V6-V7-$Q6),"")</f>
        <v>-12636</v>
      </c>
      <c r="X6" s="21">
        <v>15717</v>
      </c>
      <c r="Y6" s="20">
        <f>IF(X6&gt;0,(X6-X7-$Q6),"")</f>
        <v>-7258</v>
      </c>
      <c r="Z6" s="21">
        <v>20428</v>
      </c>
      <c r="AA6" s="20">
        <f>IF(Z6&gt;0,(Z6-Z7-$Q6),"")</f>
        <v>-2504</v>
      </c>
      <c r="AB6" s="21">
        <v>21939</v>
      </c>
      <c r="AC6" s="22">
        <f>IF(AB6&gt;0,(AB6-AB7-$Q6),"")</f>
        <v>-993</v>
      </c>
      <c r="AD6" s="21">
        <v>21939</v>
      </c>
      <c r="AE6" s="22">
        <f>IF(AD6&gt;0,(AD6-AD7-$Q6),"")</f>
        <v>-993</v>
      </c>
    </row>
    <row r="7" spans="2:42" x14ac:dyDescent="0.3">
      <c r="B7" s="16" t="s">
        <v>23</v>
      </c>
      <c r="C7" s="17">
        <v>2476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0</v>
      </c>
      <c r="S7" s="24"/>
      <c r="T7" s="25">
        <v>457</v>
      </c>
      <c r="U7" s="24"/>
      <c r="V7" s="25">
        <v>657</v>
      </c>
      <c r="W7" s="24"/>
      <c r="X7" s="25">
        <v>315</v>
      </c>
      <c r="Y7" s="24"/>
      <c r="Z7" s="25">
        <v>272</v>
      </c>
      <c r="AA7" s="24"/>
      <c r="AB7" s="25">
        <v>272</v>
      </c>
      <c r="AC7" s="26"/>
      <c r="AD7" s="25">
        <v>272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2503</v>
      </c>
      <c r="E8" s="29" t="s">
        <v>27</v>
      </c>
      <c r="F8" s="119">
        <v>11320</v>
      </c>
      <c r="G8" s="117">
        <v>4681.24</v>
      </c>
      <c r="H8" s="117">
        <v>1405.1788959999999</v>
      </c>
      <c r="I8" s="19">
        <f>G8+H8</f>
        <v>6086.4188959999992</v>
      </c>
      <c r="J8" s="119">
        <v>11468</v>
      </c>
      <c r="K8" s="117">
        <v>4693.2430000000004</v>
      </c>
      <c r="L8" s="117">
        <v>1409.6087631</v>
      </c>
      <c r="M8" s="19">
        <f>K8+L8</f>
        <v>6102.8517631000004</v>
      </c>
      <c r="N8" s="87">
        <v>28</v>
      </c>
      <c r="O8" s="87">
        <v>24</v>
      </c>
      <c r="P8" s="92"/>
      <c r="Q8" s="20">
        <f>J8-P8</f>
        <v>11468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2223</v>
      </c>
      <c r="W8" s="20">
        <f>IF(V8&gt;0,(V8-V9-$Q8),"")</f>
        <v>-9245</v>
      </c>
      <c r="X8" s="21">
        <v>10329</v>
      </c>
      <c r="Y8" s="20">
        <f>IF(X8&gt;0,(X8-X9-$Q8),"")</f>
        <v>-1139</v>
      </c>
      <c r="Z8" s="21">
        <v>11468</v>
      </c>
      <c r="AA8" s="20">
        <f>IF(Z8&gt;0,(Z8-Z9-$Q8),"")</f>
        <v>0</v>
      </c>
      <c r="AB8" s="21">
        <v>11468</v>
      </c>
      <c r="AC8" s="22">
        <f>IF(AB8&gt;0,(AB8-AB9-$Q8),"")</f>
        <v>0</v>
      </c>
      <c r="AD8" s="21">
        <v>11468</v>
      </c>
      <c r="AE8" s="22">
        <f>IF(AD8&gt;0,(AD8-AD9-$Q8),"")</f>
        <v>0</v>
      </c>
    </row>
    <row r="9" spans="2:42" x14ac:dyDescent="0.3">
      <c r="B9" s="28" t="s">
        <v>28</v>
      </c>
      <c r="C9" s="17">
        <v>1882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5664</v>
      </c>
      <c r="E10" s="18" t="s">
        <v>31</v>
      </c>
      <c r="F10" s="119">
        <v>23564</v>
      </c>
      <c r="G10" s="117">
        <v>17561.133375000001</v>
      </c>
      <c r="H10" s="117">
        <v>1869.9855625</v>
      </c>
      <c r="I10" s="19">
        <f>G10+H10</f>
        <v>19431.118937500003</v>
      </c>
      <c r="J10" s="119">
        <v>24929</v>
      </c>
      <c r="K10" s="117">
        <v>18969.6865</v>
      </c>
      <c r="L10" s="117">
        <v>1966.6541649999999</v>
      </c>
      <c r="M10" s="19">
        <f>K10+L10</f>
        <v>20936.340665</v>
      </c>
      <c r="N10" s="88">
        <v>45</v>
      </c>
      <c r="O10" s="88">
        <v>39</v>
      </c>
      <c r="P10" s="92"/>
      <c r="Q10" s="20">
        <f>J10-P10</f>
        <v>24929</v>
      </c>
      <c r="R10" s="21">
        <v>6204</v>
      </c>
      <c r="S10" s="20">
        <f>IF(R10&gt;0,(R10-R11-$Q10),"")</f>
        <v>-19150</v>
      </c>
      <c r="T10" s="21">
        <v>7086</v>
      </c>
      <c r="U10" s="20">
        <f>IF(T10&gt;0,(T10-T11-$Q10),"")</f>
        <v>-18268</v>
      </c>
      <c r="V10" s="21">
        <v>9171</v>
      </c>
      <c r="W10" s="20">
        <f>IF(V10&gt;0,(V10-V11-$Q10),"")</f>
        <v>-16398</v>
      </c>
      <c r="X10" s="21">
        <v>15066</v>
      </c>
      <c r="Y10" s="20">
        <f>IF(X10&gt;0,(X10-X11-$Q10),"")</f>
        <v>-12523</v>
      </c>
      <c r="Z10" s="21">
        <v>19714</v>
      </c>
      <c r="AA10" s="20">
        <f>IF(Z10&gt;0,(Z10-Z11-$Q10),"")</f>
        <v>-8133</v>
      </c>
      <c r="AB10" s="21">
        <v>20449</v>
      </c>
      <c r="AC10" s="22">
        <f>IF(AB10&gt;0,(AB10-AB11-$Q10),"")</f>
        <v>-7838</v>
      </c>
      <c r="AD10" s="21">
        <v>20449</v>
      </c>
      <c r="AE10" s="22">
        <f>IF(AD10&gt;0,(AD10-AD11-$Q10),"")</f>
        <v>-7838</v>
      </c>
    </row>
    <row r="11" spans="2:42" x14ac:dyDescent="0.3">
      <c r="B11" s="16" t="s">
        <v>32</v>
      </c>
      <c r="C11" s="17">
        <v>2183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425</v>
      </c>
      <c r="S11" s="24"/>
      <c r="T11" s="30">
        <v>425</v>
      </c>
      <c r="U11" s="24"/>
      <c r="V11" s="30">
        <v>640</v>
      </c>
      <c r="W11" s="24"/>
      <c r="X11" s="30">
        <v>2660</v>
      </c>
      <c r="Y11" s="24"/>
      <c r="Z11" s="30">
        <v>2918</v>
      </c>
      <c r="AA11" s="24"/>
      <c r="AB11" s="30">
        <v>3358</v>
      </c>
      <c r="AC11" s="26"/>
      <c r="AD11" s="30">
        <v>3358</v>
      </c>
      <c r="AE11" s="26"/>
    </row>
    <row r="12" spans="2:42" x14ac:dyDescent="0.3">
      <c r="B12" s="16" t="s">
        <v>34</v>
      </c>
      <c r="C12" s="17">
        <v>1673</v>
      </c>
      <c r="E12" s="29" t="s">
        <v>35</v>
      </c>
      <c r="F12" s="119">
        <v>17317</v>
      </c>
      <c r="G12" s="117">
        <v>12206.281999999999</v>
      </c>
      <c r="H12" s="117">
        <v>18746.007692200001</v>
      </c>
      <c r="I12" s="19">
        <f>G12+H12</f>
        <v>30952.2896922</v>
      </c>
      <c r="J12" s="119">
        <v>18088</v>
      </c>
      <c r="K12" s="117">
        <v>12874.3</v>
      </c>
      <c r="L12" s="117">
        <v>19405.563025650012</v>
      </c>
      <c r="M12" s="19">
        <f>K12+L12</f>
        <v>32279.863025650011</v>
      </c>
      <c r="N12" s="88">
        <v>46</v>
      </c>
      <c r="O12" s="88">
        <v>42</v>
      </c>
      <c r="P12" s="92"/>
      <c r="Q12" s="20">
        <f>J12-P12</f>
        <v>18088</v>
      </c>
      <c r="R12" s="21">
        <v>2888</v>
      </c>
      <c r="S12" s="20">
        <f>IF(R12&gt;0,(R12-R13-$Q12),"")</f>
        <v>-16167</v>
      </c>
      <c r="T12" s="21">
        <v>5258</v>
      </c>
      <c r="U12" s="20">
        <f>IF(T12&gt;0,(T12-T13-$Q12),"")</f>
        <v>-13864</v>
      </c>
      <c r="V12" s="21">
        <v>5256</v>
      </c>
      <c r="W12" s="20">
        <f>IF(V12&gt;0,(V12-V13-$Q12),"")</f>
        <v>-13811</v>
      </c>
      <c r="X12" s="21">
        <v>10205</v>
      </c>
      <c r="Y12" s="20">
        <f>IF(X12&gt;0,(X12-X13-$Q12),"")</f>
        <v>-9209</v>
      </c>
      <c r="Z12" s="21">
        <v>12020</v>
      </c>
      <c r="AA12" s="20">
        <f>IF(Z12&gt;0,(Z12-Z13-$Q12),"")</f>
        <v>-7596</v>
      </c>
      <c r="AB12" s="21">
        <v>12040</v>
      </c>
      <c r="AC12" s="22">
        <f>IF(AB12&gt;0,(AB12-AB13-$Q12),"")</f>
        <v>-7576</v>
      </c>
      <c r="AD12" s="21">
        <v>12040</v>
      </c>
      <c r="AE12" s="22">
        <f>IF(AD12&gt;0,(AD12-AD13-$Q12),"")</f>
        <v>-7576</v>
      </c>
    </row>
    <row r="13" spans="2:42" x14ac:dyDescent="0.3">
      <c r="B13" s="16" t="s">
        <v>36</v>
      </c>
      <c r="C13" s="17">
        <v>4702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4</v>
      </c>
      <c r="P13" s="93" t="s">
        <v>37</v>
      </c>
      <c r="Q13" s="24"/>
      <c r="R13" s="30">
        <v>967</v>
      </c>
      <c r="S13" s="24"/>
      <c r="T13" s="30">
        <v>1034</v>
      </c>
      <c r="U13" s="24"/>
      <c r="V13" s="30">
        <v>979</v>
      </c>
      <c r="W13" s="24"/>
      <c r="X13" s="30">
        <v>1326</v>
      </c>
      <c r="Y13" s="24"/>
      <c r="Z13" s="30">
        <v>1528</v>
      </c>
      <c r="AA13" s="24"/>
      <c r="AB13" s="30">
        <v>1528</v>
      </c>
      <c r="AC13" s="26"/>
      <c r="AD13" s="30">
        <v>1528</v>
      </c>
      <c r="AE13" s="26"/>
    </row>
    <row r="14" spans="2:42" x14ac:dyDescent="0.3">
      <c r="B14" s="16" t="s">
        <v>38</v>
      </c>
      <c r="C14" s="17">
        <v>12718</v>
      </c>
      <c r="E14" s="18" t="s">
        <v>39</v>
      </c>
      <c r="F14" s="119">
        <v>22730</v>
      </c>
      <c r="G14" s="117">
        <v>16766.8125</v>
      </c>
      <c r="H14" s="117">
        <v>20501.268659590009</v>
      </c>
      <c r="I14" s="19">
        <f>G14+H14</f>
        <v>37268.081159590009</v>
      </c>
      <c r="J14" s="119">
        <v>22885</v>
      </c>
      <c r="K14" s="117">
        <v>16907.21875</v>
      </c>
      <c r="L14" s="117">
        <v>20812.36032226001</v>
      </c>
      <c r="M14" s="19">
        <f>K14+L14</f>
        <v>37719.579072260007</v>
      </c>
      <c r="N14" s="88">
        <v>58</v>
      </c>
      <c r="O14" s="88">
        <v>45</v>
      </c>
      <c r="P14" s="92"/>
      <c r="Q14" s="20">
        <f>J14-P14</f>
        <v>22885</v>
      </c>
      <c r="R14" s="21">
        <v>4017</v>
      </c>
      <c r="S14" s="20">
        <f>IF(R14&gt;0,(R14-R15-$Q14),"")</f>
        <v>-22341</v>
      </c>
      <c r="T14" s="21">
        <v>7458</v>
      </c>
      <c r="U14" s="20">
        <f>IF(T14&gt;0,(T14-T15-$Q14),"")</f>
        <v>-21657</v>
      </c>
      <c r="V14" s="21">
        <v>7151</v>
      </c>
      <c r="W14" s="20">
        <f>IF(V14&gt;0,(V14-V15-$Q14),"")</f>
        <v>-22810</v>
      </c>
      <c r="X14" s="21">
        <v>11459</v>
      </c>
      <c r="Y14" s="20">
        <f>IF(X14&gt;0,(X14-X15-$Q14),"")</f>
        <v>-19722</v>
      </c>
      <c r="Z14" s="21">
        <v>13829</v>
      </c>
      <c r="AA14" s="20">
        <f>IF(Z14&gt;0,(Z14-Z15-$Q14),"")</f>
        <v>-18165</v>
      </c>
      <c r="AB14" s="21">
        <v>14679</v>
      </c>
      <c r="AC14" s="22">
        <f>IF(AB14&gt;0,(AB14-AB15-$Q14),"")</f>
        <v>-17265</v>
      </c>
      <c r="AD14" s="21">
        <v>14679</v>
      </c>
      <c r="AE14" s="22">
        <f>IF(AD14&gt;0,(AD14-AD15-$Q14),"")</f>
        <v>-17265</v>
      </c>
    </row>
    <row r="15" spans="2:42" ht="15" customHeight="1" thickBot="1" x14ac:dyDescent="0.35">
      <c r="B15" s="16" t="s">
        <v>40</v>
      </c>
      <c r="C15" s="17">
        <v>2968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3473</v>
      </c>
      <c r="S15" s="24"/>
      <c r="T15" s="25">
        <v>6230</v>
      </c>
      <c r="U15" s="24"/>
      <c r="V15" s="25">
        <v>7076</v>
      </c>
      <c r="W15" s="24"/>
      <c r="X15" s="25">
        <v>8296</v>
      </c>
      <c r="Y15" s="24"/>
      <c r="Z15" s="25">
        <v>9109</v>
      </c>
      <c r="AA15" s="24"/>
      <c r="AB15" s="25">
        <v>9059</v>
      </c>
      <c r="AC15" s="26"/>
      <c r="AD15" s="25">
        <v>9059</v>
      </c>
      <c r="AE15" s="26"/>
    </row>
    <row r="16" spans="2:42" ht="15" customHeight="1" thickBot="1" x14ac:dyDescent="0.35">
      <c r="B16" s="28" t="s">
        <v>42</v>
      </c>
      <c r="C16" s="17">
        <v>14686</v>
      </c>
      <c r="E16" s="84"/>
      <c r="F16" s="31">
        <f t="shared" ref="F16:M16" si="0">SUM(F6:F15)</f>
        <v>97233</v>
      </c>
      <c r="G16" s="31">
        <f t="shared" si="0"/>
        <v>69786.759500000015</v>
      </c>
      <c r="H16" s="31">
        <f t="shared" si="0"/>
        <v>59420.238249650014</v>
      </c>
      <c r="I16" s="32">
        <f t="shared" si="0"/>
        <v>129206.99774965004</v>
      </c>
      <c r="J16" s="33">
        <f t="shared" si="0"/>
        <v>100030</v>
      </c>
      <c r="K16" s="33">
        <f t="shared" si="0"/>
        <v>72135.285875000001</v>
      </c>
      <c r="L16" s="33">
        <f t="shared" si="0"/>
        <v>60793.632884650026</v>
      </c>
      <c r="M16" s="33">
        <f t="shared" si="0"/>
        <v>132928.91875965003</v>
      </c>
      <c r="N16" s="31">
        <f>SUM(N14,N12,N10,N8,N6)</f>
        <v>242</v>
      </c>
      <c r="O16" s="31">
        <f>SUM(O14,O12,O10,O8,O6)</f>
        <v>203</v>
      </c>
      <c r="P16" s="34">
        <f>SUM(P6:P15)</f>
        <v>0</v>
      </c>
      <c r="Q16" s="34">
        <f>SUM(Q6:Q15)</f>
        <v>100030</v>
      </c>
      <c r="R16" s="35">
        <f>R6+R8+R10+R12+R14-R7-R9-R11-R13-R15</f>
        <v>8244</v>
      </c>
      <c r="S16" s="36">
        <f>IF(R16&gt;1,(R16-$Q16),"")</f>
        <v>-91786</v>
      </c>
      <c r="T16" s="35">
        <f>T6+T8+T10+T12+T14-T7-T9-T11-T13-T15</f>
        <v>18233</v>
      </c>
      <c r="U16" s="36">
        <f>IF(T16&gt;1,(T16-$Q16),"")</f>
        <v>-81797</v>
      </c>
      <c r="V16" s="35">
        <f>V6+V8+V10+V12+V14-V7-V9-V11-V13-V15</f>
        <v>25130</v>
      </c>
      <c r="W16" s="36">
        <f>IF(V16&gt;1,(V16-$Q16),"")</f>
        <v>-74900</v>
      </c>
      <c r="X16" s="35">
        <f>X6+X8+X10+X12+X14-X7-X9-X11-X13-X15</f>
        <v>50179</v>
      </c>
      <c r="Y16" s="36">
        <f>IF(X16&gt;1,(X16-$Q16),"")</f>
        <v>-49851</v>
      </c>
      <c r="Z16" s="35">
        <f>Z6+Z8+Z10+Z12+Z14-Z7-Z9-Z11-Z13-Z15</f>
        <v>63632</v>
      </c>
      <c r="AA16" s="36">
        <f>IF(Z16&gt;1,(Z16-$Q16),"")</f>
        <v>-36398</v>
      </c>
      <c r="AB16" s="35">
        <f>AB6+AB8+AB10+AB12+AB14-AB7-AB9-AB11-AB13-AB15</f>
        <v>66358</v>
      </c>
      <c r="AC16" s="37">
        <f>IF(AB16&gt;1,(AB16-$Q16),"")</f>
        <v>-33672</v>
      </c>
      <c r="AD16" s="35">
        <f>AD6+AD8+AD10+AD12+AD14-AD7-AD9-AD11-AD13-AD15</f>
        <v>66358</v>
      </c>
      <c r="AE16" s="37">
        <f>IF(AD16&gt;1,(AD16-$Q16),"")</f>
        <v>-33672</v>
      </c>
    </row>
    <row r="17" spans="2:43" s="4" customFormat="1" ht="15" customHeight="1" thickBot="1" x14ac:dyDescent="0.35">
      <c r="B17" s="43" t="s">
        <v>47</v>
      </c>
      <c r="C17" s="17">
        <v>1394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39</v>
      </c>
      <c r="P17" s="38" t="s">
        <v>44</v>
      </c>
      <c r="Q17" s="39"/>
      <c r="R17" s="40">
        <f>R15+R13+R11+R9+R7</f>
        <v>4865</v>
      </c>
      <c r="S17" s="41"/>
      <c r="T17" s="40">
        <f>T15+T13+T11+T9+T7</f>
        <v>8146</v>
      </c>
      <c r="U17" s="41"/>
      <c r="V17" s="40">
        <f>V15+V13+V11+V9+V7</f>
        <v>9352</v>
      </c>
      <c r="W17" s="41"/>
      <c r="X17" s="40">
        <f>X15+X13+X11+X9+X7</f>
        <v>12597</v>
      </c>
      <c r="Y17" s="41"/>
      <c r="Z17" s="40">
        <f>Z15+Z13+Z11+Z9+Z7</f>
        <v>13827</v>
      </c>
      <c r="AA17" s="41"/>
      <c r="AB17" s="40">
        <f>AB15+AB13+AB11+AB9+AB7</f>
        <v>14217</v>
      </c>
      <c r="AC17" s="42"/>
      <c r="AD17" s="40">
        <f>AD15+AD13+AD11+AD9+AD7</f>
        <v>14217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553</v>
      </c>
      <c r="P18" s="45" t="s">
        <v>46</v>
      </c>
      <c r="Q18" s="46"/>
      <c r="R18" s="47">
        <f>IF(R16&gt;0,(R16)/2,"")</f>
        <v>4122</v>
      </c>
      <c r="S18" s="46"/>
      <c r="T18" s="47">
        <f>IF(T16&gt;0,(T16-R16)/2,"")</f>
        <v>4994.5</v>
      </c>
      <c r="U18" s="46"/>
      <c r="V18" s="47">
        <f>IF(V16&gt;0,(V16-T16)/2,"")</f>
        <v>3448.5</v>
      </c>
      <c r="W18" s="46"/>
      <c r="X18" s="47">
        <f>IF(X16&gt;0,(X16-V16)/2,"")</f>
        <v>12524.5</v>
      </c>
      <c r="Y18" s="46"/>
      <c r="Z18" s="47">
        <f>IF(Z16&gt;0,(Z16-X16)/2,"")</f>
        <v>6726.5</v>
      </c>
      <c r="AA18" s="46"/>
      <c r="AB18" s="47">
        <f>IF(AB16&gt;0,(AB16-Z16)/2,"")</f>
        <v>1363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7804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2867</v>
      </c>
      <c r="L20" s="4"/>
      <c r="M20" s="4"/>
      <c r="Q20" s="51" t="s">
        <v>49</v>
      </c>
      <c r="R20" s="35">
        <v>6763</v>
      </c>
      <c r="S20" s="36">
        <v>-82865</v>
      </c>
      <c r="T20" s="35">
        <v>13957</v>
      </c>
      <c r="U20" s="36">
        <v>-75671</v>
      </c>
      <c r="V20" s="35">
        <v>26502</v>
      </c>
      <c r="W20" s="36">
        <v>-63126</v>
      </c>
      <c r="X20" s="35">
        <v>39782</v>
      </c>
      <c r="Y20" s="36">
        <v>-49846</v>
      </c>
      <c r="Z20" s="35">
        <v>55698</v>
      </c>
      <c r="AA20" s="36">
        <v>-33930</v>
      </c>
      <c r="AB20" s="35">
        <v>59159</v>
      </c>
      <c r="AC20" s="37">
        <v>-30469</v>
      </c>
      <c r="AD20" s="35">
        <v>59159</v>
      </c>
      <c r="AE20" s="37">
        <v>-30469</v>
      </c>
    </row>
    <row r="21" spans="2:43" ht="15" customHeight="1" thickBot="1" x14ac:dyDescent="0.35">
      <c r="B21" s="57" t="s">
        <v>52</v>
      </c>
      <c r="C21" s="58">
        <v>4350</v>
      </c>
      <c r="M21" s="4"/>
      <c r="Q21" s="52"/>
      <c r="R21" s="40">
        <v>5489</v>
      </c>
      <c r="S21" s="41"/>
      <c r="T21" s="40">
        <v>8425</v>
      </c>
      <c r="U21" s="41"/>
      <c r="V21" s="40">
        <v>10211</v>
      </c>
      <c r="W21" s="41"/>
      <c r="X21" s="40">
        <v>11670</v>
      </c>
      <c r="Y21" s="41"/>
      <c r="Z21" s="40">
        <v>11735</v>
      </c>
      <c r="AA21" s="41"/>
      <c r="AB21" s="40">
        <v>11761</v>
      </c>
      <c r="AC21" s="42"/>
      <c r="AD21" s="40">
        <v>11761</v>
      </c>
      <c r="AE21" s="42"/>
    </row>
    <row r="22" spans="2:43" ht="15" customHeight="1" thickBot="1" x14ac:dyDescent="0.35">
      <c r="M22" s="4"/>
      <c r="Q22" s="54"/>
      <c r="R22" s="55">
        <v>3381.5</v>
      </c>
      <c r="S22" s="55"/>
      <c r="T22" s="55">
        <v>3597</v>
      </c>
      <c r="U22" s="55"/>
      <c r="V22" s="55">
        <v>6272.5</v>
      </c>
      <c r="W22" s="55"/>
      <c r="X22" s="55">
        <v>6640</v>
      </c>
      <c r="Y22" s="55"/>
      <c r="Z22" s="55">
        <v>7958</v>
      </c>
      <c r="AA22" s="55"/>
      <c r="AB22" s="55">
        <v>1730.5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1481</v>
      </c>
      <c r="S24" s="60"/>
      <c r="T24" s="60">
        <f>IF(T16&gt;0,T16-T20,"")</f>
        <v>4276</v>
      </c>
      <c r="U24" s="60"/>
      <c r="V24" s="60">
        <f>IF(V16&gt;0,V16-V20,"")</f>
        <v>-1372</v>
      </c>
      <c r="W24" s="60"/>
      <c r="X24" s="60">
        <f>IF(X16&gt;0,X16-X20,"")</f>
        <v>10397</v>
      </c>
      <c r="Y24" s="60"/>
      <c r="Z24" s="60">
        <f>IF(Z16&gt;0,Z16-Z20,"")</f>
        <v>7934</v>
      </c>
      <c r="AA24" s="60"/>
      <c r="AB24" s="60">
        <f>IF(AB16&gt;0,AB16-AB20,"")</f>
        <v>7199</v>
      </c>
      <c r="AC24" s="61"/>
      <c r="AD24" s="60">
        <f>IF(AD16&gt;0,AD16-AD20,"")</f>
        <v>7199</v>
      </c>
      <c r="AE24" s="61"/>
    </row>
    <row r="25" spans="2:43" x14ac:dyDescent="0.3">
      <c r="M25" s="4"/>
      <c r="Q25" s="62"/>
      <c r="R25" s="63">
        <f>IF(R17&gt;=0,R17-R21,"")</f>
        <v>-624</v>
      </c>
      <c r="S25" s="64"/>
      <c r="T25" s="63">
        <f>IF(T17&gt;=0,T17-T21,"")</f>
        <v>-279</v>
      </c>
      <c r="U25" s="64"/>
      <c r="V25" s="63">
        <f>IF(V17&gt;=0,V17-V21,"")</f>
        <v>-859</v>
      </c>
      <c r="W25" s="64"/>
      <c r="X25" s="63">
        <f>IF(X17&gt;=0,X17-X21,"")</f>
        <v>927</v>
      </c>
      <c r="Y25" s="64"/>
      <c r="Z25" s="63">
        <f>IF(Z17&gt;=0,Z17-Z21,"")</f>
        <v>2092</v>
      </c>
      <c r="AA25" s="64"/>
      <c r="AB25" s="63">
        <f>IF(AB17&gt;=0,AB17-AB21,"")</f>
        <v>2456</v>
      </c>
      <c r="AC25" s="65"/>
      <c r="AD25" s="63">
        <f>IF(AD17&gt;=0,AD17-AD21,"")</f>
        <v>2456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740.5</v>
      </c>
      <c r="S26" s="55"/>
      <c r="T26" s="67">
        <f>IFERROR(IF(T18&gt;0,T18-T22,""),"")</f>
        <v>1397.5</v>
      </c>
      <c r="U26" s="55"/>
      <c r="V26" s="67">
        <f>IFERROR(IF(V18&gt;0,V18-V22,""),"")</f>
        <v>-2824</v>
      </c>
      <c r="W26" s="55"/>
      <c r="X26" s="67">
        <f>IFERROR(IF(X18&gt;0,X18-X22,""),"")</f>
        <v>5884.5</v>
      </c>
      <c r="Y26" s="55"/>
      <c r="Z26" s="67">
        <f>IFERROR(IF(Z18&gt;0,Z18-Z22,""),"")</f>
        <v>-1231.5</v>
      </c>
      <c r="AA26" s="55"/>
      <c r="AB26" s="67">
        <f>IFERROR(IF(AB18&gt;0,AB18-AB22,""),"")</f>
        <v>-367.5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12020</v>
      </c>
      <c r="D29" s="76">
        <f>C14</f>
        <v>12718</v>
      </c>
      <c r="E29" s="77">
        <f>D29-C29</f>
        <v>698</v>
      </c>
      <c r="O29" s="4"/>
    </row>
    <row r="30" spans="2:43" x14ac:dyDescent="0.3">
      <c r="B30" s="74" t="s">
        <v>56</v>
      </c>
      <c r="C30" s="122">
        <v>35115</v>
      </c>
      <c r="D30" s="76">
        <f>C7+C15+C16+C17+C18</f>
        <v>22077</v>
      </c>
      <c r="E30" s="77">
        <f>D30-C30</f>
        <v>-13038</v>
      </c>
      <c r="J30" s="53"/>
      <c r="O30" s="4"/>
    </row>
    <row r="31" spans="2:43" x14ac:dyDescent="0.3">
      <c r="B31" s="74" t="s">
        <v>21</v>
      </c>
      <c r="C31" s="122">
        <v>5638</v>
      </c>
      <c r="D31" s="76">
        <f>C6</f>
        <v>5683</v>
      </c>
      <c r="E31" s="77">
        <f>D31-C31</f>
        <v>45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14222</v>
      </c>
      <c r="D32" s="76">
        <f>C10+C11+C12+C13</f>
        <v>14222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14800</v>
      </c>
      <c r="D33" s="76">
        <f>C19+C20+C21</f>
        <v>15021</v>
      </c>
      <c r="E33" s="77">
        <f>D33-C33</f>
        <v>221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4385</v>
      </c>
      <c r="D34" s="80">
        <f>SUM(C8+C9)</f>
        <v>4385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1052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276</v>
      </c>
      <c r="V35" s="104">
        <v>552</v>
      </c>
      <c r="W35" s="104">
        <f t="shared" ref="W35:W64" si="3">IF(X35&gt;0,(X35-V35)/2,"")</f>
        <v>0</v>
      </c>
      <c r="X35" s="104">
        <v>552</v>
      </c>
      <c r="Y35" s="104">
        <f t="shared" ref="Y35:Y64" si="4">IF(Z35&gt;0,(Z35-X35)/2,"")</f>
        <v>250</v>
      </c>
      <c r="Z35" s="104">
        <v>1052</v>
      </c>
      <c r="AA35" s="104">
        <f t="shared" ref="AA35:AA64" si="5">IF(AB35&gt;0,(AB35-Z35)/2,"")</f>
        <v>0</v>
      </c>
      <c r="AB35" s="104">
        <v>1052</v>
      </c>
      <c r="AC35" s="104">
        <f t="shared" ref="AC35:AC64" si="6">IF(AD35&gt;0,(AD35-AB35)/2,"")</f>
        <v>0</v>
      </c>
      <c r="AD35" s="104">
        <v>1052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1960</v>
      </c>
      <c r="R36" s="106">
        <v>0</v>
      </c>
      <c r="S36" s="106">
        <f t="shared" si="1"/>
        <v>296</v>
      </c>
      <c r="T36" s="106">
        <v>592</v>
      </c>
      <c r="U36" s="106">
        <f t="shared" si="2"/>
        <v>267</v>
      </c>
      <c r="V36" s="106">
        <v>1126</v>
      </c>
      <c r="W36" s="106">
        <f t="shared" si="3"/>
        <v>0</v>
      </c>
      <c r="X36" s="106">
        <v>1126</v>
      </c>
      <c r="Y36" s="106">
        <f t="shared" si="4"/>
        <v>13</v>
      </c>
      <c r="Z36" s="106">
        <v>1152</v>
      </c>
      <c r="AA36" s="106">
        <f t="shared" si="5"/>
        <v>0</v>
      </c>
      <c r="AB36" s="106">
        <v>1152</v>
      </c>
      <c r="AC36" s="106">
        <f t="shared" si="6"/>
        <v>0</v>
      </c>
      <c r="AD36" s="106">
        <v>1152</v>
      </c>
      <c r="AE36" s="107">
        <f t="shared" si="7"/>
        <v>-808</v>
      </c>
    </row>
    <row r="37" spans="2:31" ht="15.6" customHeight="1" x14ac:dyDescent="0.3">
      <c r="N37" s="212"/>
      <c r="O37" s="94" t="s">
        <v>67</v>
      </c>
      <c r="P37" s="108"/>
      <c r="Q37" s="108">
        <v>3770</v>
      </c>
      <c r="R37" s="108">
        <v>0</v>
      </c>
      <c r="S37" s="108">
        <f t="shared" si="1"/>
        <v>391</v>
      </c>
      <c r="T37" s="108">
        <v>782</v>
      </c>
      <c r="U37" s="108">
        <f t="shared" si="2"/>
        <v>210</v>
      </c>
      <c r="V37" s="108">
        <v>1202</v>
      </c>
      <c r="W37" s="108">
        <f t="shared" si="3"/>
        <v>213</v>
      </c>
      <c r="X37" s="108">
        <v>1628</v>
      </c>
      <c r="Y37" s="108">
        <f t="shared" si="4"/>
        <v>733.5</v>
      </c>
      <c r="Z37" s="108">
        <v>3095</v>
      </c>
      <c r="AA37" s="108">
        <f t="shared" si="5"/>
        <v>337.5</v>
      </c>
      <c r="AB37" s="108">
        <v>3770</v>
      </c>
      <c r="AC37" s="108">
        <f t="shared" si="6"/>
        <v>0</v>
      </c>
      <c r="AD37" s="108">
        <v>3770</v>
      </c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>
        <v>3946</v>
      </c>
      <c r="R38" s="106">
        <v>0</v>
      </c>
      <c r="S38" s="106">
        <f t="shared" si="1"/>
        <v>364.5</v>
      </c>
      <c r="T38" s="106">
        <v>729</v>
      </c>
      <c r="U38" s="106">
        <f t="shared" si="2"/>
        <v>475.5</v>
      </c>
      <c r="V38" s="106">
        <v>1680</v>
      </c>
      <c r="W38" s="106">
        <f t="shared" si="3"/>
        <v>714</v>
      </c>
      <c r="X38" s="106">
        <v>3108</v>
      </c>
      <c r="Y38" s="106">
        <f t="shared" si="4"/>
        <v>358.5</v>
      </c>
      <c r="Z38" s="106">
        <v>3825</v>
      </c>
      <c r="AA38" s="106">
        <f t="shared" si="5"/>
        <v>165.5</v>
      </c>
      <c r="AB38" s="106">
        <v>4156</v>
      </c>
      <c r="AC38" s="106">
        <f t="shared" si="6"/>
        <v>0</v>
      </c>
      <c r="AD38" s="106">
        <v>4156</v>
      </c>
      <c r="AE38" s="107">
        <f t="shared" si="7"/>
        <v>210</v>
      </c>
    </row>
    <row r="39" spans="2:31" ht="15.6" customHeight="1" x14ac:dyDescent="0.3">
      <c r="N39" s="212"/>
      <c r="O39" s="94" t="s">
        <v>69</v>
      </c>
      <c r="P39" s="108"/>
      <c r="Q39" s="108">
        <v>2785</v>
      </c>
      <c r="R39" s="108">
        <v>0</v>
      </c>
      <c r="S39" s="108">
        <f t="shared" si="1"/>
        <v>333.5</v>
      </c>
      <c r="T39" s="108">
        <v>667</v>
      </c>
      <c r="U39" s="108">
        <f t="shared" si="2"/>
        <v>455</v>
      </c>
      <c r="V39" s="108">
        <v>1577</v>
      </c>
      <c r="W39" s="108">
        <f t="shared" si="3"/>
        <v>556.5</v>
      </c>
      <c r="X39" s="108">
        <v>2690</v>
      </c>
      <c r="Y39" s="108">
        <f t="shared" si="4"/>
        <v>0</v>
      </c>
      <c r="Z39" s="108">
        <v>2690</v>
      </c>
      <c r="AA39" s="108">
        <f t="shared" si="5"/>
        <v>46</v>
      </c>
      <c r="AB39" s="108">
        <v>2782</v>
      </c>
      <c r="AC39" s="108">
        <f t="shared" si="6"/>
        <v>0</v>
      </c>
      <c r="AD39" s="108">
        <v>2782</v>
      </c>
      <c r="AE39" s="109">
        <f t="shared" si="7"/>
        <v>-3</v>
      </c>
    </row>
    <row r="40" spans="2:31" ht="15.6" customHeight="1" x14ac:dyDescent="0.3">
      <c r="N40" s="212"/>
      <c r="O40" s="95" t="s">
        <v>70</v>
      </c>
      <c r="P40" s="106"/>
      <c r="Q40" s="106">
        <v>3902</v>
      </c>
      <c r="R40" s="106">
        <v>0</v>
      </c>
      <c r="S40" s="106">
        <f t="shared" si="1"/>
        <v>604.5</v>
      </c>
      <c r="T40" s="106">
        <v>1209</v>
      </c>
      <c r="U40" s="106">
        <f t="shared" si="2"/>
        <v>369.5</v>
      </c>
      <c r="V40" s="106">
        <v>1948</v>
      </c>
      <c r="W40" s="106">
        <f t="shared" si="3"/>
        <v>12</v>
      </c>
      <c r="X40" s="106">
        <v>1972</v>
      </c>
      <c r="Y40" s="106">
        <f t="shared" si="4"/>
        <v>784.5</v>
      </c>
      <c r="Z40" s="106">
        <v>3541</v>
      </c>
      <c r="AA40" s="106">
        <f t="shared" si="5"/>
        <v>206.5</v>
      </c>
      <c r="AB40" s="106">
        <v>3954</v>
      </c>
      <c r="AC40" s="106">
        <f t="shared" si="6"/>
        <v>0</v>
      </c>
      <c r="AD40" s="106">
        <v>3954</v>
      </c>
      <c r="AE40" s="107">
        <f t="shared" si="7"/>
        <v>52</v>
      </c>
    </row>
    <row r="41" spans="2:31" ht="15.6" customHeight="1" x14ac:dyDescent="0.3">
      <c r="N41" s="212"/>
      <c r="O41" s="94" t="s">
        <v>71</v>
      </c>
      <c r="P41" s="108"/>
      <c r="Q41" s="108">
        <v>1101</v>
      </c>
      <c r="R41" s="108">
        <v>0</v>
      </c>
      <c r="S41" s="108">
        <f t="shared" si="1"/>
        <v>417.5</v>
      </c>
      <c r="T41" s="108">
        <v>835</v>
      </c>
      <c r="U41" s="108">
        <f t="shared" si="2"/>
        <v>133</v>
      </c>
      <c r="V41" s="108">
        <v>1101</v>
      </c>
      <c r="W41" s="108">
        <f t="shared" si="3"/>
        <v>0</v>
      </c>
      <c r="X41" s="108">
        <v>1101</v>
      </c>
      <c r="Y41" s="108">
        <f t="shared" si="4"/>
        <v>0</v>
      </c>
      <c r="Z41" s="108">
        <v>1101</v>
      </c>
      <c r="AA41" s="108">
        <f t="shared" si="5"/>
        <v>0</v>
      </c>
      <c r="AB41" s="108">
        <v>1101</v>
      </c>
      <c r="AC41" s="108">
        <f t="shared" si="6"/>
        <v>0</v>
      </c>
      <c r="AD41" s="108">
        <v>1101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1786</v>
      </c>
      <c r="R42" s="106">
        <v>0</v>
      </c>
      <c r="S42" s="106">
        <f t="shared" si="1"/>
        <v>604</v>
      </c>
      <c r="T42" s="106">
        <v>1208</v>
      </c>
      <c r="U42" s="106">
        <f t="shared" si="2"/>
        <v>-134</v>
      </c>
      <c r="V42" s="106">
        <v>940</v>
      </c>
      <c r="W42" s="106">
        <f t="shared" si="3"/>
        <v>406</v>
      </c>
      <c r="X42" s="106">
        <v>1752</v>
      </c>
      <c r="Y42" s="106">
        <f t="shared" si="4"/>
        <v>17</v>
      </c>
      <c r="Z42" s="106">
        <v>1786</v>
      </c>
      <c r="AA42" s="106">
        <f t="shared" si="5"/>
        <v>0</v>
      </c>
      <c r="AB42" s="106">
        <v>1786</v>
      </c>
      <c r="AC42" s="106">
        <f t="shared" si="6"/>
        <v>0</v>
      </c>
      <c r="AD42" s="106">
        <v>1786</v>
      </c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>
        <v>1705</v>
      </c>
      <c r="R43" s="110">
        <v>0</v>
      </c>
      <c r="S43" s="110">
        <f t="shared" si="1"/>
        <v>277.5</v>
      </c>
      <c r="T43" s="110">
        <v>555</v>
      </c>
      <c r="U43" s="110">
        <f t="shared" si="2"/>
        <v>0</v>
      </c>
      <c r="V43" s="110">
        <v>555</v>
      </c>
      <c r="W43" s="110">
        <f t="shared" si="3"/>
        <v>379.5</v>
      </c>
      <c r="X43" s="110">
        <v>1314</v>
      </c>
      <c r="Y43" s="110">
        <f t="shared" si="4"/>
        <v>194</v>
      </c>
      <c r="Z43" s="110">
        <v>1702</v>
      </c>
      <c r="AA43" s="110">
        <f t="shared" si="5"/>
        <v>0</v>
      </c>
      <c r="AB43" s="110">
        <v>1702</v>
      </c>
      <c r="AC43" s="110">
        <f t="shared" si="6"/>
        <v>0</v>
      </c>
      <c r="AD43" s="110">
        <v>1702</v>
      </c>
      <c r="AE43" s="111">
        <f t="shared" si="7"/>
        <v>-3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3058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959.5</v>
      </c>
      <c r="V44" s="112">
        <v>1919</v>
      </c>
      <c r="W44" s="112">
        <f t="shared" si="3"/>
        <v>0</v>
      </c>
      <c r="X44" s="112">
        <v>1919</v>
      </c>
      <c r="Y44" s="112">
        <f t="shared" si="4"/>
        <v>569.5</v>
      </c>
      <c r="Z44" s="112">
        <v>3058</v>
      </c>
      <c r="AA44" s="112">
        <f t="shared" si="5"/>
        <v>0</v>
      </c>
      <c r="AB44" s="112">
        <v>3058</v>
      </c>
      <c r="AC44" s="112">
        <f t="shared" si="6"/>
        <v>0</v>
      </c>
      <c r="AD44" s="112">
        <v>3058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2515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1257.5</v>
      </c>
      <c r="X45" s="108">
        <v>2515</v>
      </c>
      <c r="Y45" s="108">
        <f t="shared" si="4"/>
        <v>0</v>
      </c>
      <c r="Z45" s="108">
        <v>2515</v>
      </c>
      <c r="AA45" s="108">
        <f t="shared" si="5"/>
        <v>0</v>
      </c>
      <c r="AB45" s="108">
        <v>2515</v>
      </c>
      <c r="AC45" s="108">
        <f t="shared" si="6"/>
        <v>0</v>
      </c>
      <c r="AD45" s="108">
        <v>2515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2862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152</v>
      </c>
      <c r="V46" s="106">
        <v>304</v>
      </c>
      <c r="W46" s="106">
        <f t="shared" si="3"/>
        <v>1279</v>
      </c>
      <c r="X46" s="106">
        <v>2862</v>
      </c>
      <c r="Y46" s="106">
        <f t="shared" si="4"/>
        <v>0</v>
      </c>
      <c r="Z46" s="106">
        <v>2862</v>
      </c>
      <c r="AA46" s="106">
        <f t="shared" si="5"/>
        <v>0</v>
      </c>
      <c r="AB46" s="106">
        <v>2862</v>
      </c>
      <c r="AC46" s="106">
        <f t="shared" si="6"/>
        <v>0</v>
      </c>
      <c r="AD46" s="106">
        <v>2862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3033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1516.5</v>
      </c>
      <c r="X47" s="110">
        <v>3033</v>
      </c>
      <c r="Y47" s="110">
        <f t="shared" si="4"/>
        <v>0</v>
      </c>
      <c r="Z47" s="110">
        <v>3033</v>
      </c>
      <c r="AA47" s="110">
        <f t="shared" si="5"/>
        <v>0</v>
      </c>
      <c r="AB47" s="110">
        <v>3033</v>
      </c>
      <c r="AC47" s="110">
        <f t="shared" si="6"/>
        <v>0</v>
      </c>
      <c r="AD47" s="110">
        <v>3033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3355</v>
      </c>
      <c r="R48" s="112">
        <v>960</v>
      </c>
      <c r="S48" s="112">
        <f t="shared" si="1"/>
        <v>0</v>
      </c>
      <c r="T48" s="112">
        <v>960</v>
      </c>
      <c r="U48" s="112">
        <f t="shared" si="2"/>
        <v>340.5</v>
      </c>
      <c r="V48" s="112">
        <v>1641</v>
      </c>
      <c r="W48" s="112">
        <f t="shared" si="3"/>
        <v>1.5</v>
      </c>
      <c r="X48" s="112">
        <v>1644</v>
      </c>
      <c r="Y48" s="112">
        <f t="shared" si="4"/>
        <v>542.5</v>
      </c>
      <c r="Z48" s="112">
        <v>2729</v>
      </c>
      <c r="AA48" s="112">
        <f t="shared" si="5"/>
        <v>60.5</v>
      </c>
      <c r="AB48" s="112">
        <v>2850</v>
      </c>
      <c r="AC48" s="112">
        <f t="shared" si="6"/>
        <v>0</v>
      </c>
      <c r="AD48" s="112">
        <v>2850</v>
      </c>
      <c r="AE48" s="113">
        <f t="shared" si="7"/>
        <v>-505</v>
      </c>
    </row>
    <row r="49" spans="14:31" ht="15.6" customHeight="1" x14ac:dyDescent="0.3">
      <c r="N49" s="212"/>
      <c r="O49" s="94" t="s">
        <v>66</v>
      </c>
      <c r="P49" s="108"/>
      <c r="Q49" s="108">
        <v>3056</v>
      </c>
      <c r="R49" s="108">
        <v>1477</v>
      </c>
      <c r="S49" s="108">
        <f t="shared" si="1"/>
        <v>0</v>
      </c>
      <c r="T49" s="108">
        <v>1477</v>
      </c>
      <c r="U49" s="108">
        <f t="shared" si="2"/>
        <v>0</v>
      </c>
      <c r="V49" s="108">
        <v>1477</v>
      </c>
      <c r="W49" s="108">
        <f t="shared" si="3"/>
        <v>533.5</v>
      </c>
      <c r="X49" s="108">
        <v>2544</v>
      </c>
      <c r="Y49" s="108">
        <f t="shared" si="4"/>
        <v>80</v>
      </c>
      <c r="Z49" s="108">
        <v>2704</v>
      </c>
      <c r="AA49" s="108">
        <f t="shared" si="5"/>
        <v>0</v>
      </c>
      <c r="AB49" s="108">
        <v>2704</v>
      </c>
      <c r="AC49" s="108">
        <f t="shared" si="6"/>
        <v>0</v>
      </c>
      <c r="AD49" s="108">
        <v>2704</v>
      </c>
      <c r="AE49" s="109">
        <f t="shared" si="7"/>
        <v>-352</v>
      </c>
    </row>
    <row r="50" spans="14:31" ht="15.6" customHeight="1" x14ac:dyDescent="0.3">
      <c r="N50" s="212"/>
      <c r="O50" s="95" t="s">
        <v>67</v>
      </c>
      <c r="P50" s="106"/>
      <c r="Q50" s="106">
        <v>2064</v>
      </c>
      <c r="R50" s="106">
        <v>283</v>
      </c>
      <c r="S50" s="106">
        <f t="shared" si="1"/>
        <v>0</v>
      </c>
      <c r="T50" s="106">
        <v>283</v>
      </c>
      <c r="U50" s="106">
        <f t="shared" si="2"/>
        <v>-135.5</v>
      </c>
      <c r="V50" s="106">
        <v>12</v>
      </c>
      <c r="W50" s="106">
        <f t="shared" si="3"/>
        <v>780</v>
      </c>
      <c r="X50" s="106">
        <v>1572</v>
      </c>
      <c r="Y50" s="106">
        <f t="shared" si="4"/>
        <v>7</v>
      </c>
      <c r="Z50" s="106">
        <v>1586</v>
      </c>
      <c r="AA50" s="106">
        <f t="shared" si="5"/>
        <v>0</v>
      </c>
      <c r="AB50" s="106">
        <v>1586</v>
      </c>
      <c r="AC50" s="106">
        <f t="shared" si="6"/>
        <v>0</v>
      </c>
      <c r="AD50" s="106">
        <v>1586</v>
      </c>
      <c r="AE50" s="107">
        <f t="shared" si="7"/>
        <v>-478</v>
      </c>
    </row>
    <row r="51" spans="14:31" ht="15.6" customHeight="1" x14ac:dyDescent="0.3">
      <c r="N51" s="212"/>
      <c r="O51" s="94" t="s">
        <v>68</v>
      </c>
      <c r="P51" s="108"/>
      <c r="Q51" s="108">
        <v>3365</v>
      </c>
      <c r="R51" s="108">
        <v>420</v>
      </c>
      <c r="S51" s="108">
        <f t="shared" si="1"/>
        <v>15.5</v>
      </c>
      <c r="T51" s="108">
        <v>451</v>
      </c>
      <c r="U51" s="108">
        <f t="shared" si="2"/>
        <v>44.5</v>
      </c>
      <c r="V51" s="108">
        <v>540</v>
      </c>
      <c r="W51" s="108">
        <f t="shared" si="3"/>
        <v>414.5</v>
      </c>
      <c r="X51" s="108">
        <v>1369</v>
      </c>
      <c r="Y51" s="108">
        <f t="shared" si="4"/>
        <v>246</v>
      </c>
      <c r="Z51" s="108">
        <v>1861</v>
      </c>
      <c r="AA51" s="108">
        <f t="shared" si="5"/>
        <v>0</v>
      </c>
      <c r="AB51" s="108">
        <v>1861</v>
      </c>
      <c r="AC51" s="108">
        <f t="shared" si="6"/>
        <v>0</v>
      </c>
      <c r="AD51" s="108">
        <v>1861</v>
      </c>
      <c r="AE51" s="109">
        <f t="shared" si="7"/>
        <v>-1504</v>
      </c>
    </row>
    <row r="52" spans="14:31" ht="15.6" customHeight="1" x14ac:dyDescent="0.3">
      <c r="N52" s="212"/>
      <c r="O52" s="95" t="s">
        <v>69</v>
      </c>
      <c r="P52" s="106"/>
      <c r="Q52" s="106">
        <v>1549</v>
      </c>
      <c r="R52" s="106">
        <v>155</v>
      </c>
      <c r="S52" s="106">
        <f t="shared" si="1"/>
        <v>4</v>
      </c>
      <c r="T52" s="106">
        <v>163</v>
      </c>
      <c r="U52" s="106">
        <f t="shared" si="2"/>
        <v>193</v>
      </c>
      <c r="V52" s="106">
        <v>549</v>
      </c>
      <c r="W52" s="106">
        <f t="shared" si="3"/>
        <v>330</v>
      </c>
      <c r="X52" s="106">
        <v>1209</v>
      </c>
      <c r="Y52" s="106">
        <f t="shared" si="4"/>
        <v>0</v>
      </c>
      <c r="Z52" s="106">
        <v>1209</v>
      </c>
      <c r="AA52" s="106">
        <f t="shared" si="5"/>
        <v>0</v>
      </c>
      <c r="AB52" s="106">
        <v>1209</v>
      </c>
      <c r="AC52" s="106">
        <f t="shared" si="6"/>
        <v>0</v>
      </c>
      <c r="AD52" s="106">
        <v>1209</v>
      </c>
      <c r="AE52" s="107">
        <f t="shared" si="7"/>
        <v>-340</v>
      </c>
    </row>
    <row r="53" spans="14:31" ht="15.6" customHeight="1" x14ac:dyDescent="0.3">
      <c r="N53" s="212"/>
      <c r="O53" s="94" t="s">
        <v>70</v>
      </c>
      <c r="P53" s="108"/>
      <c r="Q53" s="108">
        <v>1405</v>
      </c>
      <c r="R53" s="108">
        <v>709</v>
      </c>
      <c r="S53" s="108">
        <f t="shared" si="1"/>
        <v>0</v>
      </c>
      <c r="T53" s="108">
        <v>709</v>
      </c>
      <c r="U53" s="108">
        <f t="shared" si="2"/>
        <v>0</v>
      </c>
      <c r="V53" s="108">
        <v>709</v>
      </c>
      <c r="W53" s="108">
        <f t="shared" si="3"/>
        <v>65.5</v>
      </c>
      <c r="X53" s="108">
        <v>840</v>
      </c>
      <c r="Y53" s="108">
        <f t="shared" si="4"/>
        <v>0</v>
      </c>
      <c r="Z53" s="108">
        <v>840</v>
      </c>
      <c r="AA53" s="108">
        <f t="shared" si="5"/>
        <v>0</v>
      </c>
      <c r="AB53" s="108">
        <v>840</v>
      </c>
      <c r="AC53" s="108">
        <f t="shared" si="6"/>
        <v>0</v>
      </c>
      <c r="AD53" s="108">
        <v>840</v>
      </c>
      <c r="AE53" s="109">
        <f t="shared" si="7"/>
        <v>-565</v>
      </c>
    </row>
    <row r="54" spans="14:31" ht="15.6" customHeight="1" x14ac:dyDescent="0.3">
      <c r="N54" s="212"/>
      <c r="O54" s="95" t="s">
        <v>71</v>
      </c>
      <c r="P54" s="106"/>
      <c r="Q54" s="106">
        <v>3845</v>
      </c>
      <c r="R54" s="106">
        <v>1000</v>
      </c>
      <c r="S54" s="106">
        <f t="shared" si="1"/>
        <v>421.5</v>
      </c>
      <c r="T54" s="106">
        <v>1843</v>
      </c>
      <c r="U54" s="106">
        <f t="shared" si="2"/>
        <v>0</v>
      </c>
      <c r="V54" s="106">
        <v>1843</v>
      </c>
      <c r="W54" s="106">
        <f t="shared" si="3"/>
        <v>121</v>
      </c>
      <c r="X54" s="106">
        <v>2085</v>
      </c>
      <c r="Y54" s="106">
        <f t="shared" si="4"/>
        <v>741</v>
      </c>
      <c r="Z54" s="106">
        <v>3567</v>
      </c>
      <c r="AA54" s="106">
        <f t="shared" si="5"/>
        <v>32</v>
      </c>
      <c r="AB54" s="106">
        <v>3631</v>
      </c>
      <c r="AC54" s="106">
        <f t="shared" si="6"/>
        <v>0</v>
      </c>
      <c r="AD54" s="106">
        <v>3631</v>
      </c>
      <c r="AE54" s="107">
        <f t="shared" si="7"/>
        <v>-214</v>
      </c>
    </row>
    <row r="55" spans="14:31" ht="15.6" customHeight="1" x14ac:dyDescent="0.3">
      <c r="N55" s="212"/>
      <c r="O55" s="94" t="s">
        <v>72</v>
      </c>
      <c r="P55" s="108"/>
      <c r="Q55" s="108">
        <v>4072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600</v>
      </c>
      <c r="V55" s="108">
        <v>2400</v>
      </c>
      <c r="W55" s="108">
        <f t="shared" si="3"/>
        <v>148</v>
      </c>
      <c r="X55" s="108">
        <v>2696</v>
      </c>
      <c r="Y55" s="108">
        <f t="shared" si="4"/>
        <v>633</v>
      </c>
      <c r="Z55" s="108">
        <v>3962</v>
      </c>
      <c r="AA55" s="108">
        <f t="shared" si="5"/>
        <v>110</v>
      </c>
      <c r="AB55" s="108">
        <v>4182</v>
      </c>
      <c r="AC55" s="108">
        <f t="shared" si="6"/>
        <v>0</v>
      </c>
      <c r="AD55" s="108">
        <v>4182</v>
      </c>
      <c r="AE55" s="109">
        <f t="shared" si="7"/>
        <v>110</v>
      </c>
    </row>
    <row r="56" spans="14:31" ht="15.6" customHeight="1" thickBot="1" x14ac:dyDescent="0.35">
      <c r="N56" s="213"/>
      <c r="O56" s="99" t="s">
        <v>73</v>
      </c>
      <c r="P56" s="114"/>
      <c r="Q56" s="114">
        <v>2218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553.5</v>
      </c>
      <c r="X56" s="114">
        <v>1107</v>
      </c>
      <c r="Y56" s="114">
        <f t="shared" si="4"/>
        <v>74.5</v>
      </c>
      <c r="Z56" s="114">
        <v>1256</v>
      </c>
      <c r="AA56" s="114">
        <f t="shared" si="5"/>
        <v>165</v>
      </c>
      <c r="AB56" s="114">
        <v>1586</v>
      </c>
      <c r="AC56" s="114">
        <f t="shared" si="6"/>
        <v>0</v>
      </c>
      <c r="AD56" s="114">
        <v>1586</v>
      </c>
      <c r="AE56" s="115">
        <f t="shared" si="7"/>
        <v>-632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4003</v>
      </c>
      <c r="R57" s="104">
        <v>291</v>
      </c>
      <c r="S57" s="104">
        <f t="shared" si="1"/>
        <v>9.5</v>
      </c>
      <c r="T57" s="104">
        <v>310</v>
      </c>
      <c r="U57" s="104">
        <f t="shared" si="2"/>
        <v>-135.5</v>
      </c>
      <c r="V57" s="104">
        <v>39</v>
      </c>
      <c r="W57" s="104">
        <f t="shared" si="3"/>
        <v>225</v>
      </c>
      <c r="X57" s="104">
        <v>489</v>
      </c>
      <c r="Y57" s="104">
        <f t="shared" si="4"/>
        <v>443</v>
      </c>
      <c r="Z57" s="104">
        <v>1375</v>
      </c>
      <c r="AA57" s="104">
        <f t="shared" si="5"/>
        <v>0</v>
      </c>
      <c r="AB57" s="104">
        <v>1375</v>
      </c>
      <c r="AC57" s="104">
        <f t="shared" si="6"/>
        <v>0</v>
      </c>
      <c r="AD57" s="104">
        <v>1375</v>
      </c>
      <c r="AE57" s="105">
        <f t="shared" si="7"/>
        <v>-2628</v>
      </c>
    </row>
    <row r="58" spans="14:31" ht="15.6" customHeight="1" x14ac:dyDescent="0.3">
      <c r="N58" s="212"/>
      <c r="O58" s="95" t="s">
        <v>66</v>
      </c>
      <c r="P58" s="106"/>
      <c r="Q58" s="106">
        <v>3621</v>
      </c>
      <c r="R58" s="106">
        <v>382</v>
      </c>
      <c r="S58" s="106">
        <f t="shared" si="1"/>
        <v>559</v>
      </c>
      <c r="T58" s="106">
        <v>1500</v>
      </c>
      <c r="U58" s="106">
        <f t="shared" si="2"/>
        <v>456.5</v>
      </c>
      <c r="V58" s="106">
        <v>2413</v>
      </c>
      <c r="W58" s="106">
        <f t="shared" si="3"/>
        <v>584.5</v>
      </c>
      <c r="X58" s="106">
        <v>3582</v>
      </c>
      <c r="Y58" s="106">
        <f t="shared" si="4"/>
        <v>0</v>
      </c>
      <c r="Z58" s="106">
        <v>3582</v>
      </c>
      <c r="AA58" s="106">
        <f t="shared" si="5"/>
        <v>10</v>
      </c>
      <c r="AB58" s="106">
        <v>3602</v>
      </c>
      <c r="AC58" s="106">
        <f t="shared" si="6"/>
        <v>0</v>
      </c>
      <c r="AD58" s="106">
        <v>3602</v>
      </c>
      <c r="AE58" s="107">
        <f t="shared" si="7"/>
        <v>-19</v>
      </c>
    </row>
    <row r="59" spans="14:31" ht="15.6" customHeight="1" x14ac:dyDescent="0.3">
      <c r="N59" s="212"/>
      <c r="O59" s="94" t="s">
        <v>67</v>
      </c>
      <c r="P59" s="108"/>
      <c r="Q59" s="108">
        <v>6682</v>
      </c>
      <c r="R59" s="108">
        <v>757</v>
      </c>
      <c r="S59" s="108">
        <f t="shared" si="1"/>
        <v>34.5</v>
      </c>
      <c r="T59" s="108">
        <v>826</v>
      </c>
      <c r="U59" s="108">
        <f t="shared" si="2"/>
        <v>-124</v>
      </c>
      <c r="V59" s="108">
        <v>578</v>
      </c>
      <c r="W59" s="108">
        <f t="shared" si="3"/>
        <v>902.5</v>
      </c>
      <c r="X59" s="108">
        <v>2383</v>
      </c>
      <c r="Y59" s="108">
        <f t="shared" si="4"/>
        <v>453</v>
      </c>
      <c r="Z59" s="108">
        <v>3289</v>
      </c>
      <c r="AA59" s="108">
        <f t="shared" si="5"/>
        <v>0</v>
      </c>
      <c r="AB59" s="108">
        <v>3289</v>
      </c>
      <c r="AC59" s="108">
        <f t="shared" si="6"/>
        <v>0</v>
      </c>
      <c r="AD59" s="108">
        <v>3289</v>
      </c>
      <c r="AE59" s="109">
        <f t="shared" si="7"/>
        <v>-3393</v>
      </c>
    </row>
    <row r="60" spans="14:31" ht="15.6" customHeight="1" thickBot="1" x14ac:dyDescent="0.35">
      <c r="N60" s="213"/>
      <c r="O60" s="99" t="s">
        <v>68</v>
      </c>
      <c r="P60" s="114"/>
      <c r="Q60" s="114">
        <v>3782</v>
      </c>
      <c r="R60" s="114">
        <v>1458</v>
      </c>
      <c r="S60" s="114">
        <f t="shared" si="1"/>
        <v>582</v>
      </c>
      <c r="T60" s="114">
        <v>2622</v>
      </c>
      <c r="U60" s="114">
        <f t="shared" si="2"/>
        <v>-198</v>
      </c>
      <c r="V60" s="114">
        <v>2226</v>
      </c>
      <c r="W60" s="114">
        <f t="shared" si="3"/>
        <v>762.5</v>
      </c>
      <c r="X60" s="114">
        <v>3751</v>
      </c>
      <c r="Y60" s="114">
        <f t="shared" si="4"/>
        <v>11.5</v>
      </c>
      <c r="Z60" s="114">
        <v>3774</v>
      </c>
      <c r="AA60" s="114">
        <f t="shared" si="5"/>
        <v>0</v>
      </c>
      <c r="AB60" s="114">
        <v>3774</v>
      </c>
      <c r="AC60" s="114">
        <f t="shared" si="6"/>
        <v>0</v>
      </c>
      <c r="AD60" s="114">
        <v>3774</v>
      </c>
      <c r="AE60" s="115">
        <f t="shared" si="7"/>
        <v>-8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3369</v>
      </c>
      <c r="R61" s="104">
        <v>232</v>
      </c>
      <c r="S61" s="104">
        <f t="shared" si="1"/>
        <v>678</v>
      </c>
      <c r="T61" s="104">
        <v>1588</v>
      </c>
      <c r="U61" s="104">
        <f t="shared" si="2"/>
        <v>-269</v>
      </c>
      <c r="V61" s="104">
        <v>1050</v>
      </c>
      <c r="W61" s="104">
        <f t="shared" si="3"/>
        <v>490</v>
      </c>
      <c r="X61" s="104">
        <v>2030</v>
      </c>
      <c r="Y61" s="104">
        <f t="shared" si="4"/>
        <v>77</v>
      </c>
      <c r="Z61" s="104">
        <v>2184</v>
      </c>
      <c r="AA61" s="104">
        <f t="shared" si="5"/>
        <v>99.5</v>
      </c>
      <c r="AB61" s="104">
        <v>2383</v>
      </c>
      <c r="AC61" s="104">
        <f t="shared" si="6"/>
        <v>0</v>
      </c>
      <c r="AD61" s="104">
        <v>2383</v>
      </c>
      <c r="AE61" s="105">
        <f t="shared" si="7"/>
        <v>-986</v>
      </c>
    </row>
    <row r="62" spans="14:31" ht="15.6" customHeight="1" x14ac:dyDescent="0.3">
      <c r="N62" s="212"/>
      <c r="O62" s="95" t="s">
        <v>66</v>
      </c>
      <c r="P62" s="106"/>
      <c r="Q62" s="106">
        <v>3169</v>
      </c>
      <c r="R62" s="106">
        <v>0</v>
      </c>
      <c r="S62" s="106">
        <f t="shared" si="1"/>
        <v>56.5</v>
      </c>
      <c r="T62" s="106">
        <v>113</v>
      </c>
      <c r="U62" s="106">
        <f t="shared" si="2"/>
        <v>20.5</v>
      </c>
      <c r="V62" s="106">
        <v>154</v>
      </c>
      <c r="W62" s="106">
        <f t="shared" si="3"/>
        <v>440.5</v>
      </c>
      <c r="X62" s="106">
        <v>1035</v>
      </c>
      <c r="Y62" s="106">
        <f t="shared" si="4"/>
        <v>384.5</v>
      </c>
      <c r="Z62" s="106">
        <v>1804</v>
      </c>
      <c r="AA62" s="106">
        <f t="shared" si="5"/>
        <v>21.5</v>
      </c>
      <c r="AB62" s="106">
        <v>1847</v>
      </c>
      <c r="AC62" s="106">
        <f t="shared" si="6"/>
        <v>0</v>
      </c>
      <c r="AD62" s="106">
        <v>1847</v>
      </c>
      <c r="AE62" s="107">
        <f t="shared" si="7"/>
        <v>-1322</v>
      </c>
    </row>
    <row r="63" spans="14:31" ht="15.6" customHeight="1" x14ac:dyDescent="0.3">
      <c r="N63" s="212"/>
      <c r="O63" s="94" t="s">
        <v>67</v>
      </c>
      <c r="P63" s="108"/>
      <c r="Q63" s="108">
        <v>1905</v>
      </c>
      <c r="R63" s="108">
        <v>323</v>
      </c>
      <c r="S63" s="108">
        <f t="shared" si="1"/>
        <v>106</v>
      </c>
      <c r="T63" s="108">
        <v>535</v>
      </c>
      <c r="U63" s="108">
        <f t="shared" si="2"/>
        <v>57.5</v>
      </c>
      <c r="V63" s="108">
        <v>650</v>
      </c>
      <c r="W63" s="108">
        <f t="shared" si="3"/>
        <v>197</v>
      </c>
      <c r="X63" s="108">
        <v>1044</v>
      </c>
      <c r="Y63" s="108">
        <f t="shared" si="4"/>
        <v>273</v>
      </c>
      <c r="Z63" s="108">
        <v>1590</v>
      </c>
      <c r="AA63" s="108">
        <f t="shared" si="5"/>
        <v>0</v>
      </c>
      <c r="AB63" s="108">
        <v>1590</v>
      </c>
      <c r="AC63" s="108">
        <f t="shared" si="6"/>
        <v>0</v>
      </c>
      <c r="AD63" s="108">
        <v>1590</v>
      </c>
      <c r="AE63" s="109">
        <f t="shared" si="7"/>
        <v>-315</v>
      </c>
    </row>
    <row r="64" spans="14:31" ht="15.6" customHeight="1" thickBot="1" x14ac:dyDescent="0.35">
      <c r="N64" s="213"/>
      <c r="O64" s="99" t="s">
        <v>68</v>
      </c>
      <c r="P64" s="114"/>
      <c r="Q64" s="114">
        <v>2532</v>
      </c>
      <c r="R64" s="114">
        <v>491</v>
      </c>
      <c r="S64" s="114">
        <f t="shared" si="1"/>
        <v>374</v>
      </c>
      <c r="T64" s="114">
        <v>1239</v>
      </c>
      <c r="U64" s="114">
        <f t="shared" si="2"/>
        <v>-15</v>
      </c>
      <c r="V64" s="114">
        <v>1209</v>
      </c>
      <c r="W64" s="114">
        <f t="shared" si="3"/>
        <v>153.5</v>
      </c>
      <c r="X64" s="114">
        <v>1516</v>
      </c>
      <c r="Y64" s="114">
        <f t="shared" si="4"/>
        <v>145.5</v>
      </c>
      <c r="Z64" s="114">
        <v>1807</v>
      </c>
      <c r="AA64" s="114">
        <f t="shared" si="5"/>
        <v>0</v>
      </c>
      <c r="AB64" s="114">
        <v>1807</v>
      </c>
      <c r="AC64" s="114">
        <f t="shared" si="6"/>
        <v>0</v>
      </c>
      <c r="AD64" s="114">
        <v>1807</v>
      </c>
      <c r="AE64" s="115">
        <f t="shared" si="7"/>
        <v>-725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59" priority="11" operator="lessThan">
      <formula>0</formula>
    </cfRule>
    <cfRule type="cellIs" dxfId="1258" priority="12" operator="greaterThan">
      <formula>0</formula>
    </cfRule>
  </conditionalFormatting>
  <conditionalFormatting sqref="R25:AC25">
    <cfRule type="cellIs" dxfId="1257" priority="9" operator="lessThan">
      <formula>0</formula>
    </cfRule>
    <cfRule type="cellIs" dxfId="1256" priority="10" operator="greaterThan">
      <formula>0</formula>
    </cfRule>
  </conditionalFormatting>
  <conditionalFormatting sqref="R26 T26 V26 X26 Z26 AB26">
    <cfRule type="cellIs" dxfId="1255" priority="7" operator="lessThan">
      <formula>0</formula>
    </cfRule>
    <cfRule type="cellIs" dxfId="1254" priority="8" operator="greaterThan">
      <formula>0</formula>
    </cfRule>
  </conditionalFormatting>
  <conditionalFormatting sqref="AD24:AE24">
    <cfRule type="cellIs" dxfId="1253" priority="5" operator="lessThan">
      <formula>0</formula>
    </cfRule>
    <cfRule type="cellIs" dxfId="1252" priority="6" operator="greaterThan">
      <formula>0</formula>
    </cfRule>
  </conditionalFormatting>
  <conditionalFormatting sqref="AD25:AE25">
    <cfRule type="cellIs" dxfId="1251" priority="3" operator="lessThan">
      <formula>0</formula>
    </cfRule>
    <cfRule type="cellIs" dxfId="1250" priority="4" operator="greaterThan">
      <formula>0</formula>
    </cfRule>
  </conditionalFormatting>
  <conditionalFormatting sqref="AD26">
    <cfRule type="cellIs" dxfId="1249" priority="1" operator="lessThan">
      <formula>0</formula>
    </cfRule>
    <cfRule type="cellIs" dxfId="124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>
    <tabColor theme="1"/>
    <pageSetUpPr fitToPage="1"/>
  </sheetPr>
  <dimension ref="B1:AQ64"/>
  <sheetViews>
    <sheetView topLeftCell="C7" zoomScale="70" zoomScaleNormal="7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44414</v>
      </c>
    </row>
    <row r="3" spans="2:42" ht="18.75" customHeight="1" thickBot="1" x14ac:dyDescent="0.35">
      <c r="B3" t="s">
        <v>1</v>
      </c>
      <c r="C3" s="3">
        <f>C2+1</f>
        <v>44415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20640</v>
      </c>
      <c r="G6" s="117">
        <v>17458.061249999992</v>
      </c>
      <c r="H6" s="117">
        <v>14294.70042822002</v>
      </c>
      <c r="I6" s="19">
        <f>G6+H6</f>
        <v>31752.761678220013</v>
      </c>
      <c r="J6" s="119">
        <v>20840</v>
      </c>
      <c r="K6" s="117">
        <v>16888.07675</v>
      </c>
      <c r="L6" s="117">
        <v>13962.32601928001</v>
      </c>
      <c r="M6" s="19">
        <f>K6+L6</f>
        <v>30850.402769280008</v>
      </c>
      <c r="N6" s="85">
        <v>62</v>
      </c>
      <c r="O6" s="85">
        <v>51</v>
      </c>
      <c r="P6" s="92"/>
      <c r="Q6" s="20">
        <f>J6-P6</f>
        <v>20840</v>
      </c>
      <c r="R6" s="21">
        <v>3029</v>
      </c>
      <c r="S6" s="20">
        <f>IF(R6&gt;0,(R6-R7-$Q6),"")</f>
        <v>-17811</v>
      </c>
      <c r="T6" s="21">
        <v>5861</v>
      </c>
      <c r="U6" s="20">
        <f>IF(T6&gt;0,(T6-T7-$Q6),"")</f>
        <v>-14988</v>
      </c>
      <c r="V6" s="21">
        <v>8702</v>
      </c>
      <c r="W6" s="20">
        <f>IF(V6&gt;0,(V6-V7-$Q6),"")</f>
        <v>-12212</v>
      </c>
      <c r="X6" s="21">
        <v>14024</v>
      </c>
      <c r="Y6" s="20">
        <f>IF(X6&gt;0,(X6-X7-$Q6),"")</f>
        <v>-6894</v>
      </c>
      <c r="Z6" s="21">
        <v>16560</v>
      </c>
      <c r="AA6" s="20">
        <f>IF(Z6&gt;0,(Z6-Z7-$Q6),"")</f>
        <v>-4389</v>
      </c>
      <c r="AB6" s="21">
        <v>20222</v>
      </c>
      <c r="AC6" s="22">
        <f>IF(AB6&gt;0,(AB6-AB7-$Q6),"")</f>
        <v>-769</v>
      </c>
      <c r="AD6" s="21">
        <v>20222</v>
      </c>
      <c r="AE6" s="22">
        <f>IF(AD6&gt;0,(AD6-AD7-$Q6),"")</f>
        <v>-769</v>
      </c>
    </row>
    <row r="7" spans="2:42" x14ac:dyDescent="0.3">
      <c r="B7" s="16" t="s">
        <v>23</v>
      </c>
      <c r="C7" s="17">
        <v>307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0</v>
      </c>
      <c r="S7" s="24"/>
      <c r="T7" s="25">
        <v>9</v>
      </c>
      <c r="U7" s="24"/>
      <c r="V7" s="25">
        <v>74</v>
      </c>
      <c r="W7" s="24"/>
      <c r="X7" s="25">
        <v>78</v>
      </c>
      <c r="Y7" s="24"/>
      <c r="Z7" s="25">
        <v>109</v>
      </c>
      <c r="AA7" s="24"/>
      <c r="AB7" s="25">
        <v>151</v>
      </c>
      <c r="AC7" s="26"/>
      <c r="AD7" s="25">
        <v>151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2733</v>
      </c>
      <c r="E8" s="29" t="s">
        <v>27</v>
      </c>
      <c r="F8" s="119">
        <v>8890</v>
      </c>
      <c r="G8" s="117">
        <v>3661.2750000000001</v>
      </c>
      <c r="H8" s="117">
        <v>1101.1090710000001</v>
      </c>
      <c r="I8" s="19">
        <f>G8+H8</f>
        <v>4762.3840710000004</v>
      </c>
      <c r="J8" s="119">
        <v>9493</v>
      </c>
      <c r="K8" s="117">
        <v>3892.52</v>
      </c>
      <c r="L8" s="117">
        <v>1161.7277787</v>
      </c>
      <c r="M8" s="19">
        <f>K8+L8</f>
        <v>5054.2477786999998</v>
      </c>
      <c r="N8" s="87">
        <v>28</v>
      </c>
      <c r="O8" s="87">
        <v>27</v>
      </c>
      <c r="P8" s="92"/>
      <c r="Q8" s="20">
        <f>J8-P8</f>
        <v>9493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5382</v>
      </c>
      <c r="W8" s="20">
        <f>IF(V8&gt;0,(V8-V9-$Q8),"")</f>
        <v>-4111</v>
      </c>
      <c r="X8" s="21">
        <v>9493</v>
      </c>
      <c r="Y8" s="20">
        <f>IF(X8&gt;0,(X8-X9-$Q8),"")</f>
        <v>0</v>
      </c>
      <c r="Z8" s="21">
        <v>9493</v>
      </c>
      <c r="AA8" s="20">
        <f>IF(Z8&gt;0,(Z8-Z9-$Q8),"")</f>
        <v>0</v>
      </c>
      <c r="AB8" s="21">
        <v>9493</v>
      </c>
      <c r="AC8" s="22">
        <f>IF(AB8&gt;0,(AB8-AB9-$Q8),"")</f>
        <v>0</v>
      </c>
      <c r="AD8" s="21">
        <v>9493</v>
      </c>
      <c r="AE8" s="22">
        <f>IF(AD8&gt;0,(AD8-AD9-$Q8),"")</f>
        <v>0</v>
      </c>
    </row>
    <row r="9" spans="2:42" x14ac:dyDescent="0.3">
      <c r="B9" s="28" t="s">
        <v>28</v>
      </c>
      <c r="C9" s="17">
        <v>1711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4150</v>
      </c>
      <c r="E10" s="18" t="s">
        <v>31</v>
      </c>
      <c r="F10" s="119">
        <v>12746</v>
      </c>
      <c r="G10" s="117">
        <v>9512.8311250000006</v>
      </c>
      <c r="H10" s="117">
        <v>1851.5780999999999</v>
      </c>
      <c r="I10" s="19">
        <f>G10+H10</f>
        <v>11364.409225000001</v>
      </c>
      <c r="J10" s="119">
        <v>12854</v>
      </c>
      <c r="K10" s="117">
        <v>9627.5352500000008</v>
      </c>
      <c r="L10" s="117">
        <v>1910.9452200000001</v>
      </c>
      <c r="M10" s="19">
        <f>K10+L10</f>
        <v>11538.48047</v>
      </c>
      <c r="N10" s="88">
        <v>44</v>
      </c>
      <c r="O10" s="88">
        <v>33</v>
      </c>
      <c r="P10" s="92"/>
      <c r="Q10" s="20">
        <f>J10-P10</f>
        <v>12854</v>
      </c>
      <c r="R10" s="21">
        <v>4118</v>
      </c>
      <c r="S10" s="20">
        <f>IF(R10&gt;0,(R10-R11-$Q10),"")</f>
        <v>-9634</v>
      </c>
      <c r="T10" s="21">
        <v>5787</v>
      </c>
      <c r="U10" s="20">
        <f>IF(T10&gt;0,(T10-T11-$Q10),"")</f>
        <v>-8482</v>
      </c>
      <c r="V10" s="21">
        <v>7263</v>
      </c>
      <c r="W10" s="20">
        <f>IF(V10&gt;0,(V10-V11-$Q10),"")</f>
        <v>-7011</v>
      </c>
      <c r="X10" s="21">
        <v>9938</v>
      </c>
      <c r="Y10" s="20">
        <f>IF(X10&gt;0,(X10-X11-$Q10),"")</f>
        <v>-3790</v>
      </c>
      <c r="Z10" s="21">
        <v>11342</v>
      </c>
      <c r="AA10" s="20">
        <f>IF(Z10&gt;0,(Z10-Z11-$Q10),"")</f>
        <v>-2395</v>
      </c>
      <c r="AB10" s="21">
        <v>11342</v>
      </c>
      <c r="AC10" s="22">
        <f>IF(AB10&gt;0,(AB10-AB11-$Q10),"")</f>
        <v>-2395</v>
      </c>
      <c r="AD10" s="21">
        <v>11342</v>
      </c>
      <c r="AE10" s="22">
        <f>IF(AD10&gt;0,(AD10-AD11-$Q10),"")</f>
        <v>-2395</v>
      </c>
    </row>
    <row r="11" spans="2:42" x14ac:dyDescent="0.3">
      <c r="B11" s="16" t="s">
        <v>32</v>
      </c>
      <c r="C11" s="17">
        <v>2167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898</v>
      </c>
      <c r="S11" s="24"/>
      <c r="T11" s="30">
        <v>1415</v>
      </c>
      <c r="U11" s="24"/>
      <c r="V11" s="30">
        <v>1420</v>
      </c>
      <c r="W11" s="24"/>
      <c r="X11" s="30">
        <v>874</v>
      </c>
      <c r="Y11" s="24"/>
      <c r="Z11" s="30">
        <v>883</v>
      </c>
      <c r="AA11" s="24"/>
      <c r="AB11" s="30">
        <v>883</v>
      </c>
      <c r="AC11" s="26"/>
      <c r="AD11" s="30">
        <v>883</v>
      </c>
      <c r="AE11" s="26"/>
    </row>
    <row r="12" spans="2:42" x14ac:dyDescent="0.3">
      <c r="B12" s="16" t="s">
        <v>34</v>
      </c>
      <c r="C12" s="17">
        <v>1639</v>
      </c>
      <c r="E12" s="29" t="s">
        <v>35</v>
      </c>
      <c r="F12" s="119">
        <v>13308</v>
      </c>
      <c r="G12" s="117">
        <v>12379.8105</v>
      </c>
      <c r="H12" s="117">
        <v>18290.779921580001</v>
      </c>
      <c r="I12" s="19">
        <f>G12+H12</f>
        <v>30670.59042158</v>
      </c>
      <c r="J12" s="119">
        <v>13052</v>
      </c>
      <c r="K12" s="117">
        <v>12331.606250000001</v>
      </c>
      <c r="L12" s="117">
        <v>16016.53937731999</v>
      </c>
      <c r="M12" s="19">
        <f>K12+L12</f>
        <v>28348.145627319991</v>
      </c>
      <c r="N12" s="88">
        <v>53</v>
      </c>
      <c r="O12" s="88">
        <v>43</v>
      </c>
      <c r="P12" s="92"/>
      <c r="Q12" s="20">
        <f>J12-P12</f>
        <v>13052</v>
      </c>
      <c r="R12" s="21">
        <v>2027</v>
      </c>
      <c r="S12" s="20">
        <f>IF(R12&gt;0,(R12-R13-$Q12),"")</f>
        <v>-11072</v>
      </c>
      <c r="T12" s="21">
        <v>4261</v>
      </c>
      <c r="U12" s="20">
        <f>IF(T12&gt;0,(T12-T13-$Q12),"")</f>
        <v>-8850</v>
      </c>
      <c r="V12" s="21">
        <v>5682</v>
      </c>
      <c r="W12" s="20">
        <f>IF(V12&gt;0,(V12-V13-$Q12),"")</f>
        <v>-7500</v>
      </c>
      <c r="X12" s="21">
        <v>7288</v>
      </c>
      <c r="Y12" s="20">
        <f>IF(X12&gt;0,(X12-X13-$Q12),"")</f>
        <v>-6025</v>
      </c>
      <c r="Z12" s="21">
        <v>12419</v>
      </c>
      <c r="AA12" s="20">
        <f>IF(Z12&gt;0,(Z12-Z13-$Q12),"")</f>
        <v>-1232</v>
      </c>
      <c r="AB12" s="21">
        <v>12419</v>
      </c>
      <c r="AC12" s="22">
        <f>IF(AB12&gt;0,(AB12-AB13-$Q12),"")</f>
        <v>-1232</v>
      </c>
      <c r="AD12" s="21">
        <v>12419</v>
      </c>
      <c r="AE12" s="22">
        <f>IF(AD12&gt;0,(AD12-AD13-$Q12),"")</f>
        <v>-1232</v>
      </c>
    </row>
    <row r="13" spans="2:42" x14ac:dyDescent="0.3">
      <c r="B13" s="16" t="s">
        <v>36</v>
      </c>
      <c r="C13" s="17">
        <v>4716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47</v>
      </c>
      <c r="S13" s="24"/>
      <c r="T13" s="30">
        <v>59</v>
      </c>
      <c r="U13" s="24"/>
      <c r="V13" s="30">
        <v>130</v>
      </c>
      <c r="W13" s="24"/>
      <c r="X13" s="30">
        <v>261</v>
      </c>
      <c r="Y13" s="24"/>
      <c r="Z13" s="30">
        <v>599</v>
      </c>
      <c r="AA13" s="24"/>
      <c r="AB13" s="30">
        <v>599</v>
      </c>
      <c r="AC13" s="26"/>
      <c r="AD13" s="30">
        <v>599</v>
      </c>
      <c r="AE13" s="26"/>
    </row>
    <row r="14" spans="2:42" x14ac:dyDescent="0.3">
      <c r="B14" s="16" t="s">
        <v>38</v>
      </c>
      <c r="C14" s="17">
        <v>11713</v>
      </c>
      <c r="E14" s="18" t="s">
        <v>39</v>
      </c>
      <c r="F14" s="119">
        <v>19554</v>
      </c>
      <c r="G14" s="117">
        <v>17191.8125</v>
      </c>
      <c r="H14" s="117">
        <v>20100.89795314</v>
      </c>
      <c r="I14" s="19">
        <f>G14+H14</f>
        <v>37292.710453139996</v>
      </c>
      <c r="J14" s="119">
        <v>19790</v>
      </c>
      <c r="K14" s="117">
        <v>17440.28125</v>
      </c>
      <c r="L14" s="117">
        <v>20909.05208569999</v>
      </c>
      <c r="M14" s="19">
        <f>K14+L14</f>
        <v>38349.333335699994</v>
      </c>
      <c r="N14" s="88">
        <v>60</v>
      </c>
      <c r="O14" s="88">
        <v>46</v>
      </c>
      <c r="P14" s="92"/>
      <c r="Q14" s="20">
        <f>J14-P14</f>
        <v>19790</v>
      </c>
      <c r="R14" s="21">
        <v>4825</v>
      </c>
      <c r="S14" s="20">
        <f>IF(R14&gt;0,(R14-R15-$Q14),"")</f>
        <v>-14965</v>
      </c>
      <c r="T14" s="21">
        <v>7732</v>
      </c>
      <c r="U14" s="20">
        <f>IF(T14&gt;0,(T14-T15-$Q14),"")</f>
        <v>-12589</v>
      </c>
      <c r="V14" s="21">
        <v>9841</v>
      </c>
      <c r="W14" s="20">
        <f>IF(V14&gt;0,(V14-V15-$Q14),"")</f>
        <v>-10483</v>
      </c>
      <c r="X14" s="21">
        <v>11833</v>
      </c>
      <c r="Y14" s="20">
        <f>IF(X14&gt;0,(X14-X15-$Q14),"")</f>
        <v>-8491</v>
      </c>
      <c r="Z14" s="21">
        <v>14594</v>
      </c>
      <c r="AA14" s="20">
        <f>IF(Z14&gt;0,(Z14-Z15-$Q14),"")</f>
        <v>-5730</v>
      </c>
      <c r="AB14" s="21">
        <v>14594</v>
      </c>
      <c r="AC14" s="22">
        <f>IF(AB14&gt;0,(AB14-AB15-$Q14),"")</f>
        <v>-5730</v>
      </c>
      <c r="AD14" s="21">
        <v>14594</v>
      </c>
      <c r="AE14" s="22">
        <f>IF(AD14&gt;0,(AD14-AD15-$Q14),"")</f>
        <v>-5730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531</v>
      </c>
      <c r="U15" s="24"/>
      <c r="V15" s="25">
        <v>534</v>
      </c>
      <c r="W15" s="24"/>
      <c r="X15" s="25">
        <v>534</v>
      </c>
      <c r="Y15" s="24"/>
      <c r="Z15" s="25">
        <v>534</v>
      </c>
      <c r="AA15" s="24"/>
      <c r="AB15" s="25">
        <v>534</v>
      </c>
      <c r="AC15" s="26"/>
      <c r="AD15" s="25">
        <v>534</v>
      </c>
      <c r="AE15" s="26"/>
    </row>
    <row r="16" spans="2:42" ht="15" customHeight="1" thickBot="1" x14ac:dyDescent="0.35">
      <c r="B16" s="28" t="s">
        <v>42</v>
      </c>
      <c r="C16" s="17">
        <v>12889</v>
      </c>
      <c r="E16" s="84"/>
      <c r="F16" s="31">
        <f t="shared" ref="F16:M16" si="0">SUM(F6:F15)</f>
        <v>75138</v>
      </c>
      <c r="G16" s="31">
        <f t="shared" si="0"/>
        <v>60203.790374999997</v>
      </c>
      <c r="H16" s="31">
        <f t="shared" si="0"/>
        <v>55639.06547394002</v>
      </c>
      <c r="I16" s="32">
        <f t="shared" si="0"/>
        <v>115842.85584894002</v>
      </c>
      <c r="J16" s="33">
        <f t="shared" si="0"/>
        <v>76029</v>
      </c>
      <c r="K16" s="33">
        <f t="shared" si="0"/>
        <v>60180.019500000002</v>
      </c>
      <c r="L16" s="33">
        <f t="shared" si="0"/>
        <v>53960.590480999992</v>
      </c>
      <c r="M16" s="33">
        <f t="shared" si="0"/>
        <v>114140.609981</v>
      </c>
      <c r="N16" s="31">
        <f>SUM(N14,N12,N10,N8,N6)</f>
        <v>247</v>
      </c>
      <c r="O16" s="31">
        <f>SUM(O14,O12,O10,O8,O6)</f>
        <v>200</v>
      </c>
      <c r="P16" s="34">
        <f>SUM(P6:P15)</f>
        <v>0</v>
      </c>
      <c r="Q16" s="34">
        <f>SUM(Q6:Q15)</f>
        <v>76029</v>
      </c>
      <c r="R16" s="35">
        <f>R6+R8+R10+R12+R14-R7-R9-R11-R13-R15</f>
        <v>13054</v>
      </c>
      <c r="S16" s="36">
        <f>IF(R16&gt;1,(R16-$Q16),"")</f>
        <v>-62975</v>
      </c>
      <c r="T16" s="35">
        <f>T6+T8+T10+T12+T14-T7-T9-T11-T13-T15</f>
        <v>21627</v>
      </c>
      <c r="U16" s="36">
        <f>IF(T16&gt;1,(T16-$Q16),"")</f>
        <v>-54402</v>
      </c>
      <c r="V16" s="35">
        <f>V6+V8+V10+V12+V14-V7-V9-V11-V13-V15</f>
        <v>34712</v>
      </c>
      <c r="W16" s="36">
        <f>IF(V16&gt;1,(V16-$Q16),"")</f>
        <v>-41317</v>
      </c>
      <c r="X16" s="35">
        <f>X6+X8+X10+X12+X14-X7-X9-X11-X13-X15</f>
        <v>50829</v>
      </c>
      <c r="Y16" s="36">
        <f>IF(X16&gt;1,(X16-$Q16),"")</f>
        <v>-25200</v>
      </c>
      <c r="Z16" s="35">
        <f>Z6+Z8+Z10+Z12+Z14-Z7-Z9-Z11-Z13-Z15</f>
        <v>62283</v>
      </c>
      <c r="AA16" s="36">
        <f>IF(Z16&gt;1,(Z16-$Q16),"")</f>
        <v>-13746</v>
      </c>
      <c r="AB16" s="35">
        <f>AB6+AB8+AB10+AB12+AB14-AB7-AB9-AB11-AB13-AB15</f>
        <v>65903</v>
      </c>
      <c r="AC16" s="37">
        <f>IF(AB16&gt;1,(AB16-$Q16),"")</f>
        <v>-10126</v>
      </c>
      <c r="AD16" s="35">
        <f>AD6+AD8+AD10+AD12+AD14-AD7-AD9-AD11-AD13-AD15</f>
        <v>65903</v>
      </c>
      <c r="AE16" s="37">
        <f>IF(AD16&gt;1,(AD16-$Q16),"")</f>
        <v>-10126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945</v>
      </c>
      <c r="S17" s="41"/>
      <c r="T17" s="40">
        <f>T15+T13+T11+T9+T7</f>
        <v>2014</v>
      </c>
      <c r="U17" s="41"/>
      <c r="V17" s="40">
        <f>V15+V13+V11+V9+V7</f>
        <v>2158</v>
      </c>
      <c r="W17" s="41"/>
      <c r="X17" s="40">
        <f>X15+X13+X11+X9+X7</f>
        <v>1747</v>
      </c>
      <c r="Y17" s="41"/>
      <c r="Z17" s="40">
        <f>Z15+Z13+Z11+Z9+Z7</f>
        <v>2125</v>
      </c>
      <c r="AA17" s="41"/>
      <c r="AB17" s="40">
        <f>AB15+AB13+AB11+AB9+AB7</f>
        <v>2167</v>
      </c>
      <c r="AC17" s="42"/>
      <c r="AD17" s="40">
        <f>AD15+AD13+AD11+AD9+AD7</f>
        <v>2167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6527</v>
      </c>
      <c r="S18" s="46"/>
      <c r="T18" s="47">
        <f>IF(T16&gt;0,(T16-R16)/2,"")</f>
        <v>4286.5</v>
      </c>
      <c r="U18" s="46"/>
      <c r="V18" s="47">
        <f>IF(V16&gt;0,(V16-T16)/2,"")</f>
        <v>6542.5</v>
      </c>
      <c r="W18" s="46"/>
      <c r="X18" s="47">
        <f>IF(X16&gt;0,(X16-V16)/2,"")</f>
        <v>8058.5</v>
      </c>
      <c r="Y18" s="46"/>
      <c r="Z18" s="47">
        <f>IF(Z16&gt;0,(Z16-X16)/2,"")</f>
        <v>5727</v>
      </c>
      <c r="AA18" s="46"/>
      <c r="AB18" s="47">
        <f>IF(AB16&gt;0,(AB16-Z16)/2,"")</f>
        <v>1810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7553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1068</v>
      </c>
      <c r="L20" s="4"/>
      <c r="M20" s="4"/>
      <c r="Q20" s="51" t="s">
        <v>49</v>
      </c>
      <c r="R20" s="35">
        <v>8244</v>
      </c>
      <c r="S20" s="36">
        <v>-91786</v>
      </c>
      <c r="T20" s="35">
        <v>18233</v>
      </c>
      <c r="U20" s="36">
        <v>-81797</v>
      </c>
      <c r="V20" s="35">
        <v>25130</v>
      </c>
      <c r="W20" s="36">
        <v>-74900</v>
      </c>
      <c r="X20" s="35">
        <v>50179</v>
      </c>
      <c r="Y20" s="36">
        <v>-49851</v>
      </c>
      <c r="Z20" s="35">
        <v>63632</v>
      </c>
      <c r="AA20" s="36">
        <v>-36398</v>
      </c>
      <c r="AB20" s="35">
        <v>66358</v>
      </c>
      <c r="AC20" s="37">
        <v>-33672</v>
      </c>
      <c r="AD20" s="35">
        <v>66358</v>
      </c>
      <c r="AE20" s="37">
        <v>-33672</v>
      </c>
    </row>
    <row r="21" spans="2:43" ht="15" customHeight="1" thickBot="1" x14ac:dyDescent="0.35">
      <c r="B21" s="57" t="s">
        <v>52</v>
      </c>
      <c r="C21" s="58">
        <v>3855</v>
      </c>
      <c r="M21" s="4"/>
      <c r="Q21" s="52"/>
      <c r="R21" s="40">
        <v>4865</v>
      </c>
      <c r="S21" s="41"/>
      <c r="T21" s="40">
        <v>8146</v>
      </c>
      <c r="U21" s="41"/>
      <c r="V21" s="40">
        <v>9352</v>
      </c>
      <c r="W21" s="41"/>
      <c r="X21" s="40">
        <v>12597</v>
      </c>
      <c r="Y21" s="41"/>
      <c r="Z21" s="40">
        <v>13827</v>
      </c>
      <c r="AA21" s="41"/>
      <c r="AB21" s="40">
        <v>14217</v>
      </c>
      <c r="AC21" s="42"/>
      <c r="AD21" s="40">
        <v>14217</v>
      </c>
      <c r="AE21" s="42"/>
    </row>
    <row r="22" spans="2:43" ht="15" customHeight="1" thickBot="1" x14ac:dyDescent="0.35">
      <c r="M22" s="4"/>
      <c r="Q22" s="54"/>
      <c r="R22" s="55">
        <v>4122</v>
      </c>
      <c r="S22" s="55"/>
      <c r="T22" s="55">
        <v>4994.5</v>
      </c>
      <c r="U22" s="55"/>
      <c r="V22" s="55">
        <v>3448.5</v>
      </c>
      <c r="W22" s="55"/>
      <c r="X22" s="55">
        <v>12524.5</v>
      </c>
      <c r="Y22" s="55"/>
      <c r="Z22" s="55">
        <v>6726.5</v>
      </c>
      <c r="AA22" s="55"/>
      <c r="AB22" s="55">
        <v>1363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4810</v>
      </c>
      <c r="S24" s="60"/>
      <c r="T24" s="60">
        <f>IF(T16&gt;0,T16-T20,"")</f>
        <v>3394</v>
      </c>
      <c r="U24" s="60"/>
      <c r="V24" s="60">
        <f>IF(V16&gt;0,V16-V20,"")</f>
        <v>9582</v>
      </c>
      <c r="W24" s="60"/>
      <c r="X24" s="60">
        <f>IF(X16&gt;0,X16-X20,"")</f>
        <v>650</v>
      </c>
      <c r="Y24" s="60"/>
      <c r="Z24" s="60">
        <f>IF(Z16&gt;0,Z16-Z20,"")</f>
        <v>-1349</v>
      </c>
      <c r="AA24" s="60"/>
      <c r="AB24" s="60">
        <f>IF(AB16&gt;0,AB16-AB20,"")</f>
        <v>-455</v>
      </c>
      <c r="AC24" s="61"/>
      <c r="AD24" s="60">
        <f>IF(AD16&gt;0,AD16-AD20,"")</f>
        <v>-455</v>
      </c>
      <c r="AE24" s="61"/>
    </row>
    <row r="25" spans="2:43" x14ac:dyDescent="0.3">
      <c r="M25" s="4"/>
      <c r="Q25" s="62"/>
      <c r="R25" s="63">
        <f>IF(R17&gt;=0,R17-R21,"")</f>
        <v>-3920</v>
      </c>
      <c r="S25" s="64"/>
      <c r="T25" s="63">
        <f>IF(T17&gt;=0,T17-T21,"")</f>
        <v>-6132</v>
      </c>
      <c r="U25" s="64"/>
      <c r="V25" s="63">
        <f>IF(V17&gt;=0,V17-V21,"")</f>
        <v>-7194</v>
      </c>
      <c r="W25" s="64"/>
      <c r="X25" s="63">
        <f>IF(X17&gt;=0,X17-X21,"")</f>
        <v>-10850</v>
      </c>
      <c r="Y25" s="64"/>
      <c r="Z25" s="63">
        <f>IF(Z17&gt;=0,Z17-Z21,"")</f>
        <v>-11702</v>
      </c>
      <c r="AA25" s="64"/>
      <c r="AB25" s="63">
        <f>IF(AB17&gt;=0,AB17-AB21,"")</f>
        <v>-12050</v>
      </c>
      <c r="AC25" s="65"/>
      <c r="AD25" s="63">
        <f>IF(AD17&gt;=0,AD17-AD21,"")</f>
        <v>-12050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2405</v>
      </c>
      <c r="S26" s="55"/>
      <c r="T26" s="67">
        <f>IFERROR(IF(T18&gt;0,T18-T22,""),"")</f>
        <v>-708</v>
      </c>
      <c r="U26" s="55"/>
      <c r="V26" s="67">
        <f>IFERROR(IF(V18&gt;0,V18-V22,""),"")</f>
        <v>3094</v>
      </c>
      <c r="W26" s="55"/>
      <c r="X26" s="67">
        <f>IFERROR(IF(X18&gt;0,X18-X22,""),"")</f>
        <v>-4466</v>
      </c>
      <c r="Y26" s="55"/>
      <c r="Z26" s="67">
        <f>IFERROR(IF(Z18&gt;0,Z18-Z22,""),"")</f>
        <v>-999.5</v>
      </c>
      <c r="AA26" s="55"/>
      <c r="AB26" s="67">
        <f>IFERROR(IF(AB18&gt;0,AB18-AB22,""),"")</f>
        <v>447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11106</v>
      </c>
      <c r="D29" s="76">
        <f>C14</f>
        <v>11713</v>
      </c>
      <c r="E29" s="77">
        <f>D29-C29</f>
        <v>607</v>
      </c>
      <c r="O29" s="4"/>
    </row>
    <row r="30" spans="2:43" x14ac:dyDescent="0.3">
      <c r="B30" s="74" t="s">
        <v>56</v>
      </c>
      <c r="C30" s="122">
        <v>28731</v>
      </c>
      <c r="D30" s="76">
        <f>C7+C15+C16+C17+C18</f>
        <v>13196</v>
      </c>
      <c r="E30" s="77">
        <f>D30-C30</f>
        <v>-15535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12672</v>
      </c>
      <c r="D32" s="76">
        <f>C10+C11+C12+C13</f>
        <v>12672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11705</v>
      </c>
      <c r="D33" s="76">
        <f>C19+C20+C21</f>
        <v>12476</v>
      </c>
      <c r="E33" s="77">
        <f>D33-C33</f>
        <v>771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4444</v>
      </c>
      <c r="D34" s="80">
        <f>SUM(C8+C9)</f>
        <v>4444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1012</v>
      </c>
      <c r="R35" s="104">
        <v>0</v>
      </c>
      <c r="S35" s="104">
        <f t="shared" ref="S35:S64" si="1">IF(T35&gt;0,(T35-R35)/2,"")</f>
        <v>263</v>
      </c>
      <c r="T35" s="104">
        <v>526</v>
      </c>
      <c r="U35" s="104">
        <f t="shared" ref="U35:U64" si="2">IF(V35&gt;0,(V35-T35)/2,"")</f>
        <v>0</v>
      </c>
      <c r="V35" s="104">
        <v>526</v>
      </c>
      <c r="W35" s="104">
        <f t="shared" ref="W35:W64" si="3">IF(X35&gt;0,(X35-V35)/2,"")</f>
        <v>242</v>
      </c>
      <c r="X35" s="104">
        <v>1010</v>
      </c>
      <c r="Y35" s="104">
        <f t="shared" ref="Y35:Y64" si="4">IF(Z35&gt;0,(Z35-X35)/2,"")</f>
        <v>0</v>
      </c>
      <c r="Z35" s="104">
        <v>1010</v>
      </c>
      <c r="AA35" s="104">
        <f t="shared" ref="AA35:AA64" si="5">IF(AB35&gt;0,(AB35-Z35)/2,"")</f>
        <v>0</v>
      </c>
      <c r="AB35" s="104">
        <v>1010</v>
      </c>
      <c r="AC35" s="104">
        <f t="shared" ref="AC35:AC64" si="6">IF(AD35&gt;0,(AD35-AB35)/2,"")</f>
        <v>0</v>
      </c>
      <c r="AD35" s="104">
        <v>1010</v>
      </c>
      <c r="AE35" s="105">
        <f t="shared" ref="AE35:AE64" si="7">AD35-Q35</f>
        <v>-2</v>
      </c>
    </row>
    <row r="36" spans="2:31" ht="15.6" customHeight="1" x14ac:dyDescent="0.3">
      <c r="N36" s="212"/>
      <c r="O36" s="95" t="s">
        <v>66</v>
      </c>
      <c r="P36" s="106"/>
      <c r="Q36" s="106">
        <v>1082</v>
      </c>
      <c r="R36" s="106">
        <v>0</v>
      </c>
      <c r="S36" s="106">
        <f t="shared" si="1"/>
        <v>287.5</v>
      </c>
      <c r="T36" s="106">
        <v>575</v>
      </c>
      <c r="U36" s="106">
        <f t="shared" si="2"/>
        <v>0</v>
      </c>
      <c r="V36" s="106">
        <v>575</v>
      </c>
      <c r="W36" s="106">
        <f t="shared" si="3"/>
        <v>254</v>
      </c>
      <c r="X36" s="106">
        <v>1083</v>
      </c>
      <c r="Y36" s="106">
        <f t="shared" si="4"/>
        <v>0</v>
      </c>
      <c r="Z36" s="106">
        <v>1083</v>
      </c>
      <c r="AA36" s="106">
        <f t="shared" si="5"/>
        <v>0</v>
      </c>
      <c r="AB36" s="106">
        <v>1083</v>
      </c>
      <c r="AC36" s="106">
        <f t="shared" si="6"/>
        <v>0</v>
      </c>
      <c r="AD36" s="106">
        <v>1083</v>
      </c>
      <c r="AE36" s="107">
        <f t="shared" si="7"/>
        <v>1</v>
      </c>
    </row>
    <row r="37" spans="2:31" ht="15.6" customHeight="1" x14ac:dyDescent="0.3">
      <c r="N37" s="212"/>
      <c r="O37" s="94" t="s">
        <v>67</v>
      </c>
      <c r="P37" s="108"/>
      <c r="Q37" s="108">
        <v>3789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180.5</v>
      </c>
      <c r="V37" s="108">
        <v>781</v>
      </c>
      <c r="W37" s="108">
        <f t="shared" si="3"/>
        <v>429</v>
      </c>
      <c r="X37" s="108">
        <v>1639</v>
      </c>
      <c r="Y37" s="108">
        <f t="shared" si="4"/>
        <v>621</v>
      </c>
      <c r="Z37" s="108">
        <v>2881</v>
      </c>
      <c r="AA37" s="108">
        <f t="shared" si="5"/>
        <v>453.5</v>
      </c>
      <c r="AB37" s="108">
        <v>3788</v>
      </c>
      <c r="AC37" s="108">
        <f t="shared" si="6"/>
        <v>0</v>
      </c>
      <c r="AD37" s="108">
        <v>3788</v>
      </c>
      <c r="AE37" s="109">
        <f t="shared" si="7"/>
        <v>-1</v>
      </c>
    </row>
    <row r="38" spans="2:31" ht="15.6" customHeight="1" x14ac:dyDescent="0.3">
      <c r="N38" s="212"/>
      <c r="O38" s="95" t="s">
        <v>68</v>
      </c>
      <c r="P38" s="106"/>
      <c r="Q38" s="106">
        <v>3657</v>
      </c>
      <c r="R38" s="106">
        <v>645</v>
      </c>
      <c r="S38" s="106">
        <f t="shared" si="1"/>
        <v>0</v>
      </c>
      <c r="T38" s="106">
        <v>645</v>
      </c>
      <c r="U38" s="106">
        <f t="shared" si="2"/>
        <v>50</v>
      </c>
      <c r="V38" s="106">
        <v>745</v>
      </c>
      <c r="W38" s="106">
        <f t="shared" si="3"/>
        <v>328</v>
      </c>
      <c r="X38" s="106">
        <v>1401</v>
      </c>
      <c r="Y38" s="106">
        <f t="shared" si="4"/>
        <v>152</v>
      </c>
      <c r="Z38" s="106">
        <v>1705</v>
      </c>
      <c r="AA38" s="106">
        <f t="shared" si="5"/>
        <v>864.5</v>
      </c>
      <c r="AB38" s="106">
        <v>3434</v>
      </c>
      <c r="AC38" s="106">
        <f t="shared" si="6"/>
        <v>0</v>
      </c>
      <c r="AD38" s="106">
        <v>3434</v>
      </c>
      <c r="AE38" s="107">
        <f t="shared" si="7"/>
        <v>-223</v>
      </c>
    </row>
    <row r="39" spans="2:31" ht="15.6" customHeight="1" x14ac:dyDescent="0.3">
      <c r="N39" s="212"/>
      <c r="O39" s="94" t="s">
        <v>69</v>
      </c>
      <c r="P39" s="108"/>
      <c r="Q39" s="108">
        <v>2581</v>
      </c>
      <c r="R39" s="108">
        <v>507</v>
      </c>
      <c r="S39" s="108">
        <f t="shared" si="1"/>
        <v>0</v>
      </c>
      <c r="T39" s="108">
        <v>507</v>
      </c>
      <c r="U39" s="108">
        <f t="shared" si="2"/>
        <v>270</v>
      </c>
      <c r="V39" s="108">
        <v>1047</v>
      </c>
      <c r="W39" s="108">
        <f t="shared" si="3"/>
        <v>611.5</v>
      </c>
      <c r="X39" s="108">
        <v>2270</v>
      </c>
      <c r="Y39" s="108">
        <f t="shared" si="4"/>
        <v>0</v>
      </c>
      <c r="Z39" s="108">
        <v>2270</v>
      </c>
      <c r="AA39" s="108">
        <f t="shared" si="5"/>
        <v>18</v>
      </c>
      <c r="AB39" s="108">
        <v>2306</v>
      </c>
      <c r="AC39" s="108">
        <f t="shared" si="6"/>
        <v>0</v>
      </c>
      <c r="AD39" s="108">
        <v>2306</v>
      </c>
      <c r="AE39" s="109">
        <f t="shared" si="7"/>
        <v>-275</v>
      </c>
    </row>
    <row r="40" spans="2:31" ht="15.6" customHeight="1" x14ac:dyDescent="0.3">
      <c r="N40" s="212"/>
      <c r="O40" s="95" t="s">
        <v>70</v>
      </c>
      <c r="P40" s="106"/>
      <c r="Q40" s="106">
        <v>3634</v>
      </c>
      <c r="R40" s="106">
        <v>621</v>
      </c>
      <c r="S40" s="106">
        <f t="shared" si="1"/>
        <v>0</v>
      </c>
      <c r="T40" s="106">
        <v>621</v>
      </c>
      <c r="U40" s="106">
        <f t="shared" si="2"/>
        <v>334</v>
      </c>
      <c r="V40" s="106">
        <v>1289</v>
      </c>
      <c r="W40" s="106">
        <f t="shared" si="3"/>
        <v>257</v>
      </c>
      <c r="X40" s="106">
        <v>1803</v>
      </c>
      <c r="Y40" s="106">
        <f t="shared" si="4"/>
        <v>437.5</v>
      </c>
      <c r="Z40" s="106">
        <v>2678</v>
      </c>
      <c r="AA40" s="106">
        <f t="shared" si="5"/>
        <v>469</v>
      </c>
      <c r="AB40" s="106">
        <v>3616</v>
      </c>
      <c r="AC40" s="106">
        <f t="shared" si="6"/>
        <v>0</v>
      </c>
      <c r="AD40" s="106">
        <v>3616</v>
      </c>
      <c r="AE40" s="107">
        <f t="shared" si="7"/>
        <v>-18</v>
      </c>
    </row>
    <row r="41" spans="2:31" ht="15.6" customHeight="1" x14ac:dyDescent="0.3">
      <c r="N41" s="212"/>
      <c r="O41" s="94" t="s">
        <v>71</v>
      </c>
      <c r="P41" s="108"/>
      <c r="Q41" s="108">
        <v>1111</v>
      </c>
      <c r="R41" s="108">
        <v>0</v>
      </c>
      <c r="S41" s="108">
        <f t="shared" si="1"/>
        <v>384</v>
      </c>
      <c r="T41" s="108">
        <v>768</v>
      </c>
      <c r="U41" s="108">
        <f t="shared" si="2"/>
        <v>173.5</v>
      </c>
      <c r="V41" s="108">
        <v>1115</v>
      </c>
      <c r="W41" s="108">
        <f t="shared" si="3"/>
        <v>0</v>
      </c>
      <c r="X41" s="108">
        <v>1115</v>
      </c>
      <c r="Y41" s="108">
        <f t="shared" si="4"/>
        <v>0</v>
      </c>
      <c r="Z41" s="108">
        <v>1115</v>
      </c>
      <c r="AA41" s="108">
        <f t="shared" si="5"/>
        <v>0</v>
      </c>
      <c r="AB41" s="108">
        <v>1115</v>
      </c>
      <c r="AC41" s="108">
        <f t="shared" si="6"/>
        <v>0</v>
      </c>
      <c r="AD41" s="108">
        <v>1115</v>
      </c>
      <c r="AE41" s="109">
        <f t="shared" si="7"/>
        <v>4</v>
      </c>
    </row>
    <row r="42" spans="2:31" ht="15.6" customHeight="1" x14ac:dyDescent="0.3">
      <c r="N42" s="212"/>
      <c r="O42" s="95" t="s">
        <v>72</v>
      </c>
      <c r="P42" s="106"/>
      <c r="Q42" s="106">
        <v>1756</v>
      </c>
      <c r="R42" s="106">
        <v>706</v>
      </c>
      <c r="S42" s="106">
        <f t="shared" si="1"/>
        <v>221.5</v>
      </c>
      <c r="T42" s="106">
        <v>1149</v>
      </c>
      <c r="U42" s="106">
        <f t="shared" si="2"/>
        <v>200</v>
      </c>
      <c r="V42" s="106">
        <v>1549</v>
      </c>
      <c r="W42" s="106">
        <f t="shared" si="3"/>
        <v>22</v>
      </c>
      <c r="X42" s="106">
        <v>1593</v>
      </c>
      <c r="Y42" s="106">
        <f t="shared" si="4"/>
        <v>42.5</v>
      </c>
      <c r="Z42" s="106">
        <v>1678</v>
      </c>
      <c r="AA42" s="106">
        <f t="shared" si="5"/>
        <v>26</v>
      </c>
      <c r="AB42" s="106">
        <v>1730</v>
      </c>
      <c r="AC42" s="106">
        <f t="shared" si="6"/>
        <v>0</v>
      </c>
      <c r="AD42" s="106">
        <v>1730</v>
      </c>
      <c r="AE42" s="107">
        <f t="shared" si="7"/>
        <v>-26</v>
      </c>
    </row>
    <row r="43" spans="2:31" ht="15.6" customHeight="1" thickBot="1" x14ac:dyDescent="0.35">
      <c r="N43" s="213"/>
      <c r="O43" s="97" t="s">
        <v>73</v>
      </c>
      <c r="P43" s="110"/>
      <c r="Q43" s="110">
        <v>1688</v>
      </c>
      <c r="R43" s="110">
        <v>550</v>
      </c>
      <c r="S43" s="110">
        <f t="shared" si="1"/>
        <v>0</v>
      </c>
      <c r="T43" s="110">
        <v>550</v>
      </c>
      <c r="U43" s="110">
        <f t="shared" si="2"/>
        <v>167</v>
      </c>
      <c r="V43" s="110">
        <v>884</v>
      </c>
      <c r="W43" s="110">
        <f t="shared" si="3"/>
        <v>400.5</v>
      </c>
      <c r="X43" s="110">
        <v>1685</v>
      </c>
      <c r="Y43" s="110">
        <f t="shared" si="4"/>
        <v>15</v>
      </c>
      <c r="Z43" s="110">
        <v>1715</v>
      </c>
      <c r="AA43" s="110">
        <f t="shared" si="5"/>
        <v>0</v>
      </c>
      <c r="AB43" s="110">
        <v>1715</v>
      </c>
      <c r="AC43" s="110">
        <f t="shared" si="6"/>
        <v>0</v>
      </c>
      <c r="AD43" s="110">
        <v>1715</v>
      </c>
      <c r="AE43" s="111">
        <f t="shared" si="7"/>
        <v>27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2526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817.5</v>
      </c>
      <c r="V44" s="112">
        <v>1635</v>
      </c>
      <c r="W44" s="112">
        <f t="shared" si="3"/>
        <v>445.5</v>
      </c>
      <c r="X44" s="112">
        <v>2526</v>
      </c>
      <c r="Y44" s="112">
        <f t="shared" si="4"/>
        <v>0</v>
      </c>
      <c r="Z44" s="112">
        <v>2526</v>
      </c>
      <c r="AA44" s="112">
        <f t="shared" si="5"/>
        <v>0</v>
      </c>
      <c r="AB44" s="112">
        <v>2526</v>
      </c>
      <c r="AC44" s="112">
        <f t="shared" si="6"/>
        <v>0</v>
      </c>
      <c r="AD44" s="112">
        <v>2526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2037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451</v>
      </c>
      <c r="V45" s="108">
        <v>902</v>
      </c>
      <c r="W45" s="108">
        <f t="shared" si="3"/>
        <v>567.5</v>
      </c>
      <c r="X45" s="108">
        <v>2037</v>
      </c>
      <c r="Y45" s="108">
        <f t="shared" si="4"/>
        <v>0</v>
      </c>
      <c r="Z45" s="108">
        <v>2037</v>
      </c>
      <c r="AA45" s="108">
        <f t="shared" si="5"/>
        <v>0</v>
      </c>
      <c r="AB45" s="108">
        <v>2037</v>
      </c>
      <c r="AC45" s="108">
        <f t="shared" si="6"/>
        <v>0</v>
      </c>
      <c r="AD45" s="108">
        <v>2037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2388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1194</v>
      </c>
      <c r="V46" s="106">
        <v>2388</v>
      </c>
      <c r="W46" s="106">
        <f t="shared" si="3"/>
        <v>0</v>
      </c>
      <c r="X46" s="106">
        <v>2388</v>
      </c>
      <c r="Y46" s="106">
        <f t="shared" si="4"/>
        <v>0</v>
      </c>
      <c r="Z46" s="106">
        <v>2388</v>
      </c>
      <c r="AA46" s="106">
        <f t="shared" si="5"/>
        <v>0</v>
      </c>
      <c r="AB46" s="106">
        <v>2388</v>
      </c>
      <c r="AC46" s="106">
        <f t="shared" si="6"/>
        <v>0</v>
      </c>
      <c r="AD46" s="106">
        <v>2388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2542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228.5</v>
      </c>
      <c r="V47" s="110">
        <v>457</v>
      </c>
      <c r="W47" s="110">
        <f t="shared" si="3"/>
        <v>1042.5</v>
      </c>
      <c r="X47" s="110">
        <v>2542</v>
      </c>
      <c r="Y47" s="110">
        <f t="shared" si="4"/>
        <v>0</v>
      </c>
      <c r="Z47" s="110">
        <v>2542</v>
      </c>
      <c r="AA47" s="110">
        <f t="shared" si="5"/>
        <v>0</v>
      </c>
      <c r="AB47" s="110">
        <v>2542</v>
      </c>
      <c r="AC47" s="110">
        <f t="shared" si="6"/>
        <v>0</v>
      </c>
      <c r="AD47" s="110">
        <v>2542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540</v>
      </c>
      <c r="R48" s="112">
        <v>363</v>
      </c>
      <c r="S48" s="112">
        <f t="shared" si="1"/>
        <v>0</v>
      </c>
      <c r="T48" s="112">
        <v>363</v>
      </c>
      <c r="U48" s="112">
        <f t="shared" si="2"/>
        <v>62</v>
      </c>
      <c r="V48" s="112">
        <v>487</v>
      </c>
      <c r="W48" s="112">
        <f t="shared" si="3"/>
        <v>87.5</v>
      </c>
      <c r="X48" s="112">
        <v>662</v>
      </c>
      <c r="Y48" s="112">
        <f t="shared" si="4"/>
        <v>0</v>
      </c>
      <c r="Z48" s="112">
        <v>662</v>
      </c>
      <c r="AA48" s="112">
        <f t="shared" si="5"/>
        <v>0</v>
      </c>
      <c r="AB48" s="112">
        <v>662</v>
      </c>
      <c r="AC48" s="112">
        <f t="shared" si="6"/>
        <v>0</v>
      </c>
      <c r="AD48" s="112">
        <v>662</v>
      </c>
      <c r="AE48" s="113">
        <f t="shared" si="7"/>
        <v>122</v>
      </c>
    </row>
    <row r="49" spans="14:31" ht="15.6" customHeight="1" x14ac:dyDescent="0.3">
      <c r="N49" s="212"/>
      <c r="O49" s="94" t="s">
        <v>66</v>
      </c>
      <c r="P49" s="108"/>
      <c r="Q49" s="108">
        <v>434</v>
      </c>
      <c r="R49" s="108">
        <v>0</v>
      </c>
      <c r="S49" s="108" t="str">
        <f t="shared" si="1"/>
        <v/>
      </c>
      <c r="T49" s="108">
        <v>0</v>
      </c>
      <c r="U49" s="108" t="str">
        <f t="shared" si="2"/>
        <v/>
      </c>
      <c r="V49" s="108">
        <v>0</v>
      </c>
      <c r="W49" s="108">
        <f t="shared" si="3"/>
        <v>33</v>
      </c>
      <c r="X49" s="108">
        <v>66</v>
      </c>
      <c r="Y49" s="108">
        <f t="shared" si="4"/>
        <v>184</v>
      </c>
      <c r="Z49" s="108">
        <v>434</v>
      </c>
      <c r="AA49" s="108">
        <f t="shared" si="5"/>
        <v>0</v>
      </c>
      <c r="AB49" s="108">
        <v>434</v>
      </c>
      <c r="AC49" s="108">
        <f t="shared" si="6"/>
        <v>0</v>
      </c>
      <c r="AD49" s="108">
        <v>434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3052</v>
      </c>
      <c r="R50" s="106">
        <v>803</v>
      </c>
      <c r="S50" s="106">
        <f t="shared" si="1"/>
        <v>14.5</v>
      </c>
      <c r="T50" s="106">
        <v>832</v>
      </c>
      <c r="U50" s="106">
        <f t="shared" si="2"/>
        <v>156.5</v>
      </c>
      <c r="V50" s="106">
        <v>1145</v>
      </c>
      <c r="W50" s="106">
        <f t="shared" si="3"/>
        <v>0</v>
      </c>
      <c r="X50" s="106">
        <v>1145</v>
      </c>
      <c r="Y50" s="106">
        <f t="shared" si="4"/>
        <v>53</v>
      </c>
      <c r="Z50" s="106">
        <v>1251</v>
      </c>
      <c r="AA50" s="106">
        <f t="shared" si="5"/>
        <v>0</v>
      </c>
      <c r="AB50" s="106">
        <v>1251</v>
      </c>
      <c r="AC50" s="106">
        <f t="shared" si="6"/>
        <v>0</v>
      </c>
      <c r="AD50" s="106">
        <v>1251</v>
      </c>
      <c r="AE50" s="107">
        <f t="shared" si="7"/>
        <v>-1801</v>
      </c>
    </row>
    <row r="51" spans="14:31" ht="15.6" customHeight="1" x14ac:dyDescent="0.3">
      <c r="N51" s="212"/>
      <c r="O51" s="94" t="s">
        <v>68</v>
      </c>
      <c r="P51" s="108"/>
      <c r="Q51" s="108">
        <v>1928</v>
      </c>
      <c r="R51" s="108">
        <v>419</v>
      </c>
      <c r="S51" s="108">
        <f t="shared" si="1"/>
        <v>362</v>
      </c>
      <c r="T51" s="108">
        <v>1143</v>
      </c>
      <c r="U51" s="108">
        <f t="shared" si="2"/>
        <v>0</v>
      </c>
      <c r="V51" s="108">
        <v>1143</v>
      </c>
      <c r="W51" s="108">
        <f t="shared" si="3"/>
        <v>67.5</v>
      </c>
      <c r="X51" s="108">
        <v>1278</v>
      </c>
      <c r="Y51" s="108">
        <f t="shared" si="4"/>
        <v>224</v>
      </c>
      <c r="Z51" s="108">
        <v>1726</v>
      </c>
      <c r="AA51" s="108">
        <f t="shared" si="5"/>
        <v>0</v>
      </c>
      <c r="AB51" s="108">
        <v>1726</v>
      </c>
      <c r="AC51" s="108">
        <f t="shared" si="6"/>
        <v>0</v>
      </c>
      <c r="AD51" s="108">
        <v>1726</v>
      </c>
      <c r="AE51" s="109">
        <f t="shared" si="7"/>
        <v>-202</v>
      </c>
    </row>
    <row r="52" spans="14:31" ht="15.6" customHeight="1" x14ac:dyDescent="0.3">
      <c r="N52" s="212"/>
      <c r="O52" s="95" t="s">
        <v>69</v>
      </c>
      <c r="P52" s="106"/>
      <c r="Q52" s="106">
        <v>3258</v>
      </c>
      <c r="R52" s="106">
        <v>124</v>
      </c>
      <c r="S52" s="106">
        <f t="shared" si="1"/>
        <v>13.5</v>
      </c>
      <c r="T52" s="106">
        <v>151</v>
      </c>
      <c r="U52" s="106">
        <f t="shared" si="2"/>
        <v>377.5</v>
      </c>
      <c r="V52" s="106">
        <v>906</v>
      </c>
      <c r="W52" s="106">
        <f t="shared" si="3"/>
        <v>65</v>
      </c>
      <c r="X52" s="106">
        <v>1036</v>
      </c>
      <c r="Y52" s="106">
        <f t="shared" si="4"/>
        <v>1</v>
      </c>
      <c r="Z52" s="106">
        <v>1038</v>
      </c>
      <c r="AA52" s="106">
        <f t="shared" si="5"/>
        <v>0</v>
      </c>
      <c r="AB52" s="106">
        <v>1038</v>
      </c>
      <c r="AC52" s="106">
        <f t="shared" si="6"/>
        <v>0</v>
      </c>
      <c r="AD52" s="106">
        <v>1038</v>
      </c>
      <c r="AE52" s="107">
        <f t="shared" si="7"/>
        <v>-2220</v>
      </c>
    </row>
    <row r="53" spans="14:31" ht="15.6" customHeight="1" x14ac:dyDescent="0.3">
      <c r="N53" s="212"/>
      <c r="O53" s="94" t="s">
        <v>70</v>
      </c>
      <c r="P53" s="108"/>
      <c r="Q53" s="108">
        <v>1383</v>
      </c>
      <c r="R53" s="108">
        <v>409</v>
      </c>
      <c r="S53" s="108">
        <f t="shared" si="1"/>
        <v>177</v>
      </c>
      <c r="T53" s="108">
        <v>763</v>
      </c>
      <c r="U53" s="108">
        <f t="shared" si="2"/>
        <v>46.5</v>
      </c>
      <c r="V53" s="108">
        <v>856</v>
      </c>
      <c r="W53" s="108">
        <f t="shared" si="3"/>
        <v>247.5</v>
      </c>
      <c r="X53" s="108">
        <v>1351</v>
      </c>
      <c r="Y53" s="108">
        <f t="shared" si="4"/>
        <v>0</v>
      </c>
      <c r="Z53" s="108">
        <v>1351</v>
      </c>
      <c r="AA53" s="108">
        <f t="shared" si="5"/>
        <v>0</v>
      </c>
      <c r="AB53" s="108">
        <v>1351</v>
      </c>
      <c r="AC53" s="108">
        <f t="shared" si="6"/>
        <v>0</v>
      </c>
      <c r="AD53" s="108">
        <v>1351</v>
      </c>
      <c r="AE53" s="109">
        <f t="shared" si="7"/>
        <v>-32</v>
      </c>
    </row>
    <row r="54" spans="14:31" ht="15.6" customHeight="1" x14ac:dyDescent="0.3">
      <c r="N54" s="212"/>
      <c r="O54" s="95" t="s">
        <v>71</v>
      </c>
      <c r="P54" s="106"/>
      <c r="Q54" s="106">
        <v>3492</v>
      </c>
      <c r="R54" s="106">
        <v>2000</v>
      </c>
      <c r="S54" s="106">
        <f t="shared" si="1"/>
        <v>267.5</v>
      </c>
      <c r="T54" s="106">
        <v>2535</v>
      </c>
      <c r="U54" s="106">
        <f t="shared" si="2"/>
        <v>0</v>
      </c>
      <c r="V54" s="106">
        <v>2535</v>
      </c>
      <c r="W54" s="106">
        <f t="shared" si="3"/>
        <v>340.5</v>
      </c>
      <c r="X54" s="106">
        <v>3216</v>
      </c>
      <c r="Y54" s="106">
        <f t="shared" si="4"/>
        <v>124.5</v>
      </c>
      <c r="Z54" s="106">
        <v>3465</v>
      </c>
      <c r="AA54" s="106">
        <f t="shared" si="5"/>
        <v>0</v>
      </c>
      <c r="AB54" s="106">
        <v>3465</v>
      </c>
      <c r="AC54" s="106">
        <f t="shared" si="6"/>
        <v>0</v>
      </c>
      <c r="AD54" s="106">
        <v>3465</v>
      </c>
      <c r="AE54" s="107">
        <f t="shared" si="7"/>
        <v>-27</v>
      </c>
    </row>
    <row r="55" spans="14:31" ht="15.6" customHeight="1" x14ac:dyDescent="0.3">
      <c r="N55" s="212"/>
      <c r="O55" s="94" t="s">
        <v>72</v>
      </c>
      <c r="P55" s="108"/>
      <c r="Q55" s="108">
        <v>225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112.5</v>
      </c>
      <c r="X55" s="108">
        <v>225</v>
      </c>
      <c r="Y55" s="108">
        <f t="shared" si="4"/>
        <v>0</v>
      </c>
      <c r="Z55" s="108">
        <v>225</v>
      </c>
      <c r="AA55" s="108">
        <f t="shared" si="5"/>
        <v>0</v>
      </c>
      <c r="AB55" s="108">
        <v>225</v>
      </c>
      <c r="AC55" s="108">
        <f t="shared" si="6"/>
        <v>0</v>
      </c>
      <c r="AD55" s="108">
        <v>225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2516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95.5</v>
      </c>
      <c r="V56" s="114">
        <v>191</v>
      </c>
      <c r="W56" s="114">
        <f t="shared" si="3"/>
        <v>384</v>
      </c>
      <c r="X56" s="114">
        <v>959</v>
      </c>
      <c r="Y56" s="114">
        <f t="shared" si="4"/>
        <v>115.5</v>
      </c>
      <c r="Z56" s="114">
        <v>1190</v>
      </c>
      <c r="AA56" s="114">
        <f t="shared" si="5"/>
        <v>0</v>
      </c>
      <c r="AB56" s="114">
        <v>1190</v>
      </c>
      <c r="AC56" s="114">
        <f t="shared" si="6"/>
        <v>0</v>
      </c>
      <c r="AD56" s="114">
        <v>1190</v>
      </c>
      <c r="AE56" s="115">
        <f t="shared" si="7"/>
        <v>-1326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2516</v>
      </c>
      <c r="R57" s="104">
        <v>223</v>
      </c>
      <c r="S57" s="104">
        <f t="shared" si="1"/>
        <v>96</v>
      </c>
      <c r="T57" s="104">
        <v>415</v>
      </c>
      <c r="U57" s="104">
        <f t="shared" si="2"/>
        <v>318</v>
      </c>
      <c r="V57" s="104">
        <v>1051</v>
      </c>
      <c r="W57" s="104">
        <f t="shared" si="3"/>
        <v>201</v>
      </c>
      <c r="X57" s="104">
        <v>1453</v>
      </c>
      <c r="Y57" s="104">
        <f t="shared" si="4"/>
        <v>210</v>
      </c>
      <c r="Z57" s="104">
        <v>1873</v>
      </c>
      <c r="AA57" s="104">
        <f t="shared" si="5"/>
        <v>0</v>
      </c>
      <c r="AB57" s="104">
        <v>1873</v>
      </c>
      <c r="AC57" s="104">
        <f t="shared" si="6"/>
        <v>0</v>
      </c>
      <c r="AD57" s="104">
        <v>1873</v>
      </c>
      <c r="AE57" s="105">
        <f t="shared" si="7"/>
        <v>-643</v>
      </c>
    </row>
    <row r="58" spans="14:31" ht="15.6" customHeight="1" x14ac:dyDescent="0.3">
      <c r="N58" s="212"/>
      <c r="O58" s="95" t="s">
        <v>66</v>
      </c>
      <c r="P58" s="106"/>
      <c r="Q58" s="106">
        <v>3691</v>
      </c>
      <c r="R58" s="106">
        <v>371</v>
      </c>
      <c r="S58" s="106">
        <f t="shared" si="1"/>
        <v>378</v>
      </c>
      <c r="T58" s="106">
        <v>1127</v>
      </c>
      <c r="U58" s="106">
        <f t="shared" si="2"/>
        <v>0</v>
      </c>
      <c r="V58" s="106">
        <v>1127</v>
      </c>
      <c r="W58" s="106">
        <f t="shared" si="3"/>
        <v>0</v>
      </c>
      <c r="X58" s="106">
        <v>1127</v>
      </c>
      <c r="Y58" s="106">
        <f t="shared" si="4"/>
        <v>1076.5</v>
      </c>
      <c r="Z58" s="106">
        <v>3280</v>
      </c>
      <c r="AA58" s="106">
        <f t="shared" si="5"/>
        <v>0</v>
      </c>
      <c r="AB58" s="106">
        <v>3280</v>
      </c>
      <c r="AC58" s="106">
        <f t="shared" si="6"/>
        <v>0</v>
      </c>
      <c r="AD58" s="106">
        <v>3280</v>
      </c>
      <c r="AE58" s="107">
        <f t="shared" si="7"/>
        <v>-411</v>
      </c>
    </row>
    <row r="59" spans="14:31" ht="15.6" customHeight="1" x14ac:dyDescent="0.3">
      <c r="N59" s="212"/>
      <c r="O59" s="94" t="s">
        <v>67</v>
      </c>
      <c r="P59" s="108"/>
      <c r="Q59" s="108">
        <v>4050</v>
      </c>
      <c r="R59" s="108">
        <v>785</v>
      </c>
      <c r="S59" s="108">
        <f t="shared" si="1"/>
        <v>32</v>
      </c>
      <c r="T59" s="108">
        <v>849</v>
      </c>
      <c r="U59" s="108">
        <f t="shared" si="2"/>
        <v>248.5</v>
      </c>
      <c r="V59" s="108">
        <v>1346</v>
      </c>
      <c r="W59" s="108">
        <f t="shared" si="3"/>
        <v>134.5</v>
      </c>
      <c r="X59" s="108">
        <v>1615</v>
      </c>
      <c r="Y59" s="108">
        <f t="shared" si="4"/>
        <v>716</v>
      </c>
      <c r="Z59" s="108">
        <v>3047</v>
      </c>
      <c r="AA59" s="108">
        <f t="shared" si="5"/>
        <v>0</v>
      </c>
      <c r="AB59" s="108">
        <v>3047</v>
      </c>
      <c r="AC59" s="108">
        <f t="shared" si="6"/>
        <v>0</v>
      </c>
      <c r="AD59" s="108">
        <v>3047</v>
      </c>
      <c r="AE59" s="109">
        <f t="shared" si="7"/>
        <v>-1003</v>
      </c>
    </row>
    <row r="60" spans="14:31" ht="15.6" customHeight="1" thickBot="1" x14ac:dyDescent="0.35">
      <c r="N60" s="213"/>
      <c r="O60" s="99" t="s">
        <v>68</v>
      </c>
      <c r="P60" s="114"/>
      <c r="Q60" s="114">
        <v>4300</v>
      </c>
      <c r="R60" s="114">
        <v>648</v>
      </c>
      <c r="S60" s="114">
        <f t="shared" si="1"/>
        <v>611</v>
      </c>
      <c r="T60" s="114">
        <v>1870</v>
      </c>
      <c r="U60" s="114">
        <f t="shared" si="2"/>
        <v>144</v>
      </c>
      <c r="V60" s="114">
        <v>2158</v>
      </c>
      <c r="W60" s="114">
        <f t="shared" si="3"/>
        <v>467.5</v>
      </c>
      <c r="X60" s="114">
        <v>3093</v>
      </c>
      <c r="Y60" s="114">
        <f t="shared" si="4"/>
        <v>563</v>
      </c>
      <c r="Z60" s="114">
        <v>4219</v>
      </c>
      <c r="AA60" s="114">
        <f t="shared" si="5"/>
        <v>0</v>
      </c>
      <c r="AB60" s="114">
        <v>4219</v>
      </c>
      <c r="AC60" s="114">
        <f t="shared" si="6"/>
        <v>0</v>
      </c>
      <c r="AD60" s="114">
        <v>4219</v>
      </c>
      <c r="AE60" s="115">
        <f t="shared" si="7"/>
        <v>-81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4739</v>
      </c>
      <c r="R61" s="104">
        <v>803</v>
      </c>
      <c r="S61" s="104">
        <f t="shared" si="1"/>
        <v>48</v>
      </c>
      <c r="T61" s="104">
        <v>899</v>
      </c>
      <c r="U61" s="104">
        <f t="shared" si="2"/>
        <v>0</v>
      </c>
      <c r="V61" s="104">
        <v>899</v>
      </c>
      <c r="W61" s="104">
        <f t="shared" si="3"/>
        <v>192.5</v>
      </c>
      <c r="X61" s="104">
        <v>1284</v>
      </c>
      <c r="Y61" s="104">
        <f t="shared" si="4"/>
        <v>339</v>
      </c>
      <c r="Z61" s="104">
        <v>1962</v>
      </c>
      <c r="AA61" s="104">
        <f t="shared" si="5"/>
        <v>0</v>
      </c>
      <c r="AB61" s="104">
        <v>1962</v>
      </c>
      <c r="AC61" s="104">
        <f t="shared" si="6"/>
        <v>0</v>
      </c>
      <c r="AD61" s="104">
        <v>1962</v>
      </c>
      <c r="AE61" s="105">
        <f t="shared" si="7"/>
        <v>-2777</v>
      </c>
    </row>
    <row r="62" spans="14:31" ht="15.6" customHeight="1" x14ac:dyDescent="0.3">
      <c r="N62" s="212"/>
      <c r="O62" s="95" t="s">
        <v>66</v>
      </c>
      <c r="P62" s="106"/>
      <c r="Q62" s="106">
        <v>4070</v>
      </c>
      <c r="R62" s="106">
        <v>120</v>
      </c>
      <c r="S62" s="106">
        <f t="shared" si="1"/>
        <v>278</v>
      </c>
      <c r="T62" s="106">
        <v>676</v>
      </c>
      <c r="U62" s="106">
        <f t="shared" si="2"/>
        <v>116.5</v>
      </c>
      <c r="V62" s="106">
        <v>909</v>
      </c>
      <c r="W62" s="106">
        <f t="shared" si="3"/>
        <v>341.5</v>
      </c>
      <c r="X62" s="106">
        <v>1592</v>
      </c>
      <c r="Y62" s="106">
        <f t="shared" si="4"/>
        <v>235.5</v>
      </c>
      <c r="Z62" s="106">
        <v>2063</v>
      </c>
      <c r="AA62" s="106">
        <f t="shared" si="5"/>
        <v>0</v>
      </c>
      <c r="AB62" s="106">
        <v>2063</v>
      </c>
      <c r="AC62" s="106">
        <f t="shared" si="6"/>
        <v>0</v>
      </c>
      <c r="AD62" s="106">
        <v>2063</v>
      </c>
      <c r="AE62" s="107">
        <f t="shared" si="7"/>
        <v>-2007</v>
      </c>
    </row>
    <row r="63" spans="14:31" ht="15.6" customHeight="1" x14ac:dyDescent="0.3">
      <c r="N63" s="212"/>
      <c r="O63" s="94" t="s">
        <v>67</v>
      </c>
      <c r="P63" s="108"/>
      <c r="Q63" s="108">
        <v>3358</v>
      </c>
      <c r="R63" s="108">
        <v>370</v>
      </c>
      <c r="S63" s="108">
        <f t="shared" si="1"/>
        <v>286</v>
      </c>
      <c r="T63" s="108">
        <v>942</v>
      </c>
      <c r="U63" s="108">
        <f t="shared" si="2"/>
        <v>139.5</v>
      </c>
      <c r="V63" s="108">
        <v>1221</v>
      </c>
      <c r="W63" s="108">
        <f t="shared" si="3"/>
        <v>72</v>
      </c>
      <c r="X63" s="108">
        <v>1365</v>
      </c>
      <c r="Y63" s="108">
        <f t="shared" si="4"/>
        <v>65</v>
      </c>
      <c r="Z63" s="108">
        <v>1495</v>
      </c>
      <c r="AA63" s="108">
        <f t="shared" si="5"/>
        <v>0</v>
      </c>
      <c r="AB63" s="108">
        <v>1495</v>
      </c>
      <c r="AC63" s="108">
        <f t="shared" si="6"/>
        <v>0</v>
      </c>
      <c r="AD63" s="108">
        <v>1495</v>
      </c>
      <c r="AE63" s="109">
        <f t="shared" si="7"/>
        <v>-1863</v>
      </c>
    </row>
    <row r="64" spans="14:31" ht="15.6" customHeight="1" thickBot="1" x14ac:dyDescent="0.35">
      <c r="N64" s="213"/>
      <c r="O64" s="99" t="s">
        <v>68</v>
      </c>
      <c r="P64" s="114"/>
      <c r="Q64" s="114">
        <v>3678</v>
      </c>
      <c r="R64" s="114">
        <v>1056</v>
      </c>
      <c r="S64" s="114">
        <f t="shared" si="1"/>
        <v>18</v>
      </c>
      <c r="T64" s="114">
        <v>1092</v>
      </c>
      <c r="U64" s="114">
        <f t="shared" si="2"/>
        <v>128</v>
      </c>
      <c r="V64" s="114">
        <v>1348</v>
      </c>
      <c r="W64" s="114">
        <f t="shared" si="3"/>
        <v>204.5</v>
      </c>
      <c r="X64" s="114">
        <v>1757</v>
      </c>
      <c r="Y64" s="114">
        <f t="shared" si="4"/>
        <v>0</v>
      </c>
      <c r="Z64" s="114">
        <v>1757</v>
      </c>
      <c r="AA64" s="114">
        <f t="shared" si="5"/>
        <v>0</v>
      </c>
      <c r="AB64" s="114">
        <v>1757</v>
      </c>
      <c r="AC64" s="114">
        <f t="shared" si="6"/>
        <v>0</v>
      </c>
      <c r="AD64" s="114">
        <v>1757</v>
      </c>
      <c r="AE64" s="115">
        <f t="shared" si="7"/>
        <v>-1921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47" priority="11" operator="lessThan">
      <formula>0</formula>
    </cfRule>
    <cfRule type="cellIs" dxfId="1246" priority="12" operator="greaterThan">
      <formula>0</formula>
    </cfRule>
  </conditionalFormatting>
  <conditionalFormatting sqref="R25:AC25">
    <cfRule type="cellIs" dxfId="1245" priority="9" operator="lessThan">
      <formula>0</formula>
    </cfRule>
    <cfRule type="cellIs" dxfId="1244" priority="10" operator="greaterThan">
      <formula>0</formula>
    </cfRule>
  </conditionalFormatting>
  <conditionalFormatting sqref="R26 T26 V26 X26 Z26 AB26">
    <cfRule type="cellIs" dxfId="1243" priority="7" operator="lessThan">
      <formula>0</formula>
    </cfRule>
    <cfRule type="cellIs" dxfId="1242" priority="8" operator="greaterThan">
      <formula>0</formula>
    </cfRule>
  </conditionalFormatting>
  <conditionalFormatting sqref="AD24:AE24">
    <cfRule type="cellIs" dxfId="1241" priority="5" operator="lessThan">
      <formula>0</formula>
    </cfRule>
    <cfRule type="cellIs" dxfId="1240" priority="6" operator="greaterThan">
      <formula>0</formula>
    </cfRule>
  </conditionalFormatting>
  <conditionalFormatting sqref="AD25:AE25">
    <cfRule type="cellIs" dxfId="1239" priority="3" operator="lessThan">
      <formula>0</formula>
    </cfRule>
    <cfRule type="cellIs" dxfId="1238" priority="4" operator="greaterThan">
      <formula>0</formula>
    </cfRule>
  </conditionalFormatting>
  <conditionalFormatting sqref="AD26">
    <cfRule type="cellIs" dxfId="1237" priority="1" operator="lessThan">
      <formula>0</formula>
    </cfRule>
    <cfRule type="cellIs" dxfId="123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>
    <tabColor theme="1"/>
    <pageSetUpPr fitToPage="1"/>
  </sheetPr>
  <dimension ref="B1:AQ64"/>
  <sheetViews>
    <sheetView zoomScale="70" zoomScaleNormal="7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44415</v>
      </c>
    </row>
    <row r="3" spans="2:42" ht="18.75" customHeight="1" thickBot="1" x14ac:dyDescent="0.35">
      <c r="B3" t="s">
        <v>1</v>
      </c>
      <c r="C3" s="3">
        <f>C2+1</f>
        <v>44416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18760</v>
      </c>
      <c r="G6" s="117">
        <v>15090.295249999999</v>
      </c>
      <c r="H6" s="117">
        <v>11825.77799954002</v>
      </c>
      <c r="I6" s="19">
        <f>G6+H6</f>
        <v>26916.073249540019</v>
      </c>
      <c r="J6" s="119">
        <v>18523</v>
      </c>
      <c r="K6" s="117">
        <v>15252.593375</v>
      </c>
      <c r="L6" s="117">
        <v>11430.863681020001</v>
      </c>
      <c r="M6" s="19">
        <f>K6+L6</f>
        <v>26683.457056020001</v>
      </c>
      <c r="N6" s="85">
        <v>76</v>
      </c>
      <c r="O6" s="85">
        <v>57</v>
      </c>
      <c r="P6" s="92"/>
      <c r="Q6" s="20">
        <f>J6-P6</f>
        <v>18523</v>
      </c>
      <c r="R6" s="21">
        <v>1097</v>
      </c>
      <c r="S6" s="20">
        <f>IF(R6&gt;0,(R6-R7-$Q6),"")</f>
        <v>-17437</v>
      </c>
      <c r="T6" s="21">
        <v>3740</v>
      </c>
      <c r="U6" s="20">
        <f>IF(T6&gt;0,(T6-T7-$Q6),"")</f>
        <v>-14797</v>
      </c>
      <c r="V6" s="21">
        <v>7954</v>
      </c>
      <c r="W6" s="20">
        <f>IF(V6&gt;0,(V6-V7-$Q6),"")</f>
        <v>-10740</v>
      </c>
      <c r="X6" s="21">
        <v>12641</v>
      </c>
      <c r="Y6" s="20">
        <f>IF(X6&gt;0,(X6-X7-$Q6),"")</f>
        <v>-6060</v>
      </c>
      <c r="Z6" s="21">
        <v>16552</v>
      </c>
      <c r="AA6" s="20">
        <f>IF(Z6&gt;0,(Z6-Z7-$Q6),"")</f>
        <v>-2329</v>
      </c>
      <c r="AB6" s="21">
        <v>16552</v>
      </c>
      <c r="AC6" s="22">
        <f>IF(AB6&gt;0,(AB6-AB7-$Q6),"")</f>
        <v>-2329</v>
      </c>
      <c r="AD6" s="21">
        <v>16552</v>
      </c>
      <c r="AE6" s="22">
        <f>IF(AD6&gt;0,(AD6-AD7-$Q6),"")</f>
        <v>-2329</v>
      </c>
    </row>
    <row r="7" spans="2:42" x14ac:dyDescent="0.3">
      <c r="B7" s="16" t="s">
        <v>23</v>
      </c>
      <c r="C7" s="17">
        <v>2273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11</v>
      </c>
      <c r="S7" s="24"/>
      <c r="T7" s="25">
        <v>14</v>
      </c>
      <c r="U7" s="24"/>
      <c r="V7" s="25">
        <v>171</v>
      </c>
      <c r="W7" s="24"/>
      <c r="X7" s="25">
        <v>178</v>
      </c>
      <c r="Y7" s="24"/>
      <c r="Z7" s="25">
        <v>358</v>
      </c>
      <c r="AA7" s="24"/>
      <c r="AB7" s="25">
        <v>358</v>
      </c>
      <c r="AC7" s="26"/>
      <c r="AD7" s="25">
        <v>358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3341</v>
      </c>
      <c r="E8" s="29" t="s">
        <v>27</v>
      </c>
      <c r="F8" s="119">
        <v>11535</v>
      </c>
      <c r="G8" s="117">
        <v>4779.32</v>
      </c>
      <c r="H8" s="117">
        <v>1440.1146900000001</v>
      </c>
      <c r="I8" s="19">
        <f>G8+H8</f>
        <v>6219.43469</v>
      </c>
      <c r="J8" s="119">
        <v>11202</v>
      </c>
      <c r="K8" s="117">
        <v>4612.4280000000008</v>
      </c>
      <c r="L8" s="117">
        <v>1403.8652512000001</v>
      </c>
      <c r="M8" s="19">
        <f>K8+L8</f>
        <v>6016.2932512000007</v>
      </c>
      <c r="N8" s="87">
        <v>38</v>
      </c>
      <c r="O8" s="87">
        <v>34</v>
      </c>
      <c r="P8" s="92"/>
      <c r="Q8" s="20">
        <f>J8-P8</f>
        <v>11202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7752</v>
      </c>
      <c r="W8" s="20">
        <f>IF(V8&gt;0,(V8-V9-$Q8),"")</f>
        <v>-3450</v>
      </c>
      <c r="X8" s="21">
        <v>12543</v>
      </c>
      <c r="Y8" s="20">
        <f>IF(X8&gt;0,(X8-X9-$Q8),"")</f>
        <v>0</v>
      </c>
      <c r="Z8" s="21">
        <v>12543</v>
      </c>
      <c r="AA8" s="20">
        <f>IF(Z8&gt;0,(Z8-Z9-$Q8),"")</f>
        <v>0</v>
      </c>
      <c r="AB8" s="21">
        <v>12543</v>
      </c>
      <c r="AC8" s="22">
        <f>IF(AB8&gt;0,(AB8-AB9-$Q8),"")</f>
        <v>0</v>
      </c>
      <c r="AD8" s="21">
        <v>12543</v>
      </c>
      <c r="AE8" s="22">
        <f>IF(AD8&gt;0,(AD8-AD9-$Q8),"")</f>
        <v>0</v>
      </c>
    </row>
    <row r="9" spans="2:42" x14ac:dyDescent="0.3">
      <c r="B9" s="28" t="s">
        <v>28</v>
      </c>
      <c r="C9" s="17">
        <v>1302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1341</v>
      </c>
      <c r="Y9" s="24"/>
      <c r="Z9" s="30">
        <v>1341</v>
      </c>
      <c r="AA9" s="24"/>
      <c r="AB9" s="30">
        <v>1341</v>
      </c>
      <c r="AC9" s="26"/>
      <c r="AD9" s="30">
        <v>1341</v>
      </c>
      <c r="AE9" s="26"/>
    </row>
    <row r="10" spans="2:42" x14ac:dyDescent="0.3">
      <c r="B10" s="16" t="s">
        <v>30</v>
      </c>
      <c r="C10" s="17">
        <v>4468</v>
      </c>
      <c r="E10" s="18" t="s">
        <v>31</v>
      </c>
      <c r="F10" s="119">
        <v>21105</v>
      </c>
      <c r="G10" s="117">
        <v>16716.734874999998</v>
      </c>
      <c r="H10" s="117">
        <v>1663.95182</v>
      </c>
      <c r="I10" s="19">
        <f>G10+H10</f>
        <v>18380.686694999997</v>
      </c>
      <c r="J10" s="119">
        <v>21185</v>
      </c>
      <c r="K10" s="117">
        <v>16693.088031250001</v>
      </c>
      <c r="L10" s="117">
        <v>1625.3746900000001</v>
      </c>
      <c r="M10" s="19">
        <f>K10+L10</f>
        <v>18318.462721250002</v>
      </c>
      <c r="N10" s="88">
        <v>60</v>
      </c>
      <c r="O10" s="88">
        <v>39</v>
      </c>
      <c r="P10" s="92"/>
      <c r="Q10" s="20">
        <f>J10-P10</f>
        <v>21185</v>
      </c>
      <c r="R10" s="21">
        <v>4895</v>
      </c>
      <c r="S10" s="20">
        <f>IF(R10&gt;0,(R10-R11-$Q10),"")</f>
        <v>-16783</v>
      </c>
      <c r="T10" s="21">
        <v>7992</v>
      </c>
      <c r="U10" s="20">
        <f>IF(T10&gt;0,(T10-T11-$Q10),"")</f>
        <v>-14084</v>
      </c>
      <c r="V10" s="21">
        <v>9699</v>
      </c>
      <c r="W10" s="20">
        <f>IF(V10&gt;0,(V10-V11-$Q10),"")</f>
        <v>-12619</v>
      </c>
      <c r="X10" s="21">
        <v>17294</v>
      </c>
      <c r="Y10" s="20">
        <f>IF(X10&gt;0,(X10-X11-$Q10),"")</f>
        <v>-6859</v>
      </c>
      <c r="Z10" s="21">
        <v>18086</v>
      </c>
      <c r="AA10" s="20">
        <f>IF(Z10&gt;0,(Z10-Z11-$Q10),"")</f>
        <v>-4761</v>
      </c>
      <c r="AB10" s="21">
        <v>18086</v>
      </c>
      <c r="AC10" s="22">
        <f>IF(AB10&gt;0,(AB10-AB11-$Q10),"")</f>
        <v>-4761</v>
      </c>
      <c r="AD10" s="21">
        <v>18086</v>
      </c>
      <c r="AE10" s="22">
        <f>IF(AD10&gt;0,(AD10-AD11-$Q10),"")</f>
        <v>-4761</v>
      </c>
    </row>
    <row r="11" spans="2:42" x14ac:dyDescent="0.3">
      <c r="B11" s="16" t="s">
        <v>32</v>
      </c>
      <c r="C11" s="17">
        <v>2286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21</v>
      </c>
      <c r="P11" s="93" t="s">
        <v>33</v>
      </c>
      <c r="Q11" s="24"/>
      <c r="R11" s="30">
        <v>493</v>
      </c>
      <c r="S11" s="24"/>
      <c r="T11" s="30">
        <v>891</v>
      </c>
      <c r="U11" s="24"/>
      <c r="V11" s="30">
        <v>1133</v>
      </c>
      <c r="W11" s="24"/>
      <c r="X11" s="30">
        <v>2968</v>
      </c>
      <c r="Y11" s="24"/>
      <c r="Z11" s="30">
        <v>1662</v>
      </c>
      <c r="AA11" s="24"/>
      <c r="AB11" s="30">
        <v>1662</v>
      </c>
      <c r="AC11" s="26"/>
      <c r="AD11" s="30">
        <v>1662</v>
      </c>
      <c r="AE11" s="26"/>
    </row>
    <row r="12" spans="2:42" x14ac:dyDescent="0.3">
      <c r="B12" s="16" t="s">
        <v>34</v>
      </c>
      <c r="C12" s="17">
        <v>1688</v>
      </c>
      <c r="E12" s="29" t="s">
        <v>35</v>
      </c>
      <c r="F12" s="119">
        <v>12343</v>
      </c>
      <c r="G12" s="117">
        <v>9497.3437499999945</v>
      </c>
      <c r="H12" s="117">
        <v>16511.63179683001</v>
      </c>
      <c r="I12" s="19">
        <f>G12+H12</f>
        <v>26008.975546830006</v>
      </c>
      <c r="J12" s="119">
        <v>12345</v>
      </c>
      <c r="K12" s="117">
        <v>9474.5967500000006</v>
      </c>
      <c r="L12" s="117">
        <v>15663.636797949999</v>
      </c>
      <c r="M12" s="19">
        <f>K12+L12</f>
        <v>25138.23354795</v>
      </c>
      <c r="N12" s="88">
        <v>61</v>
      </c>
      <c r="O12" s="88">
        <v>48</v>
      </c>
      <c r="P12" s="92"/>
      <c r="Q12" s="20">
        <f>J12-P12</f>
        <v>12345</v>
      </c>
      <c r="R12" s="21">
        <v>481</v>
      </c>
      <c r="S12" s="20">
        <f>IF(R12&gt;0,(R12-R13-$Q12),"")</f>
        <v>-11864</v>
      </c>
      <c r="T12" s="21">
        <v>1561</v>
      </c>
      <c r="U12" s="20">
        <f>IF(T12&gt;0,(T12-T13-$Q12),"")</f>
        <v>-11156</v>
      </c>
      <c r="V12" s="21">
        <v>4361</v>
      </c>
      <c r="W12" s="20">
        <f>IF(V12&gt;0,(V12-V13-$Q12),"")</f>
        <v>-8827</v>
      </c>
      <c r="X12" s="21">
        <v>7604</v>
      </c>
      <c r="Y12" s="20">
        <f>IF(X12&gt;0,(X12-X13-$Q12),"")</f>
        <v>-7133</v>
      </c>
      <c r="Z12" s="21">
        <v>10363</v>
      </c>
      <c r="AA12" s="20">
        <f>IF(Z12&gt;0,(Z12-Z13-$Q12),"")</f>
        <v>-4745</v>
      </c>
      <c r="AB12" s="21">
        <v>10363</v>
      </c>
      <c r="AC12" s="22">
        <f>IF(AB12&gt;0,(AB12-AB13-$Q12),"")</f>
        <v>-4745</v>
      </c>
      <c r="AD12" s="21">
        <v>10363</v>
      </c>
      <c r="AE12" s="22">
        <f>IF(AD12&gt;0,(AD12-AD13-$Q12),"")</f>
        <v>-4745</v>
      </c>
    </row>
    <row r="13" spans="2:42" x14ac:dyDescent="0.3">
      <c r="B13" s="16" t="s">
        <v>36</v>
      </c>
      <c r="C13" s="17">
        <v>4740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0</v>
      </c>
      <c r="S13" s="24"/>
      <c r="T13" s="30">
        <v>372</v>
      </c>
      <c r="U13" s="24"/>
      <c r="V13" s="30">
        <v>843</v>
      </c>
      <c r="W13" s="24"/>
      <c r="X13" s="30">
        <v>2392</v>
      </c>
      <c r="Y13" s="24"/>
      <c r="Z13" s="30">
        <v>2763</v>
      </c>
      <c r="AA13" s="24"/>
      <c r="AB13" s="30">
        <v>2763</v>
      </c>
      <c r="AC13" s="26"/>
      <c r="AD13" s="30">
        <v>2763</v>
      </c>
      <c r="AE13" s="26"/>
    </row>
    <row r="14" spans="2:42" x14ac:dyDescent="0.3">
      <c r="B14" s="16" t="s">
        <v>38</v>
      </c>
      <c r="C14" s="17">
        <v>7998</v>
      </c>
      <c r="E14" s="18" t="s">
        <v>39</v>
      </c>
      <c r="F14" s="119">
        <v>18946</v>
      </c>
      <c r="G14" s="117">
        <v>17638.84375</v>
      </c>
      <c r="H14" s="117">
        <v>21006.764259979991</v>
      </c>
      <c r="I14" s="19">
        <f>G14+H14</f>
        <v>38645.608009979987</v>
      </c>
      <c r="J14" s="119">
        <v>19071</v>
      </c>
      <c r="K14" s="117">
        <v>17716.96875</v>
      </c>
      <c r="L14" s="117">
        <v>21148.348187480002</v>
      </c>
      <c r="M14" s="19">
        <f>K14+L14</f>
        <v>38865.316937480005</v>
      </c>
      <c r="N14" s="88">
        <v>77</v>
      </c>
      <c r="O14" s="88">
        <v>56</v>
      </c>
      <c r="P14" s="92"/>
      <c r="Q14" s="20">
        <f>J14-P14</f>
        <v>19071</v>
      </c>
      <c r="R14" s="21">
        <v>636</v>
      </c>
      <c r="S14" s="20">
        <f>IF(R14&gt;0,(R14-R15-$Q14),"")</f>
        <v>-18951</v>
      </c>
      <c r="T14" s="21">
        <v>5669</v>
      </c>
      <c r="U14" s="20">
        <f>IF(T14&gt;0,(T14-T15-$Q14),"")</f>
        <v>-18704</v>
      </c>
      <c r="V14" s="21">
        <v>7944</v>
      </c>
      <c r="W14" s="20">
        <f>IF(V14&gt;0,(V14-V15-$Q14),"")</f>
        <v>-18353</v>
      </c>
      <c r="X14" s="21">
        <v>12267</v>
      </c>
      <c r="Y14" s="20">
        <f>IF(X14&gt;0,(X14-X15-$Q14),"")</f>
        <v>-17728</v>
      </c>
      <c r="Z14" s="21">
        <v>15380</v>
      </c>
      <c r="AA14" s="20">
        <f>IF(Z14&gt;0,(Z14-Z15-$Q14),"")</f>
        <v>-16099</v>
      </c>
      <c r="AB14" s="21">
        <v>17561</v>
      </c>
      <c r="AC14" s="22">
        <f>IF(AB14&gt;0,(AB14-AB15-$Q14),"")</f>
        <v>-14456</v>
      </c>
      <c r="AD14" s="21">
        <v>17561</v>
      </c>
      <c r="AE14" s="22">
        <f>IF(AD14&gt;0,(AD14-AD15-$Q14),"")</f>
        <v>-14456</v>
      </c>
    </row>
    <row r="15" spans="2:42" ht="15" customHeight="1" thickBot="1" x14ac:dyDescent="0.35">
      <c r="B15" s="16" t="s">
        <v>40</v>
      </c>
      <c r="C15" s="17">
        <v>3041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21</v>
      </c>
      <c r="P15" s="93" t="s">
        <v>41</v>
      </c>
      <c r="Q15" s="24"/>
      <c r="R15" s="25">
        <v>516</v>
      </c>
      <c r="S15" s="24"/>
      <c r="T15" s="25">
        <v>5302</v>
      </c>
      <c r="U15" s="24"/>
      <c r="V15" s="25">
        <v>7226</v>
      </c>
      <c r="W15" s="24"/>
      <c r="X15" s="25">
        <v>10924</v>
      </c>
      <c r="Y15" s="24"/>
      <c r="Z15" s="25">
        <v>12408</v>
      </c>
      <c r="AA15" s="24"/>
      <c r="AB15" s="25">
        <v>12946</v>
      </c>
      <c r="AC15" s="26"/>
      <c r="AD15" s="25">
        <v>12946</v>
      </c>
      <c r="AE15" s="26"/>
    </row>
    <row r="16" spans="2:42" ht="15" customHeight="1" thickBot="1" x14ac:dyDescent="0.35">
      <c r="B16" s="28" t="s">
        <v>42</v>
      </c>
      <c r="C16" s="17">
        <v>12102</v>
      </c>
      <c r="E16" s="84"/>
      <c r="F16" s="31">
        <f t="shared" ref="F16:M16" si="0">SUM(F6:F15)</f>
        <v>82689</v>
      </c>
      <c r="G16" s="31">
        <f t="shared" si="0"/>
        <v>63722.53762499999</v>
      </c>
      <c r="H16" s="31">
        <f t="shared" si="0"/>
        <v>52448.240566350025</v>
      </c>
      <c r="I16" s="32">
        <f t="shared" si="0"/>
        <v>116170.77819135001</v>
      </c>
      <c r="J16" s="33">
        <f t="shared" si="0"/>
        <v>82326</v>
      </c>
      <c r="K16" s="33">
        <f t="shared" si="0"/>
        <v>63749.674906250002</v>
      </c>
      <c r="L16" s="33">
        <f t="shared" si="0"/>
        <v>51272.088607650003</v>
      </c>
      <c r="M16" s="33">
        <f t="shared" si="0"/>
        <v>115021.7635139</v>
      </c>
      <c r="N16" s="31">
        <f>SUM(N14,N12,N10,N8,N6)</f>
        <v>312</v>
      </c>
      <c r="O16" s="31">
        <f>SUM(O14,O12,O10,O8,O6)</f>
        <v>234</v>
      </c>
      <c r="P16" s="34">
        <f>SUM(P6:P15)</f>
        <v>0</v>
      </c>
      <c r="Q16" s="34">
        <f>SUM(Q6:Q15)</f>
        <v>82326</v>
      </c>
      <c r="R16" s="35">
        <f>R6+R8+R10+R12+R14-R7-R9-R11-R13-R15</f>
        <v>6089</v>
      </c>
      <c r="S16" s="36">
        <f>IF(R16&gt;1,(R16-$Q16),"")</f>
        <v>-76237</v>
      </c>
      <c r="T16" s="35">
        <f>T6+T8+T10+T12+T14-T7-T9-T11-T13-T15</f>
        <v>12383</v>
      </c>
      <c r="U16" s="36">
        <f>IF(T16&gt;1,(T16-$Q16),"")</f>
        <v>-69943</v>
      </c>
      <c r="V16" s="35">
        <f>V6+V8+V10+V12+V14-V7-V9-V11-V13-V15</f>
        <v>28337</v>
      </c>
      <c r="W16" s="36">
        <f>IF(V16&gt;1,(V16-$Q16),"")</f>
        <v>-53989</v>
      </c>
      <c r="X16" s="35">
        <f>X6+X8+X10+X12+X14-X7-X9-X11-X13-X15</f>
        <v>44546</v>
      </c>
      <c r="Y16" s="36">
        <f>IF(X16&gt;1,(X16-$Q16),"")</f>
        <v>-37780</v>
      </c>
      <c r="Z16" s="35">
        <f>Z6+Z8+Z10+Z12+Z14-Z7-Z9-Z11-Z13-Z15</f>
        <v>54392</v>
      </c>
      <c r="AA16" s="36">
        <f>IF(Z16&gt;1,(Z16-$Q16),"")</f>
        <v>-27934</v>
      </c>
      <c r="AB16" s="35">
        <f>AB6+AB8+AB10+AB12+AB14-AB7-AB9-AB11-AB13-AB15</f>
        <v>56035</v>
      </c>
      <c r="AC16" s="37">
        <f>IF(AB16&gt;1,(AB16-$Q16),"")</f>
        <v>-26291</v>
      </c>
      <c r="AD16" s="35">
        <f>AD6+AD8+AD10+AD12+AD14-AD7-AD9-AD11-AD13-AD15</f>
        <v>56035</v>
      </c>
      <c r="AE16" s="37">
        <f>IF(AD16&gt;1,(AD16-$Q16),"")</f>
        <v>-26291</v>
      </c>
    </row>
    <row r="17" spans="2:43" s="4" customFormat="1" ht="15" customHeight="1" thickBot="1" x14ac:dyDescent="0.35">
      <c r="B17" s="43" t="s">
        <v>47</v>
      </c>
      <c r="C17" s="17">
        <v>1665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1020</v>
      </c>
      <c r="S17" s="41"/>
      <c r="T17" s="40">
        <f>T15+T13+T11+T9+T7</f>
        <v>6579</v>
      </c>
      <c r="U17" s="41"/>
      <c r="V17" s="40">
        <f>V15+V13+V11+V9+V7</f>
        <v>9373</v>
      </c>
      <c r="W17" s="41"/>
      <c r="X17" s="40">
        <f>X15+X13+X11+X9+X7</f>
        <v>17803</v>
      </c>
      <c r="Y17" s="41"/>
      <c r="Z17" s="40">
        <f>Z15+Z13+Z11+Z9+Z7</f>
        <v>18532</v>
      </c>
      <c r="AA17" s="41"/>
      <c r="AB17" s="40">
        <f>AB15+AB13+AB11+AB9+AB7</f>
        <v>19070</v>
      </c>
      <c r="AC17" s="42"/>
      <c r="AD17" s="40">
        <f>AD15+AD13+AD11+AD9+AD7</f>
        <v>19070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593</v>
      </c>
      <c r="P18" s="45" t="s">
        <v>46</v>
      </c>
      <c r="Q18" s="46"/>
      <c r="R18" s="47">
        <f>IF(R16&gt;0,(R16)/2,"")</f>
        <v>3044.5</v>
      </c>
      <c r="S18" s="46"/>
      <c r="T18" s="47">
        <f>IF(T16&gt;0,(T16-R16)/2,"")</f>
        <v>3147</v>
      </c>
      <c r="U18" s="46"/>
      <c r="V18" s="47">
        <f>IF(V16&gt;0,(V16-T16)/2,"")</f>
        <v>7977</v>
      </c>
      <c r="W18" s="46"/>
      <c r="X18" s="47">
        <f>IF(X16&gt;0,(X16-V16)/2,"")</f>
        <v>8104.5</v>
      </c>
      <c r="Y18" s="46"/>
      <c r="Z18" s="47">
        <f>IF(Z16&gt;0,(Z16-X16)/2,"")</f>
        <v>4923</v>
      </c>
      <c r="AA18" s="46"/>
      <c r="AB18" s="47">
        <f>IF(AB16&gt;0,(AB16-Z16)/2,"")</f>
        <v>821.5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8002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2539</v>
      </c>
      <c r="L20" s="4"/>
      <c r="M20" s="4"/>
      <c r="Q20" s="51" t="s">
        <v>49</v>
      </c>
      <c r="R20" s="35">
        <v>13054</v>
      </c>
      <c r="S20" s="36">
        <v>-62975</v>
      </c>
      <c r="T20" s="35">
        <v>21627</v>
      </c>
      <c r="U20" s="36">
        <v>-54402</v>
      </c>
      <c r="V20" s="35">
        <v>34712</v>
      </c>
      <c r="W20" s="36">
        <v>-41317</v>
      </c>
      <c r="X20" s="35">
        <v>50829</v>
      </c>
      <c r="Y20" s="36">
        <v>-25200</v>
      </c>
      <c r="Z20" s="35">
        <v>62283</v>
      </c>
      <c r="AA20" s="36">
        <v>-13746</v>
      </c>
      <c r="AB20" s="35">
        <v>65903</v>
      </c>
      <c r="AC20" s="37">
        <v>-10126</v>
      </c>
      <c r="AD20" s="35">
        <v>65903</v>
      </c>
      <c r="AE20" s="37">
        <v>-10126</v>
      </c>
    </row>
    <row r="21" spans="2:43" ht="15" customHeight="1" thickBot="1" x14ac:dyDescent="0.35">
      <c r="B21" s="57" t="s">
        <v>52</v>
      </c>
      <c r="C21" s="58">
        <v>4229</v>
      </c>
      <c r="M21" s="4"/>
      <c r="Q21" s="52"/>
      <c r="R21" s="40">
        <v>945</v>
      </c>
      <c r="S21" s="41"/>
      <c r="T21" s="40">
        <v>2014</v>
      </c>
      <c r="U21" s="41"/>
      <c r="V21" s="40">
        <v>2158</v>
      </c>
      <c r="W21" s="41"/>
      <c r="X21" s="40">
        <v>1747</v>
      </c>
      <c r="Y21" s="41"/>
      <c r="Z21" s="40">
        <v>2125</v>
      </c>
      <c r="AA21" s="41"/>
      <c r="AB21" s="40">
        <v>2167</v>
      </c>
      <c r="AC21" s="42"/>
      <c r="AD21" s="40">
        <v>2167</v>
      </c>
      <c r="AE21" s="42"/>
    </row>
    <row r="22" spans="2:43" ht="15" customHeight="1" thickBot="1" x14ac:dyDescent="0.35">
      <c r="M22" s="4"/>
      <c r="Q22" s="54"/>
      <c r="R22" s="55">
        <v>6527</v>
      </c>
      <c r="S22" s="55"/>
      <c r="T22" s="55">
        <v>4286.5</v>
      </c>
      <c r="U22" s="55"/>
      <c r="V22" s="55">
        <v>6542.5</v>
      </c>
      <c r="W22" s="55"/>
      <c r="X22" s="55">
        <v>8058.5</v>
      </c>
      <c r="Y22" s="55"/>
      <c r="Z22" s="55">
        <v>5727</v>
      </c>
      <c r="AA22" s="55"/>
      <c r="AB22" s="55">
        <v>1810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-6965</v>
      </c>
      <c r="S24" s="60"/>
      <c r="T24" s="60">
        <f>IF(T16&gt;0,T16-T20,"")</f>
        <v>-9244</v>
      </c>
      <c r="U24" s="60"/>
      <c r="V24" s="60">
        <f>IF(V16&gt;0,V16-V20,"")</f>
        <v>-6375</v>
      </c>
      <c r="W24" s="60"/>
      <c r="X24" s="60">
        <f>IF(X16&gt;0,X16-X20,"")</f>
        <v>-6283</v>
      </c>
      <c r="Y24" s="60"/>
      <c r="Z24" s="60">
        <f>IF(Z16&gt;0,Z16-Z20,"")</f>
        <v>-7891</v>
      </c>
      <c r="AA24" s="60"/>
      <c r="AB24" s="60">
        <f>IF(AB16&gt;0,AB16-AB20,"")</f>
        <v>-9868</v>
      </c>
      <c r="AC24" s="61"/>
      <c r="AD24" s="60">
        <f>IF(AD16&gt;0,AD16-AD20,"")</f>
        <v>-9868</v>
      </c>
      <c r="AE24" s="61"/>
    </row>
    <row r="25" spans="2:43" x14ac:dyDescent="0.3">
      <c r="M25" s="4"/>
      <c r="Q25" s="62"/>
      <c r="R25" s="63">
        <f>IF(R17&gt;=0,R17-R21,"")</f>
        <v>75</v>
      </c>
      <c r="S25" s="64"/>
      <c r="T25" s="63">
        <f>IF(T17&gt;=0,T17-T21,"")</f>
        <v>4565</v>
      </c>
      <c r="U25" s="64"/>
      <c r="V25" s="63">
        <f>IF(V17&gt;=0,V17-V21,"")</f>
        <v>7215</v>
      </c>
      <c r="W25" s="64"/>
      <c r="X25" s="63">
        <f>IF(X17&gt;=0,X17-X21,"")</f>
        <v>16056</v>
      </c>
      <c r="Y25" s="64"/>
      <c r="Z25" s="63">
        <f>IF(Z17&gt;=0,Z17-Z21,"")</f>
        <v>16407</v>
      </c>
      <c r="AA25" s="64"/>
      <c r="AB25" s="63">
        <f>IF(AB17&gt;=0,AB17-AB21,"")</f>
        <v>16903</v>
      </c>
      <c r="AC25" s="65"/>
      <c r="AD25" s="63">
        <f>IF(AD17&gt;=0,AD17-AD21,"")</f>
        <v>16903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-3482.5</v>
      </c>
      <c r="S26" s="55"/>
      <c r="T26" s="67">
        <f>IFERROR(IF(T18&gt;0,T18-T22,""),"")</f>
        <v>-1139.5</v>
      </c>
      <c r="U26" s="55"/>
      <c r="V26" s="67">
        <f>IFERROR(IF(V18&gt;0,V18-V22,""),"")</f>
        <v>1434.5</v>
      </c>
      <c r="W26" s="55"/>
      <c r="X26" s="67">
        <f>IFERROR(IF(X18&gt;0,X18-X22,""),"")</f>
        <v>46</v>
      </c>
      <c r="Y26" s="55"/>
      <c r="Z26" s="67">
        <f>IFERROR(IF(Z18&gt;0,Z18-Z22,""),"")</f>
        <v>-804</v>
      </c>
      <c r="AA26" s="55"/>
      <c r="AB26" s="67">
        <f>IFERROR(IF(AB18&gt;0,AB18-AB22,""),"")</f>
        <v>-988.5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8411</v>
      </c>
      <c r="D29" s="76">
        <f>C14</f>
        <v>7998</v>
      </c>
      <c r="E29" s="77">
        <f>D29-C29</f>
        <v>-413</v>
      </c>
      <c r="O29" s="4"/>
    </row>
    <row r="30" spans="2:43" x14ac:dyDescent="0.3">
      <c r="B30" s="74" t="s">
        <v>56</v>
      </c>
      <c r="C30" s="122">
        <v>34267</v>
      </c>
      <c r="D30" s="76">
        <f>C7+C15+C16+C17+C18</f>
        <v>19674</v>
      </c>
      <c r="E30" s="77">
        <f>D30-C30</f>
        <v>-14593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13174</v>
      </c>
      <c r="D32" s="76">
        <f>C10+C11+C12+C13</f>
        <v>13182</v>
      </c>
      <c r="E32" s="77">
        <f>D32-C32</f>
        <v>8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15260</v>
      </c>
      <c r="D33" s="76">
        <f>C19+C20+C21</f>
        <v>14770</v>
      </c>
      <c r="E33" s="77">
        <f>D33-C33</f>
        <v>-490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4643</v>
      </c>
      <c r="D34" s="80">
        <f>SUM(C8+C9)</f>
        <v>4643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1038</v>
      </c>
      <c r="R35" s="104">
        <v>0</v>
      </c>
      <c r="S35" s="104">
        <f t="shared" ref="S35:S64" si="1">IF(T35&gt;0,(T35-R35)/2,"")</f>
        <v>268.5</v>
      </c>
      <c r="T35" s="104">
        <v>537</v>
      </c>
      <c r="U35" s="104">
        <f t="shared" ref="U35:U64" si="2">IF(V35&gt;0,(V35-T35)/2,"")</f>
        <v>0</v>
      </c>
      <c r="V35" s="104">
        <v>537</v>
      </c>
      <c r="W35" s="104">
        <f t="shared" ref="W35:W64" si="3">IF(X35&gt;0,(X35-V35)/2,"")</f>
        <v>250.5</v>
      </c>
      <c r="X35" s="104">
        <v>1038</v>
      </c>
      <c r="Y35" s="104">
        <f t="shared" ref="Y35:Y64" si="4">IF(Z35&gt;0,(Z35-X35)/2,"")</f>
        <v>0</v>
      </c>
      <c r="Z35" s="104">
        <v>1038</v>
      </c>
      <c r="AA35" s="104">
        <f t="shared" ref="AA35:AA64" si="5">IF(AB35&gt;0,(AB35-Z35)/2,"")</f>
        <v>0</v>
      </c>
      <c r="AB35" s="104">
        <v>1038</v>
      </c>
      <c r="AC35" s="104">
        <f t="shared" ref="AC35:AC64" si="6">IF(AD35&gt;0,(AD35-AB35)/2,"")</f>
        <v>0</v>
      </c>
      <c r="AD35" s="104">
        <v>1038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1150</v>
      </c>
      <c r="R36" s="106">
        <v>0</v>
      </c>
      <c r="S36" s="106">
        <f t="shared" si="1"/>
        <v>306</v>
      </c>
      <c r="T36" s="106">
        <v>612</v>
      </c>
      <c r="U36" s="106">
        <f t="shared" si="2"/>
        <v>0</v>
      </c>
      <c r="V36" s="106">
        <v>612</v>
      </c>
      <c r="W36" s="106">
        <f t="shared" si="3"/>
        <v>269</v>
      </c>
      <c r="X36" s="106">
        <v>1150</v>
      </c>
      <c r="Y36" s="106">
        <f t="shared" si="4"/>
        <v>0</v>
      </c>
      <c r="Z36" s="106">
        <v>1150</v>
      </c>
      <c r="AA36" s="106">
        <f t="shared" si="5"/>
        <v>0</v>
      </c>
      <c r="AB36" s="106">
        <v>1150</v>
      </c>
      <c r="AC36" s="106">
        <f t="shared" si="6"/>
        <v>0</v>
      </c>
      <c r="AD36" s="106">
        <v>1150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3536</v>
      </c>
      <c r="R37" s="108">
        <v>771</v>
      </c>
      <c r="S37" s="108">
        <f t="shared" si="1"/>
        <v>0</v>
      </c>
      <c r="T37" s="108">
        <v>771</v>
      </c>
      <c r="U37" s="108">
        <f t="shared" si="2"/>
        <v>210</v>
      </c>
      <c r="V37" s="108">
        <v>1191</v>
      </c>
      <c r="W37" s="108">
        <f t="shared" si="3"/>
        <v>506</v>
      </c>
      <c r="X37" s="108">
        <v>2203</v>
      </c>
      <c r="Y37" s="108">
        <f t="shared" si="4"/>
        <v>617</v>
      </c>
      <c r="Z37" s="108">
        <v>3437</v>
      </c>
      <c r="AA37" s="108">
        <f t="shared" si="5"/>
        <v>0</v>
      </c>
      <c r="AB37" s="108">
        <v>3437</v>
      </c>
      <c r="AC37" s="108">
        <f t="shared" si="6"/>
        <v>0</v>
      </c>
      <c r="AD37" s="108">
        <v>3437</v>
      </c>
      <c r="AE37" s="109">
        <f t="shared" si="7"/>
        <v>-99</v>
      </c>
    </row>
    <row r="38" spans="2:31" ht="15.6" customHeight="1" x14ac:dyDescent="0.3">
      <c r="N38" s="212"/>
      <c r="O38" s="95" t="s">
        <v>68</v>
      </c>
      <c r="P38" s="106"/>
      <c r="Q38" s="106">
        <v>3463</v>
      </c>
      <c r="R38" s="106">
        <v>59</v>
      </c>
      <c r="S38" s="106">
        <f t="shared" si="1"/>
        <v>270</v>
      </c>
      <c r="T38" s="106">
        <v>599</v>
      </c>
      <c r="U38" s="106">
        <f t="shared" si="2"/>
        <v>366.5</v>
      </c>
      <c r="V38" s="106">
        <v>1332</v>
      </c>
      <c r="W38" s="106">
        <f t="shared" si="3"/>
        <v>387</v>
      </c>
      <c r="X38" s="106">
        <v>2106</v>
      </c>
      <c r="Y38" s="106">
        <f t="shared" si="4"/>
        <v>477.5</v>
      </c>
      <c r="Z38" s="106">
        <v>3061</v>
      </c>
      <c r="AA38" s="106">
        <f t="shared" si="5"/>
        <v>0</v>
      </c>
      <c r="AB38" s="106">
        <v>3061</v>
      </c>
      <c r="AC38" s="106">
        <f t="shared" si="6"/>
        <v>0</v>
      </c>
      <c r="AD38" s="106">
        <v>3061</v>
      </c>
      <c r="AE38" s="107">
        <f t="shared" si="7"/>
        <v>-402</v>
      </c>
    </row>
    <row r="39" spans="2:31" ht="15.6" customHeight="1" x14ac:dyDescent="0.3">
      <c r="N39" s="212"/>
      <c r="O39" s="94" t="s">
        <v>69</v>
      </c>
      <c r="P39" s="108"/>
      <c r="Q39" s="108">
        <v>2007</v>
      </c>
      <c r="R39" s="108">
        <v>0</v>
      </c>
      <c r="S39" s="108" t="str">
        <f t="shared" si="1"/>
        <v/>
      </c>
      <c r="T39" s="108">
        <v>0</v>
      </c>
      <c r="U39" s="108">
        <f t="shared" si="2"/>
        <v>166.5</v>
      </c>
      <c r="V39" s="108">
        <v>333</v>
      </c>
      <c r="W39" s="108">
        <f t="shared" si="3"/>
        <v>508</v>
      </c>
      <c r="X39" s="108">
        <v>1349</v>
      </c>
      <c r="Y39" s="108">
        <f t="shared" si="4"/>
        <v>332.5</v>
      </c>
      <c r="Z39" s="108">
        <v>2014</v>
      </c>
      <c r="AA39" s="108">
        <f t="shared" si="5"/>
        <v>0</v>
      </c>
      <c r="AB39" s="108">
        <v>2014</v>
      </c>
      <c r="AC39" s="108">
        <f t="shared" si="6"/>
        <v>0</v>
      </c>
      <c r="AD39" s="108">
        <v>2014</v>
      </c>
      <c r="AE39" s="109">
        <f t="shared" si="7"/>
        <v>7</v>
      </c>
    </row>
    <row r="40" spans="2:31" ht="15.6" customHeight="1" x14ac:dyDescent="0.3">
      <c r="N40" s="212"/>
      <c r="O40" s="95" t="s">
        <v>70</v>
      </c>
      <c r="P40" s="106"/>
      <c r="Q40" s="106">
        <v>2430</v>
      </c>
      <c r="R40" s="106">
        <v>267</v>
      </c>
      <c r="S40" s="106">
        <f t="shared" si="1"/>
        <v>113</v>
      </c>
      <c r="T40" s="106">
        <v>493</v>
      </c>
      <c r="U40" s="106">
        <f t="shared" si="2"/>
        <v>262</v>
      </c>
      <c r="V40" s="106">
        <v>1017</v>
      </c>
      <c r="W40" s="106">
        <f t="shared" si="3"/>
        <v>54.5</v>
      </c>
      <c r="X40" s="106">
        <v>1126</v>
      </c>
      <c r="Y40" s="106">
        <f t="shared" si="4"/>
        <v>194.5</v>
      </c>
      <c r="Z40" s="106">
        <v>1515</v>
      </c>
      <c r="AA40" s="106">
        <f t="shared" si="5"/>
        <v>0</v>
      </c>
      <c r="AB40" s="106">
        <v>1515</v>
      </c>
      <c r="AC40" s="106">
        <f t="shared" si="6"/>
        <v>0</v>
      </c>
      <c r="AD40" s="106">
        <v>1515</v>
      </c>
      <c r="AE40" s="107">
        <f t="shared" si="7"/>
        <v>-915</v>
      </c>
    </row>
    <row r="41" spans="2:31" ht="15.6" customHeight="1" x14ac:dyDescent="0.3">
      <c r="N41" s="212"/>
      <c r="O41" s="94" t="s">
        <v>71</v>
      </c>
      <c r="P41" s="108"/>
      <c r="Q41" s="108">
        <v>1149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318</v>
      </c>
      <c r="V41" s="108">
        <v>636</v>
      </c>
      <c r="W41" s="108">
        <f t="shared" si="3"/>
        <v>0</v>
      </c>
      <c r="X41" s="108">
        <v>636</v>
      </c>
      <c r="Y41" s="108">
        <f t="shared" si="4"/>
        <v>0</v>
      </c>
      <c r="Z41" s="108">
        <v>636</v>
      </c>
      <c r="AA41" s="108">
        <f t="shared" si="5"/>
        <v>0</v>
      </c>
      <c r="AB41" s="108">
        <v>636</v>
      </c>
      <c r="AC41" s="108">
        <f t="shared" si="6"/>
        <v>0</v>
      </c>
      <c r="AD41" s="108">
        <v>636</v>
      </c>
      <c r="AE41" s="109">
        <f t="shared" si="7"/>
        <v>-513</v>
      </c>
    </row>
    <row r="42" spans="2:31" ht="15.6" customHeight="1" x14ac:dyDescent="0.3">
      <c r="N42" s="212"/>
      <c r="O42" s="95" t="s">
        <v>72</v>
      </c>
      <c r="P42" s="106"/>
      <c r="Q42" s="106">
        <v>1494</v>
      </c>
      <c r="R42" s="106">
        <v>0</v>
      </c>
      <c r="S42" s="106">
        <f t="shared" si="1"/>
        <v>364</v>
      </c>
      <c r="T42" s="106">
        <v>728</v>
      </c>
      <c r="U42" s="106">
        <f t="shared" si="2"/>
        <v>297</v>
      </c>
      <c r="V42" s="106">
        <v>1322</v>
      </c>
      <c r="W42" s="106">
        <f t="shared" si="3"/>
        <v>4.5</v>
      </c>
      <c r="X42" s="106">
        <v>1331</v>
      </c>
      <c r="Y42" s="106">
        <f t="shared" si="4"/>
        <v>81.5</v>
      </c>
      <c r="Z42" s="106">
        <v>1494</v>
      </c>
      <c r="AA42" s="106">
        <f t="shared" si="5"/>
        <v>0</v>
      </c>
      <c r="AB42" s="106">
        <v>1494</v>
      </c>
      <c r="AC42" s="106">
        <f t="shared" si="6"/>
        <v>0</v>
      </c>
      <c r="AD42" s="106">
        <v>1494</v>
      </c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>
        <v>1791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487</v>
      </c>
      <c r="V43" s="110">
        <v>974</v>
      </c>
      <c r="W43" s="110">
        <f t="shared" si="3"/>
        <v>202</v>
      </c>
      <c r="X43" s="110">
        <v>1378</v>
      </c>
      <c r="Y43" s="110">
        <f t="shared" si="4"/>
        <v>206</v>
      </c>
      <c r="Z43" s="110">
        <v>1790</v>
      </c>
      <c r="AA43" s="110">
        <f t="shared" si="5"/>
        <v>0</v>
      </c>
      <c r="AB43" s="110">
        <v>1790</v>
      </c>
      <c r="AC43" s="110">
        <f t="shared" si="6"/>
        <v>0</v>
      </c>
      <c r="AD43" s="110">
        <v>1790</v>
      </c>
      <c r="AE43" s="111">
        <f t="shared" si="7"/>
        <v>-1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2943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928</v>
      </c>
      <c r="V44" s="112">
        <v>1856</v>
      </c>
      <c r="W44" s="112">
        <f t="shared" si="3"/>
        <v>543.5</v>
      </c>
      <c r="X44" s="112">
        <v>2943</v>
      </c>
      <c r="Y44" s="112">
        <f t="shared" si="4"/>
        <v>0</v>
      </c>
      <c r="Z44" s="112">
        <v>2943</v>
      </c>
      <c r="AA44" s="112">
        <f t="shared" si="5"/>
        <v>0</v>
      </c>
      <c r="AB44" s="112">
        <v>2943</v>
      </c>
      <c r="AC44" s="112">
        <f t="shared" si="6"/>
        <v>0</v>
      </c>
      <c r="AD44" s="112">
        <v>2943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2427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547</v>
      </c>
      <c r="V45" s="108">
        <v>1094</v>
      </c>
      <c r="W45" s="108">
        <f t="shared" si="3"/>
        <v>1337</v>
      </c>
      <c r="X45" s="108">
        <v>3768</v>
      </c>
      <c r="Y45" s="108">
        <f t="shared" si="4"/>
        <v>0</v>
      </c>
      <c r="Z45" s="108">
        <v>3768</v>
      </c>
      <c r="AA45" s="108">
        <f t="shared" si="5"/>
        <v>0</v>
      </c>
      <c r="AB45" s="108">
        <v>3768</v>
      </c>
      <c r="AC45" s="108">
        <f t="shared" si="6"/>
        <v>0</v>
      </c>
      <c r="AD45" s="108">
        <v>3768</v>
      </c>
      <c r="AE45" s="109">
        <f t="shared" si="7"/>
        <v>1341</v>
      </c>
    </row>
    <row r="46" spans="2:31" ht="15.6" customHeight="1" x14ac:dyDescent="0.3">
      <c r="N46" s="212"/>
      <c r="O46" s="95" t="s">
        <v>67</v>
      </c>
      <c r="P46" s="106"/>
      <c r="Q46" s="106">
        <v>2716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1358</v>
      </c>
      <c r="V46" s="106">
        <v>2716</v>
      </c>
      <c r="W46" s="106">
        <f t="shared" si="3"/>
        <v>0</v>
      </c>
      <c r="X46" s="106">
        <v>2716</v>
      </c>
      <c r="Y46" s="106">
        <f t="shared" si="4"/>
        <v>0</v>
      </c>
      <c r="Z46" s="106">
        <v>2716</v>
      </c>
      <c r="AA46" s="106">
        <f t="shared" si="5"/>
        <v>0</v>
      </c>
      <c r="AB46" s="106">
        <v>2716</v>
      </c>
      <c r="AC46" s="106">
        <f t="shared" si="6"/>
        <v>0</v>
      </c>
      <c r="AD46" s="106">
        <v>2716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3116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1043</v>
      </c>
      <c r="V47" s="110">
        <v>2086</v>
      </c>
      <c r="W47" s="110">
        <f t="shared" si="3"/>
        <v>515</v>
      </c>
      <c r="X47" s="110">
        <v>3116</v>
      </c>
      <c r="Y47" s="110">
        <f t="shared" si="4"/>
        <v>0</v>
      </c>
      <c r="Z47" s="110">
        <v>3116</v>
      </c>
      <c r="AA47" s="110">
        <f t="shared" si="5"/>
        <v>0</v>
      </c>
      <c r="AB47" s="110">
        <v>3116</v>
      </c>
      <c r="AC47" s="110">
        <f t="shared" si="6"/>
        <v>0</v>
      </c>
      <c r="AD47" s="110">
        <v>3116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1341</v>
      </c>
      <c r="R48" s="112">
        <v>0</v>
      </c>
      <c r="S48" s="112">
        <f t="shared" si="1"/>
        <v>537</v>
      </c>
      <c r="T48" s="112">
        <v>1074</v>
      </c>
      <c r="U48" s="112">
        <f t="shared" si="2"/>
        <v>5</v>
      </c>
      <c r="V48" s="112">
        <v>1084</v>
      </c>
      <c r="W48" s="112">
        <f t="shared" si="3"/>
        <v>29.5</v>
      </c>
      <c r="X48" s="112">
        <v>1143</v>
      </c>
      <c r="Y48" s="112">
        <f t="shared" si="4"/>
        <v>27.5</v>
      </c>
      <c r="Z48" s="112">
        <v>1198</v>
      </c>
      <c r="AA48" s="112">
        <f t="shared" si="5"/>
        <v>0</v>
      </c>
      <c r="AB48" s="112">
        <v>1198</v>
      </c>
      <c r="AC48" s="112">
        <f t="shared" si="6"/>
        <v>0</v>
      </c>
      <c r="AD48" s="112">
        <v>1198</v>
      </c>
      <c r="AE48" s="113">
        <f t="shared" si="7"/>
        <v>-143</v>
      </c>
    </row>
    <row r="49" spans="14:31" ht="15.6" customHeight="1" x14ac:dyDescent="0.3">
      <c r="N49" s="212"/>
      <c r="O49" s="94" t="s">
        <v>66</v>
      </c>
      <c r="P49" s="108"/>
      <c r="Q49" s="108">
        <v>4775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600</v>
      </c>
      <c r="V49" s="108">
        <v>1200</v>
      </c>
      <c r="W49" s="108">
        <f t="shared" si="3"/>
        <v>2341</v>
      </c>
      <c r="X49" s="108">
        <v>5882</v>
      </c>
      <c r="Y49" s="108">
        <f t="shared" si="4"/>
        <v>-553</v>
      </c>
      <c r="Z49" s="108">
        <v>4776</v>
      </c>
      <c r="AA49" s="108">
        <f t="shared" si="5"/>
        <v>0</v>
      </c>
      <c r="AB49" s="108">
        <v>4776</v>
      </c>
      <c r="AC49" s="108">
        <f t="shared" si="6"/>
        <v>0</v>
      </c>
      <c r="AD49" s="108">
        <v>4776</v>
      </c>
      <c r="AE49" s="109">
        <f t="shared" si="7"/>
        <v>1</v>
      </c>
    </row>
    <row r="50" spans="14:31" ht="15.6" customHeight="1" x14ac:dyDescent="0.3">
      <c r="N50" s="212"/>
      <c r="O50" s="95" t="s">
        <v>67</v>
      </c>
      <c r="P50" s="106"/>
      <c r="Q50" s="106">
        <v>1817</v>
      </c>
      <c r="R50" s="106">
        <v>335</v>
      </c>
      <c r="S50" s="106">
        <f t="shared" si="1"/>
        <v>0</v>
      </c>
      <c r="T50" s="106">
        <v>335</v>
      </c>
      <c r="U50" s="106">
        <f t="shared" si="2"/>
        <v>116</v>
      </c>
      <c r="V50" s="106">
        <v>567</v>
      </c>
      <c r="W50" s="106">
        <f t="shared" si="3"/>
        <v>117</v>
      </c>
      <c r="X50" s="106">
        <v>801</v>
      </c>
      <c r="Y50" s="106">
        <f t="shared" si="4"/>
        <v>59.5</v>
      </c>
      <c r="Z50" s="106">
        <v>920</v>
      </c>
      <c r="AA50" s="106">
        <f t="shared" si="5"/>
        <v>0</v>
      </c>
      <c r="AB50" s="106">
        <v>920</v>
      </c>
      <c r="AC50" s="106">
        <f t="shared" si="6"/>
        <v>0</v>
      </c>
      <c r="AD50" s="106">
        <v>920</v>
      </c>
      <c r="AE50" s="107">
        <f t="shared" si="7"/>
        <v>-897</v>
      </c>
    </row>
    <row r="51" spans="14:31" ht="15.6" customHeight="1" x14ac:dyDescent="0.3">
      <c r="N51" s="212"/>
      <c r="O51" s="94" t="s">
        <v>68</v>
      </c>
      <c r="P51" s="108"/>
      <c r="Q51" s="108">
        <v>1585</v>
      </c>
      <c r="R51" s="108">
        <v>301</v>
      </c>
      <c r="S51" s="108">
        <f t="shared" si="1"/>
        <v>462</v>
      </c>
      <c r="T51" s="108">
        <v>1225</v>
      </c>
      <c r="U51" s="108">
        <f t="shared" si="2"/>
        <v>132.5</v>
      </c>
      <c r="V51" s="108">
        <v>1490</v>
      </c>
      <c r="W51" s="108">
        <f t="shared" si="3"/>
        <v>80</v>
      </c>
      <c r="X51" s="108">
        <v>1650</v>
      </c>
      <c r="Y51" s="108">
        <f t="shared" si="4"/>
        <v>0</v>
      </c>
      <c r="Z51" s="108">
        <v>1650</v>
      </c>
      <c r="AA51" s="108">
        <f t="shared" si="5"/>
        <v>0</v>
      </c>
      <c r="AB51" s="108">
        <v>1650</v>
      </c>
      <c r="AC51" s="108">
        <f t="shared" si="6"/>
        <v>0</v>
      </c>
      <c r="AD51" s="108">
        <v>1650</v>
      </c>
      <c r="AE51" s="109">
        <f t="shared" si="7"/>
        <v>65</v>
      </c>
    </row>
    <row r="52" spans="14:31" ht="15.6" customHeight="1" x14ac:dyDescent="0.3">
      <c r="N52" s="212"/>
      <c r="O52" s="95" t="s">
        <v>69</v>
      </c>
      <c r="P52" s="106"/>
      <c r="Q52" s="106">
        <v>1769</v>
      </c>
      <c r="R52" s="106">
        <v>424</v>
      </c>
      <c r="S52" s="106">
        <f t="shared" si="1"/>
        <v>47.5</v>
      </c>
      <c r="T52" s="106">
        <v>519</v>
      </c>
      <c r="U52" s="106">
        <f t="shared" si="2"/>
        <v>0</v>
      </c>
      <c r="V52" s="106">
        <v>519</v>
      </c>
      <c r="W52" s="106">
        <f t="shared" si="3"/>
        <v>72</v>
      </c>
      <c r="X52" s="106">
        <v>663</v>
      </c>
      <c r="Y52" s="106">
        <f t="shared" si="4"/>
        <v>0</v>
      </c>
      <c r="Z52" s="106">
        <v>663</v>
      </c>
      <c r="AA52" s="106">
        <f t="shared" si="5"/>
        <v>0</v>
      </c>
      <c r="AB52" s="106">
        <v>663</v>
      </c>
      <c r="AC52" s="106">
        <f t="shared" si="6"/>
        <v>0</v>
      </c>
      <c r="AD52" s="106">
        <v>663</v>
      </c>
      <c r="AE52" s="107">
        <f t="shared" si="7"/>
        <v>-1106</v>
      </c>
    </row>
    <row r="53" spans="14:31" ht="15.6" customHeight="1" x14ac:dyDescent="0.3">
      <c r="N53" s="212"/>
      <c r="O53" s="94" t="s">
        <v>70</v>
      </c>
      <c r="P53" s="108"/>
      <c r="Q53" s="108">
        <v>1344</v>
      </c>
      <c r="R53" s="108">
        <v>688</v>
      </c>
      <c r="S53" s="108">
        <f t="shared" si="1"/>
        <v>0</v>
      </c>
      <c r="T53" s="108">
        <v>688</v>
      </c>
      <c r="U53" s="108">
        <f t="shared" si="2"/>
        <v>0</v>
      </c>
      <c r="V53" s="108">
        <v>688</v>
      </c>
      <c r="W53" s="108">
        <f t="shared" si="3"/>
        <v>169.5</v>
      </c>
      <c r="X53" s="108">
        <v>1027</v>
      </c>
      <c r="Y53" s="108">
        <f t="shared" si="4"/>
        <v>125</v>
      </c>
      <c r="Z53" s="108">
        <v>1277</v>
      </c>
      <c r="AA53" s="108">
        <f t="shared" si="5"/>
        <v>0</v>
      </c>
      <c r="AB53" s="108">
        <v>1277</v>
      </c>
      <c r="AC53" s="108">
        <f t="shared" si="6"/>
        <v>0</v>
      </c>
      <c r="AD53" s="108">
        <v>1277</v>
      </c>
      <c r="AE53" s="109">
        <f t="shared" si="7"/>
        <v>-67</v>
      </c>
    </row>
    <row r="54" spans="14:31" ht="15.6" customHeight="1" x14ac:dyDescent="0.3">
      <c r="N54" s="212"/>
      <c r="O54" s="95" t="s">
        <v>71</v>
      </c>
      <c r="P54" s="106"/>
      <c r="Q54" s="106">
        <v>3322</v>
      </c>
      <c r="R54" s="106">
        <v>1947</v>
      </c>
      <c r="S54" s="106">
        <f t="shared" si="1"/>
        <v>0</v>
      </c>
      <c r="T54" s="106">
        <v>1947</v>
      </c>
      <c r="U54" s="106">
        <f t="shared" si="2"/>
        <v>0</v>
      </c>
      <c r="V54" s="106">
        <v>1947</v>
      </c>
      <c r="W54" s="106">
        <f t="shared" si="3"/>
        <v>305</v>
      </c>
      <c r="X54" s="106">
        <v>2557</v>
      </c>
      <c r="Y54" s="106">
        <f t="shared" si="4"/>
        <v>73.5</v>
      </c>
      <c r="Z54" s="106">
        <v>2704</v>
      </c>
      <c r="AA54" s="106">
        <f t="shared" si="5"/>
        <v>0</v>
      </c>
      <c r="AB54" s="106">
        <v>2704</v>
      </c>
      <c r="AC54" s="106">
        <f t="shared" si="6"/>
        <v>0</v>
      </c>
      <c r="AD54" s="106">
        <v>2704</v>
      </c>
      <c r="AE54" s="107">
        <f t="shared" si="7"/>
        <v>-618</v>
      </c>
    </row>
    <row r="55" spans="14:31" ht="15.6" customHeight="1" x14ac:dyDescent="0.3">
      <c r="N55" s="212"/>
      <c r="O55" s="94" t="s">
        <v>72</v>
      </c>
      <c r="P55" s="108"/>
      <c r="Q55" s="108">
        <v>4266</v>
      </c>
      <c r="R55" s="108">
        <v>1200</v>
      </c>
      <c r="S55" s="108">
        <f t="shared" si="1"/>
        <v>390</v>
      </c>
      <c r="T55" s="108">
        <v>1980</v>
      </c>
      <c r="U55" s="108">
        <f t="shared" si="2"/>
        <v>0</v>
      </c>
      <c r="V55" s="108">
        <v>1980</v>
      </c>
      <c r="W55" s="108">
        <f t="shared" si="3"/>
        <v>479.5</v>
      </c>
      <c r="X55" s="108">
        <v>2939</v>
      </c>
      <c r="Y55" s="108">
        <f t="shared" si="4"/>
        <v>663.5</v>
      </c>
      <c r="Z55" s="108">
        <v>4266</v>
      </c>
      <c r="AA55" s="108">
        <f t="shared" si="5"/>
        <v>0</v>
      </c>
      <c r="AB55" s="108">
        <v>4266</v>
      </c>
      <c r="AC55" s="108">
        <f t="shared" si="6"/>
        <v>0</v>
      </c>
      <c r="AD55" s="108">
        <v>4266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966</v>
      </c>
      <c r="R56" s="114">
        <v>0</v>
      </c>
      <c r="S56" s="114">
        <f t="shared" si="1"/>
        <v>112</v>
      </c>
      <c r="T56" s="114">
        <v>224</v>
      </c>
      <c r="U56" s="114">
        <f t="shared" si="2"/>
        <v>0</v>
      </c>
      <c r="V56" s="114">
        <v>224</v>
      </c>
      <c r="W56" s="114">
        <f t="shared" si="3"/>
        <v>204</v>
      </c>
      <c r="X56" s="114">
        <v>632</v>
      </c>
      <c r="Y56" s="114">
        <f t="shared" si="4"/>
        <v>0</v>
      </c>
      <c r="Z56" s="114">
        <v>632</v>
      </c>
      <c r="AA56" s="114">
        <f t="shared" si="5"/>
        <v>0</v>
      </c>
      <c r="AB56" s="114">
        <v>632</v>
      </c>
      <c r="AC56" s="114">
        <f t="shared" si="6"/>
        <v>0</v>
      </c>
      <c r="AD56" s="114">
        <v>632</v>
      </c>
      <c r="AE56" s="115">
        <f t="shared" si="7"/>
        <v>-334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2814</v>
      </c>
      <c r="R57" s="104">
        <v>165</v>
      </c>
      <c r="S57" s="104">
        <f t="shared" si="1"/>
        <v>90</v>
      </c>
      <c r="T57" s="104">
        <v>345</v>
      </c>
      <c r="U57" s="104">
        <f t="shared" si="2"/>
        <v>108.5</v>
      </c>
      <c r="V57" s="104">
        <v>562</v>
      </c>
      <c r="W57" s="104">
        <f t="shared" si="3"/>
        <v>0</v>
      </c>
      <c r="X57" s="104">
        <v>562</v>
      </c>
      <c r="Y57" s="104">
        <f t="shared" si="4"/>
        <v>172.5</v>
      </c>
      <c r="Z57" s="104">
        <v>907</v>
      </c>
      <c r="AA57" s="104">
        <f t="shared" si="5"/>
        <v>0</v>
      </c>
      <c r="AB57" s="104">
        <v>907</v>
      </c>
      <c r="AC57" s="104">
        <f t="shared" si="6"/>
        <v>0</v>
      </c>
      <c r="AD57" s="104">
        <v>907</v>
      </c>
      <c r="AE57" s="105">
        <f t="shared" si="7"/>
        <v>-1907</v>
      </c>
    </row>
    <row r="58" spans="14:31" ht="15.6" customHeight="1" x14ac:dyDescent="0.3">
      <c r="N58" s="212"/>
      <c r="O58" s="95" t="s">
        <v>66</v>
      </c>
      <c r="P58" s="106"/>
      <c r="Q58" s="106">
        <v>2420</v>
      </c>
      <c r="R58" s="106">
        <v>0</v>
      </c>
      <c r="S58" s="106">
        <f t="shared" si="1"/>
        <v>300</v>
      </c>
      <c r="T58" s="106">
        <v>600</v>
      </c>
      <c r="U58" s="106">
        <f t="shared" si="2"/>
        <v>397</v>
      </c>
      <c r="V58" s="106">
        <v>1394</v>
      </c>
      <c r="W58" s="106">
        <f t="shared" si="3"/>
        <v>577</v>
      </c>
      <c r="X58" s="106">
        <v>2548</v>
      </c>
      <c r="Y58" s="106">
        <f t="shared" si="4"/>
        <v>0</v>
      </c>
      <c r="Z58" s="106">
        <v>2548</v>
      </c>
      <c r="AA58" s="106">
        <f t="shared" si="5"/>
        <v>0</v>
      </c>
      <c r="AB58" s="106">
        <v>2548</v>
      </c>
      <c r="AC58" s="106">
        <f t="shared" si="6"/>
        <v>0</v>
      </c>
      <c r="AD58" s="106">
        <v>2548</v>
      </c>
      <c r="AE58" s="107">
        <f t="shared" si="7"/>
        <v>128</v>
      </c>
    </row>
    <row r="59" spans="14:31" ht="15.6" customHeight="1" x14ac:dyDescent="0.3">
      <c r="N59" s="212"/>
      <c r="O59" s="94" t="s">
        <v>67</v>
      </c>
      <c r="P59" s="108"/>
      <c r="Q59" s="108">
        <v>3900</v>
      </c>
      <c r="R59" s="108">
        <v>0</v>
      </c>
      <c r="S59" s="108">
        <f t="shared" si="1"/>
        <v>150</v>
      </c>
      <c r="T59" s="108">
        <v>300</v>
      </c>
      <c r="U59" s="108">
        <f t="shared" si="2"/>
        <v>259.5</v>
      </c>
      <c r="V59" s="108">
        <v>819</v>
      </c>
      <c r="W59" s="108">
        <f t="shared" si="3"/>
        <v>503.5</v>
      </c>
      <c r="X59" s="108">
        <v>1826</v>
      </c>
      <c r="Y59" s="108">
        <f t="shared" si="4"/>
        <v>730</v>
      </c>
      <c r="Z59" s="108">
        <v>3286</v>
      </c>
      <c r="AA59" s="108">
        <f t="shared" si="5"/>
        <v>0</v>
      </c>
      <c r="AB59" s="108">
        <v>3286</v>
      </c>
      <c r="AC59" s="108">
        <f t="shared" si="6"/>
        <v>0</v>
      </c>
      <c r="AD59" s="108">
        <v>3286</v>
      </c>
      <c r="AE59" s="109">
        <f t="shared" si="7"/>
        <v>-614</v>
      </c>
    </row>
    <row r="60" spans="14:31" ht="15.6" customHeight="1" thickBot="1" x14ac:dyDescent="0.35">
      <c r="N60" s="213"/>
      <c r="O60" s="99" t="s">
        <v>68</v>
      </c>
      <c r="P60" s="114"/>
      <c r="Q60" s="114">
        <v>3211</v>
      </c>
      <c r="R60" s="114">
        <v>316</v>
      </c>
      <c r="S60" s="114">
        <f t="shared" si="1"/>
        <v>0</v>
      </c>
      <c r="T60" s="114">
        <v>316</v>
      </c>
      <c r="U60" s="114">
        <f t="shared" si="2"/>
        <v>635</v>
      </c>
      <c r="V60" s="114">
        <v>1586</v>
      </c>
      <c r="W60" s="114">
        <f t="shared" si="3"/>
        <v>541</v>
      </c>
      <c r="X60" s="114">
        <v>2668</v>
      </c>
      <c r="Y60" s="114">
        <f t="shared" si="4"/>
        <v>477</v>
      </c>
      <c r="Z60" s="114">
        <v>3622</v>
      </c>
      <c r="AA60" s="114">
        <f t="shared" si="5"/>
        <v>0</v>
      </c>
      <c r="AB60" s="114">
        <v>3622</v>
      </c>
      <c r="AC60" s="114">
        <f t="shared" si="6"/>
        <v>0</v>
      </c>
      <c r="AD60" s="114">
        <v>3622</v>
      </c>
      <c r="AE60" s="115">
        <f t="shared" si="7"/>
        <v>411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3448</v>
      </c>
      <c r="R61" s="104">
        <v>85</v>
      </c>
      <c r="S61" s="104">
        <f t="shared" si="1"/>
        <v>792</v>
      </c>
      <c r="T61" s="104">
        <v>1669</v>
      </c>
      <c r="U61" s="104">
        <f t="shared" si="2"/>
        <v>146.5</v>
      </c>
      <c r="V61" s="104">
        <v>1962</v>
      </c>
      <c r="W61" s="104">
        <f t="shared" si="3"/>
        <v>305.5</v>
      </c>
      <c r="X61" s="104">
        <v>2573</v>
      </c>
      <c r="Y61" s="104">
        <f t="shared" si="4"/>
        <v>81.5</v>
      </c>
      <c r="Z61" s="104">
        <v>2736</v>
      </c>
      <c r="AA61" s="104">
        <f t="shared" si="5"/>
        <v>412</v>
      </c>
      <c r="AB61" s="104">
        <v>3560</v>
      </c>
      <c r="AC61" s="104">
        <f t="shared" si="6"/>
        <v>0</v>
      </c>
      <c r="AD61" s="104">
        <v>3560</v>
      </c>
      <c r="AE61" s="105">
        <f t="shared" si="7"/>
        <v>112</v>
      </c>
    </row>
    <row r="62" spans="14:31" ht="15.6" customHeight="1" x14ac:dyDescent="0.3">
      <c r="N62" s="212"/>
      <c r="O62" s="95" t="s">
        <v>66</v>
      </c>
      <c r="P62" s="106"/>
      <c r="Q62" s="106">
        <v>2951</v>
      </c>
      <c r="R62" s="106">
        <v>192</v>
      </c>
      <c r="S62" s="106">
        <f t="shared" si="1"/>
        <v>11</v>
      </c>
      <c r="T62" s="106">
        <v>214</v>
      </c>
      <c r="U62" s="106">
        <f t="shared" si="2"/>
        <v>0</v>
      </c>
      <c r="V62" s="106">
        <v>214</v>
      </c>
      <c r="W62" s="106">
        <f t="shared" si="3"/>
        <v>576</v>
      </c>
      <c r="X62" s="106">
        <v>1366</v>
      </c>
      <c r="Y62" s="106">
        <f t="shared" si="4"/>
        <v>459</v>
      </c>
      <c r="Z62" s="106">
        <v>2284</v>
      </c>
      <c r="AA62" s="106">
        <f t="shared" si="5"/>
        <v>229</v>
      </c>
      <c r="AB62" s="106">
        <v>2742</v>
      </c>
      <c r="AC62" s="106">
        <f t="shared" si="6"/>
        <v>0</v>
      </c>
      <c r="AD62" s="106">
        <v>2742</v>
      </c>
      <c r="AE62" s="107">
        <f t="shared" si="7"/>
        <v>-209</v>
      </c>
    </row>
    <row r="63" spans="14:31" ht="15.6" customHeight="1" x14ac:dyDescent="0.3">
      <c r="N63" s="212"/>
      <c r="O63" s="94" t="s">
        <v>67</v>
      </c>
      <c r="P63" s="108"/>
      <c r="Q63" s="108">
        <v>2373</v>
      </c>
      <c r="R63" s="108">
        <v>76</v>
      </c>
      <c r="S63" s="108">
        <f t="shared" si="1"/>
        <v>284.5</v>
      </c>
      <c r="T63" s="108">
        <v>645</v>
      </c>
      <c r="U63" s="108">
        <f t="shared" si="2"/>
        <v>239</v>
      </c>
      <c r="V63" s="108">
        <v>1123</v>
      </c>
      <c r="W63" s="108">
        <f t="shared" si="3"/>
        <v>265.5</v>
      </c>
      <c r="X63" s="108">
        <v>1654</v>
      </c>
      <c r="Y63" s="108">
        <f t="shared" si="4"/>
        <v>67.5</v>
      </c>
      <c r="Z63" s="108">
        <v>1789</v>
      </c>
      <c r="AA63" s="108">
        <f t="shared" si="5"/>
        <v>125</v>
      </c>
      <c r="AB63" s="108">
        <v>2039</v>
      </c>
      <c r="AC63" s="108">
        <f t="shared" si="6"/>
        <v>0</v>
      </c>
      <c r="AD63" s="108">
        <v>2039</v>
      </c>
      <c r="AE63" s="109">
        <f t="shared" si="7"/>
        <v>-334</v>
      </c>
    </row>
    <row r="64" spans="14:31" ht="15.6" customHeight="1" thickBot="1" x14ac:dyDescent="0.35">
      <c r="N64" s="213"/>
      <c r="O64" s="99" t="s">
        <v>68</v>
      </c>
      <c r="P64" s="114"/>
      <c r="Q64" s="114">
        <v>2679</v>
      </c>
      <c r="R64" s="114">
        <v>49</v>
      </c>
      <c r="S64" s="114">
        <f t="shared" si="1"/>
        <v>439</v>
      </c>
      <c r="T64" s="114">
        <v>927</v>
      </c>
      <c r="U64" s="114">
        <f t="shared" si="2"/>
        <v>176.5</v>
      </c>
      <c r="V64" s="114">
        <v>1280</v>
      </c>
      <c r="W64" s="114">
        <f t="shared" si="3"/>
        <v>116</v>
      </c>
      <c r="X64" s="114">
        <v>1512</v>
      </c>
      <c r="Y64" s="114">
        <f t="shared" si="4"/>
        <v>274.5</v>
      </c>
      <c r="Z64" s="114">
        <v>2061</v>
      </c>
      <c r="AA64" s="114">
        <f t="shared" si="5"/>
        <v>0</v>
      </c>
      <c r="AB64" s="114">
        <v>2061</v>
      </c>
      <c r="AC64" s="114">
        <f t="shared" si="6"/>
        <v>0</v>
      </c>
      <c r="AD64" s="114">
        <v>2061</v>
      </c>
      <c r="AE64" s="115">
        <f t="shared" si="7"/>
        <v>-618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35" priority="11" operator="lessThan">
      <formula>0</formula>
    </cfRule>
    <cfRule type="cellIs" dxfId="1234" priority="12" operator="greaterThan">
      <formula>0</formula>
    </cfRule>
  </conditionalFormatting>
  <conditionalFormatting sqref="R25:AC25">
    <cfRule type="cellIs" dxfId="1233" priority="9" operator="lessThan">
      <formula>0</formula>
    </cfRule>
    <cfRule type="cellIs" dxfId="1232" priority="10" operator="greaterThan">
      <formula>0</formula>
    </cfRule>
  </conditionalFormatting>
  <conditionalFormatting sqref="R26 T26 V26 X26 Z26 AB26">
    <cfRule type="cellIs" dxfId="1231" priority="7" operator="lessThan">
      <formula>0</formula>
    </cfRule>
    <cfRule type="cellIs" dxfId="1230" priority="8" operator="greaterThan">
      <formula>0</formula>
    </cfRule>
  </conditionalFormatting>
  <conditionalFormatting sqref="AD24:AE24">
    <cfRule type="cellIs" dxfId="1229" priority="5" operator="lessThan">
      <formula>0</formula>
    </cfRule>
    <cfRule type="cellIs" dxfId="1228" priority="6" operator="greaterThan">
      <formula>0</formula>
    </cfRule>
  </conditionalFormatting>
  <conditionalFormatting sqref="AD25:AE25">
    <cfRule type="cellIs" dxfId="1227" priority="3" operator="lessThan">
      <formula>0</formula>
    </cfRule>
    <cfRule type="cellIs" dxfId="1226" priority="4" operator="greaterThan">
      <formula>0</formula>
    </cfRule>
  </conditionalFormatting>
  <conditionalFormatting sqref="AD26">
    <cfRule type="cellIs" dxfId="1225" priority="1" operator="lessThan">
      <formula>0</formula>
    </cfRule>
    <cfRule type="cellIs" dxfId="122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>
    <tabColor theme="1"/>
    <pageSetUpPr fitToPage="1"/>
  </sheetPr>
  <dimension ref="B1:AQ64"/>
  <sheetViews>
    <sheetView zoomScale="70" zoomScaleNormal="7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44416</v>
      </c>
    </row>
    <row r="3" spans="2:42" ht="18.75" customHeight="1" thickBot="1" x14ac:dyDescent="0.35">
      <c r="B3" t="s">
        <v>1</v>
      </c>
      <c r="C3" s="3">
        <f>C2+1</f>
        <v>44417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2798</v>
      </c>
      <c r="E6" s="18" t="s">
        <v>22</v>
      </c>
      <c r="F6" s="119">
        <v>20889</v>
      </c>
      <c r="G6" s="117">
        <v>16774.623625</v>
      </c>
      <c r="H6" s="117">
        <v>14147.63336876</v>
      </c>
      <c r="I6" s="19">
        <f>G6+H6</f>
        <v>30922.256993759998</v>
      </c>
      <c r="J6" s="119">
        <v>22010</v>
      </c>
      <c r="K6" s="117">
        <v>17316.317500000001</v>
      </c>
      <c r="L6" s="117">
        <v>15101.96186282001</v>
      </c>
      <c r="M6" s="19">
        <f>K6+L6</f>
        <v>32418.279362820009</v>
      </c>
      <c r="N6" s="85">
        <v>70</v>
      </c>
      <c r="O6" s="85">
        <v>55</v>
      </c>
      <c r="P6" s="92"/>
      <c r="Q6" s="20">
        <f>J6-P6</f>
        <v>22010</v>
      </c>
      <c r="R6" s="21">
        <v>2056</v>
      </c>
      <c r="S6" s="20">
        <f>IF(R6&gt;0,(R6-R7-$Q6),"")</f>
        <v>-19963</v>
      </c>
      <c r="T6" s="21">
        <v>5841</v>
      </c>
      <c r="U6" s="20">
        <f>IF(T6&gt;0,(T6-T7-$Q6),"")</f>
        <v>-16178</v>
      </c>
      <c r="V6" s="21">
        <v>11415</v>
      </c>
      <c r="W6" s="20">
        <f>IF(V6&gt;0,(V6-V7-$Q6),"")</f>
        <v>-10612</v>
      </c>
      <c r="X6" s="21">
        <v>13874</v>
      </c>
      <c r="Y6" s="20">
        <f>IF(X6&gt;0,(X6-X7-$Q6),"")</f>
        <v>-8195</v>
      </c>
      <c r="Z6" s="21">
        <v>18152</v>
      </c>
      <c r="AA6" s="20">
        <f>IF(Z6&gt;0,(Z6-Z7-$Q6),"")</f>
        <v>-3922</v>
      </c>
      <c r="AB6" s="21">
        <v>20127</v>
      </c>
      <c r="AC6" s="22">
        <f>IF(AB6&gt;0,(AB6-AB7-$Q6),"")</f>
        <v>-2056</v>
      </c>
      <c r="AD6" s="21">
        <v>20127</v>
      </c>
      <c r="AE6" s="22">
        <f>IF(AD6&gt;0,(AD6-AD7-$Q6),"")</f>
        <v>-2056</v>
      </c>
    </row>
    <row r="7" spans="2:42" x14ac:dyDescent="0.3">
      <c r="B7" s="16" t="s">
        <v>23</v>
      </c>
      <c r="C7" s="17">
        <v>257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9</v>
      </c>
      <c r="S7" s="24"/>
      <c r="T7" s="25">
        <v>9</v>
      </c>
      <c r="U7" s="24"/>
      <c r="V7" s="25">
        <v>17</v>
      </c>
      <c r="W7" s="24"/>
      <c r="X7" s="25">
        <v>59</v>
      </c>
      <c r="Y7" s="24"/>
      <c r="Z7" s="25">
        <v>64</v>
      </c>
      <c r="AA7" s="24"/>
      <c r="AB7" s="25">
        <v>173</v>
      </c>
      <c r="AC7" s="26"/>
      <c r="AD7" s="25">
        <v>173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2251</v>
      </c>
      <c r="E8" s="29" t="s">
        <v>27</v>
      </c>
      <c r="F8" s="119">
        <v>10355</v>
      </c>
      <c r="G8" s="117">
        <v>4285.4299999999994</v>
      </c>
      <c r="H8" s="117">
        <v>1281.7115475000001</v>
      </c>
      <c r="I8" s="19">
        <f>G8+H8</f>
        <v>5567.1415474999994</v>
      </c>
      <c r="J8" s="119">
        <v>10769</v>
      </c>
      <c r="K8" s="117">
        <v>4432.835</v>
      </c>
      <c r="L8" s="117">
        <v>1370.6046701</v>
      </c>
      <c r="M8" s="19">
        <f>K8+L8</f>
        <v>5803.4396701000005</v>
      </c>
      <c r="N8" s="87">
        <v>32</v>
      </c>
      <c r="O8" s="87">
        <v>26</v>
      </c>
      <c r="P8" s="92"/>
      <c r="Q8" s="20">
        <f>J8-P8</f>
        <v>10769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2474</v>
      </c>
      <c r="W8" s="20">
        <f>IF(V8&gt;0,(V8-V9-$Q8),"")</f>
        <v>-8295</v>
      </c>
      <c r="X8" s="21">
        <v>10769</v>
      </c>
      <c r="Y8" s="20">
        <f>IF(X8&gt;0,(X8-X9-$Q8),"")</f>
        <v>0</v>
      </c>
      <c r="Z8" s="21">
        <v>10769</v>
      </c>
      <c r="AA8" s="20">
        <f>IF(Z8&gt;0,(Z8-Z9-$Q8),"")</f>
        <v>0</v>
      </c>
      <c r="AB8" s="21">
        <v>10769</v>
      </c>
      <c r="AC8" s="22">
        <f>IF(AB8&gt;0,(AB8-AB9-$Q8),"")</f>
        <v>0</v>
      </c>
      <c r="AD8" s="21">
        <v>10769</v>
      </c>
      <c r="AE8" s="22">
        <f>IF(AD8&gt;0,(AD8-AD9-$Q8),"")</f>
        <v>0</v>
      </c>
    </row>
    <row r="9" spans="2:42" x14ac:dyDescent="0.3">
      <c r="B9" s="28" t="s">
        <v>28</v>
      </c>
      <c r="C9" s="17">
        <v>1617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4812</v>
      </c>
      <c r="E10" s="18" t="s">
        <v>31</v>
      </c>
      <c r="F10" s="119">
        <v>12823</v>
      </c>
      <c r="G10" s="117">
        <v>9450.5935000000027</v>
      </c>
      <c r="H10" s="117">
        <v>1837.6310900000001</v>
      </c>
      <c r="I10" s="19">
        <f>G10+H10</f>
        <v>11288.224590000003</v>
      </c>
      <c r="J10" s="119">
        <v>13642</v>
      </c>
      <c r="K10" s="117">
        <v>10122.63675</v>
      </c>
      <c r="L10" s="117">
        <v>1897.10311</v>
      </c>
      <c r="M10" s="19">
        <f>K10+L10</f>
        <v>12019.73986</v>
      </c>
      <c r="N10" s="88">
        <v>43</v>
      </c>
      <c r="O10" s="88">
        <v>33</v>
      </c>
      <c r="P10" s="92"/>
      <c r="Q10" s="20">
        <f>J10-P10</f>
        <v>13642</v>
      </c>
      <c r="R10" s="21">
        <v>3640</v>
      </c>
      <c r="S10" s="20">
        <f>IF(R10&gt;0,(R10-R11-$Q10),"")</f>
        <v>-10794</v>
      </c>
      <c r="T10" s="21">
        <v>3722</v>
      </c>
      <c r="U10" s="20">
        <f>IF(T10&gt;0,(T10-T11-$Q10),"")</f>
        <v>-10440</v>
      </c>
      <c r="V10" s="21">
        <v>5624</v>
      </c>
      <c r="W10" s="20">
        <f>IF(V10&gt;0,(V10-V11-$Q10),"")</f>
        <v>-9114</v>
      </c>
      <c r="X10" s="21">
        <v>9968</v>
      </c>
      <c r="Y10" s="20">
        <f>IF(X10&gt;0,(X10-X11-$Q10),"")</f>
        <v>-5964</v>
      </c>
      <c r="Z10" s="21">
        <v>10093</v>
      </c>
      <c r="AA10" s="20">
        <f>IF(Z10&gt;0,(Z10-Z11-$Q10),"")</f>
        <v>-5900</v>
      </c>
      <c r="AB10" s="21">
        <v>10093</v>
      </c>
      <c r="AC10" s="22">
        <f>IF(AB10&gt;0,(AB10-AB11-$Q10),"")</f>
        <v>-5900</v>
      </c>
      <c r="AD10" s="21">
        <v>10093</v>
      </c>
      <c r="AE10" s="22">
        <f>IF(AD10&gt;0,(AD10-AD11-$Q10),"")</f>
        <v>-5900</v>
      </c>
    </row>
    <row r="11" spans="2:42" x14ac:dyDescent="0.3">
      <c r="B11" s="16" t="s">
        <v>32</v>
      </c>
      <c r="C11" s="17">
        <v>2138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792</v>
      </c>
      <c r="S11" s="24"/>
      <c r="T11" s="30">
        <v>520</v>
      </c>
      <c r="U11" s="24"/>
      <c r="V11" s="30">
        <v>1096</v>
      </c>
      <c r="W11" s="24"/>
      <c r="X11" s="30">
        <v>2290</v>
      </c>
      <c r="Y11" s="24"/>
      <c r="Z11" s="30">
        <v>2351</v>
      </c>
      <c r="AA11" s="24"/>
      <c r="AB11" s="30">
        <v>2351</v>
      </c>
      <c r="AC11" s="26"/>
      <c r="AD11" s="30">
        <v>2351</v>
      </c>
      <c r="AE11" s="26"/>
    </row>
    <row r="12" spans="2:42" x14ac:dyDescent="0.3">
      <c r="B12" s="16" t="s">
        <v>34</v>
      </c>
      <c r="C12" s="17">
        <v>1698</v>
      </c>
      <c r="E12" s="29" t="s">
        <v>35</v>
      </c>
      <c r="F12" s="119">
        <v>13487</v>
      </c>
      <c r="G12" s="117">
        <v>10559.251249999999</v>
      </c>
      <c r="H12" s="117">
        <v>14745.664871520001</v>
      </c>
      <c r="I12" s="19">
        <f>G12+H12</f>
        <v>25304.91612152</v>
      </c>
      <c r="J12" s="119">
        <v>14133</v>
      </c>
      <c r="K12" s="117">
        <v>10923.033750000001</v>
      </c>
      <c r="L12" s="117">
        <v>14332.89364435001</v>
      </c>
      <c r="M12" s="19">
        <f>K12+L12</f>
        <v>25255.927394350008</v>
      </c>
      <c r="N12" s="88">
        <v>59</v>
      </c>
      <c r="O12" s="88">
        <v>48</v>
      </c>
      <c r="P12" s="92"/>
      <c r="Q12" s="20">
        <f>J12-P12</f>
        <v>14133</v>
      </c>
      <c r="R12" s="21">
        <v>4384</v>
      </c>
      <c r="S12" s="20">
        <f>IF(R12&gt;0,(R12-R13-$Q12),"")</f>
        <v>-11248</v>
      </c>
      <c r="T12" s="21">
        <v>5601</v>
      </c>
      <c r="U12" s="20">
        <f>IF(T12&gt;0,(T12-T13-$Q12),"")</f>
        <v>-10516</v>
      </c>
      <c r="V12" s="21">
        <v>7048</v>
      </c>
      <c r="W12" s="20">
        <f>IF(V12&gt;0,(V12-V13-$Q12),"")</f>
        <v>-9347</v>
      </c>
      <c r="X12" s="21">
        <v>10018</v>
      </c>
      <c r="Y12" s="20">
        <f>IF(X12&gt;0,(X12-X13-$Q12),"")</f>
        <v>-6773</v>
      </c>
      <c r="Z12" s="21">
        <v>10137</v>
      </c>
      <c r="AA12" s="20">
        <f>IF(Z12&gt;0,(Z12-Z13-$Q12),"")</f>
        <v>-6660</v>
      </c>
      <c r="AB12" s="21">
        <v>10137</v>
      </c>
      <c r="AC12" s="22">
        <f>IF(AB12&gt;0,(AB12-AB13-$Q12),"")</f>
        <v>-6660</v>
      </c>
      <c r="AD12" s="21">
        <v>10137</v>
      </c>
      <c r="AE12" s="22">
        <f>IF(AD12&gt;0,(AD12-AD13-$Q12),"")</f>
        <v>-6660</v>
      </c>
    </row>
    <row r="13" spans="2:42" x14ac:dyDescent="0.3">
      <c r="B13" s="16" t="s">
        <v>36</v>
      </c>
      <c r="C13" s="17">
        <v>4686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1499</v>
      </c>
      <c r="S13" s="24"/>
      <c r="T13" s="30">
        <v>1984</v>
      </c>
      <c r="U13" s="24"/>
      <c r="V13" s="30">
        <v>2262</v>
      </c>
      <c r="W13" s="24"/>
      <c r="X13" s="30">
        <v>2658</v>
      </c>
      <c r="Y13" s="24"/>
      <c r="Z13" s="30">
        <v>2664</v>
      </c>
      <c r="AA13" s="24"/>
      <c r="AB13" s="30">
        <v>2664</v>
      </c>
      <c r="AC13" s="26"/>
      <c r="AD13" s="30">
        <v>2664</v>
      </c>
      <c r="AE13" s="26"/>
    </row>
    <row r="14" spans="2:42" x14ac:dyDescent="0.3">
      <c r="B14" s="16" t="s">
        <v>38</v>
      </c>
      <c r="C14" s="17">
        <v>13271</v>
      </c>
      <c r="E14" s="18" t="s">
        <v>39</v>
      </c>
      <c r="F14" s="119">
        <v>19764</v>
      </c>
      <c r="G14" s="117">
        <v>15562.96875</v>
      </c>
      <c r="H14" s="117">
        <v>19062.534096229982</v>
      </c>
      <c r="I14" s="19">
        <f>G14+H14</f>
        <v>34625.502846229982</v>
      </c>
      <c r="J14" s="119">
        <v>19936</v>
      </c>
      <c r="K14" s="117">
        <v>15802.96875</v>
      </c>
      <c r="L14" s="117">
        <v>19202.731599509989</v>
      </c>
      <c r="M14" s="19">
        <f>K14+L14</f>
        <v>35005.700349509993</v>
      </c>
      <c r="N14" s="88">
        <v>70</v>
      </c>
      <c r="O14" s="88">
        <v>52</v>
      </c>
      <c r="P14" s="92"/>
      <c r="Q14" s="20">
        <f>J14-P14</f>
        <v>19936</v>
      </c>
      <c r="R14" s="21">
        <v>3890</v>
      </c>
      <c r="S14" s="20">
        <f>IF(R14&gt;0,(R14-R15-$Q14),"")</f>
        <v>-19541</v>
      </c>
      <c r="T14" s="21">
        <v>7204</v>
      </c>
      <c r="U14" s="20">
        <f>IF(T14&gt;0,(T14-T15-$Q14),"")</f>
        <v>-19138</v>
      </c>
      <c r="V14" s="21">
        <v>9781</v>
      </c>
      <c r="W14" s="20">
        <f>IF(V14&gt;0,(V14-V15-$Q14),"")</f>
        <v>-18815</v>
      </c>
      <c r="X14" s="21">
        <v>13505</v>
      </c>
      <c r="Y14" s="20">
        <f>IF(X14&gt;0,(X14-X15-$Q14),"")</f>
        <v>-17260</v>
      </c>
      <c r="Z14" s="21">
        <v>15320</v>
      </c>
      <c r="AA14" s="20">
        <f>IF(Z14&gt;0,(Z14-Z15-$Q14),"")</f>
        <v>-15558</v>
      </c>
      <c r="AB14" s="21">
        <v>15799</v>
      </c>
      <c r="AC14" s="22">
        <f>IF(AB14&gt;0,(AB14-AB15-$Q14),"")</f>
        <v>-15079</v>
      </c>
      <c r="AD14" s="21">
        <v>15799</v>
      </c>
      <c r="AE14" s="22">
        <f>IF(AD14&gt;0,(AD14-AD15-$Q14),"")</f>
        <v>-15079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3495</v>
      </c>
      <c r="S15" s="24"/>
      <c r="T15" s="25">
        <v>6406</v>
      </c>
      <c r="U15" s="24"/>
      <c r="V15" s="25">
        <v>8660</v>
      </c>
      <c r="W15" s="24"/>
      <c r="X15" s="25">
        <v>10829</v>
      </c>
      <c r="Y15" s="24"/>
      <c r="Z15" s="25">
        <v>10942</v>
      </c>
      <c r="AA15" s="24"/>
      <c r="AB15" s="25">
        <v>10942</v>
      </c>
      <c r="AC15" s="26"/>
      <c r="AD15" s="25">
        <v>10942</v>
      </c>
      <c r="AE15" s="26"/>
    </row>
    <row r="16" spans="2:42" ht="15" customHeight="1" thickBot="1" x14ac:dyDescent="0.35">
      <c r="B16" s="28" t="s">
        <v>42</v>
      </c>
      <c r="C16" s="17">
        <v>10542</v>
      </c>
      <c r="E16" s="84"/>
      <c r="F16" s="31">
        <f t="shared" ref="F16:M16" si="0">SUM(F6:F15)</f>
        <v>77318</v>
      </c>
      <c r="G16" s="31">
        <f t="shared" si="0"/>
        <v>56632.867125000004</v>
      </c>
      <c r="H16" s="31">
        <f t="shared" si="0"/>
        <v>51075.174974009984</v>
      </c>
      <c r="I16" s="32">
        <f t="shared" si="0"/>
        <v>107708.04209900998</v>
      </c>
      <c r="J16" s="33">
        <f t="shared" si="0"/>
        <v>80490</v>
      </c>
      <c r="K16" s="33">
        <f t="shared" si="0"/>
        <v>58597.791750000004</v>
      </c>
      <c r="L16" s="33">
        <f t="shared" si="0"/>
        <v>51905.294886780008</v>
      </c>
      <c r="M16" s="33">
        <f t="shared" si="0"/>
        <v>110503.08663678002</v>
      </c>
      <c r="N16" s="31">
        <f>SUM(N14,N12,N10,N8,N6)</f>
        <v>274</v>
      </c>
      <c r="O16" s="31">
        <f>SUM(O14,O12,O10,O8,O6)</f>
        <v>214</v>
      </c>
      <c r="P16" s="34">
        <f>SUM(P6:P15)</f>
        <v>0</v>
      </c>
      <c r="Q16" s="34">
        <f>SUM(Q6:Q15)</f>
        <v>80490</v>
      </c>
      <c r="R16" s="35">
        <f>R6+R8+R10+R12+R14-R7-R9-R11-R13-R15</f>
        <v>8175</v>
      </c>
      <c r="S16" s="36">
        <f>IF(R16&gt;1,(R16-$Q16),"")</f>
        <v>-72315</v>
      </c>
      <c r="T16" s="35">
        <f>T6+T8+T10+T12+T14-T7-T9-T11-T13-T15</f>
        <v>13449</v>
      </c>
      <c r="U16" s="36">
        <f>IF(T16&gt;1,(T16-$Q16),"")</f>
        <v>-67041</v>
      </c>
      <c r="V16" s="35">
        <f>V6+V8+V10+V12+V14-V7-V9-V11-V13-V15</f>
        <v>24307</v>
      </c>
      <c r="W16" s="36">
        <f>IF(V16&gt;1,(V16-$Q16),"")</f>
        <v>-56183</v>
      </c>
      <c r="X16" s="35">
        <f>X6+X8+X10+X12+X14-X7-X9-X11-X13-X15</f>
        <v>42298</v>
      </c>
      <c r="Y16" s="36">
        <f>IF(X16&gt;1,(X16-$Q16),"")</f>
        <v>-38192</v>
      </c>
      <c r="Z16" s="35">
        <f>Z6+Z8+Z10+Z12+Z14-Z7-Z9-Z11-Z13-Z15</f>
        <v>48450</v>
      </c>
      <c r="AA16" s="36">
        <f>IF(Z16&gt;1,(Z16-$Q16),"")</f>
        <v>-32040</v>
      </c>
      <c r="AB16" s="35">
        <f>AB6+AB8+AB10+AB12+AB14-AB7-AB9-AB11-AB13-AB15</f>
        <v>50795</v>
      </c>
      <c r="AC16" s="37">
        <f>IF(AB16&gt;1,(AB16-$Q16),"")</f>
        <v>-29695</v>
      </c>
      <c r="AD16" s="35">
        <f>AD6+AD8+AD10+AD12+AD14-AD7-AD9-AD11-AD13-AD15</f>
        <v>50795</v>
      </c>
      <c r="AE16" s="37">
        <f>IF(AD16&gt;1,(AD16-$Q16),"")</f>
        <v>-29695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5795</v>
      </c>
      <c r="S17" s="41"/>
      <c r="T17" s="40">
        <f>T15+T13+T11+T9+T7</f>
        <v>8919</v>
      </c>
      <c r="U17" s="41"/>
      <c r="V17" s="40">
        <f>V15+V13+V11+V9+V7</f>
        <v>12035</v>
      </c>
      <c r="W17" s="41"/>
      <c r="X17" s="40">
        <f>X15+X13+X11+X9+X7</f>
        <v>15836</v>
      </c>
      <c r="Y17" s="41"/>
      <c r="Z17" s="40">
        <f>Z15+Z13+Z11+Z9+Z7</f>
        <v>16021</v>
      </c>
      <c r="AA17" s="41"/>
      <c r="AB17" s="40">
        <f>AB15+AB13+AB11+AB9+AB7</f>
        <v>16130</v>
      </c>
      <c r="AC17" s="42"/>
      <c r="AD17" s="40">
        <f>AD15+AD13+AD11+AD9+AD7</f>
        <v>16130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4087.5</v>
      </c>
      <c r="S18" s="46"/>
      <c r="T18" s="47">
        <f>IF(T16&gt;0,(T16-R16)/2,"")</f>
        <v>2637</v>
      </c>
      <c r="U18" s="46"/>
      <c r="V18" s="47">
        <f>IF(V16&gt;0,(V16-T16)/2,"")</f>
        <v>5429</v>
      </c>
      <c r="W18" s="46"/>
      <c r="X18" s="47">
        <f>IF(X16&gt;0,(X16-V16)/2,"")</f>
        <v>8995.5</v>
      </c>
      <c r="Y18" s="46"/>
      <c r="Z18" s="47">
        <f>IF(Z16&gt;0,(Z16-X16)/2,"")</f>
        <v>3076</v>
      </c>
      <c r="AA18" s="46"/>
      <c r="AB18" s="47">
        <f>IF(AB16&gt;0,(AB16-Z16)/2,"")</f>
        <v>1172.5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8610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1292</v>
      </c>
      <c r="L20" s="4"/>
      <c r="M20" s="4"/>
      <c r="Q20" s="51" t="s">
        <v>49</v>
      </c>
      <c r="R20" s="35">
        <v>6089</v>
      </c>
      <c r="S20" s="36"/>
      <c r="T20" s="35">
        <v>12383</v>
      </c>
      <c r="U20" s="36"/>
      <c r="V20" s="35">
        <v>28337</v>
      </c>
      <c r="W20" s="36"/>
      <c r="X20" s="35">
        <v>44546</v>
      </c>
      <c r="Y20" s="36"/>
      <c r="Z20" s="35">
        <v>54392</v>
      </c>
      <c r="AA20" s="36"/>
      <c r="AB20" s="35">
        <v>56035</v>
      </c>
      <c r="AC20" s="37"/>
      <c r="AD20" s="35">
        <v>56035</v>
      </c>
      <c r="AE20" s="37">
        <v>-26291</v>
      </c>
    </row>
    <row r="21" spans="2:43" ht="15" customHeight="1" thickBot="1" x14ac:dyDescent="0.35">
      <c r="B21" s="57" t="s">
        <v>52</v>
      </c>
      <c r="C21" s="58">
        <v>4225</v>
      </c>
      <c r="M21" s="4"/>
      <c r="Q21" s="52"/>
      <c r="R21" s="40">
        <v>1020</v>
      </c>
      <c r="S21" s="41"/>
      <c r="T21" s="40">
        <v>6579</v>
      </c>
      <c r="U21" s="41"/>
      <c r="V21" s="40">
        <v>9373</v>
      </c>
      <c r="W21" s="41"/>
      <c r="X21" s="40">
        <v>17803</v>
      </c>
      <c r="Y21" s="41"/>
      <c r="Z21" s="40">
        <v>18532</v>
      </c>
      <c r="AA21" s="41"/>
      <c r="AB21" s="40">
        <v>19070</v>
      </c>
      <c r="AC21" s="42"/>
      <c r="AD21" s="40">
        <v>19070</v>
      </c>
      <c r="AE21" s="42"/>
    </row>
    <row r="22" spans="2:43" ht="15" customHeight="1" thickBot="1" x14ac:dyDescent="0.35">
      <c r="M22" s="4"/>
      <c r="Q22" s="54"/>
      <c r="R22" s="55">
        <v>6527</v>
      </c>
      <c r="S22" s="55"/>
      <c r="T22" s="55">
        <v>4286.5</v>
      </c>
      <c r="U22" s="55"/>
      <c r="V22" s="55">
        <v>6542.5</v>
      </c>
      <c r="W22" s="55"/>
      <c r="X22" s="55">
        <v>8058.5</v>
      </c>
      <c r="Y22" s="55"/>
      <c r="Z22" s="55">
        <v>5727</v>
      </c>
      <c r="AA22" s="55"/>
      <c r="AB22" s="55">
        <v>1810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2086</v>
      </c>
      <c r="S24" s="60"/>
      <c r="T24" s="60">
        <f>IF(T16&gt;0,T16-T20,"")</f>
        <v>1066</v>
      </c>
      <c r="U24" s="60"/>
      <c r="V24" s="60">
        <f>IF(V16&gt;0,V16-V20,"")</f>
        <v>-4030</v>
      </c>
      <c r="W24" s="60"/>
      <c r="X24" s="60">
        <f>IF(X16&gt;0,X16-X20,"")</f>
        <v>-2248</v>
      </c>
      <c r="Y24" s="60"/>
      <c r="Z24" s="60">
        <f>IF(Z16&gt;0,Z16-Z20,"")</f>
        <v>-5942</v>
      </c>
      <c r="AA24" s="60"/>
      <c r="AB24" s="60">
        <f>IF(AB16&gt;0,AB16-AB20,"")</f>
        <v>-5240</v>
      </c>
      <c r="AC24" s="61"/>
      <c r="AD24" s="60">
        <f>IF(AD16&gt;0,AD16-AD20,"")</f>
        <v>-5240</v>
      </c>
      <c r="AE24" s="61"/>
    </row>
    <row r="25" spans="2:43" x14ac:dyDescent="0.3">
      <c r="M25" s="4"/>
      <c r="Q25" s="62"/>
      <c r="R25" s="63">
        <f>IF(R17&gt;=0,R17-R21,"")</f>
        <v>4775</v>
      </c>
      <c r="S25" s="64"/>
      <c r="T25" s="63">
        <f>IF(T17&gt;=0,T17-T21,"")</f>
        <v>2340</v>
      </c>
      <c r="U25" s="64"/>
      <c r="V25" s="63">
        <f>IF(V17&gt;=0,V17-V21,"")</f>
        <v>2662</v>
      </c>
      <c r="W25" s="64"/>
      <c r="X25" s="63">
        <f>IF(X17&gt;=0,X17-X21,"")</f>
        <v>-1967</v>
      </c>
      <c r="Y25" s="64"/>
      <c r="Z25" s="63">
        <f>IF(Z17&gt;=0,Z17-Z21,"")</f>
        <v>-2511</v>
      </c>
      <c r="AA25" s="64"/>
      <c r="AB25" s="63">
        <f>IF(AB17&gt;=0,AB17-AB21,"")</f>
        <v>-2940</v>
      </c>
      <c r="AC25" s="65"/>
      <c r="AD25" s="63">
        <f>IF(AD17&gt;=0,AD17-AD21,"")</f>
        <v>-2940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-2439.5</v>
      </c>
      <c r="S26" s="55"/>
      <c r="T26" s="67">
        <f>IFERROR(IF(T18&gt;0,T18-T22,""),"")</f>
        <v>-1649.5</v>
      </c>
      <c r="U26" s="55"/>
      <c r="V26" s="67">
        <f>IFERROR(IF(V18&gt;0,V18-V22,""),"")</f>
        <v>-1113.5</v>
      </c>
      <c r="W26" s="55"/>
      <c r="X26" s="67">
        <f>IFERROR(IF(X18&gt;0,X18-X22,""),"")</f>
        <v>937</v>
      </c>
      <c r="Y26" s="55"/>
      <c r="Z26" s="67">
        <f>IFERROR(IF(Z18&gt;0,Z18-Z22,""),"")</f>
        <v>-2651</v>
      </c>
      <c r="AA26" s="55"/>
      <c r="AB26" s="67">
        <f>IFERROR(IF(AB18&gt;0,AB18-AB22,""),"")</f>
        <v>-637.5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11623</v>
      </c>
      <c r="D29" s="76">
        <f>C14</f>
        <v>13271</v>
      </c>
      <c r="E29" s="77">
        <f>D29-C29</f>
        <v>1648</v>
      </c>
      <c r="O29" s="4"/>
    </row>
    <row r="30" spans="2:43" x14ac:dyDescent="0.3">
      <c r="B30" s="74" t="s">
        <v>56</v>
      </c>
      <c r="C30" s="122">
        <v>23835</v>
      </c>
      <c r="D30" s="76">
        <f>C7+C15+C16+C17+C18</f>
        <v>10799</v>
      </c>
      <c r="E30" s="77">
        <f>D30-C30</f>
        <v>-13036</v>
      </c>
      <c r="J30" s="53"/>
      <c r="O30" s="4"/>
    </row>
    <row r="31" spans="2:43" x14ac:dyDescent="0.3">
      <c r="B31" s="74" t="s">
        <v>21</v>
      </c>
      <c r="C31" s="122">
        <v>2798</v>
      </c>
      <c r="D31" s="76">
        <f>C6</f>
        <v>2798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13309</v>
      </c>
      <c r="D32" s="76">
        <f>C10+C11+C12+C13</f>
        <v>13334</v>
      </c>
      <c r="E32" s="77">
        <f>D32-C32</f>
        <v>25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13585</v>
      </c>
      <c r="D33" s="76">
        <f>C19+C20+C21</f>
        <v>14127</v>
      </c>
      <c r="E33" s="77">
        <f>D33-C33</f>
        <v>542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3868</v>
      </c>
      <c r="D34" s="80">
        <f>SUM(C8+C9)</f>
        <v>3868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1041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272.5</v>
      </c>
      <c r="V35" s="104">
        <v>545</v>
      </c>
      <c r="W35" s="104">
        <f t="shared" ref="W35:W64" si="3">IF(X35&gt;0,(X35-V35)/2,"")</f>
        <v>0</v>
      </c>
      <c r="X35" s="104">
        <v>545</v>
      </c>
      <c r="Y35" s="104">
        <f t="shared" ref="Y35:Y64" si="4">IF(Z35&gt;0,(Z35-X35)/2,"")</f>
        <v>245</v>
      </c>
      <c r="Z35" s="104">
        <v>1035</v>
      </c>
      <c r="AA35" s="104">
        <f t="shared" ref="AA35:AA64" si="5">IF(AB35&gt;0,(AB35-Z35)/2,"")</f>
        <v>0</v>
      </c>
      <c r="AB35" s="104">
        <v>1035</v>
      </c>
      <c r="AC35" s="104">
        <f t="shared" ref="AC35:AC64" si="6">IF(AD35&gt;0,(AD35-AB35)/2,"")</f>
        <v>0</v>
      </c>
      <c r="AD35" s="104">
        <v>1035</v>
      </c>
      <c r="AE35" s="105">
        <f t="shared" ref="AE35:AE64" si="7">AD35-Q35</f>
        <v>-6</v>
      </c>
    </row>
    <row r="36" spans="2:31" ht="15.6" customHeight="1" x14ac:dyDescent="0.3">
      <c r="N36" s="212"/>
      <c r="O36" s="95" t="s">
        <v>66</v>
      </c>
      <c r="P36" s="106"/>
      <c r="Q36" s="106">
        <v>1455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288</v>
      </c>
      <c r="V36" s="106">
        <v>576</v>
      </c>
      <c r="W36" s="106">
        <f t="shared" si="3"/>
        <v>0</v>
      </c>
      <c r="X36" s="106">
        <v>576</v>
      </c>
      <c r="Y36" s="106">
        <f t="shared" si="4"/>
        <v>261</v>
      </c>
      <c r="Z36" s="106">
        <v>1098</v>
      </c>
      <c r="AA36" s="106">
        <f t="shared" si="5"/>
        <v>8</v>
      </c>
      <c r="AB36" s="106">
        <v>1114</v>
      </c>
      <c r="AC36" s="106">
        <f t="shared" si="6"/>
        <v>0</v>
      </c>
      <c r="AD36" s="106">
        <v>1114</v>
      </c>
      <c r="AE36" s="107">
        <f t="shared" si="7"/>
        <v>-341</v>
      </c>
    </row>
    <row r="37" spans="2:31" ht="15.6" customHeight="1" x14ac:dyDescent="0.3">
      <c r="N37" s="212"/>
      <c r="O37" s="94" t="s">
        <v>67</v>
      </c>
      <c r="P37" s="108"/>
      <c r="Q37" s="108">
        <v>3720</v>
      </c>
      <c r="R37" s="108">
        <v>420</v>
      </c>
      <c r="S37" s="108">
        <f t="shared" si="1"/>
        <v>171.5</v>
      </c>
      <c r="T37" s="108">
        <v>763</v>
      </c>
      <c r="U37" s="108">
        <f t="shared" si="2"/>
        <v>210</v>
      </c>
      <c r="V37" s="108">
        <v>1183</v>
      </c>
      <c r="W37" s="108">
        <f t="shared" si="3"/>
        <v>210</v>
      </c>
      <c r="X37" s="108">
        <v>1603</v>
      </c>
      <c r="Y37" s="108">
        <f t="shared" si="4"/>
        <v>318</v>
      </c>
      <c r="Z37" s="108">
        <v>2239</v>
      </c>
      <c r="AA37" s="108">
        <f t="shared" si="5"/>
        <v>311.5</v>
      </c>
      <c r="AB37" s="108">
        <v>2862</v>
      </c>
      <c r="AC37" s="108">
        <f t="shared" si="6"/>
        <v>0</v>
      </c>
      <c r="AD37" s="108">
        <v>2862</v>
      </c>
      <c r="AE37" s="109">
        <f t="shared" si="7"/>
        <v>-858</v>
      </c>
    </row>
    <row r="38" spans="2:31" ht="15.6" customHeight="1" x14ac:dyDescent="0.3">
      <c r="N38" s="212"/>
      <c r="O38" s="95" t="s">
        <v>68</v>
      </c>
      <c r="P38" s="106"/>
      <c r="Q38" s="106">
        <v>3777</v>
      </c>
      <c r="R38" s="106">
        <v>736</v>
      </c>
      <c r="S38" s="106">
        <f t="shared" si="1"/>
        <v>224.5</v>
      </c>
      <c r="T38" s="106">
        <v>1185</v>
      </c>
      <c r="U38" s="106">
        <f t="shared" si="2"/>
        <v>663.5</v>
      </c>
      <c r="V38" s="106">
        <v>2512</v>
      </c>
      <c r="W38" s="106">
        <f t="shared" si="3"/>
        <v>251</v>
      </c>
      <c r="X38" s="106">
        <v>3014</v>
      </c>
      <c r="Y38" s="106">
        <f t="shared" si="4"/>
        <v>386</v>
      </c>
      <c r="Z38" s="106">
        <v>3786</v>
      </c>
      <c r="AA38" s="106">
        <f t="shared" si="5"/>
        <v>0</v>
      </c>
      <c r="AB38" s="106">
        <v>3786</v>
      </c>
      <c r="AC38" s="106">
        <f t="shared" si="6"/>
        <v>0</v>
      </c>
      <c r="AD38" s="106">
        <v>3786</v>
      </c>
      <c r="AE38" s="107">
        <f t="shared" si="7"/>
        <v>9</v>
      </c>
    </row>
    <row r="39" spans="2:31" ht="15.6" customHeight="1" x14ac:dyDescent="0.3">
      <c r="N39" s="212"/>
      <c r="O39" s="94" t="s">
        <v>69</v>
      </c>
      <c r="P39" s="108"/>
      <c r="Q39" s="108">
        <v>2901</v>
      </c>
      <c r="R39" s="108">
        <v>0</v>
      </c>
      <c r="S39" s="108">
        <f t="shared" si="1"/>
        <v>645</v>
      </c>
      <c r="T39" s="108">
        <v>1290</v>
      </c>
      <c r="U39" s="108">
        <f t="shared" si="2"/>
        <v>298.5</v>
      </c>
      <c r="V39" s="108">
        <v>1887</v>
      </c>
      <c r="W39" s="108">
        <f t="shared" si="3"/>
        <v>177</v>
      </c>
      <c r="X39" s="108">
        <v>2241</v>
      </c>
      <c r="Y39" s="108">
        <f t="shared" si="4"/>
        <v>256</v>
      </c>
      <c r="Z39" s="108">
        <v>2753</v>
      </c>
      <c r="AA39" s="108">
        <f t="shared" si="5"/>
        <v>87</v>
      </c>
      <c r="AB39" s="108">
        <v>2927</v>
      </c>
      <c r="AC39" s="108">
        <f t="shared" si="6"/>
        <v>0</v>
      </c>
      <c r="AD39" s="108">
        <v>2927</v>
      </c>
      <c r="AE39" s="109">
        <f t="shared" si="7"/>
        <v>26</v>
      </c>
    </row>
    <row r="40" spans="2:31" ht="15.6" customHeight="1" x14ac:dyDescent="0.3">
      <c r="N40" s="212"/>
      <c r="O40" s="95" t="s">
        <v>70</v>
      </c>
      <c r="P40" s="106"/>
      <c r="Q40" s="106">
        <v>3943</v>
      </c>
      <c r="R40" s="106">
        <v>633</v>
      </c>
      <c r="S40" s="106">
        <f t="shared" si="1"/>
        <v>284</v>
      </c>
      <c r="T40" s="106">
        <v>1201</v>
      </c>
      <c r="U40" s="106">
        <f t="shared" si="2"/>
        <v>299</v>
      </c>
      <c r="V40" s="106">
        <v>1799</v>
      </c>
      <c r="W40" s="106">
        <f t="shared" si="3"/>
        <v>349.5</v>
      </c>
      <c r="X40" s="106">
        <v>2498</v>
      </c>
      <c r="Y40" s="106">
        <f t="shared" si="4"/>
        <v>342</v>
      </c>
      <c r="Z40" s="106">
        <v>3182</v>
      </c>
      <c r="AA40" s="106">
        <f t="shared" si="5"/>
        <v>334.5</v>
      </c>
      <c r="AB40" s="106">
        <v>3851</v>
      </c>
      <c r="AC40" s="106">
        <f t="shared" si="6"/>
        <v>0</v>
      </c>
      <c r="AD40" s="106">
        <v>3851</v>
      </c>
      <c r="AE40" s="107">
        <f t="shared" si="7"/>
        <v>-92</v>
      </c>
    </row>
    <row r="41" spans="2:31" ht="15.6" customHeight="1" x14ac:dyDescent="0.3">
      <c r="N41" s="212"/>
      <c r="O41" s="94" t="s">
        <v>71</v>
      </c>
      <c r="P41" s="108"/>
      <c r="Q41" s="108">
        <v>1114</v>
      </c>
      <c r="R41" s="108">
        <v>267</v>
      </c>
      <c r="S41" s="108">
        <f t="shared" si="1"/>
        <v>174</v>
      </c>
      <c r="T41" s="108">
        <v>615</v>
      </c>
      <c r="U41" s="108">
        <f t="shared" si="2"/>
        <v>0</v>
      </c>
      <c r="V41" s="108">
        <v>615</v>
      </c>
      <c r="W41" s="108">
        <f t="shared" si="3"/>
        <v>0</v>
      </c>
      <c r="X41" s="108">
        <v>615</v>
      </c>
      <c r="Y41" s="108">
        <f t="shared" si="4"/>
        <v>0</v>
      </c>
      <c r="Z41" s="108">
        <v>615</v>
      </c>
      <c r="AA41" s="108">
        <f t="shared" si="5"/>
        <v>0</v>
      </c>
      <c r="AB41" s="108">
        <v>615</v>
      </c>
      <c r="AC41" s="108">
        <f t="shared" si="6"/>
        <v>0</v>
      </c>
      <c r="AD41" s="108">
        <v>615</v>
      </c>
      <c r="AE41" s="109">
        <f t="shared" si="7"/>
        <v>-499</v>
      </c>
    </row>
    <row r="42" spans="2:31" ht="15.6" customHeight="1" x14ac:dyDescent="0.3">
      <c r="N42" s="212"/>
      <c r="O42" s="95" t="s">
        <v>72</v>
      </c>
      <c r="P42" s="106"/>
      <c r="Q42" s="106">
        <v>1889</v>
      </c>
      <c r="R42" s="106">
        <v>0</v>
      </c>
      <c r="S42" s="106">
        <f t="shared" si="1"/>
        <v>319</v>
      </c>
      <c r="T42" s="106">
        <v>638</v>
      </c>
      <c r="U42" s="106">
        <f t="shared" si="2"/>
        <v>251.5</v>
      </c>
      <c r="V42" s="106">
        <v>1141</v>
      </c>
      <c r="W42" s="106">
        <f t="shared" si="3"/>
        <v>242</v>
      </c>
      <c r="X42" s="106">
        <v>1625</v>
      </c>
      <c r="Y42" s="106">
        <f t="shared" si="4"/>
        <v>38</v>
      </c>
      <c r="Z42" s="106">
        <v>1701</v>
      </c>
      <c r="AA42" s="106">
        <f t="shared" si="5"/>
        <v>58</v>
      </c>
      <c r="AB42" s="106">
        <v>1817</v>
      </c>
      <c r="AC42" s="106">
        <f t="shared" si="6"/>
        <v>0</v>
      </c>
      <c r="AD42" s="106">
        <v>1817</v>
      </c>
      <c r="AE42" s="107">
        <f t="shared" si="7"/>
        <v>-72</v>
      </c>
    </row>
    <row r="43" spans="2:31" ht="15.6" customHeight="1" thickBot="1" x14ac:dyDescent="0.35">
      <c r="N43" s="213"/>
      <c r="O43" s="97" t="s">
        <v>73</v>
      </c>
      <c r="P43" s="110"/>
      <c r="Q43" s="110">
        <v>1675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457</v>
      </c>
      <c r="V43" s="110">
        <v>914</v>
      </c>
      <c r="W43" s="110">
        <f t="shared" si="3"/>
        <v>0</v>
      </c>
      <c r="X43" s="110">
        <v>914</v>
      </c>
      <c r="Y43" s="110">
        <f t="shared" si="4"/>
        <v>196</v>
      </c>
      <c r="Z43" s="110">
        <v>1306</v>
      </c>
      <c r="AA43" s="110">
        <f t="shared" si="5"/>
        <v>179</v>
      </c>
      <c r="AB43" s="110">
        <v>1664</v>
      </c>
      <c r="AC43" s="110">
        <f t="shared" si="6"/>
        <v>0</v>
      </c>
      <c r="AD43" s="110">
        <v>1664</v>
      </c>
      <c r="AE43" s="111">
        <f t="shared" si="7"/>
        <v>-11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2853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1426.5</v>
      </c>
      <c r="X44" s="112">
        <v>2853</v>
      </c>
      <c r="Y44" s="112">
        <f t="shared" si="4"/>
        <v>0</v>
      </c>
      <c r="Z44" s="112">
        <v>2853</v>
      </c>
      <c r="AA44" s="112">
        <f t="shared" si="5"/>
        <v>0</v>
      </c>
      <c r="AB44" s="112">
        <v>2853</v>
      </c>
      <c r="AC44" s="112">
        <f t="shared" si="6"/>
        <v>0</v>
      </c>
      <c r="AD44" s="112">
        <v>2853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2289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1144.5</v>
      </c>
      <c r="X45" s="108">
        <v>2289</v>
      </c>
      <c r="Y45" s="108">
        <f t="shared" si="4"/>
        <v>0</v>
      </c>
      <c r="Z45" s="108">
        <v>2289</v>
      </c>
      <c r="AA45" s="108">
        <f t="shared" si="5"/>
        <v>0</v>
      </c>
      <c r="AB45" s="108">
        <v>2289</v>
      </c>
      <c r="AC45" s="108">
        <f t="shared" si="6"/>
        <v>0</v>
      </c>
      <c r="AD45" s="108">
        <v>2289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2640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1320</v>
      </c>
      <c r="X46" s="106">
        <v>2640</v>
      </c>
      <c r="Y46" s="106">
        <f t="shared" si="4"/>
        <v>0</v>
      </c>
      <c r="Z46" s="106">
        <v>2640</v>
      </c>
      <c r="AA46" s="106">
        <f t="shared" si="5"/>
        <v>0</v>
      </c>
      <c r="AB46" s="106">
        <v>2640</v>
      </c>
      <c r="AC46" s="106">
        <f t="shared" si="6"/>
        <v>0</v>
      </c>
      <c r="AD46" s="106">
        <v>2640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2987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1237</v>
      </c>
      <c r="V47" s="110">
        <v>2474</v>
      </c>
      <c r="W47" s="110">
        <f t="shared" si="3"/>
        <v>256.5</v>
      </c>
      <c r="X47" s="110">
        <v>2987</v>
      </c>
      <c r="Y47" s="110">
        <f t="shared" si="4"/>
        <v>0</v>
      </c>
      <c r="Z47" s="110">
        <v>2987</v>
      </c>
      <c r="AA47" s="110">
        <f t="shared" si="5"/>
        <v>0</v>
      </c>
      <c r="AB47" s="110">
        <v>2987</v>
      </c>
      <c r="AC47" s="110">
        <f t="shared" si="6"/>
        <v>0</v>
      </c>
      <c r="AD47" s="110">
        <v>2987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290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44.5</v>
      </c>
      <c r="V48" s="112">
        <v>89</v>
      </c>
      <c r="W48" s="112">
        <f t="shared" si="3"/>
        <v>93</v>
      </c>
      <c r="X48" s="112">
        <v>275</v>
      </c>
      <c r="Y48" s="112">
        <f t="shared" si="4"/>
        <v>9</v>
      </c>
      <c r="Z48" s="112">
        <v>293</v>
      </c>
      <c r="AA48" s="112">
        <f t="shared" si="5"/>
        <v>0</v>
      </c>
      <c r="AB48" s="112">
        <v>293</v>
      </c>
      <c r="AC48" s="112">
        <f t="shared" si="6"/>
        <v>0</v>
      </c>
      <c r="AD48" s="112">
        <v>293</v>
      </c>
      <c r="AE48" s="113">
        <f t="shared" si="7"/>
        <v>3</v>
      </c>
    </row>
    <row r="49" spans="14:31" ht="15.6" customHeight="1" x14ac:dyDescent="0.3">
      <c r="N49" s="212"/>
      <c r="O49" s="94" t="s">
        <v>66</v>
      </c>
      <c r="P49" s="108"/>
      <c r="Q49" s="108">
        <v>490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121</v>
      </c>
      <c r="V49" s="108">
        <v>242</v>
      </c>
      <c r="W49" s="108">
        <f t="shared" si="3"/>
        <v>122.5</v>
      </c>
      <c r="X49" s="108">
        <v>487</v>
      </c>
      <c r="Y49" s="108">
        <f t="shared" si="4"/>
        <v>0</v>
      </c>
      <c r="Z49" s="108">
        <v>487</v>
      </c>
      <c r="AA49" s="108">
        <f t="shared" si="5"/>
        <v>0</v>
      </c>
      <c r="AB49" s="108">
        <v>487</v>
      </c>
      <c r="AC49" s="108">
        <f t="shared" si="6"/>
        <v>0</v>
      </c>
      <c r="AD49" s="108">
        <v>487</v>
      </c>
      <c r="AE49" s="109">
        <f t="shared" si="7"/>
        <v>-3</v>
      </c>
    </row>
    <row r="50" spans="14:31" ht="15.6" customHeight="1" x14ac:dyDescent="0.3">
      <c r="N50" s="212"/>
      <c r="O50" s="95" t="s">
        <v>67</v>
      </c>
      <c r="P50" s="106"/>
      <c r="Q50" s="106">
        <v>1749</v>
      </c>
      <c r="R50" s="106">
        <v>801</v>
      </c>
      <c r="S50" s="106">
        <f t="shared" si="1"/>
        <v>-171</v>
      </c>
      <c r="T50" s="106">
        <v>459</v>
      </c>
      <c r="U50" s="106">
        <f t="shared" si="2"/>
        <v>150</v>
      </c>
      <c r="V50" s="106">
        <v>759</v>
      </c>
      <c r="W50" s="106">
        <f t="shared" si="3"/>
        <v>83.5</v>
      </c>
      <c r="X50" s="106">
        <v>926</v>
      </c>
      <c r="Y50" s="106">
        <f t="shared" si="4"/>
        <v>0</v>
      </c>
      <c r="Z50" s="106">
        <v>926</v>
      </c>
      <c r="AA50" s="106">
        <f t="shared" si="5"/>
        <v>0</v>
      </c>
      <c r="AB50" s="106">
        <v>926</v>
      </c>
      <c r="AC50" s="106">
        <f t="shared" si="6"/>
        <v>0</v>
      </c>
      <c r="AD50" s="106">
        <v>926</v>
      </c>
      <c r="AE50" s="107">
        <f t="shared" si="7"/>
        <v>-823</v>
      </c>
    </row>
    <row r="51" spans="14:31" ht="15.6" customHeight="1" x14ac:dyDescent="0.3">
      <c r="N51" s="212"/>
      <c r="O51" s="94" t="s">
        <v>68</v>
      </c>
      <c r="P51" s="108"/>
      <c r="Q51" s="108">
        <v>2961</v>
      </c>
      <c r="R51" s="108">
        <v>439</v>
      </c>
      <c r="S51" s="108">
        <f t="shared" si="1"/>
        <v>8.5</v>
      </c>
      <c r="T51" s="108">
        <v>456</v>
      </c>
      <c r="U51" s="108">
        <f t="shared" si="2"/>
        <v>1</v>
      </c>
      <c r="V51" s="108">
        <v>458</v>
      </c>
      <c r="W51" s="108">
        <f t="shared" si="3"/>
        <v>324</v>
      </c>
      <c r="X51" s="108">
        <v>1106</v>
      </c>
      <c r="Y51" s="108">
        <f t="shared" si="4"/>
        <v>0</v>
      </c>
      <c r="Z51" s="108">
        <v>1106</v>
      </c>
      <c r="AA51" s="108">
        <f t="shared" si="5"/>
        <v>0</v>
      </c>
      <c r="AB51" s="108">
        <v>1106</v>
      </c>
      <c r="AC51" s="108">
        <f t="shared" si="6"/>
        <v>0</v>
      </c>
      <c r="AD51" s="108">
        <v>1106</v>
      </c>
      <c r="AE51" s="109">
        <f t="shared" si="7"/>
        <v>-1855</v>
      </c>
    </row>
    <row r="52" spans="14:31" ht="15.6" customHeight="1" x14ac:dyDescent="0.3">
      <c r="N52" s="212"/>
      <c r="O52" s="95" t="s">
        <v>69</v>
      </c>
      <c r="P52" s="106"/>
      <c r="Q52" s="106">
        <v>1723</v>
      </c>
      <c r="R52" s="106">
        <v>0</v>
      </c>
      <c r="S52" s="106">
        <f t="shared" si="1"/>
        <v>36</v>
      </c>
      <c r="T52" s="106">
        <v>72</v>
      </c>
      <c r="U52" s="106">
        <f t="shared" si="2"/>
        <v>192</v>
      </c>
      <c r="V52" s="106">
        <v>456</v>
      </c>
      <c r="W52" s="106">
        <f t="shared" si="3"/>
        <v>141</v>
      </c>
      <c r="X52" s="106">
        <v>738</v>
      </c>
      <c r="Y52" s="106">
        <f t="shared" si="4"/>
        <v>0</v>
      </c>
      <c r="Z52" s="106">
        <v>738</v>
      </c>
      <c r="AA52" s="106">
        <f t="shared" si="5"/>
        <v>0</v>
      </c>
      <c r="AB52" s="106">
        <v>738</v>
      </c>
      <c r="AC52" s="106">
        <f t="shared" si="6"/>
        <v>0</v>
      </c>
      <c r="AD52" s="106">
        <v>738</v>
      </c>
      <c r="AE52" s="107">
        <f t="shared" si="7"/>
        <v>-985</v>
      </c>
    </row>
    <row r="53" spans="14:31" ht="15.6" customHeight="1" x14ac:dyDescent="0.3">
      <c r="N53" s="212"/>
      <c r="O53" s="94" t="s">
        <v>70</v>
      </c>
      <c r="P53" s="108"/>
      <c r="Q53" s="108">
        <v>1335</v>
      </c>
      <c r="R53" s="108">
        <v>696</v>
      </c>
      <c r="S53" s="108">
        <f t="shared" si="1"/>
        <v>167.5</v>
      </c>
      <c r="T53" s="108">
        <v>1031</v>
      </c>
      <c r="U53" s="108">
        <f t="shared" si="2"/>
        <v>21</v>
      </c>
      <c r="V53" s="108">
        <v>1073</v>
      </c>
      <c r="W53" s="108">
        <f t="shared" si="3"/>
        <v>66</v>
      </c>
      <c r="X53" s="108">
        <v>1205</v>
      </c>
      <c r="Y53" s="108">
        <f t="shared" si="4"/>
        <v>0</v>
      </c>
      <c r="Z53" s="108">
        <v>1205</v>
      </c>
      <c r="AA53" s="108">
        <f t="shared" si="5"/>
        <v>0</v>
      </c>
      <c r="AB53" s="108">
        <v>1205</v>
      </c>
      <c r="AC53" s="108">
        <f t="shared" si="6"/>
        <v>0</v>
      </c>
      <c r="AD53" s="108">
        <v>1205</v>
      </c>
      <c r="AE53" s="109">
        <f t="shared" si="7"/>
        <v>-130</v>
      </c>
    </row>
    <row r="54" spans="14:31" ht="15.6" customHeight="1" x14ac:dyDescent="0.3">
      <c r="N54" s="212"/>
      <c r="O54" s="95" t="s">
        <v>71</v>
      </c>
      <c r="P54" s="106"/>
      <c r="Q54" s="106">
        <v>3914</v>
      </c>
      <c r="R54" s="106">
        <v>1704</v>
      </c>
      <c r="S54" s="106">
        <f t="shared" si="1"/>
        <v>0</v>
      </c>
      <c r="T54" s="106">
        <v>1704</v>
      </c>
      <c r="U54" s="106">
        <f t="shared" si="2"/>
        <v>199</v>
      </c>
      <c r="V54" s="106">
        <v>2102</v>
      </c>
      <c r="W54" s="106">
        <f t="shared" si="3"/>
        <v>874</v>
      </c>
      <c r="X54" s="106">
        <v>3850</v>
      </c>
      <c r="Y54" s="106">
        <f t="shared" si="4"/>
        <v>28</v>
      </c>
      <c r="Z54" s="106">
        <v>3906</v>
      </c>
      <c r="AA54" s="106">
        <f t="shared" si="5"/>
        <v>0</v>
      </c>
      <c r="AB54" s="106">
        <v>3906</v>
      </c>
      <c r="AC54" s="106">
        <f t="shared" si="6"/>
        <v>0</v>
      </c>
      <c r="AD54" s="106">
        <v>3906</v>
      </c>
      <c r="AE54" s="107">
        <f t="shared" si="7"/>
        <v>-8</v>
      </c>
    </row>
    <row r="55" spans="14:31" ht="15.6" customHeight="1" x14ac:dyDescent="0.3">
      <c r="N55" s="212"/>
      <c r="O55" s="94" t="s">
        <v>72</v>
      </c>
      <c r="P55" s="108"/>
      <c r="Q55" s="108">
        <v>258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20</v>
      </c>
      <c r="V55" s="108">
        <v>40</v>
      </c>
      <c r="W55" s="108">
        <f t="shared" si="3"/>
        <v>98.5</v>
      </c>
      <c r="X55" s="108">
        <v>237</v>
      </c>
      <c r="Y55" s="108">
        <f t="shared" si="4"/>
        <v>0</v>
      </c>
      <c r="Z55" s="108">
        <v>237</v>
      </c>
      <c r="AA55" s="108">
        <f t="shared" si="5"/>
        <v>0</v>
      </c>
      <c r="AB55" s="108">
        <v>237</v>
      </c>
      <c r="AC55" s="108">
        <f t="shared" si="6"/>
        <v>0</v>
      </c>
      <c r="AD55" s="108">
        <v>237</v>
      </c>
      <c r="AE55" s="109">
        <f t="shared" si="7"/>
        <v>-21</v>
      </c>
    </row>
    <row r="56" spans="14:31" ht="15.6" customHeight="1" thickBot="1" x14ac:dyDescent="0.35">
      <c r="N56" s="213"/>
      <c r="O56" s="99" t="s">
        <v>73</v>
      </c>
      <c r="P56" s="114"/>
      <c r="Q56" s="114">
        <v>922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202.5</v>
      </c>
      <c r="V56" s="114">
        <v>405</v>
      </c>
      <c r="W56" s="114">
        <f t="shared" si="3"/>
        <v>369.5</v>
      </c>
      <c r="X56" s="114">
        <v>1144</v>
      </c>
      <c r="Y56" s="114">
        <f t="shared" si="4"/>
        <v>25.5</v>
      </c>
      <c r="Z56" s="114">
        <v>1195</v>
      </c>
      <c r="AA56" s="114">
        <f t="shared" si="5"/>
        <v>0</v>
      </c>
      <c r="AB56" s="114">
        <v>1195</v>
      </c>
      <c r="AC56" s="114">
        <f t="shared" si="6"/>
        <v>0</v>
      </c>
      <c r="AD56" s="114">
        <v>1195</v>
      </c>
      <c r="AE56" s="115">
        <f t="shared" si="7"/>
        <v>273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2127</v>
      </c>
      <c r="R57" s="104">
        <v>147</v>
      </c>
      <c r="S57" s="104">
        <f t="shared" si="1"/>
        <v>66</v>
      </c>
      <c r="T57" s="104">
        <v>279</v>
      </c>
      <c r="U57" s="104">
        <f t="shared" si="2"/>
        <v>0</v>
      </c>
      <c r="V57" s="104">
        <v>279</v>
      </c>
      <c r="W57" s="104">
        <f t="shared" si="3"/>
        <v>357</v>
      </c>
      <c r="X57" s="104">
        <v>993</v>
      </c>
      <c r="Y57" s="104">
        <f t="shared" si="4"/>
        <v>0</v>
      </c>
      <c r="Z57" s="104">
        <v>993</v>
      </c>
      <c r="AA57" s="104">
        <f t="shared" si="5"/>
        <v>0</v>
      </c>
      <c r="AB57" s="104">
        <v>993</v>
      </c>
      <c r="AC57" s="104">
        <f t="shared" si="6"/>
        <v>0</v>
      </c>
      <c r="AD57" s="104">
        <v>993</v>
      </c>
      <c r="AE57" s="105">
        <f t="shared" si="7"/>
        <v>-1134</v>
      </c>
    </row>
    <row r="58" spans="14:31" ht="15.6" customHeight="1" x14ac:dyDescent="0.3">
      <c r="N58" s="212"/>
      <c r="O58" s="95" t="s">
        <v>66</v>
      </c>
      <c r="P58" s="106"/>
      <c r="Q58" s="106">
        <v>2526</v>
      </c>
      <c r="R58" s="106">
        <v>1588</v>
      </c>
      <c r="S58" s="106">
        <f t="shared" si="1"/>
        <v>2</v>
      </c>
      <c r="T58" s="106">
        <v>1592</v>
      </c>
      <c r="U58" s="106">
        <f t="shared" si="2"/>
        <v>106.5</v>
      </c>
      <c r="V58" s="106">
        <v>1805</v>
      </c>
      <c r="W58" s="106">
        <f t="shared" si="3"/>
        <v>72.5</v>
      </c>
      <c r="X58" s="106">
        <v>1950</v>
      </c>
      <c r="Y58" s="106">
        <f t="shared" si="4"/>
        <v>0</v>
      </c>
      <c r="Z58" s="106">
        <v>1950</v>
      </c>
      <c r="AA58" s="106">
        <f t="shared" si="5"/>
        <v>0</v>
      </c>
      <c r="AB58" s="106">
        <v>1950</v>
      </c>
      <c r="AC58" s="106">
        <f t="shared" si="6"/>
        <v>0</v>
      </c>
      <c r="AD58" s="106">
        <v>1950</v>
      </c>
      <c r="AE58" s="107">
        <f t="shared" si="7"/>
        <v>-576</v>
      </c>
    </row>
    <row r="59" spans="14:31" ht="15.6" customHeight="1" x14ac:dyDescent="0.3">
      <c r="N59" s="212"/>
      <c r="O59" s="94" t="s">
        <v>67</v>
      </c>
      <c r="P59" s="108"/>
      <c r="Q59" s="108">
        <v>5638</v>
      </c>
      <c r="R59" s="108">
        <v>737</v>
      </c>
      <c r="S59" s="108">
        <f t="shared" si="1"/>
        <v>510.5</v>
      </c>
      <c r="T59" s="108">
        <v>1758</v>
      </c>
      <c r="U59" s="108">
        <f t="shared" si="2"/>
        <v>104.5</v>
      </c>
      <c r="V59" s="108">
        <v>1967</v>
      </c>
      <c r="W59" s="108">
        <f t="shared" si="3"/>
        <v>816.5</v>
      </c>
      <c r="X59" s="108">
        <v>3600</v>
      </c>
      <c r="Y59" s="108">
        <f t="shared" si="4"/>
        <v>59.5</v>
      </c>
      <c r="Z59" s="108">
        <v>3719</v>
      </c>
      <c r="AA59" s="108">
        <f t="shared" si="5"/>
        <v>0</v>
      </c>
      <c r="AB59" s="108">
        <v>3719</v>
      </c>
      <c r="AC59" s="108">
        <f t="shared" si="6"/>
        <v>0</v>
      </c>
      <c r="AD59" s="108">
        <v>3719</v>
      </c>
      <c r="AE59" s="109">
        <f t="shared" si="7"/>
        <v>-1919</v>
      </c>
    </row>
    <row r="60" spans="14:31" ht="15.6" customHeight="1" thickBot="1" x14ac:dyDescent="0.35">
      <c r="N60" s="213"/>
      <c r="O60" s="99" t="s">
        <v>68</v>
      </c>
      <c r="P60" s="114"/>
      <c r="Q60" s="114">
        <v>3842</v>
      </c>
      <c r="R60" s="114">
        <v>1912</v>
      </c>
      <c r="S60" s="114">
        <f t="shared" si="1"/>
        <v>30</v>
      </c>
      <c r="T60" s="114">
        <v>1972</v>
      </c>
      <c r="U60" s="114">
        <f t="shared" si="2"/>
        <v>512.5</v>
      </c>
      <c r="V60" s="114">
        <v>2997</v>
      </c>
      <c r="W60" s="114">
        <f t="shared" si="3"/>
        <v>239</v>
      </c>
      <c r="X60" s="114">
        <v>3475</v>
      </c>
      <c r="Y60" s="114">
        <f t="shared" si="4"/>
        <v>0</v>
      </c>
      <c r="Z60" s="114">
        <v>3475</v>
      </c>
      <c r="AA60" s="114">
        <f t="shared" si="5"/>
        <v>0</v>
      </c>
      <c r="AB60" s="114">
        <v>3475</v>
      </c>
      <c r="AC60" s="114">
        <f t="shared" si="6"/>
        <v>0</v>
      </c>
      <c r="AD60" s="114">
        <v>3475</v>
      </c>
      <c r="AE60" s="115">
        <f t="shared" si="7"/>
        <v>-367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4403</v>
      </c>
      <c r="R61" s="104">
        <v>185</v>
      </c>
      <c r="S61" s="104">
        <f t="shared" si="1"/>
        <v>518</v>
      </c>
      <c r="T61" s="104">
        <v>1221</v>
      </c>
      <c r="U61" s="104">
        <f t="shared" si="2"/>
        <v>274</v>
      </c>
      <c r="V61" s="104">
        <v>1769</v>
      </c>
      <c r="W61" s="104">
        <f t="shared" si="3"/>
        <v>290.5</v>
      </c>
      <c r="X61" s="104">
        <v>2350</v>
      </c>
      <c r="Y61" s="104">
        <f t="shared" si="4"/>
        <v>225.5</v>
      </c>
      <c r="Z61" s="104">
        <v>2801</v>
      </c>
      <c r="AA61" s="104">
        <f t="shared" si="5"/>
        <v>0</v>
      </c>
      <c r="AB61" s="104">
        <v>2801</v>
      </c>
      <c r="AC61" s="104">
        <f t="shared" si="6"/>
        <v>0</v>
      </c>
      <c r="AD61" s="104">
        <v>2801</v>
      </c>
      <c r="AE61" s="105">
        <f t="shared" si="7"/>
        <v>-1602</v>
      </c>
    </row>
    <row r="62" spans="14:31" ht="15.6" customHeight="1" x14ac:dyDescent="0.3">
      <c r="N62" s="212"/>
      <c r="O62" s="95" t="s">
        <v>66</v>
      </c>
      <c r="P62" s="106"/>
      <c r="Q62" s="106">
        <v>1690</v>
      </c>
      <c r="R62" s="106">
        <v>60</v>
      </c>
      <c r="S62" s="106">
        <f t="shared" si="1"/>
        <v>86.5</v>
      </c>
      <c r="T62" s="106">
        <v>233</v>
      </c>
      <c r="U62" s="106">
        <f t="shared" si="2"/>
        <v>0</v>
      </c>
      <c r="V62" s="106">
        <v>233</v>
      </c>
      <c r="W62" s="106">
        <f t="shared" si="3"/>
        <v>748.5</v>
      </c>
      <c r="X62" s="106">
        <v>1730</v>
      </c>
      <c r="Y62" s="106">
        <f t="shared" si="4"/>
        <v>53</v>
      </c>
      <c r="Z62" s="106">
        <v>1836</v>
      </c>
      <c r="AA62" s="106">
        <f t="shared" si="5"/>
        <v>50.5</v>
      </c>
      <c r="AB62" s="106">
        <v>1937</v>
      </c>
      <c r="AC62" s="106">
        <f t="shared" si="6"/>
        <v>0</v>
      </c>
      <c r="AD62" s="106">
        <v>1937</v>
      </c>
      <c r="AE62" s="107">
        <f t="shared" si="7"/>
        <v>247</v>
      </c>
    </row>
    <row r="63" spans="14:31" ht="15.6" customHeight="1" x14ac:dyDescent="0.3">
      <c r="N63" s="212"/>
      <c r="O63" s="94" t="s">
        <v>67</v>
      </c>
      <c r="P63" s="108"/>
      <c r="Q63" s="108">
        <v>1670</v>
      </c>
      <c r="R63" s="108">
        <v>233</v>
      </c>
      <c r="S63" s="108">
        <f t="shared" si="1"/>
        <v>243.5</v>
      </c>
      <c r="T63" s="108">
        <v>720</v>
      </c>
      <c r="U63" s="108">
        <f t="shared" si="2"/>
        <v>80.5</v>
      </c>
      <c r="V63" s="108">
        <v>881</v>
      </c>
      <c r="W63" s="108">
        <f t="shared" si="3"/>
        <v>226.5</v>
      </c>
      <c r="X63" s="108">
        <v>1334</v>
      </c>
      <c r="Y63" s="108">
        <f t="shared" si="4"/>
        <v>111.5</v>
      </c>
      <c r="Z63" s="108">
        <v>1557</v>
      </c>
      <c r="AA63" s="108">
        <f t="shared" si="5"/>
        <v>17.5</v>
      </c>
      <c r="AB63" s="108">
        <v>1592</v>
      </c>
      <c r="AC63" s="108">
        <f t="shared" si="6"/>
        <v>0</v>
      </c>
      <c r="AD63" s="108">
        <v>1592</v>
      </c>
      <c r="AE63" s="109">
        <f t="shared" si="7"/>
        <v>-78</v>
      </c>
    </row>
    <row r="64" spans="14:31" ht="15.6" customHeight="1" thickBot="1" x14ac:dyDescent="0.35">
      <c r="N64" s="213"/>
      <c r="O64" s="99" t="s">
        <v>68</v>
      </c>
      <c r="P64" s="114"/>
      <c r="Q64" s="114">
        <v>1458</v>
      </c>
      <c r="R64" s="114">
        <v>833</v>
      </c>
      <c r="S64" s="114">
        <f t="shared" si="1"/>
        <v>148.5</v>
      </c>
      <c r="T64" s="114">
        <v>1130</v>
      </c>
      <c r="U64" s="114">
        <f t="shared" si="2"/>
        <v>189.5</v>
      </c>
      <c r="V64" s="114">
        <v>1509</v>
      </c>
      <c r="W64" s="114">
        <f t="shared" si="3"/>
        <v>81.5</v>
      </c>
      <c r="X64" s="114">
        <v>1672</v>
      </c>
      <c r="Y64" s="114">
        <f t="shared" si="4"/>
        <v>115.5</v>
      </c>
      <c r="Z64" s="114">
        <v>1903</v>
      </c>
      <c r="AA64" s="114">
        <f t="shared" si="5"/>
        <v>0</v>
      </c>
      <c r="AB64" s="114">
        <v>1903</v>
      </c>
      <c r="AC64" s="114">
        <f t="shared" si="6"/>
        <v>0</v>
      </c>
      <c r="AD64" s="114">
        <v>1903</v>
      </c>
      <c r="AE64" s="115">
        <f t="shared" si="7"/>
        <v>445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23" priority="11" operator="lessThan">
      <formula>0</formula>
    </cfRule>
    <cfRule type="cellIs" dxfId="1222" priority="12" operator="greaterThan">
      <formula>0</formula>
    </cfRule>
  </conditionalFormatting>
  <conditionalFormatting sqref="R25:AC25">
    <cfRule type="cellIs" dxfId="1221" priority="9" operator="lessThan">
      <formula>0</formula>
    </cfRule>
    <cfRule type="cellIs" dxfId="1220" priority="10" operator="greaterThan">
      <formula>0</formula>
    </cfRule>
  </conditionalFormatting>
  <conditionalFormatting sqref="R26 T26 V26 X26 Z26 AB26">
    <cfRule type="cellIs" dxfId="1219" priority="7" operator="lessThan">
      <formula>0</formula>
    </cfRule>
    <cfRule type="cellIs" dxfId="1218" priority="8" operator="greaterThan">
      <formula>0</formula>
    </cfRule>
  </conditionalFormatting>
  <conditionalFormatting sqref="AD24:AE24">
    <cfRule type="cellIs" dxfId="1217" priority="5" operator="lessThan">
      <formula>0</formula>
    </cfRule>
    <cfRule type="cellIs" dxfId="1216" priority="6" operator="greaterThan">
      <formula>0</formula>
    </cfRule>
  </conditionalFormatting>
  <conditionalFormatting sqref="AD25:AE25">
    <cfRule type="cellIs" dxfId="1215" priority="3" operator="lessThan">
      <formula>0</formula>
    </cfRule>
    <cfRule type="cellIs" dxfId="1214" priority="4" operator="greaterThan">
      <formula>0</formula>
    </cfRule>
  </conditionalFormatting>
  <conditionalFormatting sqref="AD26">
    <cfRule type="cellIs" dxfId="1213" priority="1" operator="lessThan">
      <formula>0</formula>
    </cfRule>
    <cfRule type="cellIs" dxfId="121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>
    <tabColor theme="1"/>
    <pageSetUpPr fitToPage="1"/>
  </sheetPr>
  <dimension ref="B1:AQ64"/>
  <sheetViews>
    <sheetView topLeftCell="E4" zoomScale="70" zoomScaleNormal="7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44417</v>
      </c>
    </row>
    <row r="3" spans="2:42" ht="18.75" customHeight="1" thickBot="1" x14ac:dyDescent="0.35">
      <c r="B3" t="s">
        <v>1</v>
      </c>
      <c r="C3" s="3">
        <f>C2+1</f>
        <v>44418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2374</v>
      </c>
      <c r="E6" s="18" t="s">
        <v>22</v>
      </c>
      <c r="F6" s="119">
        <v>20345</v>
      </c>
      <c r="G6" s="117">
        <v>17393.26149999999</v>
      </c>
      <c r="H6" s="117">
        <v>14408.65573156002</v>
      </c>
      <c r="I6" s="19">
        <f>G6+H6</f>
        <v>31801.917231560008</v>
      </c>
      <c r="J6" s="119">
        <v>20537</v>
      </c>
      <c r="K6" s="117">
        <v>16985.804</v>
      </c>
      <c r="L6" s="117">
        <v>14310.413208880011</v>
      </c>
      <c r="M6" s="19">
        <f>K6+L6</f>
        <v>31296.217208880011</v>
      </c>
      <c r="N6" s="85">
        <v>60</v>
      </c>
      <c r="O6" s="85">
        <v>48</v>
      </c>
      <c r="P6" s="92"/>
      <c r="Q6" s="20">
        <f>J6-P6</f>
        <v>20537</v>
      </c>
      <c r="R6" s="21">
        <v>1331</v>
      </c>
      <c r="S6" s="20">
        <f>IF(R6&gt;0,(R6-R7-$Q6),"")</f>
        <v>-19222</v>
      </c>
      <c r="T6" s="21">
        <v>3198</v>
      </c>
      <c r="U6" s="20">
        <f>IF(T6&gt;0,(T6-T7-$Q6),"")</f>
        <v>-17374</v>
      </c>
      <c r="V6" s="21">
        <v>6927</v>
      </c>
      <c r="W6" s="20">
        <f>IF(V6&gt;0,(V6-V7-$Q6),"")</f>
        <v>-13649</v>
      </c>
      <c r="X6" s="21">
        <v>10058</v>
      </c>
      <c r="Y6" s="20">
        <f>IF(X6&gt;0,(X6-X7-$Q6),"")</f>
        <v>-10522</v>
      </c>
      <c r="Z6" s="21">
        <v>11714</v>
      </c>
      <c r="AA6" s="20">
        <f>IF(Z6&gt;0,(Z6-Z7-$Q6),"")</f>
        <v>-8946</v>
      </c>
      <c r="AB6" s="21">
        <v>17430</v>
      </c>
      <c r="AC6" s="22">
        <f>IF(AB6&gt;0,(AB6-AB7-$Q6),"")</f>
        <v>-3269</v>
      </c>
      <c r="AD6" s="21">
        <v>18194</v>
      </c>
      <c r="AE6" s="22">
        <f>IF(AD6&gt;0,(AD6-AD7-$Q6),"")</f>
        <v>-2505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16</v>
      </c>
      <c r="S7" s="24"/>
      <c r="T7" s="25">
        <v>35</v>
      </c>
      <c r="U7" s="24"/>
      <c r="V7" s="25">
        <v>39</v>
      </c>
      <c r="W7" s="24"/>
      <c r="X7" s="25">
        <v>43</v>
      </c>
      <c r="Y7" s="24"/>
      <c r="Z7" s="25">
        <v>123</v>
      </c>
      <c r="AA7" s="24"/>
      <c r="AB7" s="25">
        <v>162</v>
      </c>
      <c r="AC7" s="26"/>
      <c r="AD7" s="25">
        <v>162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2699</v>
      </c>
      <c r="E8" s="29" t="s">
        <v>27</v>
      </c>
      <c r="F8" s="119">
        <v>11500</v>
      </c>
      <c r="G8" s="117">
        <v>4772.1000000000004</v>
      </c>
      <c r="H8" s="117">
        <v>1452.7195750000001</v>
      </c>
      <c r="I8" s="19">
        <f>G8+H8</f>
        <v>6224.8195750000004</v>
      </c>
      <c r="J8" s="119">
        <v>11610</v>
      </c>
      <c r="K8" s="117">
        <v>4782.5239999999994</v>
      </c>
      <c r="L8" s="117">
        <v>1467.8954355000001</v>
      </c>
      <c r="M8" s="19">
        <f>K8+L8</f>
        <v>6250.4194355</v>
      </c>
      <c r="N8" s="87">
        <v>27</v>
      </c>
      <c r="O8" s="87">
        <v>18</v>
      </c>
      <c r="P8" s="92"/>
      <c r="Q8" s="20">
        <f>J8-P8</f>
        <v>11610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4560</v>
      </c>
      <c r="W8" s="20">
        <f>IF(V8&gt;0,(V8-V9-$Q8),"")</f>
        <v>-7050</v>
      </c>
      <c r="X8" s="21">
        <v>5685</v>
      </c>
      <c r="Y8" s="20">
        <f>IF(X8&gt;0,(X8-X9-$Q8),"")</f>
        <v>-5925</v>
      </c>
      <c r="Z8" s="21">
        <v>11610</v>
      </c>
      <c r="AA8" s="20">
        <f>IF(Z8&gt;0,(Z8-Z9-$Q8),"")</f>
        <v>0</v>
      </c>
      <c r="AB8" s="21">
        <v>11610</v>
      </c>
      <c r="AC8" s="22">
        <f>IF(AB8&gt;0,(AB8-AB9-$Q8),"")</f>
        <v>0</v>
      </c>
      <c r="AD8" s="21">
        <v>11610</v>
      </c>
      <c r="AE8" s="22">
        <f>IF(AD8&gt;0,(AD8-AD9-$Q8),"")</f>
        <v>0</v>
      </c>
    </row>
    <row r="9" spans="2:42" x14ac:dyDescent="0.3">
      <c r="B9" s="28" t="s">
        <v>28</v>
      </c>
      <c r="C9" s="17">
        <v>1567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5817</v>
      </c>
      <c r="E10" s="18" t="s">
        <v>31</v>
      </c>
      <c r="F10" s="119">
        <v>12844</v>
      </c>
      <c r="G10" s="117">
        <v>9403.8644999999997</v>
      </c>
      <c r="H10" s="117">
        <v>1762.3178</v>
      </c>
      <c r="I10" s="19">
        <f>G10+H10</f>
        <v>11166.1823</v>
      </c>
      <c r="J10" s="119">
        <v>13493</v>
      </c>
      <c r="K10" s="117">
        <v>9729.564687500002</v>
      </c>
      <c r="L10" s="117">
        <v>1805.8294725000001</v>
      </c>
      <c r="M10" s="19">
        <f>K10+L10</f>
        <v>11535.394160000002</v>
      </c>
      <c r="N10" s="88">
        <v>45</v>
      </c>
      <c r="O10" s="88">
        <v>30</v>
      </c>
      <c r="P10" s="92"/>
      <c r="Q10" s="20">
        <f>J10-P10</f>
        <v>13493</v>
      </c>
      <c r="R10" s="21">
        <v>2029</v>
      </c>
      <c r="S10" s="20">
        <f>IF(R10&gt;0,(R10-R11-$Q10),"")</f>
        <v>-11464</v>
      </c>
      <c r="T10" s="21">
        <v>4910</v>
      </c>
      <c r="U10" s="20">
        <f>IF(T10&gt;0,(T10-T11-$Q10),"")</f>
        <v>-9791</v>
      </c>
      <c r="V10" s="21">
        <v>8144</v>
      </c>
      <c r="W10" s="20">
        <f>IF(V10&gt;0,(V10-V11-$Q10),"")</f>
        <v>-6629</v>
      </c>
      <c r="X10" s="21">
        <v>10601</v>
      </c>
      <c r="Y10" s="20">
        <f>IF(X10&gt;0,(X10-X11-$Q10),"")</f>
        <v>-5347</v>
      </c>
      <c r="Z10" s="21">
        <v>10804</v>
      </c>
      <c r="AA10" s="20">
        <f>IF(Z10&gt;0,(Z10-Z11-$Q10),"")</f>
        <v>-5261</v>
      </c>
      <c r="AB10" s="21">
        <v>10804</v>
      </c>
      <c r="AC10" s="22">
        <f>IF(AB10&gt;0,(AB10-AB11-$Q10),"")</f>
        <v>-5261</v>
      </c>
      <c r="AD10" s="21">
        <v>10804</v>
      </c>
      <c r="AE10" s="22">
        <f>IF(AD10&gt;0,(AD10-AD11-$Q10),"")</f>
        <v>-5261</v>
      </c>
    </row>
    <row r="11" spans="2:42" x14ac:dyDescent="0.3">
      <c r="B11" s="16" t="s">
        <v>32</v>
      </c>
      <c r="C11" s="17">
        <v>2226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15</v>
      </c>
      <c r="P11" s="93" t="s">
        <v>33</v>
      </c>
      <c r="Q11" s="24"/>
      <c r="R11" s="30">
        <v>0</v>
      </c>
      <c r="S11" s="24"/>
      <c r="T11" s="30">
        <v>1208</v>
      </c>
      <c r="U11" s="24"/>
      <c r="V11" s="30">
        <v>1280</v>
      </c>
      <c r="W11" s="24"/>
      <c r="X11" s="30">
        <v>2455</v>
      </c>
      <c r="Y11" s="24"/>
      <c r="Z11" s="30">
        <v>2572</v>
      </c>
      <c r="AA11" s="24"/>
      <c r="AB11" s="30">
        <v>2572</v>
      </c>
      <c r="AC11" s="26"/>
      <c r="AD11" s="30">
        <v>2572</v>
      </c>
      <c r="AE11" s="26"/>
    </row>
    <row r="12" spans="2:42" x14ac:dyDescent="0.3">
      <c r="B12" s="16" t="s">
        <v>34</v>
      </c>
      <c r="C12" s="17">
        <v>1665</v>
      </c>
      <c r="E12" s="29" t="s">
        <v>35</v>
      </c>
      <c r="F12" s="119">
        <v>17225</v>
      </c>
      <c r="G12" s="117">
        <v>13076.104249999989</v>
      </c>
      <c r="H12" s="117">
        <v>17310.66856409</v>
      </c>
      <c r="I12" s="19">
        <f>G12+H12</f>
        <v>30386.772814089989</v>
      </c>
      <c r="J12" s="119">
        <v>17330</v>
      </c>
      <c r="K12" s="117">
        <v>12832.228999999999</v>
      </c>
      <c r="L12" s="117">
        <v>16015.73203569</v>
      </c>
      <c r="M12" s="19">
        <f>K12+L12</f>
        <v>28847.961035690001</v>
      </c>
      <c r="N12" s="88">
        <v>50</v>
      </c>
      <c r="O12" s="88">
        <v>38</v>
      </c>
      <c r="P12" s="92"/>
      <c r="Q12" s="20">
        <f>J12-P12</f>
        <v>17330</v>
      </c>
      <c r="R12" s="21">
        <v>1110</v>
      </c>
      <c r="S12" s="20">
        <f>IF(R12&gt;0,(R12-R13-$Q12),"")</f>
        <v>-16516</v>
      </c>
      <c r="T12" s="21">
        <v>3304</v>
      </c>
      <c r="U12" s="20">
        <f>IF(T12&gt;0,(T12-T13-$Q12),"")</f>
        <v>-14746</v>
      </c>
      <c r="V12" s="21">
        <v>6560</v>
      </c>
      <c r="W12" s="20">
        <f>IF(V12&gt;0,(V12-V13-$Q12),"")</f>
        <v>-12062</v>
      </c>
      <c r="X12" s="21">
        <v>10631</v>
      </c>
      <c r="Y12" s="20">
        <f>IF(X12&gt;0,(X12-X13-$Q12),"")</f>
        <v>-8849</v>
      </c>
      <c r="Z12" s="21">
        <v>12182</v>
      </c>
      <c r="AA12" s="20">
        <f>IF(Z12&gt;0,(Z12-Z13-$Q12),"")</f>
        <v>-7381</v>
      </c>
      <c r="AB12" s="21">
        <v>14012</v>
      </c>
      <c r="AC12" s="22">
        <f>IF(AB12&gt;0,(AB12-AB13-$Q12),"")</f>
        <v>-5551</v>
      </c>
      <c r="AD12" s="21">
        <v>14012</v>
      </c>
      <c r="AE12" s="22">
        <f>IF(AD12&gt;0,(AD12-AD13-$Q12),"")</f>
        <v>-5551</v>
      </c>
    </row>
    <row r="13" spans="2:42" x14ac:dyDescent="0.3">
      <c r="B13" s="16" t="s">
        <v>36</v>
      </c>
      <c r="C13" s="17">
        <v>4725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296</v>
      </c>
      <c r="S13" s="24"/>
      <c r="T13" s="30">
        <v>720</v>
      </c>
      <c r="U13" s="24"/>
      <c r="V13" s="30">
        <v>1292</v>
      </c>
      <c r="W13" s="24"/>
      <c r="X13" s="30">
        <v>2150</v>
      </c>
      <c r="Y13" s="24"/>
      <c r="Z13" s="30">
        <v>2233</v>
      </c>
      <c r="AA13" s="24"/>
      <c r="AB13" s="30">
        <v>2233</v>
      </c>
      <c r="AC13" s="26"/>
      <c r="AD13" s="30">
        <v>2233</v>
      </c>
      <c r="AE13" s="26"/>
    </row>
    <row r="14" spans="2:42" x14ac:dyDescent="0.3">
      <c r="B14" s="16" t="s">
        <v>38</v>
      </c>
      <c r="C14" s="17">
        <v>10659</v>
      </c>
      <c r="E14" s="18" t="s">
        <v>39</v>
      </c>
      <c r="F14" s="119">
        <v>21846</v>
      </c>
      <c r="G14" s="117">
        <v>17174.15625</v>
      </c>
      <c r="H14" s="117">
        <v>21867.731157564991</v>
      </c>
      <c r="I14" s="19">
        <f>G14+H14</f>
        <v>39041.887407564995</v>
      </c>
      <c r="J14" s="119">
        <v>21846</v>
      </c>
      <c r="K14" s="117">
        <v>17174.15625</v>
      </c>
      <c r="L14" s="117">
        <v>21751.099657564999</v>
      </c>
      <c r="M14" s="19">
        <f>K14+L14</f>
        <v>38925.255907564999</v>
      </c>
      <c r="N14" s="88">
        <v>62</v>
      </c>
      <c r="O14" s="88">
        <v>49</v>
      </c>
      <c r="P14" s="92"/>
      <c r="Q14" s="20">
        <f>J14-P14</f>
        <v>21846</v>
      </c>
      <c r="R14" s="21">
        <v>3962</v>
      </c>
      <c r="S14" s="20">
        <f>IF(R14&gt;0,(R14-R15-$Q14),"")</f>
        <v>-21390</v>
      </c>
      <c r="T14" s="21">
        <v>8749</v>
      </c>
      <c r="U14" s="20">
        <f>IF(T14&gt;0,(T14-T15-$Q14),"")</f>
        <v>-20233</v>
      </c>
      <c r="V14" s="21">
        <v>10286</v>
      </c>
      <c r="W14" s="20">
        <f>IF(V14&gt;0,(V14-V15-$Q14),"")</f>
        <v>-19308</v>
      </c>
      <c r="X14" s="21">
        <v>13015</v>
      </c>
      <c r="Y14" s="20">
        <f>IF(X14&gt;0,(X14-X15-$Q14),"")</f>
        <v>-17742</v>
      </c>
      <c r="Z14" s="21">
        <v>15135</v>
      </c>
      <c r="AA14" s="20">
        <f>IF(Z14&gt;0,(Z14-Z15-$Q14),"")</f>
        <v>-16155</v>
      </c>
      <c r="AB14" s="21">
        <v>15135</v>
      </c>
      <c r="AC14" s="22">
        <f>IF(AB14&gt;0,(AB14-AB15-$Q14),"")</f>
        <v>-16155</v>
      </c>
      <c r="AD14" s="21">
        <v>15135</v>
      </c>
      <c r="AE14" s="22">
        <f>IF(AD14&gt;0,(AD14-AD15-$Q14),"")</f>
        <v>-16155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3506</v>
      </c>
      <c r="S15" s="24"/>
      <c r="T15" s="25">
        <v>7136</v>
      </c>
      <c r="U15" s="24"/>
      <c r="V15" s="25">
        <v>7748</v>
      </c>
      <c r="W15" s="24"/>
      <c r="X15" s="25">
        <v>8911</v>
      </c>
      <c r="Y15" s="24"/>
      <c r="Z15" s="25">
        <v>9444</v>
      </c>
      <c r="AA15" s="24"/>
      <c r="AB15" s="25">
        <v>9444</v>
      </c>
      <c r="AC15" s="26"/>
      <c r="AD15" s="25">
        <v>9444</v>
      </c>
      <c r="AE15" s="26"/>
    </row>
    <row r="16" spans="2:42" ht="15" customHeight="1" thickBot="1" x14ac:dyDescent="0.35">
      <c r="B16" s="28" t="s">
        <v>42</v>
      </c>
      <c r="C16" s="17">
        <v>13667</v>
      </c>
      <c r="E16" s="84"/>
      <c r="F16" s="31">
        <f t="shared" ref="F16:M16" si="0">SUM(F6:F15)</f>
        <v>83760</v>
      </c>
      <c r="G16" s="31">
        <f t="shared" si="0"/>
        <v>61819.486499999985</v>
      </c>
      <c r="H16" s="31">
        <f t="shared" si="0"/>
        <v>56802.092828215013</v>
      </c>
      <c r="I16" s="32">
        <f t="shared" si="0"/>
        <v>118621.579328215</v>
      </c>
      <c r="J16" s="33">
        <f t="shared" si="0"/>
        <v>84816</v>
      </c>
      <c r="K16" s="33">
        <f t="shared" si="0"/>
        <v>61504.277937500003</v>
      </c>
      <c r="L16" s="33">
        <f t="shared" si="0"/>
        <v>55350.969810135008</v>
      </c>
      <c r="M16" s="33">
        <f t="shared" si="0"/>
        <v>116855.247747635</v>
      </c>
      <c r="N16" s="31">
        <f>SUM(N14,N12,N10,N8,N6)</f>
        <v>244</v>
      </c>
      <c r="O16" s="31">
        <f>SUM(O14,O12,O10,O8,O6)</f>
        <v>183</v>
      </c>
      <c r="P16" s="34">
        <f>SUM(P6:P15)</f>
        <v>0</v>
      </c>
      <c r="Q16" s="34">
        <f>SUM(Q6:Q15)</f>
        <v>84816</v>
      </c>
      <c r="R16" s="35">
        <f>R6+R8+R10+R12+R14-R7-R9-R11-R13-R15</f>
        <v>4614</v>
      </c>
      <c r="S16" s="36">
        <f>IF(R16&gt;1,(R16-$Q16),"")</f>
        <v>-80202</v>
      </c>
      <c r="T16" s="35">
        <f>T6+T8+T10+T12+T14-T7-T9-T11-T13-T15</f>
        <v>11062</v>
      </c>
      <c r="U16" s="36">
        <f>IF(T16&gt;1,(T16-$Q16),"")</f>
        <v>-73754</v>
      </c>
      <c r="V16" s="35">
        <f>V6+V8+V10+V12+V14-V7-V9-V11-V13-V15</f>
        <v>26118</v>
      </c>
      <c r="W16" s="36">
        <f>IF(V16&gt;1,(V16-$Q16),"")</f>
        <v>-58698</v>
      </c>
      <c r="X16" s="35">
        <f>X6+X8+X10+X12+X14-X7-X9-X11-X13-X15</f>
        <v>36431</v>
      </c>
      <c r="Y16" s="36">
        <f>IF(X16&gt;1,(X16-$Q16),"")</f>
        <v>-48385</v>
      </c>
      <c r="Z16" s="35">
        <f>Z6+Z8+Z10+Z12+Z14-Z7-Z9-Z11-Z13-Z15</f>
        <v>47073</v>
      </c>
      <c r="AA16" s="36">
        <f>IF(Z16&gt;1,(Z16-$Q16),"")</f>
        <v>-37743</v>
      </c>
      <c r="AB16" s="35">
        <f>AB6+AB8+AB10+AB12+AB14-AB7-AB9-AB11-AB13-AB15</f>
        <v>54580</v>
      </c>
      <c r="AC16" s="37">
        <f>IF(AB16&gt;1,(AB16-$Q16),"")</f>
        <v>-30236</v>
      </c>
      <c r="AD16" s="35">
        <f>AD6+AD8+AD10+AD12+AD14-AD7-AD9-AD11-AD13-AD15</f>
        <v>55344</v>
      </c>
      <c r="AE16" s="37">
        <f>IF(AD16&gt;1,(AD16-$Q16),"")</f>
        <v>-29472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3818</v>
      </c>
      <c r="S17" s="41"/>
      <c r="T17" s="40">
        <f>T15+T13+T11+T9+T7</f>
        <v>9099</v>
      </c>
      <c r="U17" s="41"/>
      <c r="V17" s="40">
        <f>V15+V13+V11+V9+V7</f>
        <v>10359</v>
      </c>
      <c r="W17" s="41"/>
      <c r="X17" s="40">
        <f>X15+X13+X11+X9+X7</f>
        <v>13559</v>
      </c>
      <c r="Y17" s="41"/>
      <c r="Z17" s="40">
        <f>Z15+Z13+Z11+Z9+Z7</f>
        <v>14372</v>
      </c>
      <c r="AA17" s="41"/>
      <c r="AB17" s="40">
        <f>AB15+AB13+AB11+AB9+AB7</f>
        <v>14411</v>
      </c>
      <c r="AC17" s="42"/>
      <c r="AD17" s="40">
        <f>AD15+AD13+AD11+AD9+AD7</f>
        <v>14411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2307</v>
      </c>
      <c r="S18" s="46"/>
      <c r="T18" s="47">
        <f>IF(T16&gt;0,(T16-R16)/2,"")</f>
        <v>3224</v>
      </c>
      <c r="U18" s="46"/>
      <c r="V18" s="47">
        <f>IF(V16&gt;0,(V16-T16)/2,"")</f>
        <v>7528</v>
      </c>
      <c r="W18" s="46"/>
      <c r="X18" s="47">
        <f>IF(X16&gt;0,(X16-V16)/2,"")</f>
        <v>5156.5</v>
      </c>
      <c r="Y18" s="46"/>
      <c r="Z18" s="47">
        <f>IF(Z16&gt;0,(Z16-X16)/2,"")</f>
        <v>5321</v>
      </c>
      <c r="AA18" s="46"/>
      <c r="AB18" s="47">
        <f>IF(AB16&gt;0,(AB16-Z16)/2,"")</f>
        <v>3753.5</v>
      </c>
      <c r="AC18" s="48"/>
      <c r="AD18" s="47">
        <f>IF(AD16&gt;0,(AD16-AB16)/2,"")</f>
        <v>382</v>
      </c>
      <c r="AE18" s="48"/>
    </row>
    <row r="19" spans="2:43" ht="15" customHeight="1" thickBot="1" x14ac:dyDescent="0.35">
      <c r="B19" s="16" t="s">
        <v>50</v>
      </c>
      <c r="C19" s="17">
        <v>8514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2355</v>
      </c>
      <c r="L20" s="4"/>
      <c r="M20" s="4"/>
      <c r="Q20" s="51" t="s">
        <v>49</v>
      </c>
      <c r="R20" s="35">
        <v>8175</v>
      </c>
      <c r="S20" s="36"/>
      <c r="T20" s="35">
        <v>13449</v>
      </c>
      <c r="U20" s="36"/>
      <c r="V20" s="35">
        <v>24307</v>
      </c>
      <c r="W20" s="36"/>
      <c r="X20" s="35">
        <v>42298</v>
      </c>
      <c r="Y20" s="36"/>
      <c r="Z20" s="35">
        <v>48450</v>
      </c>
      <c r="AA20" s="36"/>
      <c r="AB20" s="35">
        <v>50795</v>
      </c>
      <c r="AC20" s="37"/>
      <c r="AD20" s="35">
        <v>50795</v>
      </c>
      <c r="AE20" s="37">
        <v>-29695</v>
      </c>
    </row>
    <row r="21" spans="2:43" ht="15" customHeight="1" thickBot="1" x14ac:dyDescent="0.35">
      <c r="B21" s="57" t="s">
        <v>52</v>
      </c>
      <c r="C21" s="58">
        <v>4389</v>
      </c>
      <c r="M21" s="4"/>
      <c r="Q21" s="52"/>
      <c r="R21" s="40">
        <v>5795</v>
      </c>
      <c r="S21" s="41"/>
      <c r="T21" s="40">
        <v>8919</v>
      </c>
      <c r="U21" s="41"/>
      <c r="V21" s="40">
        <v>12035</v>
      </c>
      <c r="W21" s="41"/>
      <c r="X21" s="40">
        <v>15836</v>
      </c>
      <c r="Y21" s="41"/>
      <c r="Z21" s="40">
        <v>16021</v>
      </c>
      <c r="AA21" s="41"/>
      <c r="AB21" s="40">
        <v>16130</v>
      </c>
      <c r="AC21" s="42"/>
      <c r="AD21" s="40">
        <v>16130</v>
      </c>
      <c r="AE21" s="42"/>
    </row>
    <row r="22" spans="2:43" ht="15" customHeight="1" thickBot="1" x14ac:dyDescent="0.35">
      <c r="M22" s="4"/>
      <c r="Q22" s="54"/>
      <c r="R22" s="55">
        <v>6527</v>
      </c>
      <c r="S22" s="55"/>
      <c r="T22" s="55">
        <v>4286.5</v>
      </c>
      <c r="U22" s="55"/>
      <c r="V22" s="55">
        <v>6542.5</v>
      </c>
      <c r="W22" s="55"/>
      <c r="X22" s="55">
        <v>8058.5</v>
      </c>
      <c r="Y22" s="55"/>
      <c r="Z22" s="55">
        <v>5727</v>
      </c>
      <c r="AA22" s="55"/>
      <c r="AB22" s="55">
        <v>1810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-3561</v>
      </c>
      <c r="S24" s="60"/>
      <c r="T24" s="60">
        <f>IF(T16&gt;0,T16-T20,"")</f>
        <v>-2387</v>
      </c>
      <c r="U24" s="60"/>
      <c r="V24" s="60">
        <f>IF(V16&gt;0,V16-V20,"")</f>
        <v>1811</v>
      </c>
      <c r="W24" s="60"/>
      <c r="X24" s="60">
        <f>IF(X16&gt;0,X16-X20,"")</f>
        <v>-5867</v>
      </c>
      <c r="Y24" s="60"/>
      <c r="Z24" s="60">
        <f>IF(Z16&gt;0,Z16-Z20,"")</f>
        <v>-1377</v>
      </c>
      <c r="AA24" s="60"/>
      <c r="AB24" s="60">
        <f>IF(AB16&gt;0,AB16-AB20,"")</f>
        <v>3785</v>
      </c>
      <c r="AC24" s="61"/>
      <c r="AD24" s="60">
        <f>IF(AD16&gt;0,AD16-AD20,"")</f>
        <v>4549</v>
      </c>
      <c r="AE24" s="61"/>
    </row>
    <row r="25" spans="2:43" x14ac:dyDescent="0.3">
      <c r="M25" s="4"/>
      <c r="Q25" s="62"/>
      <c r="R25" s="63">
        <f>IF(R17&gt;=0,R17-R21,"")</f>
        <v>-1977</v>
      </c>
      <c r="S25" s="64"/>
      <c r="T25" s="63">
        <f>IF(T17&gt;=0,T17-T21,"")</f>
        <v>180</v>
      </c>
      <c r="U25" s="64"/>
      <c r="V25" s="63">
        <f>IF(V17&gt;=0,V17-V21,"")</f>
        <v>-1676</v>
      </c>
      <c r="W25" s="64"/>
      <c r="X25" s="63">
        <f>IF(X17&gt;=0,X17-X21,"")</f>
        <v>-2277</v>
      </c>
      <c r="Y25" s="64"/>
      <c r="Z25" s="63">
        <f>IF(Z17&gt;=0,Z17-Z21,"")</f>
        <v>-1649</v>
      </c>
      <c r="AA25" s="64"/>
      <c r="AB25" s="63">
        <f>IF(AB17&gt;=0,AB17-AB21,"")</f>
        <v>-1719</v>
      </c>
      <c r="AC25" s="65"/>
      <c r="AD25" s="63">
        <f>IF(AD17&gt;=0,AD17-AD21,"")</f>
        <v>-1719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-4220</v>
      </c>
      <c r="S26" s="55"/>
      <c r="T26" s="67">
        <f>IFERROR(IF(T18&gt;0,T18-T22,""),"")</f>
        <v>-1062.5</v>
      </c>
      <c r="U26" s="55"/>
      <c r="V26" s="67">
        <f>IFERROR(IF(V18&gt;0,V18-V22,""),"")</f>
        <v>985.5</v>
      </c>
      <c r="W26" s="55"/>
      <c r="X26" s="67">
        <f>IFERROR(IF(X18&gt;0,X18-X22,""),"")</f>
        <v>-2902</v>
      </c>
      <c r="Y26" s="55"/>
      <c r="Z26" s="67">
        <f>IFERROR(IF(Z18&gt;0,Z18-Z22,""),"")</f>
        <v>-406</v>
      </c>
      <c r="AA26" s="55"/>
      <c r="AB26" s="67">
        <f>IFERROR(IF(AB18&gt;0,AB18-AB22,""),"")</f>
        <v>1943.5</v>
      </c>
      <c r="AC26" s="56"/>
      <c r="AD26" s="67">
        <f>IFERROR(IF(AD18&gt;0,AD18-AD22,""),"")</f>
        <v>382</v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9866</v>
      </c>
      <c r="D29" s="76">
        <f>C14</f>
        <v>10659</v>
      </c>
      <c r="E29" s="77">
        <f>D29-C29</f>
        <v>793</v>
      </c>
      <c r="O29" s="4"/>
    </row>
    <row r="30" spans="2:43" x14ac:dyDescent="0.3">
      <c r="B30" s="74" t="s">
        <v>56</v>
      </c>
      <c r="C30" s="122">
        <v>28388</v>
      </c>
      <c r="D30" s="76">
        <f>C7+C15+C16+C17+C18</f>
        <v>13667</v>
      </c>
      <c r="E30" s="77">
        <f>D30-C30</f>
        <v>-14721</v>
      </c>
      <c r="J30" s="53"/>
      <c r="O30" s="4"/>
    </row>
    <row r="31" spans="2:43" x14ac:dyDescent="0.3">
      <c r="B31" s="74" t="s">
        <v>21</v>
      </c>
      <c r="C31" s="122">
        <v>2374</v>
      </c>
      <c r="D31" s="76">
        <f>C6</f>
        <v>2374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14346</v>
      </c>
      <c r="D32" s="76">
        <f>C10+C11+C12+C13</f>
        <v>14433</v>
      </c>
      <c r="E32" s="77">
        <f>D32-C32</f>
        <v>87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15080</v>
      </c>
      <c r="D33" s="76">
        <f>C19+C20+C21</f>
        <v>15258</v>
      </c>
      <c r="E33" s="77">
        <f>D33-C33</f>
        <v>178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4266</v>
      </c>
      <c r="D34" s="80">
        <f>SUM(C8+C9)</f>
        <v>4266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1042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>
        <f t="shared" ref="AA35:AA64" si="5">IF(AB35&gt;0,(AB35-Z35)/2,"")</f>
        <v>521</v>
      </c>
      <c r="AB35" s="104">
        <v>1042</v>
      </c>
      <c r="AC35" s="104">
        <f t="shared" ref="AC35:AC64" si="6">IF(AD35&gt;0,(AD35-AB35)/2,"")</f>
        <v>0</v>
      </c>
      <c r="AD35" s="104">
        <v>1042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1489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 t="str">
        <f t="shared" si="4"/>
        <v/>
      </c>
      <c r="Z36" s="106">
        <v>0</v>
      </c>
      <c r="AA36" s="106">
        <f t="shared" si="5"/>
        <v>574</v>
      </c>
      <c r="AB36" s="106">
        <v>1148</v>
      </c>
      <c r="AC36" s="106">
        <f t="shared" si="6"/>
        <v>0</v>
      </c>
      <c r="AD36" s="106">
        <v>1148</v>
      </c>
      <c r="AE36" s="107">
        <f t="shared" si="7"/>
        <v>-341</v>
      </c>
    </row>
    <row r="37" spans="2:31" ht="15.6" customHeight="1" x14ac:dyDescent="0.3">
      <c r="N37" s="212"/>
      <c r="O37" s="94" t="s">
        <v>67</v>
      </c>
      <c r="P37" s="108"/>
      <c r="Q37" s="108">
        <v>2698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174</v>
      </c>
      <c r="V37" s="108">
        <v>768</v>
      </c>
      <c r="W37" s="108">
        <f t="shared" si="3"/>
        <v>210</v>
      </c>
      <c r="X37" s="108">
        <v>1188</v>
      </c>
      <c r="Y37" s="108">
        <f t="shared" si="4"/>
        <v>237</v>
      </c>
      <c r="Z37" s="108">
        <v>1662</v>
      </c>
      <c r="AA37" s="108">
        <f t="shared" si="5"/>
        <v>501</v>
      </c>
      <c r="AB37" s="108">
        <v>2664</v>
      </c>
      <c r="AC37" s="108">
        <f t="shared" si="6"/>
        <v>98</v>
      </c>
      <c r="AD37" s="108">
        <v>2860</v>
      </c>
      <c r="AE37" s="109">
        <f t="shared" si="7"/>
        <v>162</v>
      </c>
    </row>
    <row r="38" spans="2:31" ht="15.6" customHeight="1" x14ac:dyDescent="0.3">
      <c r="N38" s="212"/>
      <c r="O38" s="95" t="s">
        <v>68</v>
      </c>
      <c r="P38" s="106"/>
      <c r="Q38" s="106">
        <v>2017</v>
      </c>
      <c r="R38" s="106">
        <v>752</v>
      </c>
      <c r="S38" s="106">
        <f t="shared" si="1"/>
        <v>149.5</v>
      </c>
      <c r="T38" s="106">
        <v>1051</v>
      </c>
      <c r="U38" s="106">
        <f t="shared" si="2"/>
        <v>639.5</v>
      </c>
      <c r="V38" s="106">
        <v>2330</v>
      </c>
      <c r="W38" s="106">
        <f t="shared" si="3"/>
        <v>336.5</v>
      </c>
      <c r="X38" s="106">
        <v>3003</v>
      </c>
      <c r="Y38" s="106">
        <f t="shared" si="4"/>
        <v>0</v>
      </c>
      <c r="Z38" s="106">
        <v>3003</v>
      </c>
      <c r="AA38" s="106">
        <f t="shared" si="5"/>
        <v>231</v>
      </c>
      <c r="AB38" s="106">
        <v>3465</v>
      </c>
      <c r="AC38" s="106">
        <f t="shared" si="6"/>
        <v>33.5</v>
      </c>
      <c r="AD38" s="106">
        <v>3532</v>
      </c>
      <c r="AE38" s="107">
        <f t="shared" si="7"/>
        <v>1515</v>
      </c>
    </row>
    <row r="39" spans="2:31" ht="15.6" customHeight="1" x14ac:dyDescent="0.3">
      <c r="N39" s="212"/>
      <c r="O39" s="94" t="s">
        <v>69</v>
      </c>
      <c r="P39" s="108"/>
      <c r="Q39" s="108">
        <v>0</v>
      </c>
      <c r="R39" s="108">
        <v>499</v>
      </c>
      <c r="S39" s="108">
        <f t="shared" si="1"/>
        <v>141</v>
      </c>
      <c r="T39" s="108">
        <v>781</v>
      </c>
      <c r="U39" s="108">
        <f t="shared" si="2"/>
        <v>0</v>
      </c>
      <c r="V39" s="108">
        <v>781</v>
      </c>
      <c r="W39" s="108">
        <f t="shared" si="3"/>
        <v>206.5</v>
      </c>
      <c r="X39" s="108">
        <v>1194</v>
      </c>
      <c r="Y39" s="108">
        <f t="shared" si="4"/>
        <v>283</v>
      </c>
      <c r="Z39" s="108">
        <v>1760</v>
      </c>
      <c r="AA39" s="108">
        <f t="shared" si="5"/>
        <v>0</v>
      </c>
      <c r="AB39" s="108">
        <v>1760</v>
      </c>
      <c r="AC39" s="108">
        <f t="shared" si="6"/>
        <v>250.5</v>
      </c>
      <c r="AD39" s="108">
        <v>2261</v>
      </c>
      <c r="AE39" s="109">
        <f t="shared" si="7"/>
        <v>2261</v>
      </c>
    </row>
    <row r="40" spans="2:31" ht="15.6" customHeight="1" x14ac:dyDescent="0.3">
      <c r="N40" s="212"/>
      <c r="O40" s="95" t="s">
        <v>70</v>
      </c>
      <c r="P40" s="106"/>
      <c r="Q40" s="106">
        <v>0</v>
      </c>
      <c r="R40" s="106">
        <v>80</v>
      </c>
      <c r="S40" s="106">
        <f t="shared" si="1"/>
        <v>60</v>
      </c>
      <c r="T40" s="106">
        <v>200</v>
      </c>
      <c r="U40" s="106">
        <f t="shared" si="2"/>
        <v>346.5</v>
      </c>
      <c r="V40" s="106">
        <v>893</v>
      </c>
      <c r="W40" s="106">
        <f t="shared" si="3"/>
        <v>207</v>
      </c>
      <c r="X40" s="106">
        <v>1307</v>
      </c>
      <c r="Y40" s="106">
        <f t="shared" si="4"/>
        <v>197</v>
      </c>
      <c r="Z40" s="106">
        <v>1701</v>
      </c>
      <c r="AA40" s="106">
        <f t="shared" si="5"/>
        <v>531</v>
      </c>
      <c r="AB40" s="106">
        <v>2763</v>
      </c>
      <c r="AC40" s="106">
        <f t="shared" si="6"/>
        <v>0</v>
      </c>
      <c r="AD40" s="106">
        <v>2763</v>
      </c>
      <c r="AE40" s="107">
        <f t="shared" si="7"/>
        <v>2763</v>
      </c>
    </row>
    <row r="41" spans="2:31" ht="15.6" customHeight="1" x14ac:dyDescent="0.3">
      <c r="N41" s="212"/>
      <c r="O41" s="94" t="s">
        <v>71</v>
      </c>
      <c r="P41" s="108"/>
      <c r="Q41" s="108">
        <v>1149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314.5</v>
      </c>
      <c r="V41" s="108">
        <v>629</v>
      </c>
      <c r="W41" s="108">
        <f t="shared" si="3"/>
        <v>0</v>
      </c>
      <c r="X41" s="108">
        <v>629</v>
      </c>
      <c r="Y41" s="108">
        <f t="shared" si="4"/>
        <v>0</v>
      </c>
      <c r="Z41" s="108">
        <v>629</v>
      </c>
      <c r="AA41" s="108">
        <f t="shared" si="5"/>
        <v>0</v>
      </c>
      <c r="AB41" s="108">
        <v>629</v>
      </c>
      <c r="AC41" s="108">
        <f t="shared" si="6"/>
        <v>0</v>
      </c>
      <c r="AD41" s="108">
        <v>629</v>
      </c>
      <c r="AE41" s="109">
        <f t="shared" si="7"/>
        <v>-520</v>
      </c>
    </row>
    <row r="42" spans="2:31" ht="15.6" customHeight="1" x14ac:dyDescent="0.3">
      <c r="N42" s="212"/>
      <c r="O42" s="95" t="s">
        <v>72</v>
      </c>
      <c r="P42" s="106"/>
      <c r="Q42" s="106">
        <v>0</v>
      </c>
      <c r="R42" s="106">
        <v>0</v>
      </c>
      <c r="S42" s="106">
        <f t="shared" si="1"/>
        <v>373</v>
      </c>
      <c r="T42" s="106">
        <v>746</v>
      </c>
      <c r="U42" s="106">
        <f t="shared" si="2"/>
        <v>0</v>
      </c>
      <c r="V42" s="106">
        <v>746</v>
      </c>
      <c r="W42" s="106">
        <f t="shared" si="3"/>
        <v>375</v>
      </c>
      <c r="X42" s="106">
        <v>1496</v>
      </c>
      <c r="Y42" s="106">
        <f t="shared" si="4"/>
        <v>63.5</v>
      </c>
      <c r="Z42" s="106">
        <v>1623</v>
      </c>
      <c r="AA42" s="106">
        <f t="shared" si="5"/>
        <v>5.5</v>
      </c>
      <c r="AB42" s="106">
        <v>1634</v>
      </c>
      <c r="AC42" s="106">
        <f t="shared" si="6"/>
        <v>0</v>
      </c>
      <c r="AD42" s="106">
        <v>1634</v>
      </c>
      <c r="AE42" s="107">
        <f t="shared" si="7"/>
        <v>1634</v>
      </c>
    </row>
    <row r="43" spans="2:31" ht="15.6" customHeight="1" thickBot="1" x14ac:dyDescent="0.35">
      <c r="N43" s="213"/>
      <c r="O43" s="97" t="s">
        <v>73</v>
      </c>
      <c r="P43" s="110"/>
      <c r="Q43" s="110">
        <v>1726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287</v>
      </c>
      <c r="V43" s="110">
        <v>574</v>
      </c>
      <c r="W43" s="110">
        <f t="shared" si="3"/>
        <v>176.5</v>
      </c>
      <c r="X43" s="110">
        <v>927</v>
      </c>
      <c r="Y43" s="110">
        <f t="shared" si="4"/>
        <v>0</v>
      </c>
      <c r="Z43" s="110">
        <v>927</v>
      </c>
      <c r="AA43" s="110">
        <f t="shared" si="5"/>
        <v>400</v>
      </c>
      <c r="AB43" s="110">
        <v>1727</v>
      </c>
      <c r="AC43" s="110">
        <f t="shared" si="6"/>
        <v>0</v>
      </c>
      <c r="AD43" s="110">
        <v>1727</v>
      </c>
      <c r="AE43" s="111">
        <f t="shared" si="7"/>
        <v>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959.5</v>
      </c>
      <c r="V44" s="112">
        <v>1919</v>
      </c>
      <c r="W44" s="112">
        <f t="shared" si="3"/>
        <v>562.5</v>
      </c>
      <c r="X44" s="112">
        <v>3044</v>
      </c>
      <c r="Y44" s="112">
        <f t="shared" si="4"/>
        <v>0</v>
      </c>
      <c r="Z44" s="112">
        <v>3044</v>
      </c>
      <c r="AA44" s="112">
        <f t="shared" si="5"/>
        <v>0</v>
      </c>
      <c r="AB44" s="112">
        <v>3044</v>
      </c>
      <c r="AC44" s="112">
        <f t="shared" si="6"/>
        <v>0</v>
      </c>
      <c r="AD44" s="112">
        <v>3044</v>
      </c>
      <c r="AE44" s="113">
        <f t="shared" si="7"/>
        <v>3044</v>
      </c>
    </row>
    <row r="45" spans="2:31" ht="15.6" customHeight="1" x14ac:dyDescent="0.3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555</v>
      </c>
      <c r="V45" s="108">
        <v>1110</v>
      </c>
      <c r="W45" s="108">
        <f t="shared" si="3"/>
        <v>0</v>
      </c>
      <c r="X45" s="108">
        <v>1110</v>
      </c>
      <c r="Y45" s="108">
        <f t="shared" si="4"/>
        <v>695.5</v>
      </c>
      <c r="Z45" s="108">
        <v>2501</v>
      </c>
      <c r="AA45" s="108">
        <f t="shared" si="5"/>
        <v>0</v>
      </c>
      <c r="AB45" s="108">
        <v>2501</v>
      </c>
      <c r="AC45" s="108">
        <f t="shared" si="6"/>
        <v>0</v>
      </c>
      <c r="AD45" s="108">
        <v>2501</v>
      </c>
      <c r="AE45" s="109">
        <f t="shared" si="7"/>
        <v>2501</v>
      </c>
    </row>
    <row r="46" spans="2:31" ht="15.6" customHeight="1" x14ac:dyDescent="0.3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765.5</v>
      </c>
      <c r="V46" s="106">
        <v>1531</v>
      </c>
      <c r="W46" s="106">
        <f t="shared" si="3"/>
        <v>0</v>
      </c>
      <c r="X46" s="106">
        <v>1531</v>
      </c>
      <c r="Y46" s="106">
        <f t="shared" si="4"/>
        <v>654</v>
      </c>
      <c r="Z46" s="106">
        <v>2839</v>
      </c>
      <c r="AA46" s="106">
        <f t="shared" si="5"/>
        <v>0</v>
      </c>
      <c r="AB46" s="106">
        <v>2839</v>
      </c>
      <c r="AC46" s="106">
        <f t="shared" si="6"/>
        <v>0</v>
      </c>
      <c r="AD46" s="106">
        <v>2839</v>
      </c>
      <c r="AE46" s="107">
        <f t="shared" si="7"/>
        <v>2839</v>
      </c>
    </row>
    <row r="47" spans="2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>
        <f t="shared" si="4"/>
        <v>1613</v>
      </c>
      <c r="Z47" s="110">
        <v>3226</v>
      </c>
      <c r="AA47" s="110">
        <f t="shared" si="5"/>
        <v>0</v>
      </c>
      <c r="AB47" s="110">
        <v>3226</v>
      </c>
      <c r="AC47" s="110">
        <f t="shared" si="6"/>
        <v>0</v>
      </c>
      <c r="AD47" s="110">
        <v>3226</v>
      </c>
      <c r="AE47" s="111">
        <f t="shared" si="7"/>
        <v>3226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147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89</v>
      </c>
      <c r="V48" s="112">
        <v>178</v>
      </c>
      <c r="W48" s="112">
        <f t="shared" si="3"/>
        <v>14</v>
      </c>
      <c r="X48" s="112">
        <v>206</v>
      </c>
      <c r="Y48" s="112">
        <f t="shared" si="4"/>
        <v>41.5</v>
      </c>
      <c r="Z48" s="112">
        <v>289</v>
      </c>
      <c r="AA48" s="112">
        <f t="shared" si="5"/>
        <v>0</v>
      </c>
      <c r="AB48" s="112">
        <v>289</v>
      </c>
      <c r="AC48" s="112">
        <f t="shared" si="6"/>
        <v>0</v>
      </c>
      <c r="AD48" s="112">
        <v>289</v>
      </c>
      <c r="AE48" s="113">
        <f t="shared" si="7"/>
        <v>142</v>
      </c>
    </row>
    <row r="49" spans="14:31" ht="15.6" customHeight="1" x14ac:dyDescent="0.3">
      <c r="N49" s="212"/>
      <c r="O49" s="94" t="s">
        <v>66</v>
      </c>
      <c r="P49" s="108"/>
      <c r="Q49" s="108">
        <v>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134</v>
      </c>
      <c r="V49" s="108">
        <v>268</v>
      </c>
      <c r="W49" s="108">
        <f t="shared" si="3"/>
        <v>58.5</v>
      </c>
      <c r="X49" s="108">
        <v>385</v>
      </c>
      <c r="Y49" s="108">
        <f t="shared" si="4"/>
        <v>5</v>
      </c>
      <c r="Z49" s="108">
        <v>395</v>
      </c>
      <c r="AA49" s="108">
        <f t="shared" si="5"/>
        <v>0</v>
      </c>
      <c r="AB49" s="108">
        <v>395</v>
      </c>
      <c r="AC49" s="108">
        <f t="shared" si="6"/>
        <v>0</v>
      </c>
      <c r="AD49" s="108">
        <v>395</v>
      </c>
      <c r="AE49" s="109">
        <f t="shared" si="7"/>
        <v>395</v>
      </c>
    </row>
    <row r="50" spans="14:31" ht="15.6" customHeight="1" x14ac:dyDescent="0.3">
      <c r="N50" s="212"/>
      <c r="O50" s="95" t="s">
        <v>67</v>
      </c>
      <c r="P50" s="106"/>
      <c r="Q50" s="106">
        <v>1825</v>
      </c>
      <c r="R50" s="106">
        <v>1</v>
      </c>
      <c r="S50" s="106">
        <f t="shared" si="1"/>
        <v>308.5</v>
      </c>
      <c r="T50" s="106">
        <v>618</v>
      </c>
      <c r="U50" s="106">
        <f t="shared" si="2"/>
        <v>105.5</v>
      </c>
      <c r="V50" s="106">
        <v>829</v>
      </c>
      <c r="W50" s="106">
        <f t="shared" si="3"/>
        <v>334</v>
      </c>
      <c r="X50" s="106">
        <v>1497</v>
      </c>
      <c r="Y50" s="106">
        <f t="shared" si="4"/>
        <v>-32</v>
      </c>
      <c r="Z50" s="106">
        <v>1433</v>
      </c>
      <c r="AA50" s="106">
        <f t="shared" si="5"/>
        <v>0</v>
      </c>
      <c r="AB50" s="106">
        <v>1433</v>
      </c>
      <c r="AC50" s="106">
        <f t="shared" si="6"/>
        <v>0</v>
      </c>
      <c r="AD50" s="106">
        <v>1433</v>
      </c>
      <c r="AE50" s="107">
        <f t="shared" si="7"/>
        <v>-392</v>
      </c>
    </row>
    <row r="51" spans="14:31" ht="15.6" customHeight="1" x14ac:dyDescent="0.3">
      <c r="N51" s="212"/>
      <c r="O51" s="94" t="s">
        <v>68</v>
      </c>
      <c r="P51" s="108"/>
      <c r="Q51" s="108">
        <v>819</v>
      </c>
      <c r="R51" s="108">
        <v>328</v>
      </c>
      <c r="S51" s="108">
        <f t="shared" si="1"/>
        <v>28.5</v>
      </c>
      <c r="T51" s="108">
        <v>385</v>
      </c>
      <c r="U51" s="108">
        <f t="shared" si="2"/>
        <v>424.5</v>
      </c>
      <c r="V51" s="108">
        <v>1234</v>
      </c>
      <c r="W51" s="108">
        <f t="shared" si="3"/>
        <v>189</v>
      </c>
      <c r="X51" s="108">
        <v>1612</v>
      </c>
      <c r="Y51" s="108">
        <f t="shared" si="4"/>
        <v>49.5</v>
      </c>
      <c r="Z51" s="108">
        <v>1711</v>
      </c>
      <c r="AA51" s="108">
        <f t="shared" si="5"/>
        <v>0</v>
      </c>
      <c r="AB51" s="108">
        <v>1711</v>
      </c>
      <c r="AC51" s="108">
        <f t="shared" si="6"/>
        <v>0</v>
      </c>
      <c r="AD51" s="108">
        <v>1711</v>
      </c>
      <c r="AE51" s="109">
        <f t="shared" si="7"/>
        <v>892</v>
      </c>
    </row>
    <row r="52" spans="14:31" ht="15.6" customHeight="1" x14ac:dyDescent="0.3">
      <c r="N52" s="212"/>
      <c r="O52" s="95" t="s">
        <v>69</v>
      </c>
      <c r="P52" s="106"/>
      <c r="Q52" s="106">
        <v>1999</v>
      </c>
      <c r="R52" s="106">
        <v>0</v>
      </c>
      <c r="S52" s="106">
        <f t="shared" si="1"/>
        <v>439</v>
      </c>
      <c r="T52" s="106">
        <v>878</v>
      </c>
      <c r="U52" s="106">
        <f t="shared" si="2"/>
        <v>-83</v>
      </c>
      <c r="V52" s="106">
        <v>712</v>
      </c>
      <c r="W52" s="106">
        <f t="shared" si="3"/>
        <v>95.5</v>
      </c>
      <c r="X52" s="106">
        <v>903</v>
      </c>
      <c r="Y52" s="106">
        <f t="shared" si="4"/>
        <v>7</v>
      </c>
      <c r="Z52" s="106">
        <v>917</v>
      </c>
      <c r="AA52" s="106">
        <f t="shared" si="5"/>
        <v>0</v>
      </c>
      <c r="AB52" s="106">
        <v>917</v>
      </c>
      <c r="AC52" s="106">
        <f t="shared" si="6"/>
        <v>0</v>
      </c>
      <c r="AD52" s="106">
        <v>917</v>
      </c>
      <c r="AE52" s="107">
        <f t="shared" si="7"/>
        <v>-1082</v>
      </c>
    </row>
    <row r="53" spans="14:31" ht="15.6" customHeight="1" x14ac:dyDescent="0.3">
      <c r="N53" s="212"/>
      <c r="O53" s="94" t="s">
        <v>70</v>
      </c>
      <c r="P53" s="108"/>
      <c r="Q53" s="108">
        <v>703</v>
      </c>
      <c r="R53" s="108">
        <v>700</v>
      </c>
      <c r="S53" s="108">
        <f t="shared" si="1"/>
        <v>176</v>
      </c>
      <c r="T53" s="108">
        <v>1052</v>
      </c>
      <c r="U53" s="108">
        <f t="shared" si="2"/>
        <v>57</v>
      </c>
      <c r="V53" s="108">
        <v>1166</v>
      </c>
      <c r="W53" s="108">
        <f t="shared" si="3"/>
        <v>-3</v>
      </c>
      <c r="X53" s="108">
        <v>1160</v>
      </c>
      <c r="Y53" s="108">
        <f t="shared" si="4"/>
        <v>1.5</v>
      </c>
      <c r="Z53" s="108">
        <v>1163</v>
      </c>
      <c r="AA53" s="108">
        <f t="shared" si="5"/>
        <v>0</v>
      </c>
      <c r="AB53" s="108">
        <v>1163</v>
      </c>
      <c r="AC53" s="108">
        <f t="shared" si="6"/>
        <v>0</v>
      </c>
      <c r="AD53" s="108">
        <v>1163</v>
      </c>
      <c r="AE53" s="109">
        <f t="shared" si="7"/>
        <v>460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1000</v>
      </c>
      <c r="S54" s="106">
        <f t="shared" si="1"/>
        <v>488.5</v>
      </c>
      <c r="T54" s="106">
        <v>1977</v>
      </c>
      <c r="U54" s="106">
        <f t="shared" si="2"/>
        <v>386.5</v>
      </c>
      <c r="V54" s="106">
        <v>2750</v>
      </c>
      <c r="W54" s="106">
        <f t="shared" si="3"/>
        <v>385</v>
      </c>
      <c r="X54" s="106">
        <v>3520</v>
      </c>
      <c r="Y54" s="106">
        <f t="shared" si="4"/>
        <v>27.5</v>
      </c>
      <c r="Z54" s="106">
        <v>3575</v>
      </c>
      <c r="AA54" s="106">
        <f t="shared" si="5"/>
        <v>0</v>
      </c>
      <c r="AB54" s="106">
        <v>3575</v>
      </c>
      <c r="AC54" s="106">
        <f t="shared" si="6"/>
        <v>0</v>
      </c>
      <c r="AD54" s="106">
        <v>3575</v>
      </c>
      <c r="AE54" s="107">
        <f t="shared" si="7"/>
        <v>3575</v>
      </c>
    </row>
    <row r="55" spans="14:31" ht="15.6" customHeight="1" x14ac:dyDescent="0.3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99.5</v>
      </c>
      <c r="V55" s="108">
        <v>199</v>
      </c>
      <c r="W55" s="108">
        <f t="shared" si="3"/>
        <v>0</v>
      </c>
      <c r="X55" s="108">
        <v>199</v>
      </c>
      <c r="Y55" s="108">
        <f t="shared" si="4"/>
        <v>1.5</v>
      </c>
      <c r="Z55" s="108">
        <v>202</v>
      </c>
      <c r="AA55" s="108">
        <f t="shared" si="5"/>
        <v>0</v>
      </c>
      <c r="AB55" s="108">
        <v>202</v>
      </c>
      <c r="AC55" s="108">
        <f t="shared" si="6"/>
        <v>0</v>
      </c>
      <c r="AD55" s="108">
        <v>202</v>
      </c>
      <c r="AE55" s="109">
        <f t="shared" si="7"/>
        <v>202</v>
      </c>
    </row>
    <row r="56" spans="14:31" ht="15.6" customHeight="1" thickBot="1" x14ac:dyDescent="0.35">
      <c r="N56" s="213"/>
      <c r="O56" s="99" t="s">
        <v>73</v>
      </c>
      <c r="P56" s="114"/>
      <c r="Q56" s="114">
        <v>881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404</v>
      </c>
      <c r="V56" s="114">
        <v>808</v>
      </c>
      <c r="W56" s="114">
        <f t="shared" si="3"/>
        <v>155.5</v>
      </c>
      <c r="X56" s="114">
        <v>1119</v>
      </c>
      <c r="Y56" s="114">
        <f t="shared" si="4"/>
        <v>0</v>
      </c>
      <c r="Z56" s="114">
        <v>1119</v>
      </c>
      <c r="AA56" s="114">
        <f t="shared" si="5"/>
        <v>0</v>
      </c>
      <c r="AB56" s="114">
        <v>1119</v>
      </c>
      <c r="AC56" s="114">
        <f t="shared" si="6"/>
        <v>0</v>
      </c>
      <c r="AD56" s="114">
        <v>1119</v>
      </c>
      <c r="AE56" s="115">
        <f t="shared" si="7"/>
        <v>238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4373</v>
      </c>
      <c r="R57" s="104">
        <v>485</v>
      </c>
      <c r="S57" s="104">
        <f t="shared" si="1"/>
        <v>57</v>
      </c>
      <c r="T57" s="104">
        <v>599</v>
      </c>
      <c r="U57" s="104">
        <f t="shared" si="2"/>
        <v>103.5</v>
      </c>
      <c r="V57" s="104">
        <v>806</v>
      </c>
      <c r="W57" s="104">
        <f t="shared" si="3"/>
        <v>79.5</v>
      </c>
      <c r="X57" s="104">
        <v>965</v>
      </c>
      <c r="Y57" s="104">
        <f t="shared" si="4"/>
        <v>447</v>
      </c>
      <c r="Z57" s="104">
        <v>1859</v>
      </c>
      <c r="AA57" s="104">
        <f t="shared" si="5"/>
        <v>385.5</v>
      </c>
      <c r="AB57" s="104">
        <v>2630</v>
      </c>
      <c r="AC57" s="104">
        <f t="shared" si="6"/>
        <v>0</v>
      </c>
      <c r="AD57" s="104">
        <v>2630</v>
      </c>
      <c r="AE57" s="105">
        <f t="shared" si="7"/>
        <v>-1743</v>
      </c>
    </row>
    <row r="58" spans="14:31" ht="15.6" customHeight="1" x14ac:dyDescent="0.3">
      <c r="N58" s="212"/>
      <c r="O58" s="95" t="s">
        <v>66</v>
      </c>
      <c r="P58" s="106"/>
      <c r="Q58" s="106">
        <v>1146</v>
      </c>
      <c r="R58" s="106">
        <v>296</v>
      </c>
      <c r="S58" s="106">
        <f t="shared" si="1"/>
        <v>270.5</v>
      </c>
      <c r="T58" s="106">
        <v>837</v>
      </c>
      <c r="U58" s="106">
        <f t="shared" si="2"/>
        <v>415</v>
      </c>
      <c r="V58" s="106">
        <v>1667</v>
      </c>
      <c r="W58" s="106">
        <f t="shared" si="3"/>
        <v>534</v>
      </c>
      <c r="X58" s="106">
        <v>2735</v>
      </c>
      <c r="Y58" s="106">
        <f t="shared" si="4"/>
        <v>230.5</v>
      </c>
      <c r="Z58" s="106">
        <v>3196</v>
      </c>
      <c r="AA58" s="106">
        <f t="shared" si="5"/>
        <v>529.5</v>
      </c>
      <c r="AB58" s="106">
        <v>4255</v>
      </c>
      <c r="AC58" s="106">
        <f t="shared" si="6"/>
        <v>0</v>
      </c>
      <c r="AD58" s="106">
        <v>4255</v>
      </c>
      <c r="AE58" s="107">
        <f t="shared" si="7"/>
        <v>3109</v>
      </c>
    </row>
    <row r="59" spans="14:31" ht="15.6" customHeight="1" x14ac:dyDescent="0.3">
      <c r="N59" s="212"/>
      <c r="O59" s="94" t="s">
        <v>67</v>
      </c>
      <c r="P59" s="108"/>
      <c r="Q59" s="108">
        <v>2057</v>
      </c>
      <c r="R59" s="108">
        <v>21</v>
      </c>
      <c r="S59" s="108">
        <f t="shared" si="1"/>
        <v>193.5</v>
      </c>
      <c r="T59" s="108">
        <v>408</v>
      </c>
      <c r="U59" s="108">
        <f t="shared" si="2"/>
        <v>342</v>
      </c>
      <c r="V59" s="108">
        <v>1092</v>
      </c>
      <c r="W59" s="108">
        <f t="shared" si="3"/>
        <v>971.5</v>
      </c>
      <c r="X59" s="108">
        <v>3035</v>
      </c>
      <c r="Y59" s="108">
        <f t="shared" si="4"/>
        <v>74</v>
      </c>
      <c r="Z59" s="108">
        <v>3183</v>
      </c>
      <c r="AA59" s="108">
        <f t="shared" si="5"/>
        <v>0</v>
      </c>
      <c r="AB59" s="108">
        <v>3183</v>
      </c>
      <c r="AC59" s="108">
        <f t="shared" si="6"/>
        <v>0</v>
      </c>
      <c r="AD59" s="108">
        <v>3183</v>
      </c>
      <c r="AE59" s="109">
        <f t="shared" si="7"/>
        <v>1126</v>
      </c>
    </row>
    <row r="60" spans="14:31" ht="15.6" customHeight="1" thickBot="1" x14ac:dyDescent="0.35">
      <c r="N60" s="213"/>
      <c r="O60" s="99" t="s">
        <v>68</v>
      </c>
      <c r="P60" s="114"/>
      <c r="Q60" s="114">
        <v>895</v>
      </c>
      <c r="R60" s="114">
        <v>308</v>
      </c>
      <c r="S60" s="114">
        <f t="shared" si="1"/>
        <v>576</v>
      </c>
      <c r="T60" s="114">
        <v>1460</v>
      </c>
      <c r="U60" s="114">
        <f t="shared" si="2"/>
        <v>767.5</v>
      </c>
      <c r="V60" s="114">
        <v>2995</v>
      </c>
      <c r="W60" s="114">
        <f t="shared" si="3"/>
        <v>450.5</v>
      </c>
      <c r="X60" s="114">
        <v>3896</v>
      </c>
      <c r="Y60" s="114">
        <f t="shared" si="4"/>
        <v>24</v>
      </c>
      <c r="Z60" s="114">
        <v>3944</v>
      </c>
      <c r="AA60" s="114">
        <f t="shared" si="5"/>
        <v>0</v>
      </c>
      <c r="AB60" s="114">
        <v>3944</v>
      </c>
      <c r="AC60" s="114">
        <f t="shared" si="6"/>
        <v>0</v>
      </c>
      <c r="AD60" s="114">
        <v>3944</v>
      </c>
      <c r="AE60" s="115">
        <f t="shared" si="7"/>
        <v>3049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3057</v>
      </c>
      <c r="R61" s="104">
        <v>0</v>
      </c>
      <c r="S61" s="104">
        <f t="shared" si="1"/>
        <v>184</v>
      </c>
      <c r="T61" s="104">
        <v>368</v>
      </c>
      <c r="U61" s="104">
        <f t="shared" si="2"/>
        <v>0</v>
      </c>
      <c r="V61" s="104">
        <v>368</v>
      </c>
      <c r="W61" s="104">
        <f t="shared" si="3"/>
        <v>381</v>
      </c>
      <c r="X61" s="104">
        <v>1130</v>
      </c>
      <c r="Y61" s="104">
        <f t="shared" si="4"/>
        <v>613.5</v>
      </c>
      <c r="Z61" s="104">
        <v>2357</v>
      </c>
      <c r="AA61" s="104">
        <f t="shared" si="5"/>
        <v>0</v>
      </c>
      <c r="AB61" s="104">
        <v>2357</v>
      </c>
      <c r="AC61" s="104">
        <f t="shared" si="6"/>
        <v>0</v>
      </c>
      <c r="AD61" s="104">
        <v>2357</v>
      </c>
      <c r="AE61" s="105">
        <f t="shared" si="7"/>
        <v>-700</v>
      </c>
    </row>
    <row r="62" spans="14:31" ht="15.6" customHeight="1" x14ac:dyDescent="0.3">
      <c r="N62" s="212"/>
      <c r="O62" s="95" t="s">
        <v>66</v>
      </c>
      <c r="P62" s="106"/>
      <c r="Q62" s="106">
        <v>4971</v>
      </c>
      <c r="R62" s="106">
        <v>52</v>
      </c>
      <c r="S62" s="106">
        <f t="shared" si="1"/>
        <v>394.5</v>
      </c>
      <c r="T62" s="106">
        <v>841</v>
      </c>
      <c r="U62" s="106">
        <f t="shared" si="2"/>
        <v>320.5</v>
      </c>
      <c r="V62" s="106">
        <v>1482</v>
      </c>
      <c r="W62" s="106">
        <f t="shared" si="3"/>
        <v>357.5</v>
      </c>
      <c r="X62" s="106">
        <v>2197</v>
      </c>
      <c r="Y62" s="106">
        <f t="shared" si="4"/>
        <v>238.5</v>
      </c>
      <c r="Z62" s="106">
        <v>2674</v>
      </c>
      <c r="AA62" s="106">
        <f t="shared" si="5"/>
        <v>0</v>
      </c>
      <c r="AB62" s="106">
        <v>2674</v>
      </c>
      <c r="AC62" s="106">
        <f t="shared" si="6"/>
        <v>0</v>
      </c>
      <c r="AD62" s="106">
        <v>2674</v>
      </c>
      <c r="AE62" s="107">
        <f t="shared" si="7"/>
        <v>-2297</v>
      </c>
    </row>
    <row r="63" spans="14:31" ht="15.6" customHeight="1" x14ac:dyDescent="0.3">
      <c r="N63" s="212"/>
      <c r="O63" s="94" t="s">
        <v>67</v>
      </c>
      <c r="P63" s="108"/>
      <c r="Q63" s="108">
        <v>2880</v>
      </c>
      <c r="R63" s="108">
        <v>380</v>
      </c>
      <c r="S63" s="108">
        <f t="shared" si="1"/>
        <v>439.5</v>
      </c>
      <c r="T63" s="108">
        <v>1259</v>
      </c>
      <c r="U63" s="108">
        <f t="shared" si="2"/>
        <v>138.5</v>
      </c>
      <c r="V63" s="108">
        <v>1536</v>
      </c>
      <c r="W63" s="108">
        <f t="shared" si="3"/>
        <v>82.5</v>
      </c>
      <c r="X63" s="108">
        <v>1701</v>
      </c>
      <c r="Y63" s="108">
        <f t="shared" si="4"/>
        <v>85</v>
      </c>
      <c r="Z63" s="108">
        <v>1871</v>
      </c>
      <c r="AA63" s="108">
        <f t="shared" si="5"/>
        <v>0</v>
      </c>
      <c r="AB63" s="108">
        <v>1871</v>
      </c>
      <c r="AC63" s="108">
        <f t="shared" si="6"/>
        <v>0</v>
      </c>
      <c r="AD63" s="108">
        <v>1871</v>
      </c>
      <c r="AE63" s="109">
        <f t="shared" si="7"/>
        <v>-1009</v>
      </c>
    </row>
    <row r="64" spans="14:31" ht="15.6" customHeight="1" thickBot="1" x14ac:dyDescent="0.35">
      <c r="N64" s="213"/>
      <c r="O64" s="99" t="s">
        <v>68</v>
      </c>
      <c r="P64" s="114"/>
      <c r="Q64" s="114">
        <v>3677</v>
      </c>
      <c r="R64" s="114">
        <v>1097</v>
      </c>
      <c r="S64" s="114">
        <f t="shared" si="1"/>
        <v>117</v>
      </c>
      <c r="T64" s="114">
        <v>1331</v>
      </c>
      <c r="U64" s="114">
        <f t="shared" si="2"/>
        <v>89</v>
      </c>
      <c r="V64" s="114">
        <v>1509</v>
      </c>
      <c r="W64" s="114">
        <f t="shared" si="3"/>
        <v>165</v>
      </c>
      <c r="X64" s="114">
        <v>1839</v>
      </c>
      <c r="Y64" s="114">
        <f t="shared" si="4"/>
        <v>77</v>
      </c>
      <c r="Z64" s="114">
        <v>1993</v>
      </c>
      <c r="AA64" s="114">
        <f t="shared" si="5"/>
        <v>0</v>
      </c>
      <c r="AB64" s="114">
        <v>1993</v>
      </c>
      <c r="AC64" s="114">
        <f t="shared" si="6"/>
        <v>0</v>
      </c>
      <c r="AD64" s="114">
        <v>1993</v>
      </c>
      <c r="AE64" s="115">
        <f t="shared" si="7"/>
        <v>-1684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11" priority="11" operator="lessThan">
      <formula>0</formula>
    </cfRule>
    <cfRule type="cellIs" dxfId="1210" priority="12" operator="greaterThan">
      <formula>0</formula>
    </cfRule>
  </conditionalFormatting>
  <conditionalFormatting sqref="R25:AC25">
    <cfRule type="cellIs" dxfId="1209" priority="9" operator="lessThan">
      <formula>0</formula>
    </cfRule>
    <cfRule type="cellIs" dxfId="1208" priority="10" operator="greaterThan">
      <formula>0</formula>
    </cfRule>
  </conditionalFormatting>
  <conditionalFormatting sqref="R26 T26 V26 X26 Z26 AB26">
    <cfRule type="cellIs" dxfId="1207" priority="7" operator="lessThan">
      <formula>0</formula>
    </cfRule>
    <cfRule type="cellIs" dxfId="1206" priority="8" operator="greaterThan">
      <formula>0</formula>
    </cfRule>
  </conditionalFormatting>
  <conditionalFormatting sqref="AD24:AE24">
    <cfRule type="cellIs" dxfId="1205" priority="5" operator="lessThan">
      <formula>0</formula>
    </cfRule>
    <cfRule type="cellIs" dxfId="1204" priority="6" operator="greaterThan">
      <formula>0</formula>
    </cfRule>
  </conditionalFormatting>
  <conditionalFormatting sqref="AD25:AE25">
    <cfRule type="cellIs" dxfId="1203" priority="3" operator="lessThan">
      <formula>0</formula>
    </cfRule>
    <cfRule type="cellIs" dxfId="1202" priority="4" operator="greaterThan">
      <formula>0</formula>
    </cfRule>
  </conditionalFormatting>
  <conditionalFormatting sqref="AD26">
    <cfRule type="cellIs" dxfId="1201" priority="1" operator="lessThan">
      <formula>0</formula>
    </cfRule>
    <cfRule type="cellIs" dxfId="120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>
    <tabColor theme="1"/>
    <pageSetUpPr fitToPage="1"/>
  </sheetPr>
  <dimension ref="B1:AQ64"/>
  <sheetViews>
    <sheetView topLeftCell="G4" zoomScale="70" zoomScaleNormal="7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44418</v>
      </c>
    </row>
    <row r="3" spans="2:42" ht="18.75" customHeight="1" thickBot="1" x14ac:dyDescent="0.35">
      <c r="B3" t="s">
        <v>1</v>
      </c>
      <c r="C3" s="3">
        <f>C2+1</f>
        <v>44419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4880</v>
      </c>
      <c r="E6" s="18" t="s">
        <v>22</v>
      </c>
      <c r="F6" s="119">
        <v>21960</v>
      </c>
      <c r="G6" s="117">
        <v>18250.641000000011</v>
      </c>
      <c r="H6" s="117">
        <v>16091.939125420011</v>
      </c>
      <c r="I6" s="19">
        <f>G6+H6</f>
        <v>34342.58012542002</v>
      </c>
      <c r="J6" s="119">
        <v>21475</v>
      </c>
      <c r="K6" s="117">
        <v>17483.509999999998</v>
      </c>
      <c r="L6" s="117">
        <v>15920.687130899991</v>
      </c>
      <c r="M6" s="19">
        <f>K6+L6</f>
        <v>33404.197130899993</v>
      </c>
      <c r="N6" s="85">
        <v>69</v>
      </c>
      <c r="O6" s="85">
        <v>60</v>
      </c>
      <c r="P6" s="92"/>
      <c r="Q6" s="20">
        <f>J6-P6</f>
        <v>21475</v>
      </c>
      <c r="R6" s="21">
        <v>3942</v>
      </c>
      <c r="S6" s="20">
        <f>IF(R6&gt;0,(R6-R7-$Q6),"")</f>
        <v>-17569</v>
      </c>
      <c r="T6" s="21">
        <v>6899</v>
      </c>
      <c r="U6" s="20">
        <f>IF(T6&gt;0,(T6-T7-$Q6),"")</f>
        <v>-14614</v>
      </c>
      <c r="V6" s="21">
        <v>10425</v>
      </c>
      <c r="W6" s="20">
        <f>IF(V6&gt;0,(V6-V7-$Q6),"")</f>
        <v>-11220</v>
      </c>
      <c r="X6" s="21">
        <v>14360</v>
      </c>
      <c r="Y6" s="20">
        <f>IF(X6&gt;0,(X6-X7-$Q6),"")</f>
        <v>-7310</v>
      </c>
      <c r="Z6" s="21">
        <v>17541</v>
      </c>
      <c r="AA6" s="20">
        <f>IF(Z6&gt;0,(Z6-Z7-$Q6),"")</f>
        <v>-4135</v>
      </c>
      <c r="AB6" s="21">
        <v>19727</v>
      </c>
      <c r="AC6" s="22">
        <f>IF(AB6&gt;0,(AB6-AB7-$Q6),"")</f>
        <v>-1956</v>
      </c>
      <c r="AD6" s="21">
        <v>19727</v>
      </c>
      <c r="AE6" s="22">
        <f>IF(AD6&gt;0,(AD6-AD7-$Q6),"")</f>
        <v>-1956</v>
      </c>
    </row>
    <row r="7" spans="2:42" x14ac:dyDescent="0.3">
      <c r="B7" s="16" t="s">
        <v>23</v>
      </c>
      <c r="C7" s="17">
        <v>2798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36</v>
      </c>
      <c r="S7" s="24"/>
      <c r="T7" s="25">
        <v>38</v>
      </c>
      <c r="U7" s="24"/>
      <c r="V7" s="25">
        <v>170</v>
      </c>
      <c r="W7" s="24"/>
      <c r="X7" s="25">
        <v>195</v>
      </c>
      <c r="Y7" s="24"/>
      <c r="Z7" s="25">
        <v>201</v>
      </c>
      <c r="AA7" s="24"/>
      <c r="AB7" s="25">
        <v>208</v>
      </c>
      <c r="AC7" s="26"/>
      <c r="AD7" s="25">
        <v>208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2499</v>
      </c>
      <c r="E8" s="29" t="s">
        <v>27</v>
      </c>
      <c r="F8" s="119">
        <v>10982</v>
      </c>
      <c r="G8" s="117">
        <v>4502.5929999999998</v>
      </c>
      <c r="H8" s="117">
        <v>1369.4983875</v>
      </c>
      <c r="I8" s="19">
        <f>G8+H8</f>
        <v>5872.0913874999997</v>
      </c>
      <c r="J8" s="119">
        <v>11569</v>
      </c>
      <c r="K8" s="117">
        <v>4746.5360000000001</v>
      </c>
      <c r="L8" s="117">
        <v>1436.6158476000001</v>
      </c>
      <c r="M8" s="19">
        <f>K8+L8</f>
        <v>6183.1518476000001</v>
      </c>
      <c r="N8" s="87">
        <v>28</v>
      </c>
      <c r="O8" s="87">
        <v>21</v>
      </c>
      <c r="P8" s="92"/>
      <c r="Q8" s="20">
        <f>J8-P8</f>
        <v>11569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3631</v>
      </c>
      <c r="W8" s="20">
        <f>IF(V8&gt;0,(V8-V9-$Q8),"")</f>
        <v>-7938</v>
      </c>
      <c r="X8" s="21">
        <v>8228</v>
      </c>
      <c r="Y8" s="20">
        <f>IF(X8&gt;0,(X8-X9-$Q8),"")</f>
        <v>-3341</v>
      </c>
      <c r="Z8" s="21">
        <v>11569</v>
      </c>
      <c r="AA8" s="20">
        <f>IF(Z8&gt;0,(Z8-Z9-$Q8),"")</f>
        <v>0</v>
      </c>
      <c r="AB8" s="21">
        <v>11569</v>
      </c>
      <c r="AC8" s="22">
        <f>IF(AB8&gt;0,(AB8-AB9-$Q8),"")</f>
        <v>0</v>
      </c>
      <c r="AD8" s="21">
        <v>11569</v>
      </c>
      <c r="AE8" s="22">
        <f>IF(AD8&gt;0,(AD8-AD9-$Q8),"")</f>
        <v>0</v>
      </c>
    </row>
    <row r="9" spans="2:42" x14ac:dyDescent="0.3">
      <c r="B9" s="28" t="s">
        <v>28</v>
      </c>
      <c r="C9" s="17">
        <v>1772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4268</v>
      </c>
      <c r="E10" s="18" t="s">
        <v>31</v>
      </c>
      <c r="F10" s="119">
        <v>22825</v>
      </c>
      <c r="G10" s="117">
        <v>17284.6521875</v>
      </c>
      <c r="H10" s="117">
        <v>1844.763025</v>
      </c>
      <c r="I10" s="19">
        <f>G10+H10</f>
        <v>19129.4152125</v>
      </c>
      <c r="J10" s="119">
        <v>23278</v>
      </c>
      <c r="K10" s="117">
        <v>17556.44468750001</v>
      </c>
      <c r="L10" s="117">
        <v>1864.8936699999999</v>
      </c>
      <c r="M10" s="19">
        <f>K10+L10</f>
        <v>19421.338357500012</v>
      </c>
      <c r="N10" s="88">
        <v>46</v>
      </c>
      <c r="O10" s="88">
        <v>37</v>
      </c>
      <c r="P10" s="92"/>
      <c r="Q10" s="20">
        <f>J10-P10</f>
        <v>23278</v>
      </c>
      <c r="R10" s="21">
        <v>5523</v>
      </c>
      <c r="S10" s="20">
        <f>IF(R10&gt;0,(R10-R11-$Q10),"")</f>
        <v>-18427</v>
      </c>
      <c r="T10" s="21">
        <v>8708</v>
      </c>
      <c r="U10" s="20">
        <f>IF(T10&gt;0,(T10-T11-$Q10),"")</f>
        <v>-15904</v>
      </c>
      <c r="V10" s="21">
        <v>13510</v>
      </c>
      <c r="W10" s="20">
        <f>IF(V10&gt;0,(V10-V11-$Q10),"")</f>
        <v>-11399</v>
      </c>
      <c r="X10" s="21">
        <v>15466</v>
      </c>
      <c r="Y10" s="20">
        <f>IF(X10&gt;0,(X10-X11-$Q10),"")</f>
        <v>-9445</v>
      </c>
      <c r="Z10" s="21">
        <v>19655</v>
      </c>
      <c r="AA10" s="20">
        <f>IF(Z10&gt;0,(Z10-Z11-$Q10),"")</f>
        <v>-6085</v>
      </c>
      <c r="AB10" s="21">
        <v>19661</v>
      </c>
      <c r="AC10" s="22">
        <f>IF(AB10&gt;0,(AB10-AB11-$Q10),"")</f>
        <v>-6079</v>
      </c>
      <c r="AD10" s="21">
        <v>19661</v>
      </c>
      <c r="AE10" s="22">
        <f>IF(AD10&gt;0,(AD10-AD11-$Q10),"")</f>
        <v>-6079</v>
      </c>
    </row>
    <row r="11" spans="2:42" x14ac:dyDescent="0.3">
      <c r="B11" s="16" t="s">
        <v>32</v>
      </c>
      <c r="C11" s="17">
        <v>2213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672</v>
      </c>
      <c r="S11" s="24"/>
      <c r="T11" s="30">
        <v>1334</v>
      </c>
      <c r="U11" s="24"/>
      <c r="V11" s="30">
        <v>1631</v>
      </c>
      <c r="W11" s="24"/>
      <c r="X11" s="30">
        <v>1633</v>
      </c>
      <c r="Y11" s="24"/>
      <c r="Z11" s="30">
        <v>2462</v>
      </c>
      <c r="AA11" s="24"/>
      <c r="AB11" s="30">
        <v>2462</v>
      </c>
      <c r="AC11" s="26"/>
      <c r="AD11" s="30">
        <v>2462</v>
      </c>
      <c r="AE11" s="26"/>
    </row>
    <row r="12" spans="2:42" x14ac:dyDescent="0.3">
      <c r="B12" s="16" t="s">
        <v>34</v>
      </c>
      <c r="C12" s="17">
        <v>1867</v>
      </c>
      <c r="E12" s="29" t="s">
        <v>35</v>
      </c>
      <c r="F12" s="119">
        <v>16831</v>
      </c>
      <c r="G12" s="117">
        <v>12289.59174999999</v>
      </c>
      <c r="H12" s="117">
        <v>19153.319142010001</v>
      </c>
      <c r="I12" s="19">
        <f>G12+H12</f>
        <v>31442.91089200999</v>
      </c>
      <c r="J12" s="119">
        <v>16734</v>
      </c>
      <c r="K12" s="117">
        <v>11525.799499999999</v>
      </c>
      <c r="L12" s="117">
        <v>17540.284458260001</v>
      </c>
      <c r="M12" s="19">
        <f>K12+L12</f>
        <v>29066.083958260002</v>
      </c>
      <c r="N12" s="88">
        <v>50</v>
      </c>
      <c r="O12" s="88">
        <v>42</v>
      </c>
      <c r="P12" s="92"/>
      <c r="Q12" s="20">
        <f>J12-P12</f>
        <v>16734</v>
      </c>
      <c r="R12" s="21">
        <v>2977</v>
      </c>
      <c r="S12" s="20">
        <f>IF(R12&gt;0,(R12-R13-$Q12),"")</f>
        <v>-14708</v>
      </c>
      <c r="T12" s="21">
        <v>5676</v>
      </c>
      <c r="U12" s="20">
        <f>IF(T12&gt;0,(T12-T13-$Q12),"")</f>
        <v>-12551</v>
      </c>
      <c r="V12" s="21">
        <v>7334</v>
      </c>
      <c r="W12" s="20">
        <f>IF(V12&gt;0,(V12-V13-$Q12),"")</f>
        <v>-10895</v>
      </c>
      <c r="X12" s="21">
        <v>9856</v>
      </c>
      <c r="Y12" s="20">
        <f>IF(X12&gt;0,(X12-X13-$Q12),"")</f>
        <v>-8779</v>
      </c>
      <c r="Z12" s="21">
        <v>11628</v>
      </c>
      <c r="AA12" s="20">
        <f>IF(Z12&gt;0,(Z12-Z13-$Q12),"")</f>
        <v>-7083</v>
      </c>
      <c r="AB12" s="21">
        <v>11628</v>
      </c>
      <c r="AC12" s="22">
        <f>IF(AB12&gt;0,(AB12-AB13-$Q12),"")</f>
        <v>-7083</v>
      </c>
      <c r="AD12" s="21">
        <v>11628</v>
      </c>
      <c r="AE12" s="22">
        <f>IF(AD12&gt;0,(AD12-AD13-$Q12),"")</f>
        <v>-7083</v>
      </c>
    </row>
    <row r="13" spans="2:42" x14ac:dyDescent="0.3">
      <c r="B13" s="16" t="s">
        <v>36</v>
      </c>
      <c r="C13" s="17">
        <v>4706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951</v>
      </c>
      <c r="S13" s="24"/>
      <c r="T13" s="30">
        <v>1493</v>
      </c>
      <c r="U13" s="24"/>
      <c r="V13" s="30">
        <v>1495</v>
      </c>
      <c r="W13" s="24"/>
      <c r="X13" s="30">
        <v>1901</v>
      </c>
      <c r="Y13" s="24"/>
      <c r="Z13" s="30">
        <v>1977</v>
      </c>
      <c r="AA13" s="24"/>
      <c r="AB13" s="30">
        <v>1977</v>
      </c>
      <c r="AC13" s="26"/>
      <c r="AD13" s="30">
        <v>1977</v>
      </c>
      <c r="AE13" s="26"/>
    </row>
    <row r="14" spans="2:42" x14ac:dyDescent="0.3">
      <c r="B14" s="16" t="s">
        <v>38</v>
      </c>
      <c r="C14" s="17">
        <v>11616</v>
      </c>
      <c r="E14" s="18" t="s">
        <v>39</v>
      </c>
      <c r="F14" s="119">
        <v>17582</v>
      </c>
      <c r="G14" s="117">
        <v>15147.0625</v>
      </c>
      <c r="H14" s="117">
        <v>17774.836228719989</v>
      </c>
      <c r="I14" s="19">
        <f>G14+H14</f>
        <v>32921.898728719985</v>
      </c>
      <c r="J14" s="119">
        <v>17780</v>
      </c>
      <c r="K14" s="117">
        <v>15421.46875</v>
      </c>
      <c r="L14" s="117">
        <v>17964.84422875999</v>
      </c>
      <c r="M14" s="19">
        <f>K14+L14</f>
        <v>33386.31297875999</v>
      </c>
      <c r="N14" s="88">
        <v>59</v>
      </c>
      <c r="O14" s="88">
        <v>49</v>
      </c>
      <c r="P14" s="92"/>
      <c r="Q14" s="20">
        <f>J14-P14</f>
        <v>17780</v>
      </c>
      <c r="R14" s="21">
        <v>3868</v>
      </c>
      <c r="S14" s="20">
        <f>IF(R14&gt;0,(R14-R15-$Q14),"")</f>
        <v>-17394</v>
      </c>
      <c r="T14" s="21">
        <v>7746</v>
      </c>
      <c r="U14" s="20">
        <f>IF(T14&gt;0,(T14-T15-$Q14),"")</f>
        <v>-15828</v>
      </c>
      <c r="V14" s="21">
        <v>9716</v>
      </c>
      <c r="W14" s="20">
        <f>IF(V14&gt;0,(V14-V15-$Q14),"")</f>
        <v>-14807</v>
      </c>
      <c r="X14" s="21">
        <v>12402</v>
      </c>
      <c r="Y14" s="20">
        <f>IF(X14&gt;0,(X14-X15-$Q14),"")</f>
        <v>-13345</v>
      </c>
      <c r="Z14" s="21">
        <v>12402</v>
      </c>
      <c r="AA14" s="20">
        <f>IF(Z14&gt;0,(Z14-Z15-$Q14),"")</f>
        <v>-13345</v>
      </c>
      <c r="AB14" s="21">
        <v>12402</v>
      </c>
      <c r="AC14" s="22">
        <f>IF(AB14&gt;0,(AB14-AB15-$Q14),"")</f>
        <v>-13345</v>
      </c>
      <c r="AD14" s="21">
        <v>12402</v>
      </c>
      <c r="AE14" s="22">
        <f>IF(AD14&gt;0,(AD14-AD15-$Q14),"")</f>
        <v>-13345</v>
      </c>
    </row>
    <row r="15" spans="2:42" ht="15" customHeight="1" thickBot="1" x14ac:dyDescent="0.35">
      <c r="B15" s="16" t="s">
        <v>40</v>
      </c>
      <c r="C15" s="17">
        <v>3056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3482</v>
      </c>
      <c r="S15" s="24"/>
      <c r="T15" s="25">
        <v>5794</v>
      </c>
      <c r="U15" s="24"/>
      <c r="V15" s="25">
        <v>6743</v>
      </c>
      <c r="W15" s="24"/>
      <c r="X15" s="25">
        <v>7967</v>
      </c>
      <c r="Y15" s="24"/>
      <c r="Z15" s="25">
        <v>7967</v>
      </c>
      <c r="AA15" s="24"/>
      <c r="AB15" s="25">
        <v>7967</v>
      </c>
      <c r="AC15" s="26"/>
      <c r="AD15" s="25">
        <v>7967</v>
      </c>
      <c r="AE15" s="26"/>
    </row>
    <row r="16" spans="2:42" ht="15" customHeight="1" thickBot="1" x14ac:dyDescent="0.35">
      <c r="B16" s="28" t="s">
        <v>42</v>
      </c>
      <c r="C16" s="17">
        <v>13761</v>
      </c>
      <c r="E16" s="84"/>
      <c r="F16" s="31">
        <f t="shared" ref="F16:M16" si="0">SUM(F6:F15)</f>
        <v>90180</v>
      </c>
      <c r="G16" s="31">
        <f t="shared" si="0"/>
        <v>67474.540437500007</v>
      </c>
      <c r="H16" s="31">
        <f t="shared" si="0"/>
        <v>56234.355908650003</v>
      </c>
      <c r="I16" s="32">
        <f t="shared" si="0"/>
        <v>123708.89634614998</v>
      </c>
      <c r="J16" s="33">
        <f t="shared" si="0"/>
        <v>90836</v>
      </c>
      <c r="K16" s="33">
        <f t="shared" si="0"/>
        <v>66733.75893750001</v>
      </c>
      <c r="L16" s="33">
        <f t="shared" si="0"/>
        <v>54727.325335519985</v>
      </c>
      <c r="M16" s="33">
        <f t="shared" si="0"/>
        <v>121461.08427301999</v>
      </c>
      <c r="N16" s="31">
        <f>SUM(N14,N12,N10,N8,N6)</f>
        <v>252</v>
      </c>
      <c r="O16" s="31">
        <f>SUM(O14,O12,O10,O8,O6)</f>
        <v>209</v>
      </c>
      <c r="P16" s="34">
        <f>SUM(P6:P15)</f>
        <v>0</v>
      </c>
      <c r="Q16" s="34">
        <f>SUM(Q6:Q15)</f>
        <v>90836</v>
      </c>
      <c r="R16" s="35">
        <f>R6+R8+R10+R12+R14-R7-R9-R11-R13-R15</f>
        <v>11169</v>
      </c>
      <c r="S16" s="36">
        <f>IF(R16&gt;1,(R16-$Q16),"")</f>
        <v>-79667</v>
      </c>
      <c r="T16" s="35">
        <f>T6+T8+T10+T12+T14-T7-T9-T11-T13-T15</f>
        <v>20370</v>
      </c>
      <c r="U16" s="36">
        <f>IF(T16&gt;1,(T16-$Q16),"")</f>
        <v>-70466</v>
      </c>
      <c r="V16" s="35">
        <f>V6+V8+V10+V12+V14-V7-V9-V11-V13-V15</f>
        <v>34577</v>
      </c>
      <c r="W16" s="36">
        <f>IF(V16&gt;1,(V16-$Q16),"")</f>
        <v>-56259</v>
      </c>
      <c r="X16" s="35">
        <f>X6+X8+X10+X12+X14-X7-X9-X11-X13-X15</f>
        <v>48616</v>
      </c>
      <c r="Y16" s="36">
        <f>IF(X16&gt;1,(X16-$Q16),"")</f>
        <v>-42220</v>
      </c>
      <c r="Z16" s="35">
        <f>Z6+Z8+Z10+Z12+Z14-Z7-Z9-Z11-Z13-Z15</f>
        <v>60188</v>
      </c>
      <c r="AA16" s="36">
        <f>IF(Z16&gt;1,(Z16-$Q16),"")</f>
        <v>-30648</v>
      </c>
      <c r="AB16" s="35">
        <f>AB6+AB8+AB10+AB12+AB14-AB7-AB9-AB11-AB13-AB15</f>
        <v>62373</v>
      </c>
      <c r="AC16" s="37">
        <f>IF(AB16&gt;1,(AB16-$Q16),"")</f>
        <v>-28463</v>
      </c>
      <c r="AD16" s="35">
        <f>AD6+AD8+AD10+AD12+AD14-AD7-AD9-AD11-AD13-AD15</f>
        <v>62373</v>
      </c>
      <c r="AE16" s="37">
        <f>IF(AD16&gt;1,(AD16-$Q16),"")</f>
        <v>-28463</v>
      </c>
    </row>
    <row r="17" spans="2:43" s="4" customFormat="1" ht="15" customHeight="1" thickBot="1" x14ac:dyDescent="0.35">
      <c r="B17" s="43" t="s">
        <v>47</v>
      </c>
      <c r="C17" s="17">
        <v>1148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5141</v>
      </c>
      <c r="S17" s="41"/>
      <c r="T17" s="40">
        <f>T15+T13+T11+T9+T7</f>
        <v>8659</v>
      </c>
      <c r="U17" s="41"/>
      <c r="V17" s="40">
        <f>V15+V13+V11+V9+V7</f>
        <v>10039</v>
      </c>
      <c r="W17" s="41"/>
      <c r="X17" s="40">
        <f>X15+X13+X11+X9+X7</f>
        <v>11696</v>
      </c>
      <c r="Y17" s="41"/>
      <c r="Z17" s="40">
        <f>Z15+Z13+Z11+Z9+Z7</f>
        <v>12607</v>
      </c>
      <c r="AA17" s="41"/>
      <c r="AB17" s="40">
        <f>AB15+AB13+AB11+AB9+AB7</f>
        <v>12614</v>
      </c>
      <c r="AC17" s="42"/>
      <c r="AD17" s="40">
        <f>AD15+AD13+AD11+AD9+AD7</f>
        <v>12614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601</v>
      </c>
      <c r="P18" s="45" t="s">
        <v>46</v>
      </c>
      <c r="Q18" s="46"/>
      <c r="R18" s="47">
        <f>IF(R16&gt;0,(R16)/2,"")</f>
        <v>5584.5</v>
      </c>
      <c r="S18" s="46"/>
      <c r="T18" s="47">
        <f>IF(T16&gt;0,(T16-R16)/2,"")</f>
        <v>4600.5</v>
      </c>
      <c r="U18" s="46"/>
      <c r="V18" s="47">
        <f>IF(V16&gt;0,(V16-T16)/2,"")</f>
        <v>7103.5</v>
      </c>
      <c r="W18" s="46"/>
      <c r="X18" s="47">
        <f>IF(X16&gt;0,(X16-V16)/2,"")</f>
        <v>7019.5</v>
      </c>
      <c r="Y18" s="46"/>
      <c r="Z18" s="47">
        <f>IF(Z16&gt;0,(Z16-X16)/2,"")</f>
        <v>5786</v>
      </c>
      <c r="AA18" s="46"/>
      <c r="AB18" s="47">
        <f>IF(AB16&gt;0,(AB16-Z16)/2,"")</f>
        <v>1092.5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9453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1189</v>
      </c>
      <c r="L20" s="4"/>
      <c r="M20" s="4"/>
      <c r="Q20" s="51" t="s">
        <v>49</v>
      </c>
      <c r="R20" s="35">
        <v>4614</v>
      </c>
      <c r="S20" s="36">
        <v>-80202</v>
      </c>
      <c r="T20" s="35">
        <v>11062</v>
      </c>
      <c r="U20" s="36">
        <v>-73754</v>
      </c>
      <c r="V20" s="35">
        <v>26118</v>
      </c>
      <c r="W20" s="36">
        <v>-58698</v>
      </c>
      <c r="X20" s="35">
        <v>36431</v>
      </c>
      <c r="Y20" s="36">
        <v>-48385</v>
      </c>
      <c r="Z20" s="35">
        <v>47073</v>
      </c>
      <c r="AA20" s="36">
        <v>-37743</v>
      </c>
      <c r="AB20" s="35">
        <v>54580</v>
      </c>
      <c r="AC20" s="37">
        <v>-30236</v>
      </c>
      <c r="AD20" s="35">
        <v>55344</v>
      </c>
      <c r="AE20" s="37">
        <v>-29472</v>
      </c>
    </row>
    <row r="21" spans="2:43" ht="15" customHeight="1" thickBot="1" x14ac:dyDescent="0.35">
      <c r="B21" s="57" t="s">
        <v>52</v>
      </c>
      <c r="C21" s="58">
        <v>4591</v>
      </c>
      <c r="M21" s="4"/>
      <c r="Q21" s="52"/>
      <c r="R21" s="40">
        <v>3818</v>
      </c>
      <c r="S21" s="41"/>
      <c r="T21" s="40">
        <v>9099</v>
      </c>
      <c r="U21" s="41"/>
      <c r="V21" s="40">
        <v>10359</v>
      </c>
      <c r="W21" s="41"/>
      <c r="X21" s="40">
        <v>13559</v>
      </c>
      <c r="Y21" s="41"/>
      <c r="Z21" s="40">
        <v>14372</v>
      </c>
      <c r="AA21" s="41"/>
      <c r="AB21" s="40">
        <v>14411</v>
      </c>
      <c r="AC21" s="42"/>
      <c r="AD21" s="40">
        <v>14411</v>
      </c>
      <c r="AE21" s="42"/>
    </row>
    <row r="22" spans="2:43" ht="15" customHeight="1" thickBot="1" x14ac:dyDescent="0.35">
      <c r="M22" s="4"/>
      <c r="Q22" s="54"/>
      <c r="R22" s="55">
        <v>2307</v>
      </c>
      <c r="S22" s="55"/>
      <c r="T22" s="55">
        <v>3224</v>
      </c>
      <c r="U22" s="55"/>
      <c r="V22" s="55">
        <v>7528</v>
      </c>
      <c r="W22" s="55"/>
      <c r="X22" s="55">
        <v>5156.5</v>
      </c>
      <c r="Y22" s="55"/>
      <c r="Z22" s="55">
        <v>5321</v>
      </c>
      <c r="AA22" s="55"/>
      <c r="AB22" s="55">
        <v>3753.5</v>
      </c>
      <c r="AC22" s="56"/>
      <c r="AD22" s="55">
        <v>382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6555</v>
      </c>
      <c r="S24" s="60"/>
      <c r="T24" s="60">
        <f>IF(T16&gt;0,T16-T20,"")</f>
        <v>9308</v>
      </c>
      <c r="U24" s="60"/>
      <c r="V24" s="60">
        <f>IF(V16&gt;0,V16-V20,"")</f>
        <v>8459</v>
      </c>
      <c r="W24" s="60"/>
      <c r="X24" s="60">
        <f>IF(X16&gt;0,X16-X20,"")</f>
        <v>12185</v>
      </c>
      <c r="Y24" s="60"/>
      <c r="Z24" s="60">
        <f>IF(Z16&gt;0,Z16-Z20,"")</f>
        <v>13115</v>
      </c>
      <c r="AA24" s="60"/>
      <c r="AB24" s="60">
        <f>IF(AB16&gt;0,AB16-AB20,"")</f>
        <v>7793</v>
      </c>
      <c r="AC24" s="61"/>
      <c r="AD24" s="60">
        <f>IF(AD16&gt;0,AD16-AD20,"")</f>
        <v>7029</v>
      </c>
      <c r="AE24" s="61"/>
    </row>
    <row r="25" spans="2:43" x14ac:dyDescent="0.3">
      <c r="M25" s="4"/>
      <c r="Q25" s="62"/>
      <c r="R25" s="63">
        <f>IF(R17&gt;=0,R17-R21,"")</f>
        <v>1323</v>
      </c>
      <c r="S25" s="64"/>
      <c r="T25" s="63">
        <f>IF(T17&gt;=0,T17-T21,"")</f>
        <v>-440</v>
      </c>
      <c r="U25" s="64"/>
      <c r="V25" s="63">
        <f>IF(V17&gt;=0,V17-V21,"")</f>
        <v>-320</v>
      </c>
      <c r="W25" s="64"/>
      <c r="X25" s="63">
        <f>IF(X17&gt;=0,X17-X21,"")</f>
        <v>-1863</v>
      </c>
      <c r="Y25" s="64"/>
      <c r="Z25" s="63">
        <f>IF(Z17&gt;=0,Z17-Z21,"")</f>
        <v>-1765</v>
      </c>
      <c r="AA25" s="64"/>
      <c r="AB25" s="63">
        <f>IF(AB17&gt;=0,AB17-AB21,"")</f>
        <v>-1797</v>
      </c>
      <c r="AC25" s="65"/>
      <c r="AD25" s="63">
        <f>IF(AD17&gt;=0,AD17-AD21,"")</f>
        <v>-1797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3277.5</v>
      </c>
      <c r="S26" s="55"/>
      <c r="T26" s="67">
        <f>IFERROR(IF(T18&gt;0,T18-T22,""),"")</f>
        <v>1376.5</v>
      </c>
      <c r="U26" s="55"/>
      <c r="V26" s="67">
        <f>IFERROR(IF(V18&gt;0,V18-V22,""),"")</f>
        <v>-424.5</v>
      </c>
      <c r="W26" s="55"/>
      <c r="X26" s="67">
        <f>IFERROR(IF(X18&gt;0,X18-X22,""),"")</f>
        <v>1863</v>
      </c>
      <c r="Y26" s="55"/>
      <c r="Z26" s="67">
        <f>IFERROR(IF(Z18&gt;0,Z18-Z22,""),"")</f>
        <v>465</v>
      </c>
      <c r="AA26" s="55"/>
      <c r="AB26" s="67">
        <f>IFERROR(IF(AB18&gt;0,AB18-AB22,""),"")</f>
        <v>-2661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10812</v>
      </c>
      <c r="D29" s="76">
        <f>C14</f>
        <v>11616</v>
      </c>
      <c r="E29" s="77">
        <f>D29-C29</f>
        <v>804</v>
      </c>
      <c r="O29" s="4"/>
    </row>
    <row r="30" spans="2:43" x14ac:dyDescent="0.3">
      <c r="B30" s="74" t="s">
        <v>56</v>
      </c>
      <c r="C30" s="122">
        <v>35299</v>
      </c>
      <c r="D30" s="76">
        <f>C7+C15+C16+C17+C18</f>
        <v>21364</v>
      </c>
      <c r="E30" s="77">
        <f>D30-C30</f>
        <v>-13935</v>
      </c>
      <c r="J30" s="53"/>
      <c r="O30" s="4"/>
    </row>
    <row r="31" spans="2:43" x14ac:dyDescent="0.3">
      <c r="B31" s="74" t="s">
        <v>21</v>
      </c>
      <c r="C31" s="122">
        <v>4880</v>
      </c>
      <c r="D31" s="76">
        <f>C6</f>
        <v>4880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13054</v>
      </c>
      <c r="D32" s="76">
        <f>C10+C11+C12+C13</f>
        <v>13054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14499</v>
      </c>
      <c r="D33" s="76">
        <f>C19+C20+C21</f>
        <v>15233</v>
      </c>
      <c r="E33" s="77">
        <f>D33-C33</f>
        <v>734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4271</v>
      </c>
      <c r="D34" s="80">
        <f>SUM(C8+C9)</f>
        <v>4271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276</v>
      </c>
      <c r="V35" s="104">
        <v>552</v>
      </c>
      <c r="W35" s="104">
        <f t="shared" ref="W35:W64" si="3">IF(X35&gt;0,(X35-V35)/2,"")</f>
        <v>0</v>
      </c>
      <c r="X35" s="104">
        <v>552</v>
      </c>
      <c r="Y35" s="104">
        <f t="shared" ref="Y35:Y64" si="4">IF(Z35&gt;0,(Z35-X35)/2,"")</f>
        <v>0</v>
      </c>
      <c r="Z35" s="104">
        <v>552</v>
      </c>
      <c r="AA35" s="104">
        <f t="shared" ref="AA35:AA64" si="5">IF(AB35&gt;0,(AB35-Z35)/2,"")</f>
        <v>250</v>
      </c>
      <c r="AB35" s="104">
        <v>1052</v>
      </c>
      <c r="AC35" s="104">
        <f t="shared" ref="AC35:AC64" si="6">IF(AD35&gt;0,(AD35-AB35)/2,"")</f>
        <v>0</v>
      </c>
      <c r="AD35" s="104">
        <v>1052</v>
      </c>
      <c r="AE35" s="105">
        <f t="shared" ref="AE35:AE64" si="7">AD35-Q35</f>
        <v>1052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304</v>
      </c>
      <c r="T36" s="106">
        <v>608</v>
      </c>
      <c r="U36" s="106">
        <f t="shared" si="2"/>
        <v>255</v>
      </c>
      <c r="V36" s="106">
        <v>1118</v>
      </c>
      <c r="W36" s="106">
        <f t="shared" si="3"/>
        <v>0</v>
      </c>
      <c r="X36" s="106">
        <v>1118</v>
      </c>
      <c r="Y36" s="106">
        <f t="shared" si="4"/>
        <v>12.5</v>
      </c>
      <c r="Z36" s="106">
        <v>1143</v>
      </c>
      <c r="AA36" s="106">
        <f t="shared" si="5"/>
        <v>0</v>
      </c>
      <c r="AB36" s="106">
        <v>1143</v>
      </c>
      <c r="AC36" s="106">
        <f t="shared" si="6"/>
        <v>0</v>
      </c>
      <c r="AD36" s="106">
        <v>1143</v>
      </c>
      <c r="AE36" s="107">
        <f t="shared" si="7"/>
        <v>1143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420</v>
      </c>
      <c r="S37" s="108">
        <f t="shared" si="1"/>
        <v>0</v>
      </c>
      <c r="T37" s="108">
        <v>420</v>
      </c>
      <c r="U37" s="108">
        <f t="shared" si="2"/>
        <v>190.5</v>
      </c>
      <c r="V37" s="108">
        <v>801</v>
      </c>
      <c r="W37" s="108">
        <f t="shared" si="3"/>
        <v>552</v>
      </c>
      <c r="X37" s="108">
        <v>1905</v>
      </c>
      <c r="Y37" s="108">
        <f t="shared" si="4"/>
        <v>630</v>
      </c>
      <c r="Z37" s="108">
        <v>3165</v>
      </c>
      <c r="AA37" s="108">
        <f t="shared" si="5"/>
        <v>330</v>
      </c>
      <c r="AB37" s="108">
        <v>3825</v>
      </c>
      <c r="AC37" s="108">
        <f t="shared" si="6"/>
        <v>0</v>
      </c>
      <c r="AD37" s="108">
        <v>3825</v>
      </c>
      <c r="AE37" s="109">
        <f t="shared" si="7"/>
        <v>3825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1305</v>
      </c>
      <c r="S38" s="106">
        <f t="shared" si="1"/>
        <v>160</v>
      </c>
      <c r="T38" s="106">
        <v>1625</v>
      </c>
      <c r="U38" s="106">
        <f t="shared" si="2"/>
        <v>230</v>
      </c>
      <c r="V38" s="106">
        <v>2085</v>
      </c>
      <c r="W38" s="106">
        <f t="shared" si="3"/>
        <v>695.5</v>
      </c>
      <c r="X38" s="106">
        <v>3476</v>
      </c>
      <c r="Y38" s="106">
        <f t="shared" si="4"/>
        <v>159</v>
      </c>
      <c r="Z38" s="106">
        <v>3794</v>
      </c>
      <c r="AA38" s="106">
        <f t="shared" si="5"/>
        <v>0</v>
      </c>
      <c r="AB38" s="106">
        <v>3794</v>
      </c>
      <c r="AC38" s="106">
        <f t="shared" si="6"/>
        <v>0</v>
      </c>
      <c r="AD38" s="106">
        <v>3794</v>
      </c>
      <c r="AE38" s="107">
        <f t="shared" si="7"/>
        <v>3794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586</v>
      </c>
      <c r="S39" s="108">
        <f t="shared" si="1"/>
        <v>188</v>
      </c>
      <c r="T39" s="108">
        <v>962</v>
      </c>
      <c r="U39" s="108">
        <f t="shared" si="2"/>
        <v>0</v>
      </c>
      <c r="V39" s="108">
        <v>962</v>
      </c>
      <c r="W39" s="108">
        <f t="shared" si="3"/>
        <v>180.5</v>
      </c>
      <c r="X39" s="108">
        <v>1323</v>
      </c>
      <c r="Y39" s="108">
        <f t="shared" si="4"/>
        <v>492.5</v>
      </c>
      <c r="Z39" s="108">
        <v>2308</v>
      </c>
      <c r="AA39" s="108">
        <f t="shared" si="5"/>
        <v>0</v>
      </c>
      <c r="AB39" s="108">
        <v>2308</v>
      </c>
      <c r="AC39" s="108">
        <f t="shared" si="6"/>
        <v>0</v>
      </c>
      <c r="AD39" s="108">
        <v>2308</v>
      </c>
      <c r="AE39" s="109">
        <f t="shared" si="7"/>
        <v>2308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601</v>
      </c>
      <c r="S40" s="106">
        <f t="shared" si="1"/>
        <v>367</v>
      </c>
      <c r="T40" s="106">
        <v>1335</v>
      </c>
      <c r="U40" s="106">
        <f t="shared" si="2"/>
        <v>0</v>
      </c>
      <c r="V40" s="106">
        <v>1335</v>
      </c>
      <c r="W40" s="106">
        <f t="shared" si="3"/>
        <v>475.5</v>
      </c>
      <c r="X40" s="106">
        <v>2286</v>
      </c>
      <c r="Y40" s="106">
        <f t="shared" si="4"/>
        <v>156</v>
      </c>
      <c r="Z40" s="106">
        <v>2598</v>
      </c>
      <c r="AA40" s="106">
        <f t="shared" si="5"/>
        <v>425</v>
      </c>
      <c r="AB40" s="106">
        <v>3448</v>
      </c>
      <c r="AC40" s="106">
        <f t="shared" si="6"/>
        <v>0</v>
      </c>
      <c r="AD40" s="106">
        <v>3448</v>
      </c>
      <c r="AE40" s="107">
        <f t="shared" si="7"/>
        <v>3448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273</v>
      </c>
      <c r="S41" s="108">
        <f t="shared" si="1"/>
        <v>178</v>
      </c>
      <c r="T41" s="108">
        <v>629</v>
      </c>
      <c r="U41" s="108">
        <f t="shared" si="2"/>
        <v>0</v>
      </c>
      <c r="V41" s="108">
        <v>629</v>
      </c>
      <c r="W41" s="108">
        <f t="shared" si="3"/>
        <v>0</v>
      </c>
      <c r="X41" s="108">
        <v>629</v>
      </c>
      <c r="Y41" s="108">
        <f t="shared" si="4"/>
        <v>0</v>
      </c>
      <c r="Z41" s="108">
        <v>629</v>
      </c>
      <c r="AA41" s="108">
        <f t="shared" si="5"/>
        <v>0</v>
      </c>
      <c r="AB41" s="108">
        <v>629</v>
      </c>
      <c r="AC41" s="108">
        <f t="shared" si="6"/>
        <v>0</v>
      </c>
      <c r="AD41" s="108">
        <v>629</v>
      </c>
      <c r="AE41" s="109">
        <f t="shared" si="7"/>
        <v>629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757</v>
      </c>
      <c r="S42" s="106">
        <f t="shared" si="1"/>
        <v>0</v>
      </c>
      <c r="T42" s="106">
        <v>757</v>
      </c>
      <c r="U42" s="106">
        <f t="shared" si="2"/>
        <v>459</v>
      </c>
      <c r="V42" s="106">
        <v>1675</v>
      </c>
      <c r="W42" s="106">
        <f t="shared" si="3"/>
        <v>19</v>
      </c>
      <c r="X42" s="106">
        <v>1713</v>
      </c>
      <c r="Y42" s="106">
        <f t="shared" si="4"/>
        <v>7.5</v>
      </c>
      <c r="Z42" s="106">
        <v>1728</v>
      </c>
      <c r="AA42" s="106">
        <f t="shared" si="5"/>
        <v>32</v>
      </c>
      <c r="AB42" s="106">
        <v>1792</v>
      </c>
      <c r="AC42" s="106">
        <f t="shared" si="6"/>
        <v>0</v>
      </c>
      <c r="AD42" s="106">
        <v>1792</v>
      </c>
      <c r="AE42" s="107">
        <f t="shared" si="7"/>
        <v>1792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>
        <f t="shared" si="1"/>
        <v>281.5</v>
      </c>
      <c r="T43" s="110">
        <v>563</v>
      </c>
      <c r="U43" s="110">
        <f t="shared" si="2"/>
        <v>184</v>
      </c>
      <c r="V43" s="110">
        <v>931</v>
      </c>
      <c r="W43" s="110">
        <f t="shared" si="3"/>
        <v>0</v>
      </c>
      <c r="X43" s="110">
        <v>931</v>
      </c>
      <c r="Y43" s="110">
        <f t="shared" si="4"/>
        <v>0</v>
      </c>
      <c r="Z43" s="110">
        <v>931</v>
      </c>
      <c r="AA43" s="110">
        <f t="shared" si="5"/>
        <v>56</v>
      </c>
      <c r="AB43" s="110">
        <v>1043</v>
      </c>
      <c r="AC43" s="110">
        <f t="shared" si="6"/>
        <v>0</v>
      </c>
      <c r="AD43" s="110">
        <v>1043</v>
      </c>
      <c r="AE43" s="111">
        <f t="shared" si="7"/>
        <v>1043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>
        <f t="shared" si="2"/>
        <v>1015</v>
      </c>
      <c r="V44" s="112">
        <v>2030</v>
      </c>
      <c r="W44" s="112">
        <f t="shared" si="3"/>
        <v>0</v>
      </c>
      <c r="X44" s="112">
        <v>2030</v>
      </c>
      <c r="Y44" s="112">
        <f t="shared" si="4"/>
        <v>547.5</v>
      </c>
      <c r="Z44" s="112">
        <v>3125</v>
      </c>
      <c r="AA44" s="112">
        <f t="shared" si="5"/>
        <v>0</v>
      </c>
      <c r="AB44" s="112">
        <v>3125</v>
      </c>
      <c r="AC44" s="112">
        <f t="shared" si="6"/>
        <v>0</v>
      </c>
      <c r="AD44" s="112">
        <v>3125</v>
      </c>
      <c r="AE44" s="113">
        <f t="shared" si="7"/>
        <v>3125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537</v>
      </c>
      <c r="X45" s="108">
        <v>1074</v>
      </c>
      <c r="Y45" s="108">
        <f t="shared" si="4"/>
        <v>706.5</v>
      </c>
      <c r="Z45" s="108">
        <v>2487</v>
      </c>
      <c r="AA45" s="108">
        <f t="shared" si="5"/>
        <v>0</v>
      </c>
      <c r="AB45" s="108">
        <v>2487</v>
      </c>
      <c r="AC45" s="108">
        <f t="shared" si="6"/>
        <v>0</v>
      </c>
      <c r="AD45" s="108">
        <v>2487</v>
      </c>
      <c r="AE45" s="109">
        <f t="shared" si="7"/>
        <v>2487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1235.5</v>
      </c>
      <c r="X46" s="106">
        <v>2471</v>
      </c>
      <c r="Y46" s="106">
        <f t="shared" si="4"/>
        <v>146</v>
      </c>
      <c r="Z46" s="106">
        <v>2763</v>
      </c>
      <c r="AA46" s="106">
        <f t="shared" si="5"/>
        <v>0</v>
      </c>
      <c r="AB46" s="106">
        <v>2763</v>
      </c>
      <c r="AC46" s="106">
        <f t="shared" si="6"/>
        <v>0</v>
      </c>
      <c r="AD46" s="106">
        <v>2763</v>
      </c>
      <c r="AE46" s="107">
        <f t="shared" si="7"/>
        <v>2763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>
        <f t="shared" si="2"/>
        <v>800.5</v>
      </c>
      <c r="V47" s="110">
        <v>1601</v>
      </c>
      <c r="W47" s="110">
        <f t="shared" si="3"/>
        <v>526</v>
      </c>
      <c r="X47" s="110">
        <v>2653</v>
      </c>
      <c r="Y47" s="110">
        <f t="shared" si="4"/>
        <v>270.5</v>
      </c>
      <c r="Z47" s="110">
        <v>3194</v>
      </c>
      <c r="AA47" s="110">
        <f t="shared" si="5"/>
        <v>0</v>
      </c>
      <c r="AB47" s="110">
        <v>3194</v>
      </c>
      <c r="AC47" s="110">
        <f t="shared" si="6"/>
        <v>0</v>
      </c>
      <c r="AD47" s="110">
        <v>3194</v>
      </c>
      <c r="AE47" s="111">
        <f t="shared" si="7"/>
        <v>3194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750</v>
      </c>
      <c r="S48" s="112">
        <f t="shared" si="1"/>
        <v>0</v>
      </c>
      <c r="T48" s="112">
        <v>750</v>
      </c>
      <c r="U48" s="112">
        <f t="shared" si="2"/>
        <v>137</v>
      </c>
      <c r="V48" s="112">
        <v>1024</v>
      </c>
      <c r="W48" s="112">
        <f t="shared" si="3"/>
        <v>52.5</v>
      </c>
      <c r="X48" s="112">
        <v>1129</v>
      </c>
      <c r="Y48" s="112">
        <f t="shared" si="4"/>
        <v>12</v>
      </c>
      <c r="Z48" s="112">
        <v>1153</v>
      </c>
      <c r="AA48" s="112">
        <f t="shared" si="5"/>
        <v>0</v>
      </c>
      <c r="AB48" s="112">
        <v>1153</v>
      </c>
      <c r="AC48" s="112">
        <f t="shared" si="6"/>
        <v>0</v>
      </c>
      <c r="AD48" s="112">
        <v>1153</v>
      </c>
      <c r="AE48" s="113">
        <f t="shared" si="7"/>
        <v>1153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1050</v>
      </c>
      <c r="S49" s="108">
        <f t="shared" si="1"/>
        <v>450</v>
      </c>
      <c r="T49" s="108">
        <v>1950</v>
      </c>
      <c r="U49" s="108">
        <f t="shared" si="2"/>
        <v>915</v>
      </c>
      <c r="V49" s="108">
        <v>3780</v>
      </c>
      <c r="W49" s="108">
        <f t="shared" si="3"/>
        <v>341</v>
      </c>
      <c r="X49" s="108">
        <v>4462</v>
      </c>
      <c r="Y49" s="108">
        <f t="shared" si="4"/>
        <v>94</v>
      </c>
      <c r="Z49" s="108">
        <v>4650</v>
      </c>
      <c r="AA49" s="108">
        <f t="shared" si="5"/>
        <v>0</v>
      </c>
      <c r="AB49" s="108">
        <v>4650</v>
      </c>
      <c r="AC49" s="108">
        <f t="shared" si="6"/>
        <v>0</v>
      </c>
      <c r="AD49" s="108">
        <v>4650</v>
      </c>
      <c r="AE49" s="109">
        <f t="shared" si="7"/>
        <v>4650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744</v>
      </c>
      <c r="S50" s="106">
        <f t="shared" si="1"/>
        <v>68</v>
      </c>
      <c r="T50" s="106">
        <v>880</v>
      </c>
      <c r="U50" s="106">
        <f t="shared" si="2"/>
        <v>217</v>
      </c>
      <c r="V50" s="106">
        <v>1314</v>
      </c>
      <c r="W50" s="106">
        <f t="shared" si="3"/>
        <v>0</v>
      </c>
      <c r="X50" s="106">
        <v>1314</v>
      </c>
      <c r="Y50" s="106">
        <f t="shared" si="4"/>
        <v>138</v>
      </c>
      <c r="Z50" s="106">
        <v>1590</v>
      </c>
      <c r="AA50" s="106">
        <f t="shared" si="5"/>
        <v>0</v>
      </c>
      <c r="AB50" s="106">
        <v>1590</v>
      </c>
      <c r="AC50" s="106">
        <f t="shared" si="6"/>
        <v>0</v>
      </c>
      <c r="AD50" s="106">
        <v>1590</v>
      </c>
      <c r="AE50" s="107">
        <f t="shared" si="7"/>
        <v>1590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>
        <f t="shared" si="1"/>
        <v>76.5</v>
      </c>
      <c r="T51" s="108">
        <v>153</v>
      </c>
      <c r="U51" s="108">
        <f t="shared" si="2"/>
        <v>197.5</v>
      </c>
      <c r="V51" s="108">
        <v>548</v>
      </c>
      <c r="W51" s="108">
        <f t="shared" si="3"/>
        <v>461.5</v>
      </c>
      <c r="X51" s="108">
        <v>1471</v>
      </c>
      <c r="Y51" s="108">
        <f t="shared" si="4"/>
        <v>191.5</v>
      </c>
      <c r="Z51" s="108">
        <v>1854</v>
      </c>
      <c r="AA51" s="108">
        <f t="shared" si="5"/>
        <v>0</v>
      </c>
      <c r="AB51" s="108">
        <v>1854</v>
      </c>
      <c r="AC51" s="108">
        <f t="shared" si="6"/>
        <v>0</v>
      </c>
      <c r="AD51" s="108">
        <v>1854</v>
      </c>
      <c r="AE51" s="109">
        <f t="shared" si="7"/>
        <v>1854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90</v>
      </c>
      <c r="S52" s="106">
        <f t="shared" si="1"/>
        <v>432.5</v>
      </c>
      <c r="T52" s="106">
        <v>955</v>
      </c>
      <c r="U52" s="106">
        <f t="shared" si="2"/>
        <v>-4</v>
      </c>
      <c r="V52" s="106">
        <v>947</v>
      </c>
      <c r="W52" s="106">
        <f t="shared" si="3"/>
        <v>4</v>
      </c>
      <c r="X52" s="106">
        <v>955</v>
      </c>
      <c r="Y52" s="106">
        <f t="shared" si="4"/>
        <v>92</v>
      </c>
      <c r="Z52" s="106">
        <v>1139</v>
      </c>
      <c r="AA52" s="106">
        <f t="shared" si="5"/>
        <v>3</v>
      </c>
      <c r="AB52" s="106">
        <v>1145</v>
      </c>
      <c r="AC52" s="106">
        <f t="shared" si="6"/>
        <v>0</v>
      </c>
      <c r="AD52" s="106">
        <v>1145</v>
      </c>
      <c r="AE52" s="107">
        <f t="shared" si="7"/>
        <v>1145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689</v>
      </c>
      <c r="S53" s="108">
        <f t="shared" si="1"/>
        <v>53</v>
      </c>
      <c r="T53" s="108">
        <v>795</v>
      </c>
      <c r="U53" s="108">
        <f t="shared" si="2"/>
        <v>86.5</v>
      </c>
      <c r="V53" s="108">
        <v>968</v>
      </c>
      <c r="W53" s="108">
        <f t="shared" si="3"/>
        <v>0</v>
      </c>
      <c r="X53" s="108">
        <v>968</v>
      </c>
      <c r="Y53" s="108">
        <f t="shared" si="4"/>
        <v>62</v>
      </c>
      <c r="Z53" s="108">
        <v>1092</v>
      </c>
      <c r="AA53" s="108">
        <f t="shared" si="5"/>
        <v>0</v>
      </c>
      <c r="AB53" s="108">
        <v>1092</v>
      </c>
      <c r="AC53" s="108">
        <f t="shared" si="6"/>
        <v>0</v>
      </c>
      <c r="AD53" s="108">
        <v>1092</v>
      </c>
      <c r="AE53" s="109">
        <f t="shared" si="7"/>
        <v>1092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1000</v>
      </c>
      <c r="S54" s="106">
        <f t="shared" si="1"/>
        <v>450.5</v>
      </c>
      <c r="T54" s="106">
        <v>1901</v>
      </c>
      <c r="U54" s="106">
        <f t="shared" si="2"/>
        <v>0</v>
      </c>
      <c r="V54" s="106">
        <v>1901</v>
      </c>
      <c r="W54" s="106">
        <f t="shared" si="3"/>
        <v>100</v>
      </c>
      <c r="X54" s="106">
        <v>2101</v>
      </c>
      <c r="Y54" s="106">
        <f t="shared" si="4"/>
        <v>709</v>
      </c>
      <c r="Z54" s="106">
        <v>3519</v>
      </c>
      <c r="AA54" s="106">
        <f t="shared" si="5"/>
        <v>0</v>
      </c>
      <c r="AB54" s="106">
        <v>3519</v>
      </c>
      <c r="AC54" s="106">
        <f t="shared" si="6"/>
        <v>0</v>
      </c>
      <c r="AD54" s="106">
        <v>3519</v>
      </c>
      <c r="AE54" s="107">
        <f t="shared" si="7"/>
        <v>3519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1200</v>
      </c>
      <c r="S55" s="108">
        <f t="shared" si="1"/>
        <v>0</v>
      </c>
      <c r="T55" s="108">
        <v>1200</v>
      </c>
      <c r="U55" s="108">
        <f t="shared" si="2"/>
        <v>756.5</v>
      </c>
      <c r="V55" s="108">
        <v>2713</v>
      </c>
      <c r="W55" s="108">
        <f t="shared" si="3"/>
        <v>0</v>
      </c>
      <c r="X55" s="108">
        <v>2713</v>
      </c>
      <c r="Y55" s="108">
        <f t="shared" si="4"/>
        <v>656</v>
      </c>
      <c r="Z55" s="108">
        <v>4025</v>
      </c>
      <c r="AA55" s="108">
        <f t="shared" si="5"/>
        <v>0</v>
      </c>
      <c r="AB55" s="108">
        <v>4025</v>
      </c>
      <c r="AC55" s="108">
        <f t="shared" si="6"/>
        <v>0</v>
      </c>
      <c r="AD55" s="108">
        <v>4025</v>
      </c>
      <c r="AE55" s="109">
        <f t="shared" si="7"/>
        <v>4025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>
        <f t="shared" si="1"/>
        <v>62</v>
      </c>
      <c r="T56" s="114">
        <v>124</v>
      </c>
      <c r="U56" s="114">
        <f t="shared" si="2"/>
        <v>95.5</v>
      </c>
      <c r="V56" s="114">
        <v>315</v>
      </c>
      <c r="W56" s="114">
        <f t="shared" si="3"/>
        <v>19</v>
      </c>
      <c r="X56" s="114">
        <v>353</v>
      </c>
      <c r="Y56" s="114">
        <f t="shared" si="4"/>
        <v>140</v>
      </c>
      <c r="Z56" s="114">
        <v>633</v>
      </c>
      <c r="AA56" s="114">
        <f t="shared" si="5"/>
        <v>0</v>
      </c>
      <c r="AB56" s="114">
        <v>633</v>
      </c>
      <c r="AC56" s="114">
        <f t="shared" si="6"/>
        <v>0</v>
      </c>
      <c r="AD56" s="114">
        <v>633</v>
      </c>
      <c r="AE56" s="115">
        <f t="shared" si="7"/>
        <v>633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334</v>
      </c>
      <c r="S57" s="104">
        <f t="shared" si="1"/>
        <v>8.5</v>
      </c>
      <c r="T57" s="104">
        <v>351</v>
      </c>
      <c r="U57" s="104">
        <f t="shared" si="2"/>
        <v>70</v>
      </c>
      <c r="V57" s="104">
        <v>491</v>
      </c>
      <c r="W57" s="104">
        <f t="shared" si="3"/>
        <v>5.5</v>
      </c>
      <c r="X57" s="104">
        <v>502</v>
      </c>
      <c r="Y57" s="104">
        <f t="shared" si="4"/>
        <v>397</v>
      </c>
      <c r="Z57" s="104">
        <v>1296</v>
      </c>
      <c r="AA57" s="104">
        <f t="shared" si="5"/>
        <v>0</v>
      </c>
      <c r="AB57" s="104">
        <v>1296</v>
      </c>
      <c r="AC57" s="104">
        <f t="shared" si="6"/>
        <v>0</v>
      </c>
      <c r="AD57" s="104">
        <v>1296</v>
      </c>
      <c r="AE57" s="105">
        <f t="shared" si="7"/>
        <v>1296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1056</v>
      </c>
      <c r="S58" s="106">
        <f t="shared" si="1"/>
        <v>473</v>
      </c>
      <c r="T58" s="106">
        <v>2002</v>
      </c>
      <c r="U58" s="106">
        <f t="shared" si="2"/>
        <v>201</v>
      </c>
      <c r="V58" s="106">
        <v>2404</v>
      </c>
      <c r="W58" s="106">
        <f t="shared" si="3"/>
        <v>530.5</v>
      </c>
      <c r="X58" s="106">
        <v>3465</v>
      </c>
      <c r="Y58" s="106">
        <f t="shared" si="4"/>
        <v>6</v>
      </c>
      <c r="Z58" s="106">
        <v>3477</v>
      </c>
      <c r="AA58" s="106">
        <f t="shared" si="5"/>
        <v>0</v>
      </c>
      <c r="AB58" s="106">
        <v>3477</v>
      </c>
      <c r="AC58" s="106">
        <f t="shared" si="6"/>
        <v>0</v>
      </c>
      <c r="AD58" s="106">
        <v>3477</v>
      </c>
      <c r="AE58" s="107">
        <f t="shared" si="7"/>
        <v>3477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464</v>
      </c>
      <c r="S59" s="108">
        <f t="shared" si="1"/>
        <v>319</v>
      </c>
      <c r="T59" s="108">
        <v>1102</v>
      </c>
      <c r="U59" s="108">
        <f t="shared" si="2"/>
        <v>124</v>
      </c>
      <c r="V59" s="108">
        <v>1350</v>
      </c>
      <c r="W59" s="108">
        <f t="shared" si="3"/>
        <v>495.5</v>
      </c>
      <c r="X59" s="108">
        <v>2341</v>
      </c>
      <c r="Y59" s="108">
        <f t="shared" si="4"/>
        <v>483</v>
      </c>
      <c r="Z59" s="108">
        <v>3307</v>
      </c>
      <c r="AA59" s="108">
        <f t="shared" si="5"/>
        <v>0</v>
      </c>
      <c r="AB59" s="108">
        <v>3307</v>
      </c>
      <c r="AC59" s="108">
        <f t="shared" si="6"/>
        <v>0</v>
      </c>
      <c r="AD59" s="108">
        <v>3307</v>
      </c>
      <c r="AE59" s="109">
        <f t="shared" si="7"/>
        <v>3307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1123</v>
      </c>
      <c r="S60" s="114">
        <f t="shared" si="1"/>
        <v>549</v>
      </c>
      <c r="T60" s="114">
        <v>2221</v>
      </c>
      <c r="U60" s="114">
        <f t="shared" si="2"/>
        <v>434</v>
      </c>
      <c r="V60" s="114">
        <v>3089</v>
      </c>
      <c r="W60" s="114">
        <f t="shared" si="3"/>
        <v>229.5</v>
      </c>
      <c r="X60" s="114">
        <v>3548</v>
      </c>
      <c r="Y60" s="114">
        <f t="shared" si="4"/>
        <v>0</v>
      </c>
      <c r="Z60" s="114">
        <v>3548</v>
      </c>
      <c r="AA60" s="114">
        <f t="shared" si="5"/>
        <v>0</v>
      </c>
      <c r="AB60" s="114">
        <v>3548</v>
      </c>
      <c r="AC60" s="114">
        <f t="shared" si="6"/>
        <v>0</v>
      </c>
      <c r="AD60" s="114">
        <v>3548</v>
      </c>
      <c r="AE60" s="115">
        <f t="shared" si="7"/>
        <v>3548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475</v>
      </c>
      <c r="S61" s="104">
        <f t="shared" si="1"/>
        <v>419.5</v>
      </c>
      <c r="T61" s="104">
        <v>1314</v>
      </c>
      <c r="U61" s="104">
        <f t="shared" si="2"/>
        <v>291</v>
      </c>
      <c r="V61" s="104">
        <v>1896</v>
      </c>
      <c r="W61" s="104">
        <f t="shared" si="3"/>
        <v>102</v>
      </c>
      <c r="X61" s="104">
        <v>2100</v>
      </c>
      <c r="Y61" s="104">
        <f t="shared" si="4"/>
        <v>0</v>
      </c>
      <c r="Z61" s="104">
        <v>2100</v>
      </c>
      <c r="AA61" s="104">
        <f t="shared" si="5"/>
        <v>0</v>
      </c>
      <c r="AB61" s="104">
        <v>2100</v>
      </c>
      <c r="AC61" s="104">
        <f t="shared" si="6"/>
        <v>0</v>
      </c>
      <c r="AD61" s="104">
        <v>2100</v>
      </c>
      <c r="AE61" s="105">
        <f t="shared" si="7"/>
        <v>2100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170</v>
      </c>
      <c r="S62" s="106">
        <f t="shared" si="1"/>
        <v>144.5</v>
      </c>
      <c r="T62" s="106">
        <v>459</v>
      </c>
      <c r="U62" s="106">
        <f t="shared" si="2"/>
        <v>246</v>
      </c>
      <c r="V62" s="106">
        <v>951</v>
      </c>
      <c r="W62" s="106">
        <f t="shared" si="3"/>
        <v>495</v>
      </c>
      <c r="X62" s="106">
        <v>1941</v>
      </c>
      <c r="Y62" s="106">
        <f t="shared" si="4"/>
        <v>0</v>
      </c>
      <c r="Z62" s="106">
        <v>1941</v>
      </c>
      <c r="AA62" s="106">
        <f t="shared" si="5"/>
        <v>0</v>
      </c>
      <c r="AB62" s="106">
        <v>1941</v>
      </c>
      <c r="AC62" s="106">
        <f t="shared" si="6"/>
        <v>0</v>
      </c>
      <c r="AD62" s="106">
        <v>1941</v>
      </c>
      <c r="AE62" s="107">
        <f t="shared" si="7"/>
        <v>1941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96</v>
      </c>
      <c r="S63" s="108">
        <f t="shared" si="1"/>
        <v>231.5</v>
      </c>
      <c r="T63" s="108">
        <v>559</v>
      </c>
      <c r="U63" s="108">
        <f t="shared" si="2"/>
        <v>5</v>
      </c>
      <c r="V63" s="108">
        <v>569</v>
      </c>
      <c r="W63" s="108">
        <f t="shared" si="3"/>
        <v>187.5</v>
      </c>
      <c r="X63" s="108">
        <v>944</v>
      </c>
      <c r="Y63" s="108">
        <f t="shared" si="4"/>
        <v>0</v>
      </c>
      <c r="Z63" s="108">
        <v>944</v>
      </c>
      <c r="AA63" s="108">
        <f t="shared" si="5"/>
        <v>0</v>
      </c>
      <c r="AB63" s="108">
        <v>944</v>
      </c>
      <c r="AC63" s="108">
        <f t="shared" si="6"/>
        <v>0</v>
      </c>
      <c r="AD63" s="108">
        <v>944</v>
      </c>
      <c r="AE63" s="109">
        <f t="shared" si="7"/>
        <v>944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750</v>
      </c>
      <c r="S64" s="114">
        <f t="shared" si="1"/>
        <v>159</v>
      </c>
      <c r="T64" s="114">
        <v>1068</v>
      </c>
      <c r="U64" s="114">
        <f t="shared" si="2"/>
        <v>137</v>
      </c>
      <c r="V64" s="114">
        <v>1342</v>
      </c>
      <c r="W64" s="114">
        <f t="shared" si="3"/>
        <v>135</v>
      </c>
      <c r="X64" s="114">
        <v>1612</v>
      </c>
      <c r="Y64" s="114">
        <f t="shared" si="4"/>
        <v>0</v>
      </c>
      <c r="Z64" s="114">
        <v>1612</v>
      </c>
      <c r="AA64" s="114">
        <f t="shared" si="5"/>
        <v>0</v>
      </c>
      <c r="AB64" s="114">
        <v>1612</v>
      </c>
      <c r="AC64" s="114">
        <f t="shared" si="6"/>
        <v>0</v>
      </c>
      <c r="AD64" s="114">
        <v>1612</v>
      </c>
      <c r="AE64" s="115">
        <f t="shared" si="7"/>
        <v>1612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99" priority="11" operator="lessThan">
      <formula>0</formula>
    </cfRule>
    <cfRule type="cellIs" dxfId="1198" priority="12" operator="greaterThan">
      <formula>0</formula>
    </cfRule>
  </conditionalFormatting>
  <conditionalFormatting sqref="R25:AC25">
    <cfRule type="cellIs" dxfId="1197" priority="9" operator="lessThan">
      <formula>0</formula>
    </cfRule>
    <cfRule type="cellIs" dxfId="1196" priority="10" operator="greaterThan">
      <formula>0</formula>
    </cfRule>
  </conditionalFormatting>
  <conditionalFormatting sqref="R26 T26 V26 X26 Z26 AB26">
    <cfRule type="cellIs" dxfId="1195" priority="7" operator="lessThan">
      <formula>0</formula>
    </cfRule>
    <cfRule type="cellIs" dxfId="1194" priority="8" operator="greaterThan">
      <formula>0</formula>
    </cfRule>
  </conditionalFormatting>
  <conditionalFormatting sqref="AD24:AE24">
    <cfRule type="cellIs" dxfId="1193" priority="5" operator="lessThan">
      <formula>0</formula>
    </cfRule>
    <cfRule type="cellIs" dxfId="1192" priority="6" operator="greaterThan">
      <formula>0</formula>
    </cfRule>
  </conditionalFormatting>
  <conditionalFormatting sqref="AD25:AE25">
    <cfRule type="cellIs" dxfId="1191" priority="3" operator="lessThan">
      <formula>0</formula>
    </cfRule>
    <cfRule type="cellIs" dxfId="1190" priority="4" operator="greaterThan">
      <formula>0</formula>
    </cfRule>
  </conditionalFormatting>
  <conditionalFormatting sqref="AD26">
    <cfRule type="cellIs" dxfId="1189" priority="1" operator="lessThan">
      <formula>0</formula>
    </cfRule>
    <cfRule type="cellIs" dxfId="118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>
    <tabColor theme="1"/>
    <pageSetUpPr fitToPage="1"/>
  </sheetPr>
  <dimension ref="B1:AQ64"/>
  <sheetViews>
    <sheetView topLeftCell="G1"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44419</v>
      </c>
    </row>
    <row r="3" spans="2:42" ht="18.75" customHeight="1" thickBot="1" x14ac:dyDescent="0.35">
      <c r="B3" t="s">
        <v>1</v>
      </c>
      <c r="C3" s="3">
        <f>C2+1</f>
        <v>44420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20610</v>
      </c>
      <c r="G6" s="117">
        <v>17733.871500000001</v>
      </c>
      <c r="H6" s="117">
        <v>14936.22813872</v>
      </c>
      <c r="I6" s="19">
        <f>G6+H6</f>
        <v>32670.099638719999</v>
      </c>
      <c r="J6" s="119">
        <v>21029</v>
      </c>
      <c r="K6" s="117">
        <v>17308.37225</v>
      </c>
      <c r="L6" s="117">
        <v>14774.47509776</v>
      </c>
      <c r="M6" s="19">
        <f>K6+L6</f>
        <v>32082.847347759998</v>
      </c>
      <c r="N6" s="85">
        <v>65</v>
      </c>
      <c r="O6" s="85">
        <v>52</v>
      </c>
      <c r="P6" s="92"/>
      <c r="Q6" s="20">
        <f>J6-P6</f>
        <v>21029</v>
      </c>
      <c r="R6" s="21">
        <v>2342</v>
      </c>
      <c r="S6" s="20">
        <f>IF(R6&gt;0,(R6-R7-$Q6),"")</f>
        <v>-18733</v>
      </c>
      <c r="T6" s="21">
        <v>7326</v>
      </c>
      <c r="U6" s="20">
        <f>IF(T6&gt;0,(T6-T7-$Q6),"")</f>
        <v>-13865</v>
      </c>
      <c r="V6" s="21">
        <v>10633</v>
      </c>
      <c r="W6" s="20">
        <f>IF(V6&gt;0,(V6-V7-$Q6),"")</f>
        <v>-10935</v>
      </c>
      <c r="X6" s="21">
        <v>16868</v>
      </c>
      <c r="Y6" s="20">
        <f>IF(X6&gt;0,(X6-X7-$Q6),"")</f>
        <v>-4786</v>
      </c>
      <c r="Z6" s="21">
        <v>20408</v>
      </c>
      <c r="AA6" s="20">
        <f>IF(Z6&gt;0,(Z6-Z7-$Q6),"")</f>
        <v>-1331</v>
      </c>
      <c r="AB6" s="21">
        <v>20408</v>
      </c>
      <c r="AC6" s="22">
        <f>IF(AB6&gt;0,(AB6-AB7-$Q6),"")</f>
        <v>-1331</v>
      </c>
      <c r="AD6" s="21">
        <v>20408</v>
      </c>
      <c r="AE6" s="22">
        <f>IF(AD6&gt;0,(AD6-AD7-$Q6),"")</f>
        <v>-1331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46</v>
      </c>
      <c r="S7" s="24"/>
      <c r="T7" s="25">
        <v>162</v>
      </c>
      <c r="U7" s="24"/>
      <c r="V7" s="25">
        <v>539</v>
      </c>
      <c r="W7" s="24"/>
      <c r="X7" s="25">
        <v>625</v>
      </c>
      <c r="Y7" s="24"/>
      <c r="Z7" s="25">
        <v>710</v>
      </c>
      <c r="AA7" s="24"/>
      <c r="AB7" s="25">
        <v>710</v>
      </c>
      <c r="AC7" s="26"/>
      <c r="AD7" s="25">
        <v>710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2621</v>
      </c>
      <c r="E8" s="29" t="s">
        <v>27</v>
      </c>
      <c r="F8" s="119">
        <v>12170</v>
      </c>
      <c r="G8" s="117">
        <v>5017.5</v>
      </c>
      <c r="H8" s="117">
        <v>1507.144258</v>
      </c>
      <c r="I8" s="19">
        <f>G8+H8</f>
        <v>6524.6442580000003</v>
      </c>
      <c r="J8" s="119">
        <v>12370</v>
      </c>
      <c r="K8" s="117">
        <v>5060.9839999999986</v>
      </c>
      <c r="L8" s="117">
        <v>1511.9741131000001</v>
      </c>
      <c r="M8" s="19">
        <f>K8+L8</f>
        <v>6572.9581130999986</v>
      </c>
      <c r="N8" s="87">
        <v>24</v>
      </c>
      <c r="O8" s="87">
        <v>19</v>
      </c>
      <c r="P8" s="92"/>
      <c r="Q8" s="20">
        <f>J8-P8</f>
        <v>12370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1225</v>
      </c>
      <c r="W8" s="20">
        <f>IF(V8&gt;0,(V8-V9-$Q8),"")</f>
        <v>-11145</v>
      </c>
      <c r="X8" s="21">
        <v>9369</v>
      </c>
      <c r="Y8" s="20">
        <f>IF(X8&gt;0,(X8-X9-$Q8),"")</f>
        <v>-3001</v>
      </c>
      <c r="Z8" s="21">
        <v>12370</v>
      </c>
      <c r="AA8" s="20">
        <f>IF(Z8&gt;0,(Z8-Z9-$Q8),"")</f>
        <v>0</v>
      </c>
      <c r="AB8" s="21">
        <v>12370</v>
      </c>
      <c r="AC8" s="22">
        <f>IF(AB8&gt;0,(AB8-AB9-$Q8),"")</f>
        <v>0</v>
      </c>
      <c r="AD8" s="21">
        <v>12370</v>
      </c>
      <c r="AE8" s="22">
        <f>IF(AD8&gt;0,(AD8-AD9-$Q8),"")</f>
        <v>0</v>
      </c>
    </row>
    <row r="9" spans="2:42" x14ac:dyDescent="0.3">
      <c r="B9" s="28" t="s">
        <v>28</v>
      </c>
      <c r="C9" s="17">
        <v>2079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5912</v>
      </c>
      <c r="E10" s="18" t="s">
        <v>31</v>
      </c>
      <c r="F10" s="119">
        <v>12706</v>
      </c>
      <c r="G10" s="117">
        <v>9772.709593749998</v>
      </c>
      <c r="H10" s="117">
        <v>1923.6683725</v>
      </c>
      <c r="I10" s="19">
        <f>G10+H10</f>
        <v>11696.377966249998</v>
      </c>
      <c r="J10" s="119">
        <v>13014</v>
      </c>
      <c r="K10" s="117">
        <v>9843.2135937500007</v>
      </c>
      <c r="L10" s="117">
        <v>1828.9212749999999</v>
      </c>
      <c r="M10" s="19">
        <f>K10+L10</f>
        <v>11672.134868750001</v>
      </c>
      <c r="N10" s="88">
        <v>45</v>
      </c>
      <c r="O10" s="88">
        <v>34</v>
      </c>
      <c r="P10" s="92"/>
      <c r="Q10" s="20">
        <f>J10-P10</f>
        <v>13014</v>
      </c>
      <c r="R10" s="21">
        <v>2957</v>
      </c>
      <c r="S10" s="20">
        <f>IF(R10&gt;0,(R10-R11-$Q10),"")</f>
        <v>-11155</v>
      </c>
      <c r="T10" s="21">
        <v>5296</v>
      </c>
      <c r="U10" s="20">
        <f>IF(T10&gt;0,(T10-T11-$Q10),"")</f>
        <v>-9667</v>
      </c>
      <c r="V10" s="21">
        <v>8336</v>
      </c>
      <c r="W10" s="20">
        <f>IF(V10&gt;0,(V10-V11-$Q10),"")</f>
        <v>-7223</v>
      </c>
      <c r="X10" s="21">
        <v>10286</v>
      </c>
      <c r="Y10" s="20">
        <f>IF(X10&gt;0,(X10-X11-$Q10),"")</f>
        <v>-5675</v>
      </c>
      <c r="Z10" s="21">
        <v>10455</v>
      </c>
      <c r="AA10" s="20">
        <f>IF(Z10&gt;0,(Z10-Z11-$Q10),"")</f>
        <v>-5506</v>
      </c>
      <c r="AB10" s="21">
        <v>10455</v>
      </c>
      <c r="AC10" s="22">
        <f>IF(AB10&gt;0,(AB10-AB11-$Q10),"")</f>
        <v>-5506</v>
      </c>
      <c r="AD10" s="21">
        <v>10455</v>
      </c>
      <c r="AE10" s="22">
        <f>IF(AD10&gt;0,(AD10-AD11-$Q10),"")</f>
        <v>-5506</v>
      </c>
    </row>
    <row r="11" spans="2:42" x14ac:dyDescent="0.3">
      <c r="B11" s="16" t="s">
        <v>32</v>
      </c>
      <c r="C11" s="17">
        <v>2143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1098</v>
      </c>
      <c r="S11" s="24"/>
      <c r="T11" s="30">
        <v>1949</v>
      </c>
      <c r="U11" s="24"/>
      <c r="V11" s="30">
        <v>2545</v>
      </c>
      <c r="W11" s="24"/>
      <c r="X11" s="30">
        <v>2947</v>
      </c>
      <c r="Y11" s="24"/>
      <c r="Z11" s="30">
        <v>2947</v>
      </c>
      <c r="AA11" s="24"/>
      <c r="AB11" s="30">
        <v>2947</v>
      </c>
      <c r="AC11" s="26"/>
      <c r="AD11" s="30">
        <v>2947</v>
      </c>
      <c r="AE11" s="26"/>
    </row>
    <row r="12" spans="2:42" x14ac:dyDescent="0.3">
      <c r="B12" s="16" t="s">
        <v>34</v>
      </c>
      <c r="C12" s="17">
        <v>1556</v>
      </c>
      <c r="E12" s="29" t="s">
        <v>35</v>
      </c>
      <c r="F12" s="119">
        <v>15812</v>
      </c>
      <c r="G12" s="117">
        <v>12183.793250000001</v>
      </c>
      <c r="H12" s="117">
        <v>17700.687268909998</v>
      </c>
      <c r="I12" s="19">
        <f>G12+H12</f>
        <v>29884.480518910001</v>
      </c>
      <c r="J12" s="119">
        <v>16017</v>
      </c>
      <c r="K12" s="117">
        <v>12082.5705</v>
      </c>
      <c r="L12" s="117">
        <v>16441.026375609999</v>
      </c>
      <c r="M12" s="19">
        <f>K12+L12</f>
        <v>28523.596875609997</v>
      </c>
      <c r="N12" s="88">
        <v>55</v>
      </c>
      <c r="O12" s="88">
        <v>46</v>
      </c>
      <c r="P12" s="92"/>
      <c r="Q12" s="20">
        <f>J12-P12</f>
        <v>16017</v>
      </c>
      <c r="R12" s="21">
        <v>2163</v>
      </c>
      <c r="S12" s="20">
        <f>IF(R12&gt;0,(R12-R13-$Q12),"")</f>
        <v>-14731</v>
      </c>
      <c r="T12" s="21">
        <v>3898</v>
      </c>
      <c r="U12" s="20">
        <f>IF(T12&gt;0,(T12-T13-$Q12),"")</f>
        <v>-13081</v>
      </c>
      <c r="V12" s="21">
        <v>7210</v>
      </c>
      <c r="W12" s="20">
        <f>IF(V12&gt;0,(V12-V13-$Q12),"")</f>
        <v>-10228</v>
      </c>
      <c r="X12" s="21">
        <v>11579</v>
      </c>
      <c r="Y12" s="20">
        <f>IF(X12&gt;0,(X12-X13-$Q12),"")</f>
        <v>-6438</v>
      </c>
      <c r="Z12" s="21">
        <v>13965</v>
      </c>
      <c r="AA12" s="20">
        <f>IF(Z12&gt;0,(Z12-Z13-$Q12),"")</f>
        <v>-4650</v>
      </c>
      <c r="AB12" s="21">
        <v>13965</v>
      </c>
      <c r="AC12" s="22">
        <f>IF(AB12&gt;0,(AB12-AB13-$Q12),"")</f>
        <v>-4650</v>
      </c>
      <c r="AD12" s="21">
        <v>13965</v>
      </c>
      <c r="AE12" s="22">
        <f>IF(AD12&gt;0,(AD12-AD13-$Q12),"")</f>
        <v>-4650</v>
      </c>
    </row>
    <row r="13" spans="2:42" x14ac:dyDescent="0.3">
      <c r="B13" s="16" t="s">
        <v>36</v>
      </c>
      <c r="C13" s="17">
        <v>4452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877</v>
      </c>
      <c r="S13" s="24"/>
      <c r="T13" s="30">
        <v>962</v>
      </c>
      <c r="U13" s="24"/>
      <c r="V13" s="30">
        <v>1421</v>
      </c>
      <c r="W13" s="24"/>
      <c r="X13" s="30">
        <v>2000</v>
      </c>
      <c r="Y13" s="24"/>
      <c r="Z13" s="30">
        <v>2598</v>
      </c>
      <c r="AA13" s="24"/>
      <c r="AB13" s="30">
        <v>2598</v>
      </c>
      <c r="AC13" s="26"/>
      <c r="AD13" s="30">
        <v>2598</v>
      </c>
      <c r="AE13" s="26"/>
    </row>
    <row r="14" spans="2:42" x14ac:dyDescent="0.3">
      <c r="B14" s="16" t="s">
        <v>38</v>
      </c>
      <c r="C14" s="17">
        <v>12082</v>
      </c>
      <c r="E14" s="18" t="s">
        <v>39</v>
      </c>
      <c r="F14" s="119">
        <v>23209</v>
      </c>
      <c r="G14" s="117">
        <v>17235.28125</v>
      </c>
      <c r="H14" s="117">
        <v>21748.735373029998</v>
      </c>
      <c r="I14" s="19">
        <f>G14+H14</f>
        <v>38984.016623029995</v>
      </c>
      <c r="J14" s="119">
        <v>23209</v>
      </c>
      <c r="K14" s="117">
        <v>17235.28125</v>
      </c>
      <c r="L14" s="117">
        <v>21643.103873029999</v>
      </c>
      <c r="M14" s="19">
        <f>K14+L14</f>
        <v>38878.385123029999</v>
      </c>
      <c r="N14" s="88">
        <v>67</v>
      </c>
      <c r="O14" s="88">
        <v>56</v>
      </c>
      <c r="P14" s="92"/>
      <c r="Q14" s="20">
        <f>J14-P14</f>
        <v>23209</v>
      </c>
      <c r="R14" s="21">
        <v>4179</v>
      </c>
      <c r="S14" s="20">
        <f>IF(R14&gt;0,(R14-R15-$Q14),"")</f>
        <v>-22675</v>
      </c>
      <c r="T14" s="21">
        <v>7019</v>
      </c>
      <c r="U14" s="20">
        <f>IF(T14&gt;0,(T14-T15-$Q14),"")</f>
        <v>-22073</v>
      </c>
      <c r="V14" s="21">
        <v>8607</v>
      </c>
      <c r="W14" s="20">
        <f>IF(V14&gt;0,(V14-V15-$Q14),"")</f>
        <v>-21796</v>
      </c>
      <c r="X14" s="21">
        <v>12128</v>
      </c>
      <c r="Y14" s="20">
        <f>IF(X14&gt;0,(X14-X15-$Q14),"")</f>
        <v>-20374</v>
      </c>
      <c r="Z14" s="21">
        <v>14839</v>
      </c>
      <c r="AA14" s="20">
        <f>IF(Z14&gt;0,(Z14-Z15-$Q14),"")</f>
        <v>-18169</v>
      </c>
      <c r="AB14" s="21">
        <v>16588</v>
      </c>
      <c r="AC14" s="22">
        <f>IF(AB14&gt;0,(AB14-AB15-$Q14),"")</f>
        <v>-16866</v>
      </c>
      <c r="AD14" s="21">
        <v>16588</v>
      </c>
      <c r="AE14" s="22">
        <f>IF(AD14&gt;0,(AD14-AD15-$Q14),"")</f>
        <v>-16866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3645</v>
      </c>
      <c r="S15" s="24"/>
      <c r="T15" s="25">
        <v>5883</v>
      </c>
      <c r="U15" s="24"/>
      <c r="V15" s="25">
        <v>7194</v>
      </c>
      <c r="W15" s="24"/>
      <c r="X15" s="25">
        <v>9293</v>
      </c>
      <c r="Y15" s="24"/>
      <c r="Z15" s="25">
        <v>9799</v>
      </c>
      <c r="AA15" s="24"/>
      <c r="AB15" s="25">
        <v>10245</v>
      </c>
      <c r="AC15" s="26"/>
      <c r="AD15" s="25">
        <v>10245</v>
      </c>
      <c r="AE15" s="26"/>
    </row>
    <row r="16" spans="2:42" ht="15" customHeight="1" thickBot="1" x14ac:dyDescent="0.35">
      <c r="B16" s="28" t="s">
        <v>42</v>
      </c>
      <c r="C16" s="17">
        <v>14139</v>
      </c>
      <c r="E16" s="84"/>
      <c r="F16" s="31">
        <f t="shared" ref="F16:M16" si="0">SUM(F6:F15)</f>
        <v>84507</v>
      </c>
      <c r="G16" s="31">
        <f t="shared" si="0"/>
        <v>61943.155593750002</v>
      </c>
      <c r="H16" s="31">
        <f t="shared" si="0"/>
        <v>57816.463411159988</v>
      </c>
      <c r="I16" s="32">
        <f t="shared" si="0"/>
        <v>119759.61900491</v>
      </c>
      <c r="J16" s="33">
        <f t="shared" si="0"/>
        <v>85639</v>
      </c>
      <c r="K16" s="33">
        <f t="shared" si="0"/>
        <v>61530.421593749998</v>
      </c>
      <c r="L16" s="33">
        <f t="shared" si="0"/>
        <v>56199.500734499998</v>
      </c>
      <c r="M16" s="33">
        <f t="shared" si="0"/>
        <v>117729.92232824999</v>
      </c>
      <c r="N16" s="31">
        <f>SUM(N14,N12,N10,N8,N6)</f>
        <v>256</v>
      </c>
      <c r="O16" s="31">
        <f>SUM(O14,O12,O10,O8,O6)</f>
        <v>207</v>
      </c>
      <c r="P16" s="34">
        <f>SUM(P6:P15)</f>
        <v>0</v>
      </c>
      <c r="Q16" s="34">
        <f>SUM(Q6:Q15)</f>
        <v>85639</v>
      </c>
      <c r="R16" s="35">
        <f>R6+R8+R10+R12+R14-R7-R9-R11-R13-R15</f>
        <v>5975</v>
      </c>
      <c r="S16" s="36">
        <f>IF(R16&gt;1,(R16-$Q16),"")</f>
        <v>-79664</v>
      </c>
      <c r="T16" s="35">
        <f>T6+T8+T10+T12+T14-T7-T9-T11-T13-T15</f>
        <v>14583</v>
      </c>
      <c r="U16" s="36">
        <f>IF(T16&gt;1,(T16-$Q16),"")</f>
        <v>-71056</v>
      </c>
      <c r="V16" s="35">
        <f>V6+V8+V10+V12+V14-V7-V9-V11-V13-V15</f>
        <v>24312</v>
      </c>
      <c r="W16" s="36">
        <f>IF(V16&gt;1,(V16-$Q16),"")</f>
        <v>-61327</v>
      </c>
      <c r="X16" s="35">
        <f>X6+X8+X10+X12+X14-X7-X9-X11-X13-X15</f>
        <v>45365</v>
      </c>
      <c r="Y16" s="36">
        <f>IF(X16&gt;1,(X16-$Q16),"")</f>
        <v>-40274</v>
      </c>
      <c r="Z16" s="35">
        <f>Z6+Z8+Z10+Z12+Z14-Z7-Z9-Z11-Z13-Z15</f>
        <v>55983</v>
      </c>
      <c r="AA16" s="36">
        <f>IF(Z16&gt;1,(Z16-$Q16),"")</f>
        <v>-29656</v>
      </c>
      <c r="AB16" s="35">
        <f>AB6+AB8+AB10+AB12+AB14-AB7-AB9-AB11-AB13-AB15</f>
        <v>57286</v>
      </c>
      <c r="AC16" s="37">
        <f>IF(AB16&gt;1,(AB16-$Q16),"")</f>
        <v>-28353</v>
      </c>
      <c r="AD16" s="35">
        <f>AD6+AD8+AD10+AD12+AD14-AD7-AD9-AD11-AD13-AD15</f>
        <v>57286</v>
      </c>
      <c r="AE16" s="37">
        <f>IF(AD16&gt;1,(AD16-$Q16),"")</f>
        <v>-28353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5666</v>
      </c>
      <c r="S17" s="41"/>
      <c r="T17" s="40">
        <f>T15+T13+T11+T9+T7</f>
        <v>8956</v>
      </c>
      <c r="U17" s="41"/>
      <c r="V17" s="40">
        <f>V15+V13+V11+V9+V7</f>
        <v>11699</v>
      </c>
      <c r="W17" s="41"/>
      <c r="X17" s="40">
        <f>X15+X13+X11+X9+X7</f>
        <v>14865</v>
      </c>
      <c r="Y17" s="41"/>
      <c r="Z17" s="40">
        <f>Z15+Z13+Z11+Z9+Z7</f>
        <v>16054</v>
      </c>
      <c r="AA17" s="41"/>
      <c r="AB17" s="40">
        <f>AB15+AB13+AB11+AB9+AB7</f>
        <v>16500</v>
      </c>
      <c r="AC17" s="42"/>
      <c r="AD17" s="40">
        <f>AD15+AD13+AD11+AD9+AD7</f>
        <v>16500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2987.5</v>
      </c>
      <c r="S18" s="46"/>
      <c r="T18" s="47">
        <f>IF(T16&gt;0,(T16-R16)/2,"")</f>
        <v>4304</v>
      </c>
      <c r="U18" s="46"/>
      <c r="V18" s="47">
        <f>IF(V16&gt;0,(V16-T16)/2,"")</f>
        <v>4864.5</v>
      </c>
      <c r="W18" s="46"/>
      <c r="X18" s="47">
        <f>IF(X16&gt;0,(X16-V16)/2,"")</f>
        <v>10526.5</v>
      </c>
      <c r="Y18" s="46"/>
      <c r="Z18" s="47">
        <f>IF(Z16&gt;0,(Z16-X16)/2,"")</f>
        <v>5309</v>
      </c>
      <c r="AA18" s="46"/>
      <c r="AB18" s="47">
        <f>IF(AB16&gt;0,(AB16-Z16)/2,"")</f>
        <v>651.5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8864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2851</v>
      </c>
      <c r="L20" s="4"/>
      <c r="M20" s="4"/>
      <c r="Q20" s="51" t="s">
        <v>49</v>
      </c>
      <c r="R20" s="35">
        <v>11169</v>
      </c>
      <c r="S20" s="36">
        <v>-79667</v>
      </c>
      <c r="T20" s="35">
        <v>20370</v>
      </c>
      <c r="U20" s="36">
        <v>-70466</v>
      </c>
      <c r="V20" s="35">
        <v>34577</v>
      </c>
      <c r="W20" s="36">
        <v>-56259</v>
      </c>
      <c r="X20" s="35">
        <v>48616</v>
      </c>
      <c r="Y20" s="36">
        <v>-42220</v>
      </c>
      <c r="Z20" s="35">
        <v>60188</v>
      </c>
      <c r="AA20" s="36">
        <v>-30648</v>
      </c>
      <c r="AB20" s="35">
        <v>62373</v>
      </c>
      <c r="AC20" s="37">
        <v>-28463</v>
      </c>
      <c r="AD20" s="35">
        <v>62373</v>
      </c>
      <c r="AE20" s="37">
        <v>-28463</v>
      </c>
    </row>
    <row r="21" spans="2:43" ht="15" customHeight="1" thickBot="1" x14ac:dyDescent="0.35">
      <c r="B21" s="57" t="s">
        <v>52</v>
      </c>
      <c r="C21" s="58">
        <v>4769</v>
      </c>
      <c r="M21" s="4"/>
      <c r="Q21" s="52"/>
      <c r="R21" s="40">
        <v>5141</v>
      </c>
      <c r="S21" s="41"/>
      <c r="T21" s="40">
        <v>8659</v>
      </c>
      <c r="U21" s="41"/>
      <c r="V21" s="40">
        <v>10039</v>
      </c>
      <c r="W21" s="41"/>
      <c r="X21" s="40">
        <v>11696</v>
      </c>
      <c r="Y21" s="41"/>
      <c r="Z21" s="40">
        <v>12607</v>
      </c>
      <c r="AA21" s="41"/>
      <c r="AB21" s="40">
        <v>12614</v>
      </c>
      <c r="AC21" s="42"/>
      <c r="AD21" s="40">
        <v>12614</v>
      </c>
      <c r="AE21" s="42"/>
    </row>
    <row r="22" spans="2:43" ht="15" customHeight="1" thickBot="1" x14ac:dyDescent="0.35">
      <c r="M22" s="4"/>
      <c r="Q22" s="54"/>
      <c r="R22" s="55">
        <v>5584.5</v>
      </c>
      <c r="S22" s="55"/>
      <c r="T22" s="55">
        <v>4600.5</v>
      </c>
      <c r="U22" s="55"/>
      <c r="V22" s="55">
        <v>7103.5</v>
      </c>
      <c r="W22" s="55"/>
      <c r="X22" s="55">
        <v>7019.5</v>
      </c>
      <c r="Y22" s="55"/>
      <c r="Z22" s="55">
        <v>5786</v>
      </c>
      <c r="AA22" s="55"/>
      <c r="AB22" s="55">
        <v>1092.5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-5194</v>
      </c>
      <c r="S24" s="60"/>
      <c r="T24" s="60">
        <f>IF(T16&gt;0,T16-T20,"")</f>
        <v>-5787</v>
      </c>
      <c r="U24" s="60"/>
      <c r="V24" s="60">
        <f>IF(V16&gt;0,V16-V20,"")</f>
        <v>-10265</v>
      </c>
      <c r="W24" s="60"/>
      <c r="X24" s="60">
        <f>IF(X16&gt;0,X16-X20,"")</f>
        <v>-3251</v>
      </c>
      <c r="Y24" s="60"/>
      <c r="Z24" s="60">
        <f>IF(Z16&gt;0,Z16-Z20,"")</f>
        <v>-4205</v>
      </c>
      <c r="AA24" s="60"/>
      <c r="AB24" s="60">
        <f>IF(AB16&gt;0,AB16-AB20,"")</f>
        <v>-5087</v>
      </c>
      <c r="AC24" s="61"/>
      <c r="AD24" s="60">
        <f>IF(AD16&gt;0,AD16-AD20,"")</f>
        <v>-5087</v>
      </c>
      <c r="AE24" s="61"/>
    </row>
    <row r="25" spans="2:43" x14ac:dyDescent="0.3">
      <c r="M25" s="4"/>
      <c r="Q25" s="62"/>
      <c r="R25" s="63">
        <f>IF(R17&gt;=0,R17-R21,"")</f>
        <v>525</v>
      </c>
      <c r="S25" s="64"/>
      <c r="T25" s="63">
        <f>IF(T17&gt;=0,T17-T21,"")</f>
        <v>297</v>
      </c>
      <c r="U25" s="64"/>
      <c r="V25" s="63">
        <f>IF(V17&gt;=0,V17-V21,"")</f>
        <v>1660</v>
      </c>
      <c r="W25" s="64"/>
      <c r="X25" s="63">
        <f>IF(X17&gt;=0,X17-X21,"")</f>
        <v>3169</v>
      </c>
      <c r="Y25" s="64"/>
      <c r="Z25" s="63">
        <f>IF(Z17&gt;=0,Z17-Z21,"")</f>
        <v>3447</v>
      </c>
      <c r="AA25" s="64"/>
      <c r="AB25" s="63">
        <f>IF(AB17&gt;=0,AB17-AB21,"")</f>
        <v>3886</v>
      </c>
      <c r="AC25" s="65"/>
      <c r="AD25" s="63">
        <f>IF(AD17&gt;=0,AD17-AD21,"")</f>
        <v>3886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-2597</v>
      </c>
      <c r="S26" s="55"/>
      <c r="T26" s="67">
        <f>IFERROR(IF(T18&gt;0,T18-T22,""),"")</f>
        <v>-296.5</v>
      </c>
      <c r="U26" s="55"/>
      <c r="V26" s="67">
        <f>IFERROR(IF(V18&gt;0,V18-V22,""),"")</f>
        <v>-2239</v>
      </c>
      <c r="W26" s="55"/>
      <c r="X26" s="67">
        <f>IFERROR(IF(X18&gt;0,X18-X22,""),"")</f>
        <v>3507</v>
      </c>
      <c r="Y26" s="55"/>
      <c r="Z26" s="67">
        <f>IFERROR(IF(Z18&gt;0,Z18-Z22,""),"")</f>
        <v>-477</v>
      </c>
      <c r="AA26" s="55"/>
      <c r="AB26" s="67">
        <f>IFERROR(IF(AB18&gt;0,AB18-AB22,""),"")</f>
        <v>-441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11489</v>
      </c>
      <c r="D29" s="76">
        <f>C14</f>
        <v>12082</v>
      </c>
      <c r="E29" s="77">
        <f>D29-C29</f>
        <v>593</v>
      </c>
      <c r="O29" s="4"/>
    </row>
    <row r="30" spans="2:43" x14ac:dyDescent="0.3">
      <c r="B30" s="74" t="s">
        <v>56</v>
      </c>
      <c r="C30" s="122">
        <v>27563</v>
      </c>
      <c r="D30" s="76">
        <f>C7+C15+C16+C17+C18</f>
        <v>14139</v>
      </c>
      <c r="E30" s="77">
        <f>D30-C30</f>
        <v>-13424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14063</v>
      </c>
      <c r="D32" s="76">
        <f>C10+C11+C12+C13</f>
        <v>14063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16060</v>
      </c>
      <c r="D33" s="76">
        <f>C19+C20+C21</f>
        <v>16484</v>
      </c>
      <c r="E33" s="77">
        <f>D33-C33</f>
        <v>424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4700</v>
      </c>
      <c r="D34" s="80">
        <f>SUM(C8+C9)</f>
        <v>4700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1032</v>
      </c>
      <c r="R35" s="104">
        <v>0</v>
      </c>
      <c r="S35" s="104">
        <f t="shared" ref="S35:S64" si="1">IF(T35&gt;0,(T35-R35)/2,"")</f>
        <v>313</v>
      </c>
      <c r="T35" s="104">
        <v>626</v>
      </c>
      <c r="U35" s="104">
        <f t="shared" ref="U35:U64" si="2">IF(V35&gt;0,(V35-T35)/2,"")</f>
        <v>0</v>
      </c>
      <c r="V35" s="104">
        <v>626</v>
      </c>
      <c r="W35" s="104">
        <f t="shared" ref="W35:W64" si="3">IF(X35&gt;0,(X35-V35)/2,"")</f>
        <v>247</v>
      </c>
      <c r="X35" s="104">
        <v>1120</v>
      </c>
      <c r="Y35" s="104">
        <f t="shared" ref="Y35:Y64" si="4">IF(Z35&gt;0,(Z35-X35)/2,"")</f>
        <v>0</v>
      </c>
      <c r="Z35" s="104">
        <v>1120</v>
      </c>
      <c r="AA35" s="104">
        <f t="shared" ref="AA35:AA64" si="5">IF(AB35&gt;0,(AB35-Z35)/2,"")</f>
        <v>0</v>
      </c>
      <c r="AB35" s="104">
        <v>1120</v>
      </c>
      <c r="AC35" s="104">
        <f t="shared" ref="AC35:AC64" si="6">IF(AD35&gt;0,(AD35-AB35)/2,"")</f>
        <v>0</v>
      </c>
      <c r="AD35" s="104">
        <v>1120</v>
      </c>
      <c r="AE35" s="105">
        <f t="shared" ref="AE35:AE64" si="7">AD35-Q35</f>
        <v>88</v>
      </c>
    </row>
    <row r="36" spans="2:31" ht="15.6" customHeight="1" x14ac:dyDescent="0.3">
      <c r="N36" s="212"/>
      <c r="O36" s="95" t="s">
        <v>66</v>
      </c>
      <c r="P36" s="106"/>
      <c r="Q36" s="106">
        <v>1137</v>
      </c>
      <c r="R36" s="106">
        <v>0</v>
      </c>
      <c r="S36" s="106">
        <f t="shared" si="1"/>
        <v>306</v>
      </c>
      <c r="T36" s="106">
        <v>612</v>
      </c>
      <c r="U36" s="106">
        <f t="shared" si="2"/>
        <v>260.5</v>
      </c>
      <c r="V36" s="106">
        <v>1133</v>
      </c>
      <c r="W36" s="106">
        <f t="shared" si="3"/>
        <v>2</v>
      </c>
      <c r="X36" s="106">
        <v>1137</v>
      </c>
      <c r="Y36" s="106">
        <f t="shared" si="4"/>
        <v>0</v>
      </c>
      <c r="Z36" s="106">
        <v>1137</v>
      </c>
      <c r="AA36" s="106">
        <f t="shared" si="5"/>
        <v>0</v>
      </c>
      <c r="AB36" s="106">
        <v>1137</v>
      </c>
      <c r="AC36" s="106">
        <f t="shared" si="6"/>
        <v>0</v>
      </c>
      <c r="AD36" s="106">
        <v>1137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3849</v>
      </c>
      <c r="R37" s="108">
        <v>420</v>
      </c>
      <c r="S37" s="108">
        <f t="shared" si="1"/>
        <v>176.5</v>
      </c>
      <c r="T37" s="108">
        <v>773</v>
      </c>
      <c r="U37" s="108">
        <f t="shared" si="2"/>
        <v>210</v>
      </c>
      <c r="V37" s="108">
        <v>1193</v>
      </c>
      <c r="W37" s="108">
        <f t="shared" si="3"/>
        <v>973</v>
      </c>
      <c r="X37" s="108">
        <v>3139</v>
      </c>
      <c r="Y37" s="108">
        <f t="shared" si="4"/>
        <v>364</v>
      </c>
      <c r="Z37" s="108">
        <v>3867</v>
      </c>
      <c r="AA37" s="108">
        <f t="shared" si="5"/>
        <v>0</v>
      </c>
      <c r="AB37" s="108">
        <v>3867</v>
      </c>
      <c r="AC37" s="108">
        <f t="shared" si="6"/>
        <v>0</v>
      </c>
      <c r="AD37" s="108">
        <v>3867</v>
      </c>
      <c r="AE37" s="109">
        <f t="shared" si="7"/>
        <v>18</v>
      </c>
    </row>
    <row r="38" spans="2:31" ht="15.6" customHeight="1" x14ac:dyDescent="0.3">
      <c r="N38" s="212"/>
      <c r="O38" s="95" t="s">
        <v>68</v>
      </c>
      <c r="P38" s="106"/>
      <c r="Q38" s="106">
        <v>3860</v>
      </c>
      <c r="R38" s="106">
        <v>713</v>
      </c>
      <c r="S38" s="106">
        <f t="shared" si="1"/>
        <v>508</v>
      </c>
      <c r="T38" s="106">
        <v>1729</v>
      </c>
      <c r="U38" s="106">
        <f t="shared" si="2"/>
        <v>263.5</v>
      </c>
      <c r="V38" s="106">
        <v>2256</v>
      </c>
      <c r="W38" s="106">
        <f t="shared" si="3"/>
        <v>678</v>
      </c>
      <c r="X38" s="106">
        <v>3612</v>
      </c>
      <c r="Y38" s="106">
        <f t="shared" si="4"/>
        <v>11</v>
      </c>
      <c r="Z38" s="106">
        <v>3634</v>
      </c>
      <c r="AA38" s="106">
        <f t="shared" si="5"/>
        <v>0</v>
      </c>
      <c r="AB38" s="106">
        <v>3634</v>
      </c>
      <c r="AC38" s="106">
        <f t="shared" si="6"/>
        <v>0</v>
      </c>
      <c r="AD38" s="106">
        <v>3634</v>
      </c>
      <c r="AE38" s="107">
        <f t="shared" si="7"/>
        <v>-226</v>
      </c>
    </row>
    <row r="39" spans="2:31" ht="15.6" customHeight="1" x14ac:dyDescent="0.3">
      <c r="N39" s="212"/>
      <c r="O39" s="94" t="s">
        <v>69</v>
      </c>
      <c r="P39" s="108"/>
      <c r="Q39" s="108">
        <v>2659</v>
      </c>
      <c r="R39" s="108">
        <v>309</v>
      </c>
      <c r="S39" s="108">
        <f t="shared" si="1"/>
        <v>294.5</v>
      </c>
      <c r="T39" s="108">
        <v>898</v>
      </c>
      <c r="U39" s="108">
        <f t="shared" si="2"/>
        <v>0</v>
      </c>
      <c r="V39" s="108">
        <v>898</v>
      </c>
      <c r="W39" s="108">
        <f t="shared" si="3"/>
        <v>492.5</v>
      </c>
      <c r="X39" s="108">
        <v>1883</v>
      </c>
      <c r="Y39" s="108">
        <f t="shared" si="4"/>
        <v>410.5</v>
      </c>
      <c r="Z39" s="108">
        <v>2704</v>
      </c>
      <c r="AA39" s="108">
        <f t="shared" si="5"/>
        <v>0</v>
      </c>
      <c r="AB39" s="108">
        <v>2704</v>
      </c>
      <c r="AC39" s="108">
        <f t="shared" si="6"/>
        <v>0</v>
      </c>
      <c r="AD39" s="108">
        <v>2704</v>
      </c>
      <c r="AE39" s="109">
        <f t="shared" si="7"/>
        <v>45</v>
      </c>
    </row>
    <row r="40" spans="2:31" ht="15.6" customHeight="1" x14ac:dyDescent="0.3">
      <c r="N40" s="212"/>
      <c r="O40" s="95" t="s">
        <v>70</v>
      </c>
      <c r="P40" s="106"/>
      <c r="Q40" s="106">
        <v>3689</v>
      </c>
      <c r="R40" s="106">
        <v>633</v>
      </c>
      <c r="S40" s="106">
        <f t="shared" si="1"/>
        <v>0</v>
      </c>
      <c r="T40" s="106">
        <v>633</v>
      </c>
      <c r="U40" s="106">
        <f t="shared" si="2"/>
        <v>591.5</v>
      </c>
      <c r="V40" s="106">
        <v>1816</v>
      </c>
      <c r="W40" s="106">
        <f t="shared" si="3"/>
        <v>319</v>
      </c>
      <c r="X40" s="106">
        <v>2454</v>
      </c>
      <c r="Y40" s="106">
        <f t="shared" si="4"/>
        <v>390</v>
      </c>
      <c r="Z40" s="106">
        <v>3234</v>
      </c>
      <c r="AA40" s="106">
        <f t="shared" si="5"/>
        <v>0</v>
      </c>
      <c r="AB40" s="106">
        <v>3234</v>
      </c>
      <c r="AC40" s="106">
        <f t="shared" si="6"/>
        <v>0</v>
      </c>
      <c r="AD40" s="106">
        <v>3234</v>
      </c>
      <c r="AE40" s="107">
        <f t="shared" si="7"/>
        <v>-455</v>
      </c>
    </row>
    <row r="41" spans="2:31" ht="15.6" customHeight="1" x14ac:dyDescent="0.3">
      <c r="N41" s="212"/>
      <c r="O41" s="94" t="s">
        <v>71</v>
      </c>
      <c r="P41" s="108"/>
      <c r="Q41" s="108">
        <v>631</v>
      </c>
      <c r="R41" s="108">
        <v>267</v>
      </c>
      <c r="S41" s="108">
        <f t="shared" si="1"/>
        <v>138</v>
      </c>
      <c r="T41" s="108">
        <v>543</v>
      </c>
      <c r="U41" s="108">
        <f t="shared" si="2"/>
        <v>44</v>
      </c>
      <c r="V41" s="108">
        <v>631</v>
      </c>
      <c r="W41" s="108">
        <f t="shared" si="3"/>
        <v>0</v>
      </c>
      <c r="X41" s="108">
        <v>631</v>
      </c>
      <c r="Y41" s="108">
        <f t="shared" si="4"/>
        <v>0</v>
      </c>
      <c r="Z41" s="108">
        <v>631</v>
      </c>
      <c r="AA41" s="108">
        <f t="shared" si="5"/>
        <v>0</v>
      </c>
      <c r="AB41" s="108">
        <v>631</v>
      </c>
      <c r="AC41" s="108">
        <f t="shared" si="6"/>
        <v>0</v>
      </c>
      <c r="AD41" s="108">
        <v>631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1836</v>
      </c>
      <c r="R42" s="106">
        <v>0</v>
      </c>
      <c r="S42" s="106">
        <f t="shared" si="1"/>
        <v>394.5</v>
      </c>
      <c r="T42" s="106">
        <v>789</v>
      </c>
      <c r="U42" s="106">
        <f t="shared" si="2"/>
        <v>233.5</v>
      </c>
      <c r="V42" s="106">
        <v>1256</v>
      </c>
      <c r="W42" s="106">
        <f t="shared" si="3"/>
        <v>221.5</v>
      </c>
      <c r="X42" s="106">
        <v>1699</v>
      </c>
      <c r="Y42" s="106">
        <f t="shared" si="4"/>
        <v>89</v>
      </c>
      <c r="Z42" s="106">
        <v>1877</v>
      </c>
      <c r="AA42" s="106">
        <f t="shared" si="5"/>
        <v>0</v>
      </c>
      <c r="AB42" s="106">
        <v>1877</v>
      </c>
      <c r="AC42" s="106">
        <f t="shared" si="6"/>
        <v>0</v>
      </c>
      <c r="AD42" s="106">
        <v>1877</v>
      </c>
      <c r="AE42" s="107">
        <f t="shared" si="7"/>
        <v>41</v>
      </c>
    </row>
    <row r="43" spans="2:31" ht="15.6" customHeight="1" thickBot="1" x14ac:dyDescent="0.35">
      <c r="N43" s="213"/>
      <c r="O43" s="97" t="s">
        <v>73</v>
      </c>
      <c r="P43" s="110"/>
      <c r="Q43" s="110">
        <v>1733</v>
      </c>
      <c r="R43" s="110">
        <v>0</v>
      </c>
      <c r="S43" s="110">
        <f t="shared" si="1"/>
        <v>293.5</v>
      </c>
      <c r="T43" s="110">
        <v>587</v>
      </c>
      <c r="U43" s="110">
        <f t="shared" si="2"/>
        <v>0</v>
      </c>
      <c r="V43" s="110">
        <v>587</v>
      </c>
      <c r="W43" s="110">
        <f t="shared" si="3"/>
        <v>184.5</v>
      </c>
      <c r="X43" s="110">
        <v>956</v>
      </c>
      <c r="Y43" s="110">
        <f t="shared" si="4"/>
        <v>389</v>
      </c>
      <c r="Z43" s="110">
        <v>1734</v>
      </c>
      <c r="AA43" s="110">
        <f t="shared" si="5"/>
        <v>0</v>
      </c>
      <c r="AB43" s="110">
        <v>1734</v>
      </c>
      <c r="AC43" s="110">
        <f t="shared" si="6"/>
        <v>0</v>
      </c>
      <c r="AD43" s="110">
        <v>1734</v>
      </c>
      <c r="AE43" s="111">
        <f t="shared" si="7"/>
        <v>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3298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1047.5</v>
      </c>
      <c r="X44" s="112">
        <v>2095</v>
      </c>
      <c r="Y44" s="112">
        <f t="shared" si="4"/>
        <v>601.5</v>
      </c>
      <c r="Z44" s="112">
        <v>3298</v>
      </c>
      <c r="AA44" s="112">
        <f t="shared" si="5"/>
        <v>0</v>
      </c>
      <c r="AB44" s="112">
        <v>3298</v>
      </c>
      <c r="AC44" s="112">
        <f t="shared" si="6"/>
        <v>0</v>
      </c>
      <c r="AD44" s="112">
        <v>3298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2719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612.5</v>
      </c>
      <c r="V45" s="108">
        <v>1225</v>
      </c>
      <c r="W45" s="108">
        <f t="shared" si="3"/>
        <v>0</v>
      </c>
      <c r="X45" s="108">
        <v>1225</v>
      </c>
      <c r="Y45" s="108">
        <f t="shared" si="4"/>
        <v>747</v>
      </c>
      <c r="Z45" s="108">
        <v>2719</v>
      </c>
      <c r="AA45" s="108">
        <f t="shared" si="5"/>
        <v>0</v>
      </c>
      <c r="AB45" s="108">
        <v>2719</v>
      </c>
      <c r="AC45" s="108">
        <f t="shared" si="6"/>
        <v>0</v>
      </c>
      <c r="AD45" s="108">
        <v>2719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2995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1345.5</v>
      </c>
      <c r="X46" s="106">
        <v>2691</v>
      </c>
      <c r="Y46" s="106">
        <f t="shared" si="4"/>
        <v>152</v>
      </c>
      <c r="Z46" s="106">
        <v>2995</v>
      </c>
      <c r="AA46" s="106">
        <f t="shared" si="5"/>
        <v>0</v>
      </c>
      <c r="AB46" s="106">
        <v>2995</v>
      </c>
      <c r="AC46" s="106">
        <f t="shared" si="6"/>
        <v>0</v>
      </c>
      <c r="AD46" s="106">
        <v>2995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3358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1679</v>
      </c>
      <c r="X47" s="110">
        <v>3358</v>
      </c>
      <c r="Y47" s="110">
        <f t="shared" si="4"/>
        <v>0</v>
      </c>
      <c r="Z47" s="110">
        <v>3358</v>
      </c>
      <c r="AA47" s="110">
        <f t="shared" si="5"/>
        <v>0</v>
      </c>
      <c r="AB47" s="110">
        <v>3358</v>
      </c>
      <c r="AC47" s="110">
        <f t="shared" si="6"/>
        <v>0</v>
      </c>
      <c r="AD47" s="110">
        <v>3358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274</v>
      </c>
      <c r="R48" s="112">
        <v>84</v>
      </c>
      <c r="S48" s="112">
        <f t="shared" si="1"/>
        <v>-22</v>
      </c>
      <c r="T48" s="112">
        <v>40</v>
      </c>
      <c r="U48" s="112">
        <f t="shared" si="2"/>
        <v>50.5</v>
      </c>
      <c r="V48" s="112">
        <v>141</v>
      </c>
      <c r="W48" s="112">
        <f t="shared" si="3"/>
        <v>18.5</v>
      </c>
      <c r="X48" s="112">
        <v>178</v>
      </c>
      <c r="Y48" s="112">
        <f t="shared" si="4"/>
        <v>5</v>
      </c>
      <c r="Z48" s="112">
        <v>188</v>
      </c>
      <c r="AA48" s="112">
        <f t="shared" si="5"/>
        <v>0</v>
      </c>
      <c r="AB48" s="112">
        <v>188</v>
      </c>
      <c r="AC48" s="112">
        <f t="shared" si="6"/>
        <v>0</v>
      </c>
      <c r="AD48" s="112">
        <v>188</v>
      </c>
      <c r="AE48" s="113">
        <f t="shared" si="7"/>
        <v>-86</v>
      </c>
    </row>
    <row r="49" spans="14:31" ht="15.6" customHeight="1" x14ac:dyDescent="0.3">
      <c r="N49" s="212"/>
      <c r="O49" s="94" t="s">
        <v>66</v>
      </c>
      <c r="P49" s="108"/>
      <c r="Q49" s="108">
        <v>431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117.5</v>
      </c>
      <c r="V49" s="108">
        <v>235</v>
      </c>
      <c r="W49" s="108">
        <f t="shared" si="3"/>
        <v>56.5</v>
      </c>
      <c r="X49" s="108">
        <v>348</v>
      </c>
      <c r="Y49" s="108">
        <f t="shared" si="4"/>
        <v>41.5</v>
      </c>
      <c r="Z49" s="108">
        <v>431</v>
      </c>
      <c r="AA49" s="108">
        <f t="shared" si="5"/>
        <v>0</v>
      </c>
      <c r="AB49" s="108">
        <v>431</v>
      </c>
      <c r="AC49" s="108">
        <f t="shared" si="6"/>
        <v>0</v>
      </c>
      <c r="AD49" s="108">
        <v>431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1561</v>
      </c>
      <c r="R50" s="106">
        <v>1014</v>
      </c>
      <c r="S50" s="106">
        <f t="shared" si="1"/>
        <v>-251</v>
      </c>
      <c r="T50" s="106">
        <v>512</v>
      </c>
      <c r="U50" s="106">
        <f t="shared" si="2"/>
        <v>187</v>
      </c>
      <c r="V50" s="106">
        <v>886</v>
      </c>
      <c r="W50" s="106">
        <f t="shared" si="3"/>
        <v>9</v>
      </c>
      <c r="X50" s="106">
        <v>904</v>
      </c>
      <c r="Y50" s="106">
        <f t="shared" si="4"/>
        <v>2.5</v>
      </c>
      <c r="Z50" s="106">
        <v>909</v>
      </c>
      <c r="AA50" s="106">
        <f t="shared" si="5"/>
        <v>0</v>
      </c>
      <c r="AB50" s="106">
        <v>909</v>
      </c>
      <c r="AC50" s="106">
        <f t="shared" si="6"/>
        <v>0</v>
      </c>
      <c r="AD50" s="106">
        <v>909</v>
      </c>
      <c r="AE50" s="107">
        <f t="shared" si="7"/>
        <v>-652</v>
      </c>
    </row>
    <row r="51" spans="14:31" ht="15.6" customHeight="1" x14ac:dyDescent="0.3">
      <c r="N51" s="212"/>
      <c r="O51" s="94" t="s">
        <v>68</v>
      </c>
      <c r="P51" s="108"/>
      <c r="Q51" s="108">
        <v>1992</v>
      </c>
      <c r="R51" s="108">
        <v>181</v>
      </c>
      <c r="S51" s="108">
        <f t="shared" si="1"/>
        <v>970</v>
      </c>
      <c r="T51" s="108">
        <v>2121</v>
      </c>
      <c r="U51" s="108">
        <f t="shared" si="2"/>
        <v>216.5</v>
      </c>
      <c r="V51" s="108">
        <v>2554</v>
      </c>
      <c r="W51" s="108">
        <f t="shared" si="3"/>
        <v>73.5</v>
      </c>
      <c r="X51" s="108">
        <v>2701</v>
      </c>
      <c r="Y51" s="108">
        <f t="shared" si="4"/>
        <v>0</v>
      </c>
      <c r="Z51" s="108">
        <v>2701</v>
      </c>
      <c r="AA51" s="108">
        <f t="shared" si="5"/>
        <v>0</v>
      </c>
      <c r="AB51" s="108">
        <v>2701</v>
      </c>
      <c r="AC51" s="108">
        <f t="shared" si="6"/>
        <v>0</v>
      </c>
      <c r="AD51" s="108">
        <v>2701</v>
      </c>
      <c r="AE51" s="109">
        <f t="shared" si="7"/>
        <v>709</v>
      </c>
    </row>
    <row r="52" spans="14:31" ht="15.6" customHeight="1" x14ac:dyDescent="0.3">
      <c r="N52" s="212"/>
      <c r="O52" s="95" t="s">
        <v>69</v>
      </c>
      <c r="P52" s="106"/>
      <c r="Q52" s="106">
        <v>1688</v>
      </c>
      <c r="R52" s="106">
        <v>0</v>
      </c>
      <c r="S52" s="106">
        <f t="shared" si="1"/>
        <v>364</v>
      </c>
      <c r="T52" s="106">
        <v>728</v>
      </c>
      <c r="U52" s="106">
        <f t="shared" si="2"/>
        <v>101.5</v>
      </c>
      <c r="V52" s="106">
        <v>931</v>
      </c>
      <c r="W52" s="106">
        <f t="shared" si="3"/>
        <v>79.5</v>
      </c>
      <c r="X52" s="106">
        <v>1090</v>
      </c>
      <c r="Y52" s="106">
        <f t="shared" si="4"/>
        <v>1</v>
      </c>
      <c r="Z52" s="106">
        <v>1092</v>
      </c>
      <c r="AA52" s="106">
        <f t="shared" si="5"/>
        <v>0</v>
      </c>
      <c r="AB52" s="106">
        <v>1092</v>
      </c>
      <c r="AC52" s="106">
        <f t="shared" si="6"/>
        <v>0</v>
      </c>
      <c r="AD52" s="106">
        <v>1092</v>
      </c>
      <c r="AE52" s="107">
        <f t="shared" si="7"/>
        <v>-596</v>
      </c>
    </row>
    <row r="53" spans="14:31" ht="15.6" customHeight="1" x14ac:dyDescent="0.3">
      <c r="N53" s="212"/>
      <c r="O53" s="94" t="s">
        <v>70</v>
      </c>
      <c r="P53" s="108"/>
      <c r="Q53" s="108">
        <v>1372</v>
      </c>
      <c r="R53" s="108">
        <v>678</v>
      </c>
      <c r="S53" s="108">
        <f t="shared" si="1"/>
        <v>108.5</v>
      </c>
      <c r="T53" s="108">
        <v>895</v>
      </c>
      <c r="U53" s="108">
        <f t="shared" si="2"/>
        <v>172.5</v>
      </c>
      <c r="V53" s="108">
        <v>1240</v>
      </c>
      <c r="W53" s="108">
        <f t="shared" si="3"/>
        <v>-58.5</v>
      </c>
      <c r="X53" s="108">
        <v>1123</v>
      </c>
      <c r="Y53" s="108">
        <f t="shared" si="4"/>
        <v>0</v>
      </c>
      <c r="Z53" s="108">
        <v>1123</v>
      </c>
      <c r="AA53" s="108">
        <f t="shared" si="5"/>
        <v>0</v>
      </c>
      <c r="AB53" s="108">
        <v>1123</v>
      </c>
      <c r="AC53" s="108">
        <f t="shared" si="6"/>
        <v>0</v>
      </c>
      <c r="AD53" s="108">
        <v>1123</v>
      </c>
      <c r="AE53" s="109">
        <f t="shared" si="7"/>
        <v>-249</v>
      </c>
    </row>
    <row r="54" spans="14:31" ht="15.6" customHeight="1" x14ac:dyDescent="0.3">
      <c r="N54" s="212"/>
      <c r="O54" s="95" t="s">
        <v>71</v>
      </c>
      <c r="P54" s="106"/>
      <c r="Q54" s="106">
        <v>4089</v>
      </c>
      <c r="R54" s="106">
        <v>1000</v>
      </c>
      <c r="S54" s="106">
        <f t="shared" si="1"/>
        <v>0</v>
      </c>
      <c r="T54" s="106">
        <v>1000</v>
      </c>
      <c r="U54" s="106">
        <f t="shared" si="2"/>
        <v>452.5</v>
      </c>
      <c r="V54" s="106">
        <v>1905</v>
      </c>
      <c r="W54" s="106">
        <f t="shared" si="3"/>
        <v>571</v>
      </c>
      <c r="X54" s="106">
        <v>3047</v>
      </c>
      <c r="Y54" s="106">
        <f t="shared" si="4"/>
        <v>34.5</v>
      </c>
      <c r="Z54" s="106">
        <v>3116</v>
      </c>
      <c r="AA54" s="106">
        <f t="shared" si="5"/>
        <v>0</v>
      </c>
      <c r="AB54" s="106">
        <v>3116</v>
      </c>
      <c r="AC54" s="106">
        <f t="shared" si="6"/>
        <v>0</v>
      </c>
      <c r="AD54" s="106">
        <v>3116</v>
      </c>
      <c r="AE54" s="107">
        <f t="shared" si="7"/>
        <v>-973</v>
      </c>
    </row>
    <row r="55" spans="14:31" ht="15.6" customHeight="1" x14ac:dyDescent="0.3">
      <c r="N55" s="212"/>
      <c r="O55" s="94" t="s">
        <v>72</v>
      </c>
      <c r="P55" s="108"/>
      <c r="Q55" s="108">
        <v>229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114.5</v>
      </c>
      <c r="V55" s="108">
        <v>229</v>
      </c>
      <c r="W55" s="108">
        <f t="shared" si="3"/>
        <v>0</v>
      </c>
      <c r="X55" s="108">
        <v>229</v>
      </c>
      <c r="Y55" s="108">
        <f t="shared" si="4"/>
        <v>0</v>
      </c>
      <c r="Z55" s="108">
        <v>229</v>
      </c>
      <c r="AA55" s="108">
        <f t="shared" si="5"/>
        <v>0</v>
      </c>
      <c r="AB55" s="108">
        <v>229</v>
      </c>
      <c r="AC55" s="108">
        <f t="shared" si="6"/>
        <v>0</v>
      </c>
      <c r="AD55" s="108">
        <v>229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1378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107.5</v>
      </c>
      <c r="V56" s="114">
        <v>215</v>
      </c>
      <c r="W56" s="114">
        <f t="shared" si="3"/>
        <v>225.5</v>
      </c>
      <c r="X56" s="114">
        <v>666</v>
      </c>
      <c r="Y56" s="114">
        <f t="shared" si="4"/>
        <v>0</v>
      </c>
      <c r="Z56" s="114">
        <v>666</v>
      </c>
      <c r="AA56" s="114">
        <f t="shared" si="5"/>
        <v>0</v>
      </c>
      <c r="AB56" s="114">
        <v>666</v>
      </c>
      <c r="AC56" s="114">
        <f t="shared" si="6"/>
        <v>0</v>
      </c>
      <c r="AD56" s="114">
        <v>666</v>
      </c>
      <c r="AE56" s="115">
        <f t="shared" si="7"/>
        <v>-712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3947</v>
      </c>
      <c r="R57" s="104">
        <v>425</v>
      </c>
      <c r="S57" s="104">
        <f t="shared" si="1"/>
        <v>60</v>
      </c>
      <c r="T57" s="104">
        <v>545</v>
      </c>
      <c r="U57" s="104">
        <f t="shared" si="2"/>
        <v>294</v>
      </c>
      <c r="V57" s="104">
        <v>1133</v>
      </c>
      <c r="W57" s="104">
        <f t="shared" si="3"/>
        <v>79</v>
      </c>
      <c r="X57" s="104">
        <v>1291</v>
      </c>
      <c r="Y57" s="104">
        <f t="shared" si="4"/>
        <v>746.5</v>
      </c>
      <c r="Z57" s="104">
        <v>2784</v>
      </c>
      <c r="AA57" s="104">
        <f t="shared" si="5"/>
        <v>0</v>
      </c>
      <c r="AB57" s="104">
        <v>2784</v>
      </c>
      <c r="AC57" s="104">
        <f t="shared" si="6"/>
        <v>0</v>
      </c>
      <c r="AD57" s="104">
        <v>2784</v>
      </c>
      <c r="AE57" s="105">
        <f t="shared" si="7"/>
        <v>-1163</v>
      </c>
    </row>
    <row r="58" spans="14:31" ht="15.6" customHeight="1" x14ac:dyDescent="0.3">
      <c r="N58" s="212"/>
      <c r="O58" s="95" t="s">
        <v>66</v>
      </c>
      <c r="P58" s="106"/>
      <c r="Q58" s="106">
        <v>3998</v>
      </c>
      <c r="R58" s="106">
        <v>953</v>
      </c>
      <c r="S58" s="106">
        <f t="shared" si="1"/>
        <v>123.5</v>
      </c>
      <c r="T58" s="106">
        <v>1200</v>
      </c>
      <c r="U58" s="106">
        <f t="shared" si="2"/>
        <v>390</v>
      </c>
      <c r="V58" s="106">
        <v>1980</v>
      </c>
      <c r="W58" s="106">
        <f t="shared" si="3"/>
        <v>383.5</v>
      </c>
      <c r="X58" s="106">
        <v>2747</v>
      </c>
      <c r="Y58" s="106">
        <f t="shared" si="4"/>
        <v>394.5</v>
      </c>
      <c r="Z58" s="106">
        <v>3536</v>
      </c>
      <c r="AA58" s="106">
        <f t="shared" si="5"/>
        <v>0</v>
      </c>
      <c r="AB58" s="106">
        <v>3536</v>
      </c>
      <c r="AC58" s="106">
        <f t="shared" si="6"/>
        <v>0</v>
      </c>
      <c r="AD58" s="106">
        <v>3536</v>
      </c>
      <c r="AE58" s="107">
        <f t="shared" si="7"/>
        <v>-462</v>
      </c>
    </row>
    <row r="59" spans="14:31" ht="15.6" customHeight="1" x14ac:dyDescent="0.3">
      <c r="N59" s="212"/>
      <c r="O59" s="94" t="s">
        <v>67</v>
      </c>
      <c r="P59" s="108"/>
      <c r="Q59" s="108">
        <v>3881</v>
      </c>
      <c r="R59" s="108">
        <v>608</v>
      </c>
      <c r="S59" s="108">
        <f t="shared" si="1"/>
        <v>139</v>
      </c>
      <c r="T59" s="108">
        <v>886</v>
      </c>
      <c r="U59" s="108">
        <f t="shared" si="2"/>
        <v>228.5</v>
      </c>
      <c r="V59" s="108">
        <v>1343</v>
      </c>
      <c r="W59" s="108">
        <f t="shared" si="3"/>
        <v>997</v>
      </c>
      <c r="X59" s="108">
        <v>3337</v>
      </c>
      <c r="Y59" s="108">
        <f t="shared" si="4"/>
        <v>51.5</v>
      </c>
      <c r="Z59" s="108">
        <v>3440</v>
      </c>
      <c r="AA59" s="108">
        <f t="shared" si="5"/>
        <v>0</v>
      </c>
      <c r="AB59" s="108">
        <v>3440</v>
      </c>
      <c r="AC59" s="108">
        <f t="shared" si="6"/>
        <v>0</v>
      </c>
      <c r="AD59" s="108">
        <v>3440</v>
      </c>
      <c r="AE59" s="109">
        <f t="shared" si="7"/>
        <v>-441</v>
      </c>
    </row>
    <row r="60" spans="14:31" ht="15.6" customHeight="1" thickBot="1" x14ac:dyDescent="0.35">
      <c r="N60" s="213"/>
      <c r="O60" s="99" t="s">
        <v>68</v>
      </c>
      <c r="P60" s="114"/>
      <c r="Q60" s="114">
        <v>4191</v>
      </c>
      <c r="R60" s="114">
        <v>177</v>
      </c>
      <c r="S60" s="114">
        <f t="shared" si="1"/>
        <v>545</v>
      </c>
      <c r="T60" s="114">
        <v>1267</v>
      </c>
      <c r="U60" s="114">
        <f t="shared" si="2"/>
        <v>743.5</v>
      </c>
      <c r="V60" s="114">
        <v>2754</v>
      </c>
      <c r="W60" s="114">
        <f t="shared" si="3"/>
        <v>725</v>
      </c>
      <c r="X60" s="114">
        <v>4204</v>
      </c>
      <c r="Y60" s="114">
        <f t="shared" si="4"/>
        <v>0.5</v>
      </c>
      <c r="Z60" s="114">
        <v>4205</v>
      </c>
      <c r="AA60" s="114">
        <f t="shared" si="5"/>
        <v>0</v>
      </c>
      <c r="AB60" s="114">
        <v>4205</v>
      </c>
      <c r="AC60" s="114">
        <f t="shared" si="6"/>
        <v>0</v>
      </c>
      <c r="AD60" s="114">
        <v>4205</v>
      </c>
      <c r="AE60" s="115">
        <f t="shared" si="7"/>
        <v>14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3850</v>
      </c>
      <c r="R61" s="104">
        <v>210</v>
      </c>
      <c r="S61" s="104">
        <f t="shared" si="1"/>
        <v>52</v>
      </c>
      <c r="T61" s="104">
        <v>314</v>
      </c>
      <c r="U61" s="104">
        <f t="shared" si="2"/>
        <v>454.5</v>
      </c>
      <c r="V61" s="104">
        <v>1223</v>
      </c>
      <c r="W61" s="104">
        <f t="shared" si="3"/>
        <v>467.5</v>
      </c>
      <c r="X61" s="104">
        <v>2158</v>
      </c>
      <c r="Y61" s="104">
        <f t="shared" si="4"/>
        <v>122</v>
      </c>
      <c r="Z61" s="104">
        <v>2402</v>
      </c>
      <c r="AA61" s="104">
        <f t="shared" si="5"/>
        <v>91</v>
      </c>
      <c r="AB61" s="104">
        <v>2584</v>
      </c>
      <c r="AC61" s="104">
        <f t="shared" si="6"/>
        <v>0</v>
      </c>
      <c r="AD61" s="104">
        <v>2584</v>
      </c>
      <c r="AE61" s="105">
        <f t="shared" si="7"/>
        <v>-1266</v>
      </c>
    </row>
    <row r="62" spans="14:31" ht="15.6" customHeight="1" x14ac:dyDescent="0.3">
      <c r="N62" s="212"/>
      <c r="O62" s="95" t="s">
        <v>66</v>
      </c>
      <c r="P62" s="106"/>
      <c r="Q62" s="106">
        <v>3646</v>
      </c>
      <c r="R62" s="106">
        <v>154</v>
      </c>
      <c r="S62" s="106">
        <f t="shared" si="1"/>
        <v>72</v>
      </c>
      <c r="T62" s="106">
        <v>298</v>
      </c>
      <c r="U62" s="106">
        <f t="shared" si="2"/>
        <v>0</v>
      </c>
      <c r="V62" s="106">
        <v>298</v>
      </c>
      <c r="W62" s="106">
        <f t="shared" si="3"/>
        <v>430.5</v>
      </c>
      <c r="X62" s="106">
        <v>1159</v>
      </c>
      <c r="Y62" s="106">
        <f t="shared" si="4"/>
        <v>552.5</v>
      </c>
      <c r="Z62" s="106">
        <v>2264</v>
      </c>
      <c r="AA62" s="106">
        <f t="shared" si="5"/>
        <v>0</v>
      </c>
      <c r="AB62" s="106">
        <v>2264</v>
      </c>
      <c r="AC62" s="106">
        <f t="shared" si="6"/>
        <v>0</v>
      </c>
      <c r="AD62" s="106">
        <v>2264</v>
      </c>
      <c r="AE62" s="107">
        <f t="shared" si="7"/>
        <v>-1382</v>
      </c>
    </row>
    <row r="63" spans="14:31" ht="15.6" customHeight="1" x14ac:dyDescent="0.3">
      <c r="N63" s="212"/>
      <c r="O63" s="94" t="s">
        <v>67</v>
      </c>
      <c r="P63" s="108"/>
      <c r="Q63" s="108">
        <v>1551</v>
      </c>
      <c r="R63" s="108">
        <v>287</v>
      </c>
      <c r="S63" s="108">
        <f t="shared" si="1"/>
        <v>286.5</v>
      </c>
      <c r="T63" s="108">
        <v>860</v>
      </c>
      <c r="U63" s="108">
        <f t="shared" si="2"/>
        <v>134.5</v>
      </c>
      <c r="V63" s="108">
        <v>1129</v>
      </c>
      <c r="W63" s="108">
        <f t="shared" si="3"/>
        <v>25.5</v>
      </c>
      <c r="X63" s="108">
        <v>1180</v>
      </c>
      <c r="Y63" s="108">
        <f t="shared" si="4"/>
        <v>21</v>
      </c>
      <c r="Z63" s="108">
        <v>1222</v>
      </c>
      <c r="AA63" s="108">
        <f t="shared" si="5"/>
        <v>59.5</v>
      </c>
      <c r="AB63" s="108">
        <v>1341</v>
      </c>
      <c r="AC63" s="108">
        <f t="shared" si="6"/>
        <v>0</v>
      </c>
      <c r="AD63" s="108">
        <v>1341</v>
      </c>
      <c r="AE63" s="109">
        <f t="shared" si="7"/>
        <v>-210</v>
      </c>
    </row>
    <row r="64" spans="14:31" ht="15.6" customHeight="1" thickBot="1" x14ac:dyDescent="0.35">
      <c r="N64" s="213"/>
      <c r="O64" s="99" t="s">
        <v>68</v>
      </c>
      <c r="P64" s="114"/>
      <c r="Q64" s="114">
        <v>2941</v>
      </c>
      <c r="R64" s="114">
        <v>908</v>
      </c>
      <c r="S64" s="114">
        <f t="shared" si="1"/>
        <v>0</v>
      </c>
      <c r="T64" s="114">
        <v>908</v>
      </c>
      <c r="U64" s="114">
        <f t="shared" si="2"/>
        <v>107</v>
      </c>
      <c r="V64" s="114">
        <v>1122</v>
      </c>
      <c r="W64" s="114">
        <f t="shared" si="3"/>
        <v>256</v>
      </c>
      <c r="X64" s="114">
        <v>1634</v>
      </c>
      <c r="Y64" s="114">
        <f t="shared" si="4"/>
        <v>194.5</v>
      </c>
      <c r="Z64" s="114">
        <v>2023</v>
      </c>
      <c r="AA64" s="114">
        <f t="shared" si="5"/>
        <v>184.5</v>
      </c>
      <c r="AB64" s="114">
        <v>2392</v>
      </c>
      <c r="AC64" s="114">
        <f t="shared" si="6"/>
        <v>0</v>
      </c>
      <c r="AD64" s="114">
        <v>2392</v>
      </c>
      <c r="AE64" s="115">
        <f t="shared" si="7"/>
        <v>-549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87" priority="11" operator="lessThan">
      <formula>0</formula>
    </cfRule>
    <cfRule type="cellIs" dxfId="1186" priority="12" operator="greaterThan">
      <formula>0</formula>
    </cfRule>
  </conditionalFormatting>
  <conditionalFormatting sqref="R25:AC25">
    <cfRule type="cellIs" dxfId="1185" priority="9" operator="lessThan">
      <formula>0</formula>
    </cfRule>
    <cfRule type="cellIs" dxfId="1184" priority="10" operator="greaterThan">
      <formula>0</formula>
    </cfRule>
  </conditionalFormatting>
  <conditionalFormatting sqref="R26 T26 V26 X26 Z26 AB26">
    <cfRule type="cellIs" dxfId="1183" priority="7" operator="lessThan">
      <formula>0</formula>
    </cfRule>
    <cfRule type="cellIs" dxfId="1182" priority="8" operator="greaterThan">
      <formula>0</formula>
    </cfRule>
  </conditionalFormatting>
  <conditionalFormatting sqref="AD24:AE24">
    <cfRule type="cellIs" dxfId="1181" priority="5" operator="lessThan">
      <formula>0</formula>
    </cfRule>
    <cfRule type="cellIs" dxfId="1180" priority="6" operator="greaterThan">
      <formula>0</formula>
    </cfRule>
  </conditionalFormatting>
  <conditionalFormatting sqref="AD25:AE25">
    <cfRule type="cellIs" dxfId="1179" priority="3" operator="lessThan">
      <formula>0</formula>
    </cfRule>
    <cfRule type="cellIs" dxfId="1178" priority="4" operator="greaterThan">
      <formula>0</formula>
    </cfRule>
  </conditionalFormatting>
  <conditionalFormatting sqref="AD26">
    <cfRule type="cellIs" dxfId="1177" priority="1" operator="lessThan">
      <formula>0</formula>
    </cfRule>
    <cfRule type="cellIs" dxfId="117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>
    <tabColor theme="1"/>
    <pageSetUpPr fitToPage="1"/>
  </sheetPr>
  <dimension ref="B1:AQ64"/>
  <sheetViews>
    <sheetView topLeftCell="G1"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44420</v>
      </c>
    </row>
    <row r="3" spans="2:42" ht="18.75" customHeight="1" thickBot="1" x14ac:dyDescent="0.35">
      <c r="B3" t="s">
        <v>1</v>
      </c>
      <c r="C3" s="3">
        <f>C2+1</f>
        <v>44421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6118</v>
      </c>
      <c r="E6" s="18" t="s">
        <v>22</v>
      </c>
      <c r="F6" s="119">
        <v>22361</v>
      </c>
      <c r="G6" s="117">
        <v>18922.439375000002</v>
      </c>
      <c r="H6" s="117">
        <v>17188.73345688</v>
      </c>
      <c r="I6" s="19">
        <f>G6+H6</f>
        <v>36111.172831880001</v>
      </c>
      <c r="J6" s="119">
        <v>21771</v>
      </c>
      <c r="K6" s="117">
        <v>18100.849375000009</v>
      </c>
      <c r="L6" s="117">
        <v>16163.880030680009</v>
      </c>
      <c r="M6" s="19">
        <f>K6+L6</f>
        <v>34264.729405680016</v>
      </c>
      <c r="N6" s="85">
        <v>67</v>
      </c>
      <c r="O6" s="85">
        <v>52</v>
      </c>
      <c r="P6" s="92"/>
      <c r="Q6" s="20">
        <f>J6-P6</f>
        <v>21771</v>
      </c>
      <c r="R6" s="21">
        <v>1106</v>
      </c>
      <c r="S6" s="20">
        <f>IF(R6&gt;0,(R6-R7-$Q6),"")</f>
        <v>-20682</v>
      </c>
      <c r="T6" s="21">
        <v>6415</v>
      </c>
      <c r="U6" s="20">
        <f>IF(T6&gt;0,(T6-T7-$Q6),"")</f>
        <v>-15775</v>
      </c>
      <c r="V6" s="21">
        <v>10645</v>
      </c>
      <c r="W6" s="20">
        <f>IF(V6&gt;0,(V6-V7-$Q6),"")</f>
        <v>-12168</v>
      </c>
      <c r="X6" s="21">
        <v>13823</v>
      </c>
      <c r="Y6" s="20">
        <f>IF(X6&gt;0,(X6-X7-$Q6),"")</f>
        <v>-9049</v>
      </c>
      <c r="Z6" s="21">
        <v>18347</v>
      </c>
      <c r="AA6" s="20">
        <f>IF(Z6&gt;0,(Z6-Z7-$Q6),"")</f>
        <v>-4047</v>
      </c>
      <c r="AB6" s="21">
        <v>20643</v>
      </c>
      <c r="AC6" s="22">
        <f>IF(AB6&gt;0,(AB6-AB7-$Q6),"")</f>
        <v>-1768</v>
      </c>
      <c r="AD6" s="21">
        <v>20643</v>
      </c>
      <c r="AE6" s="22">
        <f>IF(AD6&gt;0,(AD6-AD7-$Q6),"")</f>
        <v>-1768</v>
      </c>
    </row>
    <row r="7" spans="2:42" x14ac:dyDescent="0.3">
      <c r="B7" s="16" t="s">
        <v>23</v>
      </c>
      <c r="C7" s="17">
        <v>2507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17</v>
      </c>
      <c r="S7" s="24"/>
      <c r="T7" s="25">
        <v>419</v>
      </c>
      <c r="U7" s="24"/>
      <c r="V7" s="25">
        <v>1042</v>
      </c>
      <c r="W7" s="24"/>
      <c r="X7" s="25">
        <v>1101</v>
      </c>
      <c r="Y7" s="24"/>
      <c r="Z7" s="25">
        <v>623</v>
      </c>
      <c r="AA7" s="24"/>
      <c r="AB7" s="25">
        <v>640</v>
      </c>
      <c r="AC7" s="26"/>
      <c r="AD7" s="25">
        <v>640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2717</v>
      </c>
      <c r="E8" s="29" t="s">
        <v>27</v>
      </c>
      <c r="F8" s="119">
        <v>11550</v>
      </c>
      <c r="G8" s="117">
        <v>4746.4449999999997</v>
      </c>
      <c r="H8" s="117">
        <v>1406.6762194999999</v>
      </c>
      <c r="I8" s="19">
        <f>G8+H8</f>
        <v>6153.1212194999998</v>
      </c>
      <c r="J8" s="119">
        <v>11824</v>
      </c>
      <c r="K8" s="117">
        <v>4850.1880000000001</v>
      </c>
      <c r="L8" s="117">
        <v>1453.2390330999999</v>
      </c>
      <c r="M8" s="19">
        <f>K8+L8</f>
        <v>6303.4270330999998</v>
      </c>
      <c r="N8" s="87">
        <v>27</v>
      </c>
      <c r="O8" s="87">
        <v>22</v>
      </c>
      <c r="P8" s="92"/>
      <c r="Q8" s="20">
        <f>J8-P8</f>
        <v>11824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4295</v>
      </c>
      <c r="W8" s="20">
        <f>IF(V8&gt;0,(V8-V9-$Q8),"")</f>
        <v>-7529</v>
      </c>
      <c r="X8" s="21">
        <v>8343</v>
      </c>
      <c r="Y8" s="20">
        <f>IF(X8&gt;0,(X8-X9-$Q8),"")</f>
        <v>-3481</v>
      </c>
      <c r="Z8" s="21">
        <v>11549</v>
      </c>
      <c r="AA8" s="20">
        <f>IF(Z8&gt;0,(Z8-Z9-$Q8),"")</f>
        <v>-1447</v>
      </c>
      <c r="AB8" s="21">
        <v>12996</v>
      </c>
      <c r="AC8" s="22">
        <f>IF(AB8&gt;0,(AB8-AB9-$Q8),"")</f>
        <v>0</v>
      </c>
      <c r="AD8" s="21">
        <v>12996</v>
      </c>
      <c r="AE8" s="22">
        <f>IF(AD8&gt;0,(AD8-AD9-$Q8),"")</f>
        <v>0</v>
      </c>
    </row>
    <row r="9" spans="2:42" x14ac:dyDescent="0.3">
      <c r="B9" s="28" t="s">
        <v>28</v>
      </c>
      <c r="C9" s="17">
        <v>1913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1172</v>
      </c>
      <c r="AA9" s="24"/>
      <c r="AB9" s="30">
        <v>1172</v>
      </c>
      <c r="AC9" s="26"/>
      <c r="AD9" s="30">
        <v>1172</v>
      </c>
      <c r="AE9" s="26"/>
    </row>
    <row r="10" spans="2:42" x14ac:dyDescent="0.3">
      <c r="B10" s="16" t="s">
        <v>30</v>
      </c>
      <c r="C10" s="17">
        <v>4357</v>
      </c>
      <c r="E10" s="18" t="s">
        <v>31</v>
      </c>
      <c r="F10" s="119">
        <v>23202</v>
      </c>
      <c r="G10" s="117">
        <v>17827.133031249999</v>
      </c>
      <c r="H10" s="117">
        <v>1931.5102125000001</v>
      </c>
      <c r="I10" s="19">
        <f>G10+H10</f>
        <v>19758.643243750001</v>
      </c>
      <c r="J10" s="119">
        <v>23039</v>
      </c>
      <c r="K10" s="117">
        <v>17513.82453125</v>
      </c>
      <c r="L10" s="117">
        <v>1882.6693025</v>
      </c>
      <c r="M10" s="19">
        <f>K10+L10</f>
        <v>19396.493833749999</v>
      </c>
      <c r="N10" s="88">
        <v>45</v>
      </c>
      <c r="O10" s="88">
        <v>38</v>
      </c>
      <c r="P10" s="92"/>
      <c r="Q10" s="20">
        <f>J10-P10</f>
        <v>23039</v>
      </c>
      <c r="R10" s="21">
        <v>2750</v>
      </c>
      <c r="S10" s="20">
        <f>IF(R10&gt;0,(R10-R11-$Q10),"")</f>
        <v>-21013</v>
      </c>
      <c r="T10" s="21">
        <v>5432</v>
      </c>
      <c r="U10" s="20">
        <f>IF(T10&gt;0,(T10-T11-$Q10),"")</f>
        <v>-18578</v>
      </c>
      <c r="V10" s="21">
        <v>8488</v>
      </c>
      <c r="W10" s="20">
        <f>IF(V10&gt;0,(V10-V11-$Q10),"")</f>
        <v>-16248</v>
      </c>
      <c r="X10" s="21">
        <v>13882</v>
      </c>
      <c r="Y10" s="20">
        <f>IF(X10&gt;0,(X10-X11-$Q10),"")</f>
        <v>-11395</v>
      </c>
      <c r="Z10" s="21">
        <v>18159</v>
      </c>
      <c r="AA10" s="20">
        <f>IF(Z10&gt;0,(Z10-Z11-$Q10),"")</f>
        <v>-7361</v>
      </c>
      <c r="AB10" s="21">
        <v>18799</v>
      </c>
      <c r="AC10" s="22">
        <f>IF(AB10&gt;0,(AB10-AB11-$Q10),"")</f>
        <v>-6683</v>
      </c>
      <c r="AD10" s="21">
        <v>18799</v>
      </c>
      <c r="AE10" s="22">
        <f>IF(AD10&gt;0,(AD10-AD11-$Q10),"")</f>
        <v>-6683</v>
      </c>
    </row>
    <row r="11" spans="2:42" x14ac:dyDescent="0.3">
      <c r="B11" s="16" t="s">
        <v>32</v>
      </c>
      <c r="C11" s="17">
        <v>2112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724</v>
      </c>
      <c r="S11" s="24"/>
      <c r="T11" s="30">
        <v>971</v>
      </c>
      <c r="U11" s="24"/>
      <c r="V11" s="30">
        <v>1697</v>
      </c>
      <c r="W11" s="24"/>
      <c r="X11" s="30">
        <v>2238</v>
      </c>
      <c r="Y11" s="24"/>
      <c r="Z11" s="30">
        <v>2481</v>
      </c>
      <c r="AA11" s="24"/>
      <c r="AB11" s="30">
        <v>2443</v>
      </c>
      <c r="AC11" s="26"/>
      <c r="AD11" s="30">
        <v>2443</v>
      </c>
      <c r="AE11" s="26"/>
    </row>
    <row r="12" spans="2:42" x14ac:dyDescent="0.3">
      <c r="B12" s="16" t="s">
        <v>34</v>
      </c>
      <c r="C12" s="17">
        <v>1589</v>
      </c>
      <c r="E12" s="29" t="s">
        <v>35</v>
      </c>
      <c r="F12" s="119">
        <v>16829</v>
      </c>
      <c r="G12" s="117">
        <v>12695.967500000001</v>
      </c>
      <c r="H12" s="117">
        <v>19324.339882169999</v>
      </c>
      <c r="I12" s="19">
        <f>G12+H12</f>
        <v>32020.307382170002</v>
      </c>
      <c r="J12" s="119">
        <v>16565</v>
      </c>
      <c r="K12" s="117">
        <v>12146.50625</v>
      </c>
      <c r="L12" s="117">
        <v>17566.043069579999</v>
      </c>
      <c r="M12" s="19">
        <f>K12+L12</f>
        <v>29712.549319580001</v>
      </c>
      <c r="N12" s="88">
        <v>51</v>
      </c>
      <c r="O12" s="88">
        <v>42</v>
      </c>
      <c r="P12" s="92"/>
      <c r="Q12" s="20">
        <f>J12-P12</f>
        <v>16565</v>
      </c>
      <c r="R12" s="21">
        <v>2533</v>
      </c>
      <c r="S12" s="20">
        <f>IF(R12&gt;0,(R12-R13-$Q12),"")</f>
        <v>-14758</v>
      </c>
      <c r="T12" s="21">
        <v>5505</v>
      </c>
      <c r="U12" s="20">
        <f>IF(T12&gt;0,(T12-T13-$Q12),"")</f>
        <v>-12249</v>
      </c>
      <c r="V12" s="21">
        <v>6747</v>
      </c>
      <c r="W12" s="20">
        <f>IF(V12&gt;0,(V12-V13-$Q12),"")</f>
        <v>-11559</v>
      </c>
      <c r="X12" s="21">
        <v>9537</v>
      </c>
      <c r="Y12" s="20">
        <f>IF(X12&gt;0,(X12-X13-$Q12),"")</f>
        <v>-8939</v>
      </c>
      <c r="Z12" s="21">
        <v>11287</v>
      </c>
      <c r="AA12" s="20">
        <f>IF(Z12&gt;0,(Z12-Z13-$Q12),"")</f>
        <v>-7173</v>
      </c>
      <c r="AB12" s="21">
        <v>11287</v>
      </c>
      <c r="AC12" s="22">
        <f>IF(AB12&gt;0,(AB12-AB13-$Q12),"")</f>
        <v>-7173</v>
      </c>
      <c r="AD12" s="21">
        <v>11287</v>
      </c>
      <c r="AE12" s="22">
        <f>IF(AD12&gt;0,(AD12-AD13-$Q12),"")</f>
        <v>-7173</v>
      </c>
    </row>
    <row r="13" spans="2:42" x14ac:dyDescent="0.3">
      <c r="B13" s="16" t="s">
        <v>36</v>
      </c>
      <c r="C13" s="17">
        <v>4657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726</v>
      </c>
      <c r="S13" s="24"/>
      <c r="T13" s="30">
        <v>1189</v>
      </c>
      <c r="U13" s="24"/>
      <c r="V13" s="30">
        <v>1741</v>
      </c>
      <c r="W13" s="24"/>
      <c r="X13" s="30">
        <v>1911</v>
      </c>
      <c r="Y13" s="24"/>
      <c r="Z13" s="30">
        <v>1895</v>
      </c>
      <c r="AA13" s="24"/>
      <c r="AB13" s="30">
        <v>1895</v>
      </c>
      <c r="AC13" s="26"/>
      <c r="AD13" s="30">
        <v>1895</v>
      </c>
      <c r="AE13" s="26"/>
    </row>
    <row r="14" spans="2:42" x14ac:dyDescent="0.3">
      <c r="B14" s="16" t="s">
        <v>38</v>
      </c>
      <c r="C14" s="17">
        <v>11719</v>
      </c>
      <c r="E14" s="18" t="s">
        <v>39</v>
      </c>
      <c r="F14" s="119">
        <v>19337</v>
      </c>
      <c r="G14" s="117">
        <v>17145.75</v>
      </c>
      <c r="H14" s="117">
        <v>20797.383530165</v>
      </c>
      <c r="I14" s="19">
        <f>G14+H14</f>
        <v>37943.133530164996</v>
      </c>
      <c r="J14" s="119">
        <v>19510</v>
      </c>
      <c r="K14" s="117">
        <v>17396.4375</v>
      </c>
      <c r="L14" s="117">
        <v>20945.702333705009</v>
      </c>
      <c r="M14" s="19">
        <f>K14+L14</f>
        <v>38342.139833705005</v>
      </c>
      <c r="N14" s="88">
        <v>57</v>
      </c>
      <c r="O14" s="88">
        <v>47</v>
      </c>
      <c r="P14" s="92"/>
      <c r="Q14" s="20">
        <f>J14-P14</f>
        <v>19510</v>
      </c>
      <c r="R14" s="21">
        <v>2839</v>
      </c>
      <c r="S14" s="20">
        <f>IF(R14&gt;0,(R14-R15-$Q14),"")</f>
        <v>-19081</v>
      </c>
      <c r="T14" s="21">
        <v>6880</v>
      </c>
      <c r="U14" s="20">
        <f>IF(T14&gt;0,(T14-T15-$Q14),"")</f>
        <v>-18110</v>
      </c>
      <c r="V14" s="21">
        <v>8975</v>
      </c>
      <c r="W14" s="20">
        <f>IF(V14&gt;0,(V14-V15-$Q14),"")</f>
        <v>-17333</v>
      </c>
      <c r="X14" s="21">
        <v>10957</v>
      </c>
      <c r="Y14" s="20">
        <f>IF(X14&gt;0,(X14-X15-$Q14),"")</f>
        <v>-16420</v>
      </c>
      <c r="Z14" s="21">
        <v>13673</v>
      </c>
      <c r="AA14" s="20">
        <f>IF(Z14&gt;0,(Z14-Z15-$Q14),"")</f>
        <v>-14694</v>
      </c>
      <c r="AB14" s="21">
        <v>13673</v>
      </c>
      <c r="AC14" s="22">
        <f>IF(AB14&gt;0,(AB14-AB15-$Q14),"")</f>
        <v>-14694</v>
      </c>
      <c r="AD14" s="21">
        <v>13673</v>
      </c>
      <c r="AE14" s="22">
        <f>IF(AD14&gt;0,(AD14-AD15-$Q14),"")</f>
        <v>-14694</v>
      </c>
    </row>
    <row r="15" spans="2:42" ht="15" customHeight="1" thickBot="1" x14ac:dyDescent="0.35">
      <c r="B15" s="16" t="s">
        <v>40</v>
      </c>
      <c r="C15" s="17">
        <v>2902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2410</v>
      </c>
      <c r="S15" s="24"/>
      <c r="T15" s="25">
        <v>5480</v>
      </c>
      <c r="U15" s="24"/>
      <c r="V15" s="25">
        <v>6798</v>
      </c>
      <c r="W15" s="24"/>
      <c r="X15" s="25">
        <v>7867</v>
      </c>
      <c r="Y15" s="24"/>
      <c r="Z15" s="25">
        <v>8857</v>
      </c>
      <c r="AA15" s="24"/>
      <c r="AB15" s="25">
        <v>8857</v>
      </c>
      <c r="AC15" s="26"/>
      <c r="AD15" s="25">
        <v>8857</v>
      </c>
      <c r="AE15" s="26"/>
    </row>
    <row r="16" spans="2:42" ht="15" customHeight="1" thickBot="1" x14ac:dyDescent="0.35">
      <c r="B16" s="28" t="s">
        <v>42</v>
      </c>
      <c r="C16" s="17">
        <v>13692</v>
      </c>
      <c r="E16" s="84"/>
      <c r="F16" s="31">
        <f t="shared" ref="F16:M16" si="0">SUM(F6:F15)</f>
        <v>93279</v>
      </c>
      <c r="G16" s="31">
        <f t="shared" si="0"/>
        <v>71337.73490625</v>
      </c>
      <c r="H16" s="31">
        <f t="shared" si="0"/>
        <v>60648.643301214994</v>
      </c>
      <c r="I16" s="32">
        <f t="shared" si="0"/>
        <v>131986.37820746499</v>
      </c>
      <c r="J16" s="33">
        <f t="shared" si="0"/>
        <v>92709</v>
      </c>
      <c r="K16" s="33">
        <f t="shared" si="0"/>
        <v>70007.805656250013</v>
      </c>
      <c r="L16" s="33">
        <f t="shared" si="0"/>
        <v>58011.533769565009</v>
      </c>
      <c r="M16" s="33">
        <f t="shared" si="0"/>
        <v>128019.33942581502</v>
      </c>
      <c r="N16" s="31">
        <f>SUM(N14,N12,N10,N8,N6)</f>
        <v>247</v>
      </c>
      <c r="O16" s="31">
        <f>SUM(O14,O12,O10,O8,O6)</f>
        <v>201</v>
      </c>
      <c r="P16" s="34">
        <f>SUM(P6:P15)</f>
        <v>0</v>
      </c>
      <c r="Q16" s="34">
        <f>SUM(Q6:Q15)</f>
        <v>92709</v>
      </c>
      <c r="R16" s="35">
        <f>R6+R8+R10+R12+R14-R7-R9-R11-R13-R15</f>
        <v>5351</v>
      </c>
      <c r="S16" s="36">
        <f>IF(R16&gt;1,(R16-$Q16),"")</f>
        <v>-87358</v>
      </c>
      <c r="T16" s="35">
        <f>T6+T8+T10+T12+T14-T7-T9-T11-T13-T15</f>
        <v>16173</v>
      </c>
      <c r="U16" s="36">
        <f>IF(T16&gt;1,(T16-$Q16),"")</f>
        <v>-76536</v>
      </c>
      <c r="V16" s="35">
        <f>V6+V8+V10+V12+V14-V7-V9-V11-V13-V15</f>
        <v>27872</v>
      </c>
      <c r="W16" s="36">
        <f>IF(V16&gt;1,(V16-$Q16),"")</f>
        <v>-64837</v>
      </c>
      <c r="X16" s="35">
        <f>X6+X8+X10+X12+X14-X7-X9-X11-X13-X15</f>
        <v>43425</v>
      </c>
      <c r="Y16" s="36">
        <f>IF(X16&gt;1,(X16-$Q16),"")</f>
        <v>-49284</v>
      </c>
      <c r="Z16" s="35">
        <f>Z6+Z8+Z10+Z12+Z14-Z7-Z9-Z11-Z13-Z15</f>
        <v>57987</v>
      </c>
      <c r="AA16" s="36">
        <f>IF(Z16&gt;1,(Z16-$Q16),"")</f>
        <v>-34722</v>
      </c>
      <c r="AB16" s="35">
        <f>AB6+AB8+AB10+AB12+AB14-AB7-AB9-AB11-AB13-AB15</f>
        <v>62391</v>
      </c>
      <c r="AC16" s="37">
        <f>IF(AB16&gt;1,(AB16-$Q16),"")</f>
        <v>-30318</v>
      </c>
      <c r="AD16" s="35">
        <f>AD6+AD8+AD10+AD12+AD14-AD7-AD9-AD11-AD13-AD15</f>
        <v>62391</v>
      </c>
      <c r="AE16" s="37">
        <f>IF(AD16&gt;1,(AD16-$Q16),"")</f>
        <v>-30318</v>
      </c>
    </row>
    <row r="17" spans="2:43" s="4" customFormat="1" ht="15" customHeight="1" thickBot="1" x14ac:dyDescent="0.35">
      <c r="B17" s="43" t="s">
        <v>47</v>
      </c>
      <c r="C17" s="17">
        <v>1132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3877</v>
      </c>
      <c r="S17" s="41"/>
      <c r="T17" s="40">
        <f>T15+T13+T11+T9+T7</f>
        <v>8059</v>
      </c>
      <c r="U17" s="41"/>
      <c r="V17" s="40">
        <f>V15+V13+V11+V9+V7</f>
        <v>11278</v>
      </c>
      <c r="W17" s="41"/>
      <c r="X17" s="40">
        <f>X15+X13+X11+X9+X7</f>
        <v>13117</v>
      </c>
      <c r="Y17" s="41"/>
      <c r="Z17" s="40">
        <f>Z15+Z13+Z11+Z9+Z7</f>
        <v>15028</v>
      </c>
      <c r="AA17" s="41"/>
      <c r="AB17" s="40">
        <f>AB15+AB13+AB11+AB9+AB7</f>
        <v>15007</v>
      </c>
      <c r="AC17" s="42"/>
      <c r="AD17" s="40">
        <f>AD15+AD13+AD11+AD9+AD7</f>
        <v>15007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572</v>
      </c>
      <c r="P18" s="45" t="s">
        <v>46</v>
      </c>
      <c r="Q18" s="46"/>
      <c r="R18" s="47">
        <f>IF(R16&gt;0,(R16)/2,"")</f>
        <v>2675.5</v>
      </c>
      <c r="S18" s="46"/>
      <c r="T18" s="47">
        <f>IF(T16&gt;0,(T16-R16)/2,"")</f>
        <v>5411</v>
      </c>
      <c r="U18" s="46"/>
      <c r="V18" s="47">
        <f>IF(V16&gt;0,(V16-T16)/2,"")</f>
        <v>5849.5</v>
      </c>
      <c r="W18" s="46"/>
      <c r="X18" s="47">
        <f>IF(X16&gt;0,(X16-V16)/2,"")</f>
        <v>7776.5</v>
      </c>
      <c r="Y18" s="46"/>
      <c r="Z18" s="47">
        <f>IF(Z16&gt;0,(Z16-X16)/2,"")</f>
        <v>7281</v>
      </c>
      <c r="AA18" s="46"/>
      <c r="AB18" s="47">
        <f>IF(AB16&gt;0,(AB16-Z16)/2,"")</f>
        <v>2202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8539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2446</v>
      </c>
      <c r="L20" s="4"/>
      <c r="M20" s="4"/>
      <c r="Q20" s="51" t="s">
        <v>49</v>
      </c>
      <c r="R20" s="35">
        <v>5975</v>
      </c>
      <c r="S20" s="36">
        <v>-79664</v>
      </c>
      <c r="T20" s="35">
        <v>14583</v>
      </c>
      <c r="U20" s="36">
        <v>-71056</v>
      </c>
      <c r="V20" s="35">
        <v>24312</v>
      </c>
      <c r="W20" s="36">
        <v>-61327</v>
      </c>
      <c r="X20" s="35">
        <v>45365</v>
      </c>
      <c r="Y20" s="36">
        <v>-40274</v>
      </c>
      <c r="Z20" s="35">
        <v>55983</v>
      </c>
      <c r="AA20" s="36">
        <v>-29656</v>
      </c>
      <c r="AB20" s="35">
        <v>57286</v>
      </c>
      <c r="AC20" s="37">
        <v>-28353</v>
      </c>
      <c r="AD20" s="35">
        <v>57286</v>
      </c>
      <c r="AE20" s="37">
        <v>-28353</v>
      </c>
    </row>
    <row r="21" spans="2:43" ht="15" customHeight="1" thickBot="1" x14ac:dyDescent="0.35">
      <c r="B21" s="57" t="s">
        <v>52</v>
      </c>
      <c r="C21" s="58">
        <v>4419</v>
      </c>
      <c r="M21" s="4"/>
      <c r="Q21" s="52"/>
      <c r="R21" s="40">
        <v>5666</v>
      </c>
      <c r="S21" s="41"/>
      <c r="T21" s="40">
        <v>8956</v>
      </c>
      <c r="U21" s="41"/>
      <c r="V21" s="40">
        <v>11699</v>
      </c>
      <c r="W21" s="41"/>
      <c r="X21" s="40">
        <v>14865</v>
      </c>
      <c r="Y21" s="41"/>
      <c r="Z21" s="40">
        <v>16054</v>
      </c>
      <c r="AA21" s="41"/>
      <c r="AB21" s="40">
        <v>16500</v>
      </c>
      <c r="AC21" s="42"/>
      <c r="AD21" s="40">
        <v>16500</v>
      </c>
      <c r="AE21" s="42"/>
    </row>
    <row r="22" spans="2:43" ht="15" customHeight="1" thickBot="1" x14ac:dyDescent="0.35">
      <c r="M22" s="4"/>
      <c r="Q22" s="54"/>
      <c r="R22" s="55">
        <v>2987.5</v>
      </c>
      <c r="S22" s="55"/>
      <c r="T22" s="55">
        <v>4304</v>
      </c>
      <c r="U22" s="55"/>
      <c r="V22" s="55">
        <v>4864.5</v>
      </c>
      <c r="W22" s="55"/>
      <c r="X22" s="55">
        <v>10526.5</v>
      </c>
      <c r="Y22" s="55"/>
      <c r="Z22" s="55">
        <v>5309</v>
      </c>
      <c r="AA22" s="55"/>
      <c r="AB22" s="55">
        <v>651.5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-624</v>
      </c>
      <c r="S24" s="60"/>
      <c r="T24" s="60">
        <f>IF(T16&gt;0,T16-T20,"")</f>
        <v>1590</v>
      </c>
      <c r="U24" s="60"/>
      <c r="V24" s="60">
        <f>IF(V16&gt;0,V16-V20,"")</f>
        <v>3560</v>
      </c>
      <c r="W24" s="60"/>
      <c r="X24" s="60">
        <f>IF(X16&gt;0,X16-X20,"")</f>
        <v>-1940</v>
      </c>
      <c r="Y24" s="60"/>
      <c r="Z24" s="60">
        <f>IF(Z16&gt;0,Z16-Z20,"")</f>
        <v>2004</v>
      </c>
      <c r="AA24" s="60"/>
      <c r="AB24" s="60">
        <f>IF(AB16&gt;0,AB16-AB20,"")</f>
        <v>5105</v>
      </c>
      <c r="AC24" s="61"/>
      <c r="AD24" s="60">
        <f>IF(AD16&gt;0,AD16-AD20,"")</f>
        <v>5105</v>
      </c>
      <c r="AE24" s="61"/>
    </row>
    <row r="25" spans="2:43" x14ac:dyDescent="0.3">
      <c r="M25" s="4"/>
      <c r="Q25" s="62"/>
      <c r="R25" s="63">
        <f>IF(R17&gt;=0,R17-R21,"")</f>
        <v>-1789</v>
      </c>
      <c r="S25" s="64"/>
      <c r="T25" s="63">
        <f>IF(T17&gt;=0,T17-T21,"")</f>
        <v>-897</v>
      </c>
      <c r="U25" s="64"/>
      <c r="V25" s="63">
        <f>IF(V17&gt;=0,V17-V21,"")</f>
        <v>-421</v>
      </c>
      <c r="W25" s="64"/>
      <c r="X25" s="63">
        <f>IF(X17&gt;=0,X17-X21,"")</f>
        <v>-1748</v>
      </c>
      <c r="Y25" s="64"/>
      <c r="Z25" s="63">
        <f>IF(Z17&gt;=0,Z17-Z21,"")</f>
        <v>-1026</v>
      </c>
      <c r="AA25" s="64"/>
      <c r="AB25" s="63">
        <f>IF(AB17&gt;=0,AB17-AB21,"")</f>
        <v>-1493</v>
      </c>
      <c r="AC25" s="65"/>
      <c r="AD25" s="63">
        <f>IF(AD17&gt;=0,AD17-AD21,"")</f>
        <v>-1493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-312</v>
      </c>
      <c r="S26" s="55"/>
      <c r="T26" s="67">
        <f>IFERROR(IF(T18&gt;0,T18-T22,""),"")</f>
        <v>1107</v>
      </c>
      <c r="U26" s="55"/>
      <c r="V26" s="67">
        <f>IFERROR(IF(V18&gt;0,V18-V22,""),"")</f>
        <v>985</v>
      </c>
      <c r="W26" s="55"/>
      <c r="X26" s="67">
        <f>IFERROR(IF(X18&gt;0,X18-X22,""),"")</f>
        <v>-2750</v>
      </c>
      <c r="Y26" s="55"/>
      <c r="Z26" s="67">
        <f>IFERROR(IF(Z18&gt;0,Z18-Z22,""),"")</f>
        <v>1972</v>
      </c>
      <c r="AA26" s="55"/>
      <c r="AB26" s="67">
        <f>IFERROR(IF(AB18&gt;0,AB18-AB22,""),"")</f>
        <v>1550.5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12385</v>
      </c>
      <c r="D29" s="76">
        <f>C14</f>
        <v>11719</v>
      </c>
      <c r="E29" s="77">
        <f>D29-C29</f>
        <v>-666</v>
      </c>
      <c r="O29" s="4"/>
    </row>
    <row r="30" spans="2:43" x14ac:dyDescent="0.3">
      <c r="B30" s="74" t="s">
        <v>56</v>
      </c>
      <c r="C30" s="122">
        <v>35386</v>
      </c>
      <c r="D30" s="76">
        <f>C7+C15+C16+C17+C18</f>
        <v>20805</v>
      </c>
      <c r="E30" s="77">
        <f>D30-C30</f>
        <v>-14581</v>
      </c>
      <c r="J30" s="53"/>
      <c r="O30" s="4"/>
    </row>
    <row r="31" spans="2:43" x14ac:dyDescent="0.3">
      <c r="B31" s="74" t="s">
        <v>21</v>
      </c>
      <c r="C31" s="122">
        <v>6118</v>
      </c>
      <c r="D31" s="76">
        <f>C6</f>
        <v>6118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12715</v>
      </c>
      <c r="D32" s="76">
        <f>C10+C11+C12+C13</f>
        <v>12715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15095</v>
      </c>
      <c r="D33" s="76">
        <f>C19+C20+C21</f>
        <v>15404</v>
      </c>
      <c r="E33" s="77">
        <f>D33-C33</f>
        <v>309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4630</v>
      </c>
      <c r="D34" s="80">
        <f>SUM(C8+C9)</f>
        <v>4630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1057</v>
      </c>
      <c r="R35" s="104">
        <v>0</v>
      </c>
      <c r="S35" s="104">
        <f t="shared" ref="S35:S64" si="1">IF(T35&gt;0,(T35-R35)/2,"")</f>
        <v>271.5</v>
      </c>
      <c r="T35" s="104">
        <v>543</v>
      </c>
      <c r="U35" s="104">
        <f t="shared" ref="U35:U64" si="2">IF(V35&gt;0,(V35-T35)/2,"")</f>
        <v>521</v>
      </c>
      <c r="V35" s="104">
        <v>1585</v>
      </c>
      <c r="W35" s="104">
        <f t="shared" ref="W35:W64" si="3">IF(X35&gt;0,(X35-V35)/2,"")</f>
        <v>4.5</v>
      </c>
      <c r="X35" s="104">
        <v>1594</v>
      </c>
      <c r="Y35" s="104">
        <f t="shared" ref="Y35:Y64" si="4">IF(Z35&gt;0,(Z35-X35)/2,"")</f>
        <v>-268.5</v>
      </c>
      <c r="Z35" s="104">
        <v>1057</v>
      </c>
      <c r="AA35" s="104">
        <f t="shared" ref="AA35:AA64" si="5">IF(AB35&gt;0,(AB35-Z35)/2,"")</f>
        <v>1</v>
      </c>
      <c r="AB35" s="104">
        <v>1059</v>
      </c>
      <c r="AC35" s="104">
        <f t="shared" ref="AC35:AC64" si="6">IF(AD35&gt;0,(AD35-AB35)/2,"")</f>
        <v>0</v>
      </c>
      <c r="AD35" s="104">
        <v>1059</v>
      </c>
      <c r="AE35" s="105">
        <f t="shared" ref="AE35:AE64" si="7">AD35-Q35</f>
        <v>2</v>
      </c>
    </row>
    <row r="36" spans="2:31" ht="15.6" customHeight="1" x14ac:dyDescent="0.3">
      <c r="N36" s="212"/>
      <c r="O36" s="95" t="s">
        <v>66</v>
      </c>
      <c r="P36" s="106"/>
      <c r="Q36" s="106">
        <v>2150</v>
      </c>
      <c r="R36" s="106">
        <v>0</v>
      </c>
      <c r="S36" s="106">
        <f t="shared" si="1"/>
        <v>306</v>
      </c>
      <c r="T36" s="106">
        <v>612</v>
      </c>
      <c r="U36" s="106">
        <f t="shared" si="2"/>
        <v>0</v>
      </c>
      <c r="V36" s="106">
        <v>612</v>
      </c>
      <c r="W36" s="106">
        <f t="shared" si="3"/>
        <v>273</v>
      </c>
      <c r="X36" s="106">
        <v>1158</v>
      </c>
      <c r="Y36" s="106">
        <f t="shared" si="4"/>
        <v>10</v>
      </c>
      <c r="Z36" s="106">
        <v>1178</v>
      </c>
      <c r="AA36" s="106">
        <f t="shared" si="5"/>
        <v>5.5</v>
      </c>
      <c r="AB36" s="106">
        <v>1189</v>
      </c>
      <c r="AC36" s="106">
        <f t="shared" si="6"/>
        <v>0</v>
      </c>
      <c r="AD36" s="106">
        <v>1189</v>
      </c>
      <c r="AE36" s="107">
        <f t="shared" si="7"/>
        <v>-961</v>
      </c>
    </row>
    <row r="37" spans="2:31" ht="15.6" customHeight="1" x14ac:dyDescent="0.3">
      <c r="N37" s="212"/>
      <c r="O37" s="94" t="s">
        <v>67</v>
      </c>
      <c r="P37" s="108"/>
      <c r="Q37" s="108">
        <v>3734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186</v>
      </c>
      <c r="V37" s="108">
        <v>372</v>
      </c>
      <c r="W37" s="108">
        <f t="shared" si="3"/>
        <v>416.5</v>
      </c>
      <c r="X37" s="108">
        <v>1205</v>
      </c>
      <c r="Y37" s="108">
        <f t="shared" si="4"/>
        <v>852</v>
      </c>
      <c r="Z37" s="108">
        <v>2909</v>
      </c>
      <c r="AA37" s="108">
        <f t="shared" si="5"/>
        <v>310</v>
      </c>
      <c r="AB37" s="108">
        <v>3529</v>
      </c>
      <c r="AC37" s="108">
        <f t="shared" si="6"/>
        <v>0</v>
      </c>
      <c r="AD37" s="108">
        <v>3529</v>
      </c>
      <c r="AE37" s="109">
        <f t="shared" si="7"/>
        <v>-205</v>
      </c>
    </row>
    <row r="38" spans="2:31" ht="15.6" customHeight="1" x14ac:dyDescent="0.3">
      <c r="N38" s="212"/>
      <c r="O38" s="95" t="s">
        <v>68</v>
      </c>
      <c r="P38" s="106"/>
      <c r="Q38" s="106">
        <v>3692</v>
      </c>
      <c r="R38" s="106">
        <v>752</v>
      </c>
      <c r="S38" s="106">
        <f t="shared" si="1"/>
        <v>0</v>
      </c>
      <c r="T38" s="106">
        <v>752</v>
      </c>
      <c r="U38" s="106">
        <f t="shared" si="2"/>
        <v>496</v>
      </c>
      <c r="V38" s="106">
        <v>1744</v>
      </c>
      <c r="W38" s="106">
        <f t="shared" si="3"/>
        <v>262.5</v>
      </c>
      <c r="X38" s="106">
        <v>2269</v>
      </c>
      <c r="Y38" s="106">
        <f t="shared" si="4"/>
        <v>588.5</v>
      </c>
      <c r="Z38" s="106">
        <v>3446</v>
      </c>
      <c r="AA38" s="106">
        <f t="shared" si="5"/>
        <v>0</v>
      </c>
      <c r="AB38" s="106">
        <v>3446</v>
      </c>
      <c r="AC38" s="106">
        <f t="shared" si="6"/>
        <v>0</v>
      </c>
      <c r="AD38" s="106">
        <v>3446</v>
      </c>
      <c r="AE38" s="107">
        <f t="shared" si="7"/>
        <v>-246</v>
      </c>
    </row>
    <row r="39" spans="2:31" ht="15.6" customHeight="1" x14ac:dyDescent="0.3">
      <c r="N39" s="212"/>
      <c r="O39" s="94" t="s">
        <v>69</v>
      </c>
      <c r="P39" s="108"/>
      <c r="Q39" s="108">
        <v>2663</v>
      </c>
      <c r="R39" s="108">
        <v>0</v>
      </c>
      <c r="S39" s="108">
        <f t="shared" si="1"/>
        <v>488.5</v>
      </c>
      <c r="T39" s="108">
        <v>977</v>
      </c>
      <c r="U39" s="108">
        <f t="shared" si="2"/>
        <v>242</v>
      </c>
      <c r="V39" s="108">
        <v>1461</v>
      </c>
      <c r="W39" s="108">
        <f t="shared" si="3"/>
        <v>270</v>
      </c>
      <c r="X39" s="108">
        <v>2001</v>
      </c>
      <c r="Y39" s="108">
        <f t="shared" si="4"/>
        <v>347.5</v>
      </c>
      <c r="Z39" s="108">
        <v>2696</v>
      </c>
      <c r="AA39" s="108">
        <f t="shared" si="5"/>
        <v>0</v>
      </c>
      <c r="AB39" s="108">
        <v>2696</v>
      </c>
      <c r="AC39" s="108">
        <f t="shared" si="6"/>
        <v>0</v>
      </c>
      <c r="AD39" s="108">
        <v>2696</v>
      </c>
      <c r="AE39" s="109">
        <f t="shared" si="7"/>
        <v>33</v>
      </c>
    </row>
    <row r="40" spans="2:31" ht="15.6" customHeight="1" x14ac:dyDescent="0.3">
      <c r="N40" s="212"/>
      <c r="O40" s="95" t="s">
        <v>70</v>
      </c>
      <c r="P40" s="106"/>
      <c r="Q40" s="106">
        <v>3651</v>
      </c>
      <c r="R40" s="106">
        <v>354</v>
      </c>
      <c r="S40" s="106">
        <f t="shared" si="1"/>
        <v>551</v>
      </c>
      <c r="T40" s="106">
        <v>1456</v>
      </c>
      <c r="U40" s="106">
        <f t="shared" si="2"/>
        <v>216</v>
      </c>
      <c r="V40" s="106">
        <v>1888</v>
      </c>
      <c r="W40" s="106">
        <f t="shared" si="3"/>
        <v>142.5</v>
      </c>
      <c r="X40" s="106">
        <v>2173</v>
      </c>
      <c r="Y40" s="106">
        <f t="shared" si="4"/>
        <v>178</v>
      </c>
      <c r="Z40" s="106">
        <v>2529</v>
      </c>
      <c r="AA40" s="106">
        <f t="shared" si="5"/>
        <v>758.5</v>
      </c>
      <c r="AB40" s="106">
        <v>4046</v>
      </c>
      <c r="AC40" s="106">
        <f t="shared" si="6"/>
        <v>0</v>
      </c>
      <c r="AD40" s="106">
        <v>4046</v>
      </c>
      <c r="AE40" s="107">
        <f t="shared" si="7"/>
        <v>395</v>
      </c>
    </row>
    <row r="41" spans="2:31" ht="15.6" customHeight="1" x14ac:dyDescent="0.3">
      <c r="N41" s="212"/>
      <c r="O41" s="94" t="s">
        <v>71</v>
      </c>
      <c r="P41" s="108"/>
      <c r="Q41" s="108">
        <v>647</v>
      </c>
      <c r="R41" s="108">
        <v>0</v>
      </c>
      <c r="S41" s="108">
        <f t="shared" si="1"/>
        <v>323.5</v>
      </c>
      <c r="T41" s="108">
        <v>647</v>
      </c>
      <c r="U41" s="108">
        <f t="shared" si="2"/>
        <v>0</v>
      </c>
      <c r="V41" s="108">
        <v>647</v>
      </c>
      <c r="W41" s="108">
        <f t="shared" si="3"/>
        <v>0.5</v>
      </c>
      <c r="X41" s="108">
        <v>648</v>
      </c>
      <c r="Y41" s="108">
        <f t="shared" si="4"/>
        <v>0</v>
      </c>
      <c r="Z41" s="108">
        <v>648</v>
      </c>
      <c r="AA41" s="108">
        <f t="shared" si="5"/>
        <v>0</v>
      </c>
      <c r="AB41" s="108">
        <v>648</v>
      </c>
      <c r="AC41" s="108">
        <f t="shared" si="6"/>
        <v>0</v>
      </c>
      <c r="AD41" s="108">
        <v>648</v>
      </c>
      <c r="AE41" s="109">
        <f t="shared" si="7"/>
        <v>1</v>
      </c>
    </row>
    <row r="42" spans="2:31" ht="15.6" customHeight="1" x14ac:dyDescent="0.3">
      <c r="N42" s="212"/>
      <c r="O42" s="95" t="s">
        <v>72</v>
      </c>
      <c r="P42" s="106"/>
      <c r="Q42" s="106">
        <v>1787</v>
      </c>
      <c r="R42" s="106">
        <v>0</v>
      </c>
      <c r="S42" s="106">
        <f t="shared" si="1"/>
        <v>354.5</v>
      </c>
      <c r="T42" s="106">
        <v>709</v>
      </c>
      <c r="U42" s="106">
        <f t="shared" si="2"/>
        <v>214.5</v>
      </c>
      <c r="V42" s="106">
        <v>1138</v>
      </c>
      <c r="W42" s="106">
        <f t="shared" si="3"/>
        <v>220</v>
      </c>
      <c r="X42" s="106">
        <v>1578</v>
      </c>
      <c r="Y42" s="106">
        <f t="shared" si="4"/>
        <v>22.5</v>
      </c>
      <c r="Z42" s="106">
        <v>1623</v>
      </c>
      <c r="AA42" s="106">
        <f t="shared" si="5"/>
        <v>73</v>
      </c>
      <c r="AB42" s="106">
        <v>1769</v>
      </c>
      <c r="AC42" s="106">
        <f t="shared" si="6"/>
        <v>0</v>
      </c>
      <c r="AD42" s="106">
        <v>1769</v>
      </c>
      <c r="AE42" s="107">
        <f t="shared" si="7"/>
        <v>-18</v>
      </c>
    </row>
    <row r="43" spans="2:31" ht="15.6" customHeight="1" thickBot="1" x14ac:dyDescent="0.35">
      <c r="N43" s="213"/>
      <c r="O43" s="97" t="s">
        <v>73</v>
      </c>
      <c r="P43" s="110"/>
      <c r="Q43" s="110">
        <v>1761</v>
      </c>
      <c r="R43" s="110">
        <v>0</v>
      </c>
      <c r="S43" s="110">
        <f t="shared" si="1"/>
        <v>295.5</v>
      </c>
      <c r="T43" s="110">
        <v>591</v>
      </c>
      <c r="U43" s="110">
        <f t="shared" si="2"/>
        <v>186</v>
      </c>
      <c r="V43" s="110">
        <v>963</v>
      </c>
      <c r="W43" s="110">
        <f t="shared" si="3"/>
        <v>3.5</v>
      </c>
      <c r="X43" s="110">
        <v>970</v>
      </c>
      <c r="Y43" s="110">
        <f t="shared" si="4"/>
        <v>395.5</v>
      </c>
      <c r="Z43" s="110">
        <v>1761</v>
      </c>
      <c r="AA43" s="110">
        <f t="shared" si="5"/>
        <v>0</v>
      </c>
      <c r="AB43" s="110">
        <v>1761</v>
      </c>
      <c r="AC43" s="110">
        <f t="shared" si="6"/>
        <v>0</v>
      </c>
      <c r="AD43" s="110">
        <v>1761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3143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985.5</v>
      </c>
      <c r="X44" s="112">
        <v>1971</v>
      </c>
      <c r="Y44" s="112">
        <f t="shared" si="4"/>
        <v>1172</v>
      </c>
      <c r="Z44" s="112">
        <v>4315</v>
      </c>
      <c r="AA44" s="112">
        <f t="shared" si="5"/>
        <v>0</v>
      </c>
      <c r="AB44" s="112">
        <v>4315</v>
      </c>
      <c r="AC44" s="112">
        <f t="shared" si="6"/>
        <v>0</v>
      </c>
      <c r="AD44" s="112">
        <v>4315</v>
      </c>
      <c r="AE44" s="113">
        <f t="shared" si="7"/>
        <v>1172</v>
      </c>
    </row>
    <row r="45" spans="2:31" ht="15.6" customHeight="1" x14ac:dyDescent="0.3">
      <c r="N45" s="212"/>
      <c r="O45" s="94" t="s">
        <v>66</v>
      </c>
      <c r="P45" s="108"/>
      <c r="Q45" s="108">
        <v>2599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576</v>
      </c>
      <c r="V45" s="108">
        <v>1152</v>
      </c>
      <c r="W45" s="108">
        <f t="shared" si="3"/>
        <v>0</v>
      </c>
      <c r="X45" s="108">
        <v>1152</v>
      </c>
      <c r="Y45" s="108">
        <f t="shared" si="4"/>
        <v>0</v>
      </c>
      <c r="Z45" s="108">
        <v>1152</v>
      </c>
      <c r="AA45" s="108">
        <f t="shared" si="5"/>
        <v>723.5</v>
      </c>
      <c r="AB45" s="108">
        <v>2599</v>
      </c>
      <c r="AC45" s="108">
        <f t="shared" si="6"/>
        <v>0</v>
      </c>
      <c r="AD45" s="108">
        <v>2599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2934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787</v>
      </c>
      <c r="V46" s="106">
        <v>1574</v>
      </c>
      <c r="W46" s="106">
        <f t="shared" si="3"/>
        <v>519.5</v>
      </c>
      <c r="X46" s="106">
        <v>2613</v>
      </c>
      <c r="Y46" s="106">
        <f t="shared" si="4"/>
        <v>160.5</v>
      </c>
      <c r="Z46" s="106">
        <v>2934</v>
      </c>
      <c r="AA46" s="106">
        <f t="shared" si="5"/>
        <v>0</v>
      </c>
      <c r="AB46" s="106">
        <v>2934</v>
      </c>
      <c r="AC46" s="106">
        <f t="shared" si="6"/>
        <v>0</v>
      </c>
      <c r="AD46" s="106">
        <v>2934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3148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784.5</v>
      </c>
      <c r="V47" s="110">
        <v>1569</v>
      </c>
      <c r="W47" s="110">
        <f t="shared" si="3"/>
        <v>519</v>
      </c>
      <c r="X47" s="110">
        <v>2607</v>
      </c>
      <c r="Y47" s="110">
        <f t="shared" si="4"/>
        <v>270.5</v>
      </c>
      <c r="Z47" s="110">
        <v>3148</v>
      </c>
      <c r="AA47" s="110">
        <f t="shared" si="5"/>
        <v>0</v>
      </c>
      <c r="AB47" s="110">
        <v>3148</v>
      </c>
      <c r="AC47" s="110">
        <f t="shared" si="6"/>
        <v>0</v>
      </c>
      <c r="AD47" s="110">
        <v>3148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1312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509</v>
      </c>
      <c r="V48" s="112">
        <v>1018</v>
      </c>
      <c r="W48" s="112">
        <f t="shared" si="3"/>
        <v>-5</v>
      </c>
      <c r="X48" s="112">
        <v>1008</v>
      </c>
      <c r="Y48" s="112">
        <f t="shared" si="4"/>
        <v>0</v>
      </c>
      <c r="Z48" s="112">
        <v>1008</v>
      </c>
      <c r="AA48" s="112">
        <f t="shared" si="5"/>
        <v>0</v>
      </c>
      <c r="AB48" s="112">
        <v>1008</v>
      </c>
      <c r="AC48" s="112">
        <f t="shared" si="6"/>
        <v>0</v>
      </c>
      <c r="AD48" s="112">
        <v>1008</v>
      </c>
      <c r="AE48" s="113">
        <f t="shared" si="7"/>
        <v>-304</v>
      </c>
    </row>
    <row r="49" spans="14:31" ht="15.6" customHeight="1" x14ac:dyDescent="0.3">
      <c r="N49" s="212"/>
      <c r="O49" s="94" t="s">
        <v>66</v>
      </c>
      <c r="P49" s="108"/>
      <c r="Q49" s="108">
        <v>4568</v>
      </c>
      <c r="R49" s="108">
        <v>0</v>
      </c>
      <c r="S49" s="108">
        <f t="shared" si="1"/>
        <v>600</v>
      </c>
      <c r="T49" s="108">
        <v>1200</v>
      </c>
      <c r="U49" s="108">
        <f t="shared" si="2"/>
        <v>0</v>
      </c>
      <c r="V49" s="108">
        <v>1200</v>
      </c>
      <c r="W49" s="108">
        <f t="shared" si="3"/>
        <v>1124</v>
      </c>
      <c r="X49" s="108">
        <v>3448</v>
      </c>
      <c r="Y49" s="108">
        <f t="shared" si="4"/>
        <v>347.5</v>
      </c>
      <c r="Z49" s="108">
        <v>4143</v>
      </c>
      <c r="AA49" s="108">
        <f t="shared" si="5"/>
        <v>214.5</v>
      </c>
      <c r="AB49" s="108">
        <v>4572</v>
      </c>
      <c r="AC49" s="108">
        <f t="shared" si="6"/>
        <v>0</v>
      </c>
      <c r="AD49" s="108">
        <v>4572</v>
      </c>
      <c r="AE49" s="109">
        <f t="shared" si="7"/>
        <v>4</v>
      </c>
    </row>
    <row r="50" spans="14:31" ht="15.6" customHeight="1" x14ac:dyDescent="0.3">
      <c r="N50" s="212"/>
      <c r="O50" s="95" t="s">
        <v>67</v>
      </c>
      <c r="P50" s="106"/>
      <c r="Q50" s="106">
        <v>1585</v>
      </c>
      <c r="R50" s="106">
        <v>363</v>
      </c>
      <c r="S50" s="106">
        <f t="shared" si="1"/>
        <v>111.5</v>
      </c>
      <c r="T50" s="106">
        <v>586</v>
      </c>
      <c r="U50" s="106">
        <f t="shared" si="2"/>
        <v>299</v>
      </c>
      <c r="V50" s="106">
        <v>1184</v>
      </c>
      <c r="W50" s="106">
        <f t="shared" si="3"/>
        <v>73.5</v>
      </c>
      <c r="X50" s="106">
        <v>1331</v>
      </c>
      <c r="Y50" s="106">
        <f t="shared" si="4"/>
        <v>50</v>
      </c>
      <c r="Z50" s="106">
        <v>1431</v>
      </c>
      <c r="AA50" s="106">
        <f t="shared" si="5"/>
        <v>0</v>
      </c>
      <c r="AB50" s="106">
        <v>1431</v>
      </c>
      <c r="AC50" s="106">
        <f t="shared" si="6"/>
        <v>0</v>
      </c>
      <c r="AD50" s="106">
        <v>1431</v>
      </c>
      <c r="AE50" s="107">
        <f t="shared" si="7"/>
        <v>-154</v>
      </c>
    </row>
    <row r="51" spans="14:31" ht="15.6" customHeight="1" x14ac:dyDescent="0.3">
      <c r="N51" s="212"/>
      <c r="O51" s="94" t="s">
        <v>68</v>
      </c>
      <c r="P51" s="108"/>
      <c r="Q51" s="108">
        <v>3427</v>
      </c>
      <c r="R51" s="108">
        <v>442</v>
      </c>
      <c r="S51" s="108">
        <f t="shared" si="1"/>
        <v>17.5</v>
      </c>
      <c r="T51" s="108">
        <v>477</v>
      </c>
      <c r="U51" s="108" t="str">
        <f t="shared" si="2"/>
        <v/>
      </c>
      <c r="V51" s="108">
        <v>-299</v>
      </c>
      <c r="W51" s="108">
        <f t="shared" si="3"/>
        <v>618</v>
      </c>
      <c r="X51" s="108">
        <v>937</v>
      </c>
      <c r="Y51" s="108">
        <f t="shared" si="4"/>
        <v>2.5</v>
      </c>
      <c r="Z51" s="108">
        <v>942</v>
      </c>
      <c r="AA51" s="108">
        <f t="shared" si="5"/>
        <v>9</v>
      </c>
      <c r="AB51" s="108">
        <v>960</v>
      </c>
      <c r="AC51" s="108">
        <f t="shared" si="6"/>
        <v>0</v>
      </c>
      <c r="AD51" s="108">
        <v>960</v>
      </c>
      <c r="AE51" s="109">
        <f t="shared" si="7"/>
        <v>-2467</v>
      </c>
    </row>
    <row r="52" spans="14:31" ht="15.6" customHeight="1" x14ac:dyDescent="0.3">
      <c r="N52" s="212"/>
      <c r="O52" s="95" t="s">
        <v>69</v>
      </c>
      <c r="P52" s="106"/>
      <c r="Q52" s="106">
        <v>1766</v>
      </c>
      <c r="R52" s="106">
        <v>246</v>
      </c>
      <c r="S52" s="106">
        <f t="shared" si="1"/>
        <v>12</v>
      </c>
      <c r="T52" s="106">
        <v>270</v>
      </c>
      <c r="U52" s="106">
        <f t="shared" si="2"/>
        <v>55.5</v>
      </c>
      <c r="V52" s="106">
        <v>381</v>
      </c>
      <c r="W52" s="106">
        <f t="shared" si="3"/>
        <v>269.5</v>
      </c>
      <c r="X52" s="106">
        <v>920</v>
      </c>
      <c r="Y52" s="106">
        <f t="shared" si="4"/>
        <v>52</v>
      </c>
      <c r="Z52" s="106">
        <v>1024</v>
      </c>
      <c r="AA52" s="106">
        <f t="shared" si="5"/>
        <v>0</v>
      </c>
      <c r="AB52" s="106">
        <v>1024</v>
      </c>
      <c r="AC52" s="106">
        <f t="shared" si="6"/>
        <v>0</v>
      </c>
      <c r="AD52" s="106">
        <v>1024</v>
      </c>
      <c r="AE52" s="107">
        <f t="shared" si="7"/>
        <v>-742</v>
      </c>
    </row>
    <row r="53" spans="14:31" ht="15.6" customHeight="1" x14ac:dyDescent="0.3">
      <c r="N53" s="212"/>
      <c r="O53" s="94" t="s">
        <v>70</v>
      </c>
      <c r="P53" s="108"/>
      <c r="Q53" s="108">
        <v>1338</v>
      </c>
      <c r="R53" s="108">
        <v>689</v>
      </c>
      <c r="S53" s="108">
        <f t="shared" si="1"/>
        <v>0</v>
      </c>
      <c r="T53" s="108">
        <v>689</v>
      </c>
      <c r="U53" s="108">
        <f t="shared" si="2"/>
        <v>0</v>
      </c>
      <c r="V53" s="108">
        <v>689</v>
      </c>
      <c r="W53" s="108">
        <f t="shared" si="3"/>
        <v>172.5</v>
      </c>
      <c r="X53" s="108">
        <v>1034</v>
      </c>
      <c r="Y53" s="108">
        <f t="shared" si="4"/>
        <v>105.5</v>
      </c>
      <c r="Z53" s="108">
        <v>1245</v>
      </c>
      <c r="AA53" s="108">
        <f t="shared" si="5"/>
        <v>-27.5</v>
      </c>
      <c r="AB53" s="108">
        <v>1190</v>
      </c>
      <c r="AC53" s="108">
        <f t="shared" si="6"/>
        <v>0</v>
      </c>
      <c r="AD53" s="108">
        <v>1190</v>
      </c>
      <c r="AE53" s="109">
        <f t="shared" si="7"/>
        <v>-148</v>
      </c>
    </row>
    <row r="54" spans="14:31" ht="15.6" customHeight="1" x14ac:dyDescent="0.3">
      <c r="N54" s="212"/>
      <c r="O54" s="95" t="s">
        <v>71</v>
      </c>
      <c r="P54" s="106"/>
      <c r="Q54" s="106">
        <v>3784</v>
      </c>
      <c r="R54" s="106">
        <v>1000</v>
      </c>
      <c r="S54" s="106">
        <f t="shared" si="1"/>
        <v>0</v>
      </c>
      <c r="T54" s="106">
        <v>1000</v>
      </c>
      <c r="U54" s="106">
        <f t="shared" si="2"/>
        <v>437</v>
      </c>
      <c r="V54" s="106">
        <v>1874</v>
      </c>
      <c r="W54" s="106">
        <f t="shared" si="3"/>
        <v>0</v>
      </c>
      <c r="X54" s="106">
        <v>1874</v>
      </c>
      <c r="Y54" s="106">
        <f t="shared" si="4"/>
        <v>838</v>
      </c>
      <c r="Z54" s="106">
        <v>3550</v>
      </c>
      <c r="AA54" s="106">
        <f t="shared" si="5"/>
        <v>124</v>
      </c>
      <c r="AB54" s="106">
        <v>3798</v>
      </c>
      <c r="AC54" s="106">
        <f t="shared" si="6"/>
        <v>0</v>
      </c>
      <c r="AD54" s="106">
        <v>3798</v>
      </c>
      <c r="AE54" s="107">
        <f t="shared" si="7"/>
        <v>14</v>
      </c>
    </row>
    <row r="55" spans="14:31" ht="15.6" customHeight="1" x14ac:dyDescent="0.3">
      <c r="N55" s="212"/>
      <c r="O55" s="94" t="s">
        <v>72</v>
      </c>
      <c r="P55" s="108"/>
      <c r="Q55" s="108">
        <v>3916</v>
      </c>
      <c r="R55" s="108">
        <v>10</v>
      </c>
      <c r="S55" s="108">
        <f t="shared" si="1"/>
        <v>600</v>
      </c>
      <c r="T55" s="108">
        <v>1210</v>
      </c>
      <c r="U55" s="108">
        <f t="shared" si="2"/>
        <v>600</v>
      </c>
      <c r="V55" s="108">
        <v>2410</v>
      </c>
      <c r="W55" s="108">
        <f t="shared" si="3"/>
        <v>102.5</v>
      </c>
      <c r="X55" s="108">
        <v>2615</v>
      </c>
      <c r="Y55" s="108">
        <f t="shared" si="4"/>
        <v>539</v>
      </c>
      <c r="Z55" s="108">
        <v>3693</v>
      </c>
      <c r="AA55" s="108">
        <f t="shared" si="5"/>
        <v>0</v>
      </c>
      <c r="AB55" s="108">
        <v>3693</v>
      </c>
      <c r="AC55" s="108">
        <f t="shared" si="6"/>
        <v>0</v>
      </c>
      <c r="AD55" s="108">
        <v>3693</v>
      </c>
      <c r="AE55" s="109">
        <f t="shared" si="7"/>
        <v>-223</v>
      </c>
    </row>
    <row r="56" spans="14:31" ht="15.6" customHeight="1" thickBot="1" x14ac:dyDescent="0.35">
      <c r="N56" s="213"/>
      <c r="O56" s="99" t="s">
        <v>73</v>
      </c>
      <c r="P56" s="114"/>
      <c r="Q56" s="114">
        <v>1343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15.5</v>
      </c>
      <c r="V56" s="114">
        <v>31</v>
      </c>
      <c r="W56" s="114">
        <f t="shared" si="3"/>
        <v>342</v>
      </c>
      <c r="X56" s="114">
        <v>715</v>
      </c>
      <c r="Y56" s="114">
        <f t="shared" si="4"/>
        <v>204</v>
      </c>
      <c r="Z56" s="114">
        <v>1123</v>
      </c>
      <c r="AA56" s="114">
        <f t="shared" si="5"/>
        <v>0</v>
      </c>
      <c r="AB56" s="114">
        <v>1123</v>
      </c>
      <c r="AC56" s="114">
        <f t="shared" si="6"/>
        <v>0</v>
      </c>
      <c r="AD56" s="114">
        <v>1123</v>
      </c>
      <c r="AE56" s="115">
        <f t="shared" si="7"/>
        <v>-220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4203</v>
      </c>
      <c r="R57" s="104">
        <v>325</v>
      </c>
      <c r="S57" s="104">
        <f t="shared" si="1"/>
        <v>70.5</v>
      </c>
      <c r="T57" s="104">
        <v>466</v>
      </c>
      <c r="U57" s="104">
        <f t="shared" si="2"/>
        <v>10</v>
      </c>
      <c r="V57" s="104">
        <v>486</v>
      </c>
      <c r="W57" s="104">
        <f t="shared" si="3"/>
        <v>11</v>
      </c>
      <c r="X57" s="104">
        <v>508</v>
      </c>
      <c r="Y57" s="104">
        <f t="shared" si="4"/>
        <v>433.5</v>
      </c>
      <c r="Z57" s="104">
        <v>1375</v>
      </c>
      <c r="AA57" s="104">
        <f t="shared" si="5"/>
        <v>0</v>
      </c>
      <c r="AB57" s="104">
        <v>1375</v>
      </c>
      <c r="AC57" s="104">
        <f t="shared" si="6"/>
        <v>0</v>
      </c>
      <c r="AD57" s="104">
        <v>1375</v>
      </c>
      <c r="AE57" s="105">
        <f t="shared" si="7"/>
        <v>-2828</v>
      </c>
    </row>
    <row r="58" spans="14:31" ht="15.6" customHeight="1" x14ac:dyDescent="0.3">
      <c r="N58" s="212"/>
      <c r="O58" s="95" t="s">
        <v>66</v>
      </c>
      <c r="P58" s="106"/>
      <c r="Q58" s="106">
        <v>3273</v>
      </c>
      <c r="R58" s="106">
        <v>926</v>
      </c>
      <c r="S58" s="106">
        <f t="shared" si="1"/>
        <v>558.5</v>
      </c>
      <c r="T58" s="106">
        <v>2043</v>
      </c>
      <c r="U58" s="106">
        <f t="shared" si="2"/>
        <v>193</v>
      </c>
      <c r="V58" s="106">
        <v>2429</v>
      </c>
      <c r="W58" s="106">
        <f t="shared" si="3"/>
        <v>245</v>
      </c>
      <c r="X58" s="106">
        <v>2919</v>
      </c>
      <c r="Y58" s="106">
        <f t="shared" si="4"/>
        <v>0</v>
      </c>
      <c r="Z58" s="106">
        <v>2919</v>
      </c>
      <c r="AA58" s="106">
        <f t="shared" si="5"/>
        <v>0</v>
      </c>
      <c r="AB58" s="106">
        <v>2919</v>
      </c>
      <c r="AC58" s="106">
        <f t="shared" si="6"/>
        <v>0</v>
      </c>
      <c r="AD58" s="106">
        <v>2919</v>
      </c>
      <c r="AE58" s="107">
        <f t="shared" si="7"/>
        <v>-354</v>
      </c>
    </row>
    <row r="59" spans="14:31" ht="15.6" customHeight="1" x14ac:dyDescent="0.3">
      <c r="N59" s="212"/>
      <c r="O59" s="94" t="s">
        <v>67</v>
      </c>
      <c r="P59" s="108"/>
      <c r="Q59" s="108">
        <v>5412</v>
      </c>
      <c r="R59" s="108">
        <v>375</v>
      </c>
      <c r="S59" s="108">
        <f t="shared" si="1"/>
        <v>265.5</v>
      </c>
      <c r="T59" s="108">
        <v>906</v>
      </c>
      <c r="U59" s="108">
        <f t="shared" si="2"/>
        <v>273.5</v>
      </c>
      <c r="V59" s="108">
        <v>1453</v>
      </c>
      <c r="W59" s="108">
        <f t="shared" si="3"/>
        <v>431.5</v>
      </c>
      <c r="X59" s="108">
        <v>2316</v>
      </c>
      <c r="Y59" s="108">
        <f t="shared" si="4"/>
        <v>431.5</v>
      </c>
      <c r="Z59" s="108">
        <v>3179</v>
      </c>
      <c r="AA59" s="108">
        <f t="shared" si="5"/>
        <v>0</v>
      </c>
      <c r="AB59" s="108">
        <v>3179</v>
      </c>
      <c r="AC59" s="108">
        <f t="shared" si="6"/>
        <v>0</v>
      </c>
      <c r="AD59" s="108">
        <v>3179</v>
      </c>
      <c r="AE59" s="109">
        <f t="shared" si="7"/>
        <v>-2233</v>
      </c>
    </row>
    <row r="60" spans="14:31" ht="15.6" customHeight="1" thickBot="1" x14ac:dyDescent="0.35">
      <c r="N60" s="213"/>
      <c r="O60" s="99" t="s">
        <v>68</v>
      </c>
      <c r="P60" s="114"/>
      <c r="Q60" s="114">
        <v>3677</v>
      </c>
      <c r="R60" s="114">
        <v>907</v>
      </c>
      <c r="S60" s="114">
        <f t="shared" si="1"/>
        <v>591.5</v>
      </c>
      <c r="T60" s="114">
        <v>2090</v>
      </c>
      <c r="U60" s="114">
        <f t="shared" si="2"/>
        <v>144.5</v>
      </c>
      <c r="V60" s="114">
        <v>2379</v>
      </c>
      <c r="W60" s="114">
        <f t="shared" si="3"/>
        <v>707.5</v>
      </c>
      <c r="X60" s="114">
        <v>3794</v>
      </c>
      <c r="Y60" s="114">
        <f t="shared" si="4"/>
        <v>10</v>
      </c>
      <c r="Z60" s="114">
        <v>3814</v>
      </c>
      <c r="AA60" s="114">
        <f t="shared" si="5"/>
        <v>0</v>
      </c>
      <c r="AB60" s="114">
        <v>3814</v>
      </c>
      <c r="AC60" s="114">
        <f t="shared" si="6"/>
        <v>0</v>
      </c>
      <c r="AD60" s="114">
        <v>3814</v>
      </c>
      <c r="AE60" s="115">
        <f t="shared" si="7"/>
        <v>137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3512</v>
      </c>
      <c r="R61" s="104">
        <v>180</v>
      </c>
      <c r="S61" s="104">
        <f t="shared" si="1"/>
        <v>595</v>
      </c>
      <c r="T61" s="104">
        <v>1370</v>
      </c>
      <c r="U61" s="104">
        <f t="shared" si="2"/>
        <v>0</v>
      </c>
      <c r="V61" s="104">
        <v>1370</v>
      </c>
      <c r="W61" s="104">
        <f t="shared" si="3"/>
        <v>233.5</v>
      </c>
      <c r="X61" s="104">
        <v>1837</v>
      </c>
      <c r="Y61" s="104">
        <f t="shared" si="4"/>
        <v>180.5</v>
      </c>
      <c r="Z61" s="104">
        <v>2198</v>
      </c>
      <c r="AA61" s="104">
        <f t="shared" si="5"/>
        <v>0</v>
      </c>
      <c r="AB61" s="104">
        <v>2198</v>
      </c>
      <c r="AC61" s="104">
        <f t="shared" si="6"/>
        <v>0</v>
      </c>
      <c r="AD61" s="104">
        <v>2198</v>
      </c>
      <c r="AE61" s="105">
        <f t="shared" si="7"/>
        <v>-1314</v>
      </c>
    </row>
    <row r="62" spans="14:31" ht="15.6" customHeight="1" x14ac:dyDescent="0.3">
      <c r="N62" s="212"/>
      <c r="O62" s="95" t="s">
        <v>66</v>
      </c>
      <c r="P62" s="106"/>
      <c r="Q62" s="106">
        <v>2754</v>
      </c>
      <c r="R62" s="106">
        <v>51</v>
      </c>
      <c r="S62" s="106">
        <f t="shared" si="1"/>
        <v>105</v>
      </c>
      <c r="T62" s="106">
        <v>261</v>
      </c>
      <c r="U62" s="106">
        <f t="shared" si="2"/>
        <v>217.5</v>
      </c>
      <c r="V62" s="106">
        <v>696</v>
      </c>
      <c r="W62" s="106">
        <f t="shared" si="3"/>
        <v>249.5</v>
      </c>
      <c r="X62" s="106">
        <v>1195</v>
      </c>
      <c r="Y62" s="106">
        <f t="shared" si="4"/>
        <v>492.5</v>
      </c>
      <c r="Z62" s="106">
        <v>2180</v>
      </c>
      <c r="AA62" s="106">
        <f t="shared" si="5"/>
        <v>0</v>
      </c>
      <c r="AB62" s="106">
        <v>2180</v>
      </c>
      <c r="AC62" s="106">
        <f t="shared" si="6"/>
        <v>0</v>
      </c>
      <c r="AD62" s="106">
        <v>2180</v>
      </c>
      <c r="AE62" s="107">
        <f t="shared" si="7"/>
        <v>-574</v>
      </c>
    </row>
    <row r="63" spans="14:31" ht="15.6" customHeight="1" x14ac:dyDescent="0.3">
      <c r="N63" s="212"/>
      <c r="O63" s="94" t="s">
        <v>67</v>
      </c>
      <c r="P63" s="108"/>
      <c r="Q63" s="108">
        <v>1922</v>
      </c>
      <c r="R63" s="108">
        <v>117</v>
      </c>
      <c r="S63" s="108">
        <f t="shared" si="1"/>
        <v>33</v>
      </c>
      <c r="T63" s="108">
        <v>183</v>
      </c>
      <c r="U63" s="108">
        <f t="shared" si="2"/>
        <v>131</v>
      </c>
      <c r="V63" s="108">
        <v>445</v>
      </c>
      <c r="W63" s="108">
        <f t="shared" si="3"/>
        <v>198.5</v>
      </c>
      <c r="X63" s="108">
        <v>842</v>
      </c>
      <c r="Y63" s="108">
        <f t="shared" si="4"/>
        <v>212.5</v>
      </c>
      <c r="Z63" s="108">
        <v>1267</v>
      </c>
      <c r="AA63" s="108">
        <f t="shared" si="5"/>
        <v>0</v>
      </c>
      <c r="AB63" s="108">
        <v>1267</v>
      </c>
      <c r="AC63" s="108">
        <f t="shared" si="6"/>
        <v>0</v>
      </c>
      <c r="AD63" s="108">
        <v>1267</v>
      </c>
      <c r="AE63" s="109">
        <f t="shared" si="7"/>
        <v>-655</v>
      </c>
    </row>
    <row r="64" spans="14:31" ht="15.6" customHeight="1" thickBot="1" x14ac:dyDescent="0.35">
      <c r="N64" s="213"/>
      <c r="O64" s="99" t="s">
        <v>68</v>
      </c>
      <c r="P64" s="114"/>
      <c r="Q64" s="114">
        <v>2502</v>
      </c>
      <c r="R64" s="114">
        <v>871</v>
      </c>
      <c r="S64" s="114">
        <f t="shared" si="1"/>
        <v>153.5</v>
      </c>
      <c r="T64" s="114">
        <v>1178</v>
      </c>
      <c r="U64" s="114">
        <f t="shared" si="2"/>
        <v>84.5</v>
      </c>
      <c r="V64" s="114">
        <v>1347</v>
      </c>
      <c r="W64" s="114">
        <f t="shared" si="3"/>
        <v>107</v>
      </c>
      <c r="X64" s="114">
        <v>1561</v>
      </c>
      <c r="Y64" s="114">
        <f t="shared" si="4"/>
        <v>0</v>
      </c>
      <c r="Z64" s="114">
        <v>1561</v>
      </c>
      <c r="AA64" s="114">
        <f t="shared" si="5"/>
        <v>0</v>
      </c>
      <c r="AB64" s="114">
        <v>1561</v>
      </c>
      <c r="AC64" s="114">
        <f t="shared" si="6"/>
        <v>0</v>
      </c>
      <c r="AD64" s="114">
        <v>1561</v>
      </c>
      <c r="AE64" s="115">
        <f t="shared" si="7"/>
        <v>-941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75" priority="11" operator="lessThan">
      <formula>0</formula>
    </cfRule>
    <cfRule type="cellIs" dxfId="1174" priority="12" operator="greaterThan">
      <formula>0</formula>
    </cfRule>
  </conditionalFormatting>
  <conditionalFormatting sqref="R25:AC25">
    <cfRule type="cellIs" dxfId="1173" priority="9" operator="lessThan">
      <formula>0</formula>
    </cfRule>
    <cfRule type="cellIs" dxfId="1172" priority="10" operator="greaterThan">
      <formula>0</formula>
    </cfRule>
  </conditionalFormatting>
  <conditionalFormatting sqref="R26 T26 V26 X26 Z26 AB26">
    <cfRule type="cellIs" dxfId="1171" priority="7" operator="lessThan">
      <formula>0</formula>
    </cfRule>
    <cfRule type="cellIs" dxfId="1170" priority="8" operator="greaterThan">
      <formula>0</formula>
    </cfRule>
  </conditionalFormatting>
  <conditionalFormatting sqref="AD24:AE24">
    <cfRule type="cellIs" dxfId="1169" priority="5" operator="lessThan">
      <formula>0</formula>
    </cfRule>
    <cfRule type="cellIs" dxfId="1168" priority="6" operator="greaterThan">
      <formula>0</formula>
    </cfRule>
  </conditionalFormatting>
  <conditionalFormatting sqref="AD25:AE25">
    <cfRule type="cellIs" dxfId="1167" priority="3" operator="lessThan">
      <formula>0</formula>
    </cfRule>
    <cfRule type="cellIs" dxfId="1166" priority="4" operator="greaterThan">
      <formula>0</formula>
    </cfRule>
  </conditionalFormatting>
  <conditionalFormatting sqref="AD26">
    <cfRule type="cellIs" dxfId="1165" priority="1" operator="lessThan">
      <formula>0</formula>
    </cfRule>
    <cfRule type="cellIs" dxfId="116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>
    <tabColor theme="1"/>
    <pageSetUpPr fitToPage="1"/>
  </sheetPr>
  <dimension ref="B1:AQ64"/>
  <sheetViews>
    <sheetView topLeftCell="E1"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1.44140625" style="1" customWidth="1"/>
    <col min="16" max="16" width="13.88671875" style="1" bestFit="1" customWidth="1"/>
    <col min="17" max="17" width="14.44140625" style="1" customWidth="1"/>
    <col min="18" max="18" width="16" style="1" bestFit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44421</v>
      </c>
    </row>
    <row r="3" spans="2:42" ht="18.75" customHeight="1" thickBot="1" x14ac:dyDescent="0.35">
      <c r="B3" t="s">
        <v>1</v>
      </c>
      <c r="C3" s="3">
        <f>C2+1</f>
        <v>44422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20294</v>
      </c>
      <c r="G6" s="117">
        <v>16995.705000000002</v>
      </c>
      <c r="H6" s="117">
        <v>13926.125696839999</v>
      </c>
      <c r="I6" s="19">
        <f>G6+H6</f>
        <v>30921.830696839999</v>
      </c>
      <c r="J6" s="119"/>
      <c r="K6" s="117"/>
      <c r="L6" s="117"/>
      <c r="M6" s="19">
        <f>K6+L6</f>
        <v>0</v>
      </c>
      <c r="N6" s="85">
        <v>68</v>
      </c>
      <c r="O6" s="85">
        <v>50</v>
      </c>
      <c r="P6" s="92"/>
      <c r="Q6" s="20">
        <f>J6-P6</f>
        <v>0</v>
      </c>
      <c r="R6" s="21">
        <v>2565</v>
      </c>
      <c r="S6" s="20">
        <f>IF(R6&gt;0,(R6-R7-$Q6),"")</f>
        <v>2316</v>
      </c>
      <c r="T6" s="21">
        <v>5889</v>
      </c>
      <c r="U6" s="20">
        <f>IF(T6&gt;0,(T6-T7-$Q6),"")</f>
        <v>5327</v>
      </c>
      <c r="V6" s="21">
        <v>8607</v>
      </c>
      <c r="W6" s="20">
        <f>IF(V6&gt;0,(V6-V7-$Q6),"")</f>
        <v>8020</v>
      </c>
      <c r="X6" s="21">
        <v>14479</v>
      </c>
      <c r="Y6" s="20">
        <f>IF(X6&gt;0,(X6-X7-$Q6),"")</f>
        <v>13760</v>
      </c>
      <c r="Z6" s="21">
        <v>18576</v>
      </c>
      <c r="AA6" s="20">
        <f>IF(Z6&gt;0,(Z6-Z7-$Q6),"")</f>
        <v>17710</v>
      </c>
      <c r="AB6" s="21">
        <v>18569</v>
      </c>
      <c r="AC6" s="22">
        <f>IF(AB6&gt;0,(AB6-AB7-$Q6),"")</f>
        <v>17703</v>
      </c>
      <c r="AD6" s="21">
        <v>18569</v>
      </c>
      <c r="AE6" s="22">
        <f>IF(AD6&gt;0,(AD6-AD7-$Q6),"")</f>
        <v>17703</v>
      </c>
    </row>
    <row r="7" spans="2:42" x14ac:dyDescent="0.3">
      <c r="B7" s="16" t="s">
        <v>23</v>
      </c>
      <c r="C7" s="17">
        <v>381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249</v>
      </c>
      <c r="S7" s="24"/>
      <c r="T7" s="25">
        <v>562</v>
      </c>
      <c r="U7" s="24"/>
      <c r="V7" s="25">
        <v>587</v>
      </c>
      <c r="W7" s="24"/>
      <c r="X7" s="25">
        <v>719</v>
      </c>
      <c r="Y7" s="24"/>
      <c r="Z7" s="25">
        <v>866</v>
      </c>
      <c r="AA7" s="24"/>
      <c r="AB7" s="25">
        <v>866</v>
      </c>
      <c r="AC7" s="26"/>
      <c r="AD7" s="25">
        <v>866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3025</v>
      </c>
      <c r="E8" s="29" t="s">
        <v>27</v>
      </c>
      <c r="F8" s="119">
        <v>9029</v>
      </c>
      <c r="G8" s="117">
        <v>3723.4369999999999</v>
      </c>
      <c r="H8" s="117">
        <v>1106.6799564999999</v>
      </c>
      <c r="I8" s="19">
        <f>G8+H8</f>
        <v>4830.1169565</v>
      </c>
      <c r="J8" s="119"/>
      <c r="K8" s="117"/>
      <c r="L8" s="117"/>
      <c r="M8" s="19">
        <f>K8+L8</f>
        <v>0</v>
      </c>
      <c r="N8" s="87">
        <v>29</v>
      </c>
      <c r="O8" s="87">
        <v>24</v>
      </c>
      <c r="P8" s="92"/>
      <c r="Q8" s="20">
        <f>J8-P8</f>
        <v>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6132</v>
      </c>
      <c r="W8" s="20">
        <f>IF(V8&gt;0,(V8-V9-$Q8),"")</f>
        <v>6132</v>
      </c>
      <c r="X8" s="21">
        <v>9248</v>
      </c>
      <c r="Y8" s="20">
        <f>IF(X8&gt;0,(X8-X9-$Q8),"")</f>
        <v>9248</v>
      </c>
      <c r="Z8" s="21">
        <v>9248</v>
      </c>
      <c r="AA8" s="20">
        <f>IF(Z8&gt;0,(Z8-Z9-$Q8),"")</f>
        <v>9248</v>
      </c>
      <c r="AB8" s="21">
        <v>9248</v>
      </c>
      <c r="AC8" s="22">
        <f>IF(AB8&gt;0,(AB8-AB9-$Q8),"")</f>
        <v>9248</v>
      </c>
      <c r="AD8" s="21">
        <v>9248</v>
      </c>
      <c r="AE8" s="22">
        <f>IF(AD8&gt;0,(AD8-AD9-$Q8),"")</f>
        <v>9248</v>
      </c>
    </row>
    <row r="9" spans="2:42" x14ac:dyDescent="0.3">
      <c r="B9" s="28" t="s">
        <v>28</v>
      </c>
      <c r="C9" s="17">
        <v>1561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4286</v>
      </c>
      <c r="E10" s="18" t="s">
        <v>31</v>
      </c>
      <c r="F10" s="119">
        <v>11812</v>
      </c>
      <c r="G10" s="117">
        <v>9228.2344999999968</v>
      </c>
      <c r="H10" s="117">
        <v>1874.0907625</v>
      </c>
      <c r="I10" s="19">
        <f>G10+H10</f>
        <v>11102.325262499997</v>
      </c>
      <c r="J10" s="119"/>
      <c r="K10" s="117"/>
      <c r="L10" s="117"/>
      <c r="M10" s="19">
        <f>K10+L10</f>
        <v>0</v>
      </c>
      <c r="N10" s="88">
        <v>44</v>
      </c>
      <c r="O10" s="88">
        <v>36</v>
      </c>
      <c r="P10" s="92"/>
      <c r="Q10" s="20">
        <f>J10-P10</f>
        <v>0</v>
      </c>
      <c r="R10" s="21">
        <v>3022</v>
      </c>
      <c r="S10" s="20">
        <f>IF(R10&gt;0,(R10-R11-$Q10),"")</f>
        <v>2073</v>
      </c>
      <c r="T10" s="21">
        <v>4467</v>
      </c>
      <c r="U10" s="20">
        <f>IF(T10&gt;0,(T10-T11-$Q10),"")</f>
        <v>3159</v>
      </c>
      <c r="V10" s="21">
        <v>6600</v>
      </c>
      <c r="W10" s="20">
        <f>IF(V10&gt;0,(V10-V11-$Q10),"")</f>
        <v>4733</v>
      </c>
      <c r="X10" s="21">
        <v>9264</v>
      </c>
      <c r="Y10" s="20">
        <f>IF(X10&gt;0,(X10-X11-$Q10),"")</f>
        <v>6916</v>
      </c>
      <c r="Z10" s="21">
        <v>9742</v>
      </c>
      <c r="AA10" s="20">
        <f>IF(Z10&gt;0,(Z10-Z11-$Q10),"")</f>
        <v>7253</v>
      </c>
      <c r="AB10" s="21">
        <v>9742</v>
      </c>
      <c r="AC10" s="22">
        <f>IF(AB10&gt;0,(AB10-AB11-$Q10),"")</f>
        <v>7253</v>
      </c>
      <c r="AD10" s="21">
        <v>9742</v>
      </c>
      <c r="AE10" s="22">
        <f>IF(AD10&gt;0,(AD10-AD11-$Q10),"")</f>
        <v>7253</v>
      </c>
    </row>
    <row r="11" spans="2:42" x14ac:dyDescent="0.3">
      <c r="B11" s="16" t="s">
        <v>32</v>
      </c>
      <c r="C11" s="17">
        <v>2151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949</v>
      </c>
      <c r="S11" s="24"/>
      <c r="T11" s="30">
        <v>1308</v>
      </c>
      <c r="U11" s="24"/>
      <c r="V11" s="30">
        <v>1867</v>
      </c>
      <c r="W11" s="24"/>
      <c r="X11" s="30">
        <v>2348</v>
      </c>
      <c r="Y11" s="24"/>
      <c r="Z11" s="30">
        <v>2489</v>
      </c>
      <c r="AA11" s="24"/>
      <c r="AB11" s="30">
        <v>2489</v>
      </c>
      <c r="AC11" s="26"/>
      <c r="AD11" s="30">
        <v>2489</v>
      </c>
      <c r="AE11" s="26"/>
    </row>
    <row r="12" spans="2:42" x14ac:dyDescent="0.3">
      <c r="B12" s="16" t="s">
        <v>34</v>
      </c>
      <c r="C12" s="17">
        <v>1700</v>
      </c>
      <c r="E12" s="29" t="s">
        <v>35</v>
      </c>
      <c r="F12" s="119">
        <v>15137</v>
      </c>
      <c r="G12" s="117">
        <v>12502.368749999991</v>
      </c>
      <c r="H12" s="117">
        <v>17239.231877549999</v>
      </c>
      <c r="I12" s="19">
        <f>G12+H12</f>
        <v>29741.600627549989</v>
      </c>
      <c r="J12" s="119"/>
      <c r="K12" s="117"/>
      <c r="L12" s="117"/>
      <c r="M12" s="19">
        <f>K12+L12</f>
        <v>0</v>
      </c>
      <c r="N12" s="88">
        <v>56</v>
      </c>
      <c r="O12" s="88">
        <v>44</v>
      </c>
      <c r="P12" s="92"/>
      <c r="Q12" s="20">
        <f>J12-P12</f>
        <v>0</v>
      </c>
      <c r="R12" s="21">
        <v>2998</v>
      </c>
      <c r="S12" s="20">
        <f>IF(R12&gt;0,(R12-R13-$Q12),"")</f>
        <v>1991</v>
      </c>
      <c r="T12" s="21">
        <v>4203</v>
      </c>
      <c r="U12" s="20">
        <f>IF(T12&gt;0,(T12-T13-$Q12),"")</f>
        <v>3132</v>
      </c>
      <c r="V12" s="21">
        <v>7255</v>
      </c>
      <c r="W12" s="20">
        <f>IF(V12&gt;0,(V12-V13-$Q12),"")</f>
        <v>5097</v>
      </c>
      <c r="X12" s="21">
        <v>11508</v>
      </c>
      <c r="Y12" s="20">
        <f>IF(X12&gt;0,(X12-X13-$Q12),"")</f>
        <v>9092</v>
      </c>
      <c r="Z12" s="21">
        <v>13651</v>
      </c>
      <c r="AA12" s="20">
        <f>IF(Z12&gt;0,(Z12-Z13-$Q12),"")</f>
        <v>11175</v>
      </c>
      <c r="AB12" s="21">
        <v>13651</v>
      </c>
      <c r="AC12" s="22">
        <f>IF(AB12&gt;0,(AB12-AB13-$Q12),"")</f>
        <v>11175</v>
      </c>
      <c r="AD12" s="21">
        <v>13651</v>
      </c>
      <c r="AE12" s="22">
        <f>IF(AD12&gt;0,(AD12-AD13-$Q12),"")</f>
        <v>11175</v>
      </c>
    </row>
    <row r="13" spans="2:42" x14ac:dyDescent="0.3">
      <c r="B13" s="16" t="s">
        <v>36</v>
      </c>
      <c r="C13" s="17">
        <v>4652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1007</v>
      </c>
      <c r="S13" s="24"/>
      <c r="T13" s="30">
        <v>1071</v>
      </c>
      <c r="U13" s="24"/>
      <c r="V13" s="30">
        <v>2158</v>
      </c>
      <c r="W13" s="24"/>
      <c r="X13" s="30">
        <v>2416</v>
      </c>
      <c r="Y13" s="24"/>
      <c r="Z13" s="30">
        <v>2476</v>
      </c>
      <c r="AA13" s="24"/>
      <c r="AB13" s="30">
        <v>2476</v>
      </c>
      <c r="AC13" s="26"/>
      <c r="AD13" s="30">
        <v>2476</v>
      </c>
      <c r="AE13" s="26"/>
    </row>
    <row r="14" spans="2:42" x14ac:dyDescent="0.3">
      <c r="B14" s="16" t="s">
        <v>38</v>
      </c>
      <c r="C14" s="17"/>
      <c r="E14" s="18" t="s">
        <v>39</v>
      </c>
      <c r="F14" s="119">
        <v>19894</v>
      </c>
      <c r="G14" s="117">
        <v>18689.1875</v>
      </c>
      <c r="H14" s="117">
        <v>21981.894709820001</v>
      </c>
      <c r="I14" s="19">
        <f>G14+H14</f>
        <v>40671.082209820001</v>
      </c>
      <c r="J14" s="119"/>
      <c r="K14" s="117"/>
      <c r="L14" s="117"/>
      <c r="M14" s="19">
        <f>K14+L14</f>
        <v>0</v>
      </c>
      <c r="N14" s="88">
        <v>58</v>
      </c>
      <c r="O14" s="88">
        <v>49</v>
      </c>
      <c r="P14" s="92"/>
      <c r="Q14" s="20">
        <f>J14-P14</f>
        <v>0</v>
      </c>
      <c r="R14" s="21">
        <v>4162</v>
      </c>
      <c r="S14" s="20">
        <f>IF(R14&gt;0,(R14-R15-$Q14),"")</f>
        <v>557</v>
      </c>
      <c r="T14" s="21">
        <v>8448</v>
      </c>
      <c r="U14" s="20">
        <f>IF(T14&gt;0,(T14-T15-$Q14),"")</f>
        <v>1317</v>
      </c>
      <c r="V14" s="21">
        <v>10502</v>
      </c>
      <c r="W14" s="20">
        <f>IF(V14&gt;0,(V14-V15-$Q14),"")</f>
        <v>2074</v>
      </c>
      <c r="X14" s="21">
        <v>13188</v>
      </c>
      <c r="Y14" s="20">
        <f>IF(X14&gt;0,(X14-X15-$Q14),"")</f>
        <v>2451</v>
      </c>
      <c r="Z14" s="21">
        <v>15684</v>
      </c>
      <c r="AA14" s="20">
        <f>IF(Z14&gt;0,(Z14-Z15-$Q14),"")</f>
        <v>4688</v>
      </c>
      <c r="AB14" s="21">
        <v>15684</v>
      </c>
      <c r="AC14" s="22">
        <f>IF(AB14&gt;0,(AB14-AB15-$Q14),"")</f>
        <v>4688</v>
      </c>
      <c r="AD14" s="21">
        <v>15684</v>
      </c>
      <c r="AE14" s="22">
        <f>IF(AD14&gt;0,(AD14-AD15-$Q14),"")</f>
        <v>4688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3605</v>
      </c>
      <c r="S15" s="24"/>
      <c r="T15" s="25">
        <v>7131</v>
      </c>
      <c r="U15" s="24"/>
      <c r="V15" s="25">
        <v>8428</v>
      </c>
      <c r="W15" s="24"/>
      <c r="X15" s="25">
        <v>10737</v>
      </c>
      <c r="Y15" s="24"/>
      <c r="Z15" s="25">
        <v>10996</v>
      </c>
      <c r="AA15" s="24"/>
      <c r="AB15" s="25">
        <v>10996</v>
      </c>
      <c r="AC15" s="26"/>
      <c r="AD15" s="25">
        <v>10996</v>
      </c>
      <c r="AE15" s="26"/>
    </row>
    <row r="16" spans="2:42" ht="15" customHeight="1" thickBot="1" x14ac:dyDescent="0.35">
      <c r="B16" s="28" t="s">
        <v>42</v>
      </c>
      <c r="C16" s="17"/>
      <c r="E16" s="84"/>
      <c r="F16" s="31">
        <f t="shared" ref="F16:M16" si="0">SUM(F6:F15)</f>
        <v>76166</v>
      </c>
      <c r="G16" s="31">
        <f t="shared" si="0"/>
        <v>61138.932749999993</v>
      </c>
      <c r="H16" s="31">
        <f t="shared" si="0"/>
        <v>56128.023003209993</v>
      </c>
      <c r="I16" s="32">
        <f t="shared" si="0"/>
        <v>117266.95575320999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255</v>
      </c>
      <c r="O16" s="31">
        <f>SUM(O14,O12,O10,O8,O6)</f>
        <v>203</v>
      </c>
      <c r="P16" s="34">
        <f>SUM(P6:P15)</f>
        <v>0</v>
      </c>
      <c r="Q16" s="34">
        <f>SUM(Q6:Q15)</f>
        <v>0</v>
      </c>
      <c r="R16" s="35">
        <f>R6+R8+R10+R12+R14-R7-R9-R11-R13-R15</f>
        <v>6937</v>
      </c>
      <c r="S16" s="36">
        <f>IF(R16&gt;1,(R16-$Q16),"")</f>
        <v>6937</v>
      </c>
      <c r="T16" s="35">
        <f>T6+T8+T10+T12+T14-T7-T9-T11-T13-T15</f>
        <v>12935</v>
      </c>
      <c r="U16" s="36">
        <f>IF(T16&gt;1,(T16-$Q16),"")</f>
        <v>12935</v>
      </c>
      <c r="V16" s="35">
        <f>V6+V8+V10+V12+V14-V7-V9-V11-V13-V15</f>
        <v>26056</v>
      </c>
      <c r="W16" s="36">
        <f>IF(V16&gt;1,(V16-$Q16),"")</f>
        <v>26056</v>
      </c>
      <c r="X16" s="35">
        <f>X6+X8+X10+X12+X14-X7-X9-X11-X13-X15</f>
        <v>41467</v>
      </c>
      <c r="Y16" s="36">
        <f>IF(X16&gt;1,(X16-$Q16),"")</f>
        <v>41467</v>
      </c>
      <c r="Z16" s="35">
        <f>Z6+Z8+Z10+Z12+Z14-Z7-Z9-Z11-Z13-Z15</f>
        <v>50074</v>
      </c>
      <c r="AA16" s="36">
        <f>IF(Z16&gt;1,(Z16-$Q16),"")</f>
        <v>50074</v>
      </c>
      <c r="AB16" s="35">
        <f>AB6+AB8+AB10+AB12+AB14-AB7-AB9-AB11-AB13-AB15</f>
        <v>50067</v>
      </c>
      <c r="AC16" s="37">
        <f>IF(AB16&gt;1,(AB16-$Q16),"")</f>
        <v>50067</v>
      </c>
      <c r="AD16" s="35">
        <f>AD6+AD8+AD10+AD12+AD14-AD7-AD9-AD11-AD13-AD15</f>
        <v>50067</v>
      </c>
      <c r="AE16" s="37">
        <f>IF(AD16&gt;1,(AD16-$Q16),"")</f>
        <v>50067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5810</v>
      </c>
      <c r="S17" s="41"/>
      <c r="T17" s="40">
        <f>T15+T13+T11+T9+T7</f>
        <v>10072</v>
      </c>
      <c r="U17" s="41"/>
      <c r="V17" s="40">
        <f>V15+V13+V11+V9+V7</f>
        <v>13040</v>
      </c>
      <c r="W17" s="41"/>
      <c r="X17" s="40">
        <f>X15+X13+X11+X9+X7</f>
        <v>16220</v>
      </c>
      <c r="Y17" s="41"/>
      <c r="Z17" s="40">
        <f>Z15+Z13+Z11+Z9+Z7</f>
        <v>16827</v>
      </c>
      <c r="AA17" s="41"/>
      <c r="AB17" s="40">
        <f>AB15+AB13+AB11+AB9+AB7</f>
        <v>16827</v>
      </c>
      <c r="AC17" s="42"/>
      <c r="AD17" s="40">
        <f>AD15+AD13+AD11+AD9+AD7</f>
        <v>16827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3468.5</v>
      </c>
      <c r="S18" s="46"/>
      <c r="T18" s="47">
        <f>IF(T16&gt;0,(T16-R16)/2,"")</f>
        <v>2999</v>
      </c>
      <c r="U18" s="46"/>
      <c r="V18" s="47">
        <f>IF(V16&gt;0,(V16-T16)/2,"")</f>
        <v>6560.5</v>
      </c>
      <c r="W18" s="46"/>
      <c r="X18" s="47">
        <f>IF(X16&gt;0,(X16-V16)/2,"")</f>
        <v>7705.5</v>
      </c>
      <c r="Y18" s="46"/>
      <c r="Z18" s="47">
        <f>IF(Z16&gt;0,(Z16-X16)/2,"")</f>
        <v>4303.5</v>
      </c>
      <c r="AA18" s="46"/>
      <c r="AB18" s="47">
        <f>IF(AB16&gt;0,(AB16-Z16)/2,"")</f>
        <v>-3.5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/>
      <c r="L20" s="4"/>
      <c r="M20" s="4"/>
      <c r="Q20" s="51" t="s">
        <v>49</v>
      </c>
      <c r="R20" s="35">
        <v>5351</v>
      </c>
      <c r="S20" s="36">
        <v>-87358</v>
      </c>
      <c r="T20" s="35">
        <v>16173</v>
      </c>
      <c r="U20" s="36">
        <v>-76536</v>
      </c>
      <c r="V20" s="35">
        <v>27872</v>
      </c>
      <c r="W20" s="36">
        <v>-64837</v>
      </c>
      <c r="X20" s="35">
        <v>43425</v>
      </c>
      <c r="Y20" s="36">
        <v>-49284</v>
      </c>
      <c r="Z20" s="35">
        <v>57987</v>
      </c>
      <c r="AA20" s="36">
        <v>-34722</v>
      </c>
      <c r="AB20" s="35">
        <v>62391</v>
      </c>
      <c r="AC20" s="37">
        <v>-30318</v>
      </c>
      <c r="AD20" s="35">
        <v>62391</v>
      </c>
      <c r="AE20" s="37">
        <v>-30318</v>
      </c>
    </row>
    <row r="21" spans="2:43" ht="15" customHeight="1" thickBot="1" x14ac:dyDescent="0.35">
      <c r="B21" s="57" t="s">
        <v>52</v>
      </c>
      <c r="C21" s="58"/>
      <c r="M21" s="4"/>
      <c r="Q21" s="52"/>
      <c r="R21" s="40">
        <v>3877</v>
      </c>
      <c r="S21" s="41"/>
      <c r="T21" s="40">
        <v>8059</v>
      </c>
      <c r="U21" s="41"/>
      <c r="V21" s="40">
        <v>11278</v>
      </c>
      <c r="W21" s="41"/>
      <c r="X21" s="40">
        <v>13117</v>
      </c>
      <c r="Y21" s="41"/>
      <c r="Z21" s="40">
        <v>15028</v>
      </c>
      <c r="AA21" s="41"/>
      <c r="AB21" s="40">
        <v>15007</v>
      </c>
      <c r="AC21" s="42"/>
      <c r="AD21" s="40">
        <v>15007</v>
      </c>
      <c r="AE21" s="42"/>
    </row>
    <row r="22" spans="2:43" ht="15" customHeight="1" thickBot="1" x14ac:dyDescent="0.35">
      <c r="M22" s="4"/>
      <c r="Q22" s="54"/>
      <c r="R22" s="55">
        <v>2675.5</v>
      </c>
      <c r="S22" s="55"/>
      <c r="T22" s="55">
        <v>5411</v>
      </c>
      <c r="U22" s="55"/>
      <c r="V22" s="55">
        <v>5849.5</v>
      </c>
      <c r="W22" s="55"/>
      <c r="X22" s="55">
        <v>7776.5</v>
      </c>
      <c r="Y22" s="55"/>
      <c r="Z22" s="55">
        <v>7281</v>
      </c>
      <c r="AA22" s="55"/>
      <c r="AB22" s="55">
        <v>2202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1586</v>
      </c>
      <c r="S24" s="60"/>
      <c r="T24" s="60">
        <f>IF(T16&gt;0,T16-T20,"")</f>
        <v>-3238</v>
      </c>
      <c r="U24" s="60"/>
      <c r="V24" s="60">
        <f>IF(V16&gt;0,V16-V20,"")</f>
        <v>-1816</v>
      </c>
      <c r="W24" s="60"/>
      <c r="X24" s="60">
        <f>IF(X16&gt;0,X16-X20,"")</f>
        <v>-1958</v>
      </c>
      <c r="Y24" s="60"/>
      <c r="Z24" s="60">
        <f>IF(Z16&gt;0,Z16-Z20,"")</f>
        <v>-7913</v>
      </c>
      <c r="AA24" s="60"/>
      <c r="AB24" s="60">
        <f>IF(AB16&gt;0,AB16-AB20,"")</f>
        <v>-12324</v>
      </c>
      <c r="AC24" s="61"/>
      <c r="AD24" s="60">
        <f>IF(AD16&gt;0,AD16-AD20,"")</f>
        <v>-12324</v>
      </c>
      <c r="AE24" s="61"/>
    </row>
    <row r="25" spans="2:43" x14ac:dyDescent="0.3">
      <c r="M25" s="4"/>
      <c r="Q25" s="62"/>
      <c r="R25" s="63">
        <f>IF(R17&gt;=0,R17-R21,"")</f>
        <v>1933</v>
      </c>
      <c r="S25" s="64"/>
      <c r="T25" s="63">
        <f>IF(T17&gt;=0,T17-T21,"")</f>
        <v>2013</v>
      </c>
      <c r="U25" s="64"/>
      <c r="V25" s="63">
        <f>IF(V17&gt;=0,V17-V21,"")</f>
        <v>1762</v>
      </c>
      <c r="W25" s="64"/>
      <c r="X25" s="63">
        <f>IF(X17&gt;=0,X17-X21,"")</f>
        <v>3103</v>
      </c>
      <c r="Y25" s="64"/>
      <c r="Z25" s="63">
        <f>IF(Z17&gt;=0,Z17-Z21,"")</f>
        <v>1799</v>
      </c>
      <c r="AA25" s="64"/>
      <c r="AB25" s="63">
        <f>IF(AB17&gt;=0,AB17-AB21,"")</f>
        <v>1820</v>
      </c>
      <c r="AC25" s="65"/>
      <c r="AD25" s="63">
        <f>IF(AD17&gt;=0,AD17-AD21,"")</f>
        <v>1820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793</v>
      </c>
      <c r="S26" s="55"/>
      <c r="T26" s="67">
        <f>IFERROR(IF(T18&gt;0,T18-T22,""),"")</f>
        <v>-2412</v>
      </c>
      <c r="U26" s="55"/>
      <c r="V26" s="67">
        <f>IFERROR(IF(V18&gt;0,V18-V22,""),"")</f>
        <v>711</v>
      </c>
      <c r="W26" s="55"/>
      <c r="X26" s="67">
        <f>IFERROR(IF(X18&gt;0,X18-X22,""),"")</f>
        <v>-71</v>
      </c>
      <c r="Y26" s="55"/>
      <c r="Z26" s="67">
        <f>IFERROR(IF(Z18&gt;0,Z18-Z22,""),"")</f>
        <v>-2977.5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11293</v>
      </c>
      <c r="D29" s="76">
        <f>C14</f>
        <v>0</v>
      </c>
      <c r="E29" s="77">
        <f>D29-C29</f>
        <v>-11293</v>
      </c>
      <c r="O29" s="4"/>
    </row>
    <row r="30" spans="2:43" x14ac:dyDescent="0.3">
      <c r="B30" s="74" t="s">
        <v>56</v>
      </c>
      <c r="C30" s="122">
        <v>28846</v>
      </c>
      <c r="D30" s="76">
        <f>C7+C15+C16+C17+C18</f>
        <v>381</v>
      </c>
      <c r="E30" s="77">
        <f>D30-C30</f>
        <v>-28465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12789</v>
      </c>
      <c r="D32" s="76">
        <f>C10+C11+C12+C13</f>
        <v>12789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11977</v>
      </c>
      <c r="D33" s="76">
        <f>C19+C20+C21</f>
        <v>0</v>
      </c>
      <c r="E33" s="77">
        <f>D33-C33</f>
        <v>-11977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4586</v>
      </c>
      <c r="D34" s="80">
        <f>SUM(C8+C9)</f>
        <v>4586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1066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535</v>
      </c>
      <c r="X35" s="104">
        <v>1070</v>
      </c>
      <c r="Y35" s="104">
        <f t="shared" ref="Y35:Y64" si="4">IF(Z35&gt;0,(Z35-X35)/2,"")</f>
        <v>0</v>
      </c>
      <c r="Z35" s="104">
        <v>1070</v>
      </c>
      <c r="AA35" s="104">
        <f t="shared" ref="AA35:AA64" si="5">IF(AB35&gt;0,(AB35-Z35)/2,"")</f>
        <v>0</v>
      </c>
      <c r="AB35" s="104">
        <v>1070</v>
      </c>
      <c r="AC35" s="104">
        <f t="shared" ref="AC35:AC64" si="6">IF(AD35&gt;0,(AD35-AB35)/2,"")</f>
        <v>0</v>
      </c>
      <c r="AD35" s="104">
        <v>1070</v>
      </c>
      <c r="AE35" s="105">
        <f t="shared" ref="AE35:AE64" si="7">AD35-Q35</f>
        <v>4</v>
      </c>
    </row>
    <row r="36" spans="2:31" ht="15.6" customHeight="1" x14ac:dyDescent="0.3">
      <c r="N36" s="212"/>
      <c r="O36" s="95" t="s">
        <v>66</v>
      </c>
      <c r="P36" s="106"/>
      <c r="Q36" s="106">
        <v>1165</v>
      </c>
      <c r="R36" s="106">
        <v>0</v>
      </c>
      <c r="S36" s="106">
        <f t="shared" si="1"/>
        <v>308.5</v>
      </c>
      <c r="T36" s="106">
        <v>617</v>
      </c>
      <c r="U36" s="106">
        <f t="shared" si="2"/>
        <v>0</v>
      </c>
      <c r="V36" s="106">
        <v>617</v>
      </c>
      <c r="W36" s="106">
        <f t="shared" si="3"/>
        <v>274</v>
      </c>
      <c r="X36" s="106">
        <v>1165</v>
      </c>
      <c r="Y36" s="106">
        <f t="shared" si="4"/>
        <v>0</v>
      </c>
      <c r="Z36" s="106">
        <v>1165</v>
      </c>
      <c r="AA36" s="106">
        <f t="shared" si="5"/>
        <v>0</v>
      </c>
      <c r="AB36" s="106">
        <v>1165</v>
      </c>
      <c r="AC36" s="106">
        <f t="shared" si="6"/>
        <v>0</v>
      </c>
      <c r="AD36" s="106">
        <v>1165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3800</v>
      </c>
      <c r="R37" s="108">
        <v>420</v>
      </c>
      <c r="S37" s="108">
        <f t="shared" si="1"/>
        <v>180</v>
      </c>
      <c r="T37" s="108">
        <v>780</v>
      </c>
      <c r="U37" s="108">
        <f t="shared" si="2"/>
        <v>218</v>
      </c>
      <c r="V37" s="108">
        <v>1216</v>
      </c>
      <c r="W37" s="108">
        <f t="shared" si="3"/>
        <v>491</v>
      </c>
      <c r="X37" s="108">
        <v>2198</v>
      </c>
      <c r="Y37" s="108">
        <f t="shared" si="4"/>
        <v>817</v>
      </c>
      <c r="Z37" s="108">
        <v>3832</v>
      </c>
      <c r="AA37" s="108">
        <f t="shared" si="5"/>
        <v>0</v>
      </c>
      <c r="AB37" s="108">
        <v>3832</v>
      </c>
      <c r="AC37" s="108">
        <f t="shared" si="6"/>
        <v>0</v>
      </c>
      <c r="AD37" s="108">
        <v>3832</v>
      </c>
      <c r="AE37" s="109">
        <f t="shared" si="7"/>
        <v>32</v>
      </c>
    </row>
    <row r="38" spans="2:31" ht="15.6" customHeight="1" x14ac:dyDescent="0.3">
      <c r="N38" s="212"/>
      <c r="O38" s="95" t="s">
        <v>68</v>
      </c>
      <c r="P38" s="106"/>
      <c r="Q38" s="106">
        <v>3270</v>
      </c>
      <c r="R38" s="106">
        <v>755</v>
      </c>
      <c r="S38" s="106">
        <f t="shared" si="1"/>
        <v>255.5</v>
      </c>
      <c r="T38" s="106">
        <v>1266</v>
      </c>
      <c r="U38" s="106">
        <f t="shared" si="2"/>
        <v>224</v>
      </c>
      <c r="V38" s="106">
        <v>1714</v>
      </c>
      <c r="W38" s="106">
        <f t="shared" si="3"/>
        <v>424</v>
      </c>
      <c r="X38" s="106">
        <v>2562</v>
      </c>
      <c r="Y38" s="106">
        <f t="shared" si="4"/>
        <v>421</v>
      </c>
      <c r="Z38" s="106">
        <v>3404</v>
      </c>
      <c r="AA38" s="106">
        <f t="shared" si="5"/>
        <v>0</v>
      </c>
      <c r="AB38" s="106">
        <v>3404</v>
      </c>
      <c r="AC38" s="106">
        <f t="shared" si="6"/>
        <v>0</v>
      </c>
      <c r="AD38" s="106">
        <v>3404</v>
      </c>
      <c r="AE38" s="107">
        <f t="shared" si="7"/>
        <v>134</v>
      </c>
    </row>
    <row r="39" spans="2:31" ht="15.6" customHeight="1" x14ac:dyDescent="0.3">
      <c r="N39" s="212"/>
      <c r="O39" s="94" t="s">
        <v>69</v>
      </c>
      <c r="P39" s="108"/>
      <c r="Q39" s="108">
        <v>2134</v>
      </c>
      <c r="R39" s="108">
        <v>0</v>
      </c>
      <c r="S39" s="108">
        <f t="shared" si="1"/>
        <v>629</v>
      </c>
      <c r="T39" s="108">
        <v>1258</v>
      </c>
      <c r="U39" s="108">
        <f t="shared" si="2"/>
        <v>201</v>
      </c>
      <c r="V39" s="108">
        <v>1660</v>
      </c>
      <c r="W39" s="108">
        <f t="shared" si="3"/>
        <v>210.5</v>
      </c>
      <c r="X39" s="108">
        <v>2081</v>
      </c>
      <c r="Y39" s="108">
        <f t="shared" si="4"/>
        <v>0</v>
      </c>
      <c r="Z39" s="108">
        <v>2081</v>
      </c>
      <c r="AA39" s="108">
        <f t="shared" si="5"/>
        <v>0</v>
      </c>
      <c r="AB39" s="108">
        <v>2081</v>
      </c>
      <c r="AC39" s="108">
        <f t="shared" si="6"/>
        <v>0</v>
      </c>
      <c r="AD39" s="108">
        <v>2081</v>
      </c>
      <c r="AE39" s="109">
        <f t="shared" si="7"/>
        <v>-53</v>
      </c>
    </row>
    <row r="40" spans="2:31" ht="15.6" customHeight="1" x14ac:dyDescent="0.3">
      <c r="N40" s="212"/>
      <c r="O40" s="95" t="s">
        <v>70</v>
      </c>
      <c r="P40" s="106"/>
      <c r="Q40" s="106">
        <v>2536</v>
      </c>
      <c r="R40" s="106">
        <v>659</v>
      </c>
      <c r="S40" s="106">
        <f t="shared" si="1"/>
        <v>0</v>
      </c>
      <c r="T40" s="106">
        <v>659</v>
      </c>
      <c r="U40" s="106">
        <f t="shared" si="2"/>
        <v>355.5</v>
      </c>
      <c r="V40" s="106">
        <v>1370</v>
      </c>
      <c r="W40" s="106">
        <f t="shared" si="3"/>
        <v>436.5</v>
      </c>
      <c r="X40" s="106">
        <v>2243</v>
      </c>
      <c r="Y40" s="106">
        <f t="shared" si="4"/>
        <v>300.5</v>
      </c>
      <c r="Z40" s="106">
        <v>2844</v>
      </c>
      <c r="AA40" s="106">
        <f t="shared" si="5"/>
        <v>0</v>
      </c>
      <c r="AB40" s="106">
        <v>2844</v>
      </c>
      <c r="AC40" s="106">
        <f t="shared" si="6"/>
        <v>0</v>
      </c>
      <c r="AD40" s="106">
        <v>2844</v>
      </c>
      <c r="AE40" s="107">
        <f t="shared" si="7"/>
        <v>308</v>
      </c>
    </row>
    <row r="41" spans="2:31" ht="15.6" customHeight="1" x14ac:dyDescent="0.3">
      <c r="N41" s="212"/>
      <c r="O41" s="94" t="s">
        <v>71</v>
      </c>
      <c r="P41" s="108"/>
      <c r="Q41" s="108">
        <v>679</v>
      </c>
      <c r="R41" s="108">
        <v>291</v>
      </c>
      <c r="S41" s="108">
        <f t="shared" si="1"/>
        <v>147.5</v>
      </c>
      <c r="T41" s="108">
        <v>586</v>
      </c>
      <c r="U41" s="108">
        <f t="shared" si="2"/>
        <v>47</v>
      </c>
      <c r="V41" s="108">
        <v>680</v>
      </c>
      <c r="W41" s="108">
        <f t="shared" si="3"/>
        <v>0</v>
      </c>
      <c r="X41" s="108">
        <v>680</v>
      </c>
      <c r="Y41" s="108">
        <f t="shared" si="4"/>
        <v>0</v>
      </c>
      <c r="Z41" s="108">
        <v>680</v>
      </c>
      <c r="AA41" s="108">
        <f t="shared" si="5"/>
        <v>0</v>
      </c>
      <c r="AB41" s="108">
        <v>680</v>
      </c>
      <c r="AC41" s="108">
        <f t="shared" si="6"/>
        <v>0</v>
      </c>
      <c r="AD41" s="108">
        <v>680</v>
      </c>
      <c r="AE41" s="109">
        <f t="shared" si="7"/>
        <v>1</v>
      </c>
    </row>
    <row r="42" spans="2:31" ht="15.6" customHeight="1" x14ac:dyDescent="0.3">
      <c r="N42" s="212"/>
      <c r="O42" s="95" t="s">
        <v>72</v>
      </c>
      <c r="P42" s="106"/>
      <c r="Q42" s="106">
        <v>1677</v>
      </c>
      <c r="R42" s="106">
        <v>59</v>
      </c>
      <c r="S42" s="106">
        <f t="shared" si="1"/>
        <v>141.5</v>
      </c>
      <c r="T42" s="106">
        <v>342</v>
      </c>
      <c r="U42" s="106">
        <f t="shared" si="2"/>
        <v>18</v>
      </c>
      <c r="V42" s="106">
        <v>378</v>
      </c>
      <c r="W42" s="106">
        <f t="shared" si="3"/>
        <v>324.5</v>
      </c>
      <c r="X42" s="106">
        <v>1027</v>
      </c>
      <c r="Y42" s="106">
        <f t="shared" si="4"/>
        <v>88.5</v>
      </c>
      <c r="Z42" s="106">
        <v>1204</v>
      </c>
      <c r="AA42" s="106">
        <f t="shared" si="5"/>
        <v>0</v>
      </c>
      <c r="AB42" s="106">
        <v>1204</v>
      </c>
      <c r="AC42" s="106">
        <f t="shared" si="6"/>
        <v>0</v>
      </c>
      <c r="AD42" s="106">
        <v>1204</v>
      </c>
      <c r="AE42" s="107">
        <f t="shared" si="7"/>
        <v>-473</v>
      </c>
    </row>
    <row r="43" spans="2:31" ht="15.6" customHeight="1" thickBot="1" x14ac:dyDescent="0.35">
      <c r="N43" s="213"/>
      <c r="O43" s="97" t="s">
        <v>73</v>
      </c>
      <c r="P43" s="110"/>
      <c r="Q43" s="110">
        <v>1817</v>
      </c>
      <c r="R43" s="110">
        <v>381</v>
      </c>
      <c r="S43" s="110">
        <f t="shared" si="1"/>
        <v>0</v>
      </c>
      <c r="T43" s="110">
        <v>381</v>
      </c>
      <c r="U43" s="110">
        <f t="shared" si="2"/>
        <v>295.5</v>
      </c>
      <c r="V43" s="110">
        <v>972</v>
      </c>
      <c r="W43" s="110">
        <f t="shared" si="3"/>
        <v>210.5</v>
      </c>
      <c r="X43" s="110">
        <v>1393</v>
      </c>
      <c r="Y43" s="110">
        <f t="shared" si="4"/>
        <v>212</v>
      </c>
      <c r="Z43" s="110">
        <v>1817</v>
      </c>
      <c r="AA43" s="110">
        <f t="shared" si="5"/>
        <v>0</v>
      </c>
      <c r="AB43" s="110">
        <v>1817</v>
      </c>
      <c r="AC43" s="110">
        <f t="shared" si="6"/>
        <v>0</v>
      </c>
      <c r="AD43" s="110">
        <v>1817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2479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793</v>
      </c>
      <c r="V44" s="112">
        <v>1586</v>
      </c>
      <c r="W44" s="112">
        <f t="shared" si="3"/>
        <v>446.5</v>
      </c>
      <c r="X44" s="112">
        <v>2479</v>
      </c>
      <c r="Y44" s="112">
        <f t="shared" si="4"/>
        <v>0</v>
      </c>
      <c r="Z44" s="112">
        <v>2479</v>
      </c>
      <c r="AA44" s="112">
        <f t="shared" si="5"/>
        <v>0</v>
      </c>
      <c r="AB44" s="112">
        <v>2479</v>
      </c>
      <c r="AC44" s="112">
        <f t="shared" si="6"/>
        <v>0</v>
      </c>
      <c r="AD44" s="112">
        <v>2479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2002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1001</v>
      </c>
      <c r="X45" s="108">
        <v>2002</v>
      </c>
      <c r="Y45" s="108">
        <f t="shared" si="4"/>
        <v>0</v>
      </c>
      <c r="Z45" s="108">
        <v>2002</v>
      </c>
      <c r="AA45" s="108">
        <f t="shared" si="5"/>
        <v>0</v>
      </c>
      <c r="AB45" s="108">
        <v>2002</v>
      </c>
      <c r="AC45" s="108">
        <f t="shared" si="6"/>
        <v>0</v>
      </c>
      <c r="AD45" s="108">
        <v>2002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2252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1015.5</v>
      </c>
      <c r="V46" s="106">
        <v>2031</v>
      </c>
      <c r="W46" s="106">
        <f t="shared" si="3"/>
        <v>110.5</v>
      </c>
      <c r="X46" s="106">
        <v>2252</v>
      </c>
      <c r="Y46" s="106">
        <f t="shared" si="4"/>
        <v>0</v>
      </c>
      <c r="Z46" s="106">
        <v>2252</v>
      </c>
      <c r="AA46" s="106">
        <f t="shared" si="5"/>
        <v>0</v>
      </c>
      <c r="AB46" s="106">
        <v>2252</v>
      </c>
      <c r="AC46" s="106">
        <f t="shared" si="6"/>
        <v>0</v>
      </c>
      <c r="AD46" s="106">
        <v>2252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2515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1257.5</v>
      </c>
      <c r="V47" s="110">
        <v>2515</v>
      </c>
      <c r="W47" s="110">
        <f t="shared" si="3"/>
        <v>0</v>
      </c>
      <c r="X47" s="110">
        <v>2515</v>
      </c>
      <c r="Y47" s="110">
        <f t="shared" si="4"/>
        <v>0</v>
      </c>
      <c r="Z47" s="110">
        <v>2515</v>
      </c>
      <c r="AA47" s="110">
        <f t="shared" si="5"/>
        <v>0</v>
      </c>
      <c r="AB47" s="110">
        <v>2515</v>
      </c>
      <c r="AC47" s="110">
        <f t="shared" si="6"/>
        <v>0</v>
      </c>
      <c r="AD47" s="110">
        <v>2515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353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94</v>
      </c>
      <c r="V48" s="112">
        <v>188</v>
      </c>
      <c r="W48" s="112">
        <f t="shared" si="3"/>
        <v>74</v>
      </c>
      <c r="X48" s="112">
        <v>336</v>
      </c>
      <c r="Y48" s="112">
        <f t="shared" si="4"/>
        <v>0</v>
      </c>
      <c r="Z48" s="112">
        <v>336</v>
      </c>
      <c r="AA48" s="112">
        <f t="shared" si="5"/>
        <v>0</v>
      </c>
      <c r="AB48" s="112">
        <v>336</v>
      </c>
      <c r="AC48" s="112">
        <f t="shared" si="6"/>
        <v>0</v>
      </c>
      <c r="AD48" s="112">
        <v>336</v>
      </c>
      <c r="AE48" s="113">
        <f t="shared" si="7"/>
        <v>-17</v>
      </c>
    </row>
    <row r="49" spans="14:31" ht="15.6" customHeight="1" x14ac:dyDescent="0.3">
      <c r="N49" s="212"/>
      <c r="O49" s="94" t="s">
        <v>66</v>
      </c>
      <c r="P49" s="108"/>
      <c r="Q49" s="108">
        <v>279</v>
      </c>
      <c r="R49" s="108">
        <v>0</v>
      </c>
      <c r="S49" s="108" t="str">
        <f t="shared" si="1"/>
        <v/>
      </c>
      <c r="T49" s="108">
        <v>0</v>
      </c>
      <c r="U49" s="108" t="str">
        <f t="shared" si="2"/>
        <v/>
      </c>
      <c r="V49" s="108">
        <v>0</v>
      </c>
      <c r="W49" s="108">
        <f t="shared" si="3"/>
        <v>138.5</v>
      </c>
      <c r="X49" s="108">
        <v>277</v>
      </c>
      <c r="Y49" s="108">
        <f t="shared" si="4"/>
        <v>0</v>
      </c>
      <c r="Z49" s="108">
        <v>277</v>
      </c>
      <c r="AA49" s="108">
        <f t="shared" si="5"/>
        <v>0</v>
      </c>
      <c r="AB49" s="108">
        <v>277</v>
      </c>
      <c r="AC49" s="108">
        <f t="shared" si="6"/>
        <v>0</v>
      </c>
      <c r="AD49" s="108">
        <v>277</v>
      </c>
      <c r="AE49" s="109">
        <f t="shared" si="7"/>
        <v>-2</v>
      </c>
    </row>
    <row r="50" spans="14:31" ht="15.6" customHeight="1" x14ac:dyDescent="0.3">
      <c r="N50" s="212"/>
      <c r="O50" s="95" t="s">
        <v>67</v>
      </c>
      <c r="P50" s="106"/>
      <c r="Q50" s="106">
        <v>1630</v>
      </c>
      <c r="R50" s="106">
        <v>415</v>
      </c>
      <c r="S50" s="106">
        <f t="shared" si="1"/>
        <v>133</v>
      </c>
      <c r="T50" s="106">
        <v>681</v>
      </c>
      <c r="U50" s="106">
        <f t="shared" si="2"/>
        <v>49</v>
      </c>
      <c r="V50" s="106">
        <v>779</v>
      </c>
      <c r="W50" s="106">
        <f t="shared" si="3"/>
        <v>-40</v>
      </c>
      <c r="X50" s="106">
        <v>699</v>
      </c>
      <c r="Y50" s="106">
        <f t="shared" si="4"/>
        <v>42</v>
      </c>
      <c r="Z50" s="106">
        <v>783</v>
      </c>
      <c r="AA50" s="106">
        <f t="shared" si="5"/>
        <v>0</v>
      </c>
      <c r="AB50" s="106">
        <v>783</v>
      </c>
      <c r="AC50" s="106">
        <f t="shared" si="6"/>
        <v>0</v>
      </c>
      <c r="AD50" s="106">
        <v>783</v>
      </c>
      <c r="AE50" s="107">
        <f t="shared" si="7"/>
        <v>-847</v>
      </c>
    </row>
    <row r="51" spans="14:31" ht="15.6" customHeight="1" x14ac:dyDescent="0.3">
      <c r="N51" s="212"/>
      <c r="O51" s="94" t="s">
        <v>68</v>
      </c>
      <c r="P51" s="108"/>
      <c r="Q51" s="108">
        <v>1562</v>
      </c>
      <c r="R51" s="108">
        <v>435</v>
      </c>
      <c r="S51" s="108">
        <f t="shared" si="1"/>
        <v>428</v>
      </c>
      <c r="T51" s="108">
        <v>1291</v>
      </c>
      <c r="U51" s="108">
        <f t="shared" si="2"/>
        <v>36</v>
      </c>
      <c r="V51" s="108">
        <v>1363</v>
      </c>
      <c r="W51" s="108">
        <f t="shared" si="3"/>
        <v>146.5</v>
      </c>
      <c r="X51" s="108">
        <v>1656</v>
      </c>
      <c r="Y51" s="108">
        <f t="shared" si="4"/>
        <v>0</v>
      </c>
      <c r="Z51" s="108">
        <v>1656</v>
      </c>
      <c r="AA51" s="108">
        <f t="shared" si="5"/>
        <v>0</v>
      </c>
      <c r="AB51" s="108">
        <v>1656</v>
      </c>
      <c r="AC51" s="108">
        <f t="shared" si="6"/>
        <v>0</v>
      </c>
      <c r="AD51" s="108">
        <v>1656</v>
      </c>
      <c r="AE51" s="109">
        <f t="shared" si="7"/>
        <v>94</v>
      </c>
    </row>
    <row r="52" spans="14:31" ht="15.6" customHeight="1" x14ac:dyDescent="0.3">
      <c r="N52" s="212"/>
      <c r="O52" s="95" t="s">
        <v>69</v>
      </c>
      <c r="P52" s="106"/>
      <c r="Q52" s="106">
        <v>1939</v>
      </c>
      <c r="R52" s="106">
        <v>460</v>
      </c>
      <c r="S52" s="106">
        <f t="shared" si="1"/>
        <v>0</v>
      </c>
      <c r="T52" s="106">
        <v>460</v>
      </c>
      <c r="U52" s="106">
        <f t="shared" si="2"/>
        <v>461.5</v>
      </c>
      <c r="V52" s="106">
        <v>1383</v>
      </c>
      <c r="W52" s="106">
        <f t="shared" si="3"/>
        <v>219.5</v>
      </c>
      <c r="X52" s="106">
        <v>1822</v>
      </c>
      <c r="Y52" s="106">
        <f t="shared" si="4"/>
        <v>0</v>
      </c>
      <c r="Z52" s="106">
        <v>1822</v>
      </c>
      <c r="AA52" s="106">
        <f t="shared" si="5"/>
        <v>0</v>
      </c>
      <c r="AB52" s="106">
        <v>1822</v>
      </c>
      <c r="AC52" s="106">
        <f t="shared" si="6"/>
        <v>0</v>
      </c>
      <c r="AD52" s="106">
        <v>1822</v>
      </c>
      <c r="AE52" s="107">
        <f t="shared" si="7"/>
        <v>-117</v>
      </c>
    </row>
    <row r="53" spans="14:31" ht="15.6" customHeight="1" x14ac:dyDescent="0.3">
      <c r="N53" s="212"/>
      <c r="O53" s="94" t="s">
        <v>70</v>
      </c>
      <c r="P53" s="108"/>
      <c r="Q53" s="108">
        <v>1443</v>
      </c>
      <c r="R53" s="108">
        <v>712</v>
      </c>
      <c r="S53" s="108">
        <f t="shared" si="1"/>
        <v>106</v>
      </c>
      <c r="T53" s="108">
        <v>924</v>
      </c>
      <c r="U53" s="108">
        <f t="shared" si="2"/>
        <v>21.5</v>
      </c>
      <c r="V53" s="108">
        <v>967</v>
      </c>
      <c r="W53" s="108">
        <f t="shared" si="3"/>
        <v>75.5</v>
      </c>
      <c r="X53" s="108">
        <v>1118</v>
      </c>
      <c r="Y53" s="108">
        <f t="shared" si="4"/>
        <v>0</v>
      </c>
      <c r="Z53" s="108">
        <v>1118</v>
      </c>
      <c r="AA53" s="108">
        <f t="shared" si="5"/>
        <v>0</v>
      </c>
      <c r="AB53" s="108">
        <v>1118</v>
      </c>
      <c r="AC53" s="108">
        <f t="shared" si="6"/>
        <v>0</v>
      </c>
      <c r="AD53" s="108">
        <v>1118</v>
      </c>
      <c r="AE53" s="109">
        <f t="shared" si="7"/>
        <v>-325</v>
      </c>
    </row>
    <row r="54" spans="14:31" ht="15.6" customHeight="1" x14ac:dyDescent="0.3">
      <c r="N54" s="212"/>
      <c r="O54" s="95" t="s">
        <v>71</v>
      </c>
      <c r="P54" s="106"/>
      <c r="Q54" s="106">
        <v>3080</v>
      </c>
      <c r="R54" s="106">
        <v>1000</v>
      </c>
      <c r="S54" s="106">
        <f t="shared" si="1"/>
        <v>0</v>
      </c>
      <c r="T54" s="106">
        <v>1000</v>
      </c>
      <c r="U54" s="106">
        <f t="shared" si="2"/>
        <v>262</v>
      </c>
      <c r="V54" s="106">
        <v>1524</v>
      </c>
      <c r="W54" s="106">
        <f t="shared" si="3"/>
        <v>689.5</v>
      </c>
      <c r="X54" s="106">
        <v>2903</v>
      </c>
      <c r="Y54" s="106">
        <f t="shared" si="4"/>
        <v>97</v>
      </c>
      <c r="Z54" s="106">
        <v>3097</v>
      </c>
      <c r="AA54" s="106">
        <f t="shared" si="5"/>
        <v>0</v>
      </c>
      <c r="AB54" s="106">
        <v>3097</v>
      </c>
      <c r="AC54" s="106">
        <f t="shared" si="6"/>
        <v>0</v>
      </c>
      <c r="AD54" s="106">
        <v>3097</v>
      </c>
      <c r="AE54" s="107">
        <f t="shared" si="7"/>
        <v>17</v>
      </c>
    </row>
    <row r="55" spans="14:31" ht="15.6" customHeight="1" x14ac:dyDescent="0.3">
      <c r="N55" s="212"/>
      <c r="O55" s="94" t="s">
        <v>72</v>
      </c>
      <c r="P55" s="108"/>
      <c r="Q55" s="108">
        <v>154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>
        <f t="shared" si="4"/>
        <v>100</v>
      </c>
      <c r="Z55" s="108">
        <v>200</v>
      </c>
      <c r="AA55" s="108">
        <f t="shared" si="5"/>
        <v>0</v>
      </c>
      <c r="AB55" s="108">
        <v>200</v>
      </c>
      <c r="AC55" s="108">
        <f t="shared" si="6"/>
        <v>0</v>
      </c>
      <c r="AD55" s="108">
        <v>200</v>
      </c>
      <c r="AE55" s="109">
        <f t="shared" si="7"/>
        <v>46</v>
      </c>
    </row>
    <row r="56" spans="14:31" ht="15.6" customHeight="1" thickBot="1" x14ac:dyDescent="0.35">
      <c r="N56" s="213"/>
      <c r="O56" s="99" t="s">
        <v>73</v>
      </c>
      <c r="P56" s="114"/>
      <c r="Q56" s="114">
        <v>972</v>
      </c>
      <c r="R56" s="114">
        <v>0</v>
      </c>
      <c r="S56" s="114">
        <f t="shared" si="1"/>
        <v>55.5</v>
      </c>
      <c r="T56" s="114">
        <v>111</v>
      </c>
      <c r="U56" s="114">
        <f t="shared" si="2"/>
        <v>142.5</v>
      </c>
      <c r="V56" s="114">
        <v>396</v>
      </c>
      <c r="W56" s="114">
        <f t="shared" si="3"/>
        <v>28.5</v>
      </c>
      <c r="X56" s="114">
        <v>453</v>
      </c>
      <c r="Y56" s="114">
        <f t="shared" si="4"/>
        <v>0</v>
      </c>
      <c r="Z56" s="114">
        <v>453</v>
      </c>
      <c r="AA56" s="114">
        <f t="shared" si="5"/>
        <v>0</v>
      </c>
      <c r="AB56" s="114">
        <v>453</v>
      </c>
      <c r="AC56" s="114">
        <f t="shared" si="6"/>
        <v>0</v>
      </c>
      <c r="AD56" s="114">
        <v>453</v>
      </c>
      <c r="AE56" s="115">
        <f t="shared" si="7"/>
        <v>-519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2975</v>
      </c>
      <c r="R57" s="104">
        <v>600</v>
      </c>
      <c r="S57" s="104">
        <f t="shared" si="1"/>
        <v>96</v>
      </c>
      <c r="T57" s="104">
        <v>792</v>
      </c>
      <c r="U57" s="104">
        <f t="shared" si="2"/>
        <v>126</v>
      </c>
      <c r="V57" s="104">
        <v>1044</v>
      </c>
      <c r="W57" s="104">
        <f t="shared" si="3"/>
        <v>267.5</v>
      </c>
      <c r="X57" s="104">
        <v>1579</v>
      </c>
      <c r="Y57" s="104">
        <f t="shared" si="4"/>
        <v>133.5</v>
      </c>
      <c r="Z57" s="104">
        <v>1846</v>
      </c>
      <c r="AA57" s="104">
        <f t="shared" si="5"/>
        <v>0</v>
      </c>
      <c r="AB57" s="104">
        <v>1846</v>
      </c>
      <c r="AC57" s="104">
        <f t="shared" si="6"/>
        <v>0</v>
      </c>
      <c r="AD57" s="104">
        <v>1846</v>
      </c>
      <c r="AE57" s="105">
        <f t="shared" si="7"/>
        <v>-1129</v>
      </c>
    </row>
    <row r="58" spans="14:31" ht="15.6" customHeight="1" x14ac:dyDescent="0.3">
      <c r="N58" s="212"/>
      <c r="O58" s="95" t="s">
        <v>66</v>
      </c>
      <c r="P58" s="106"/>
      <c r="Q58" s="106">
        <v>3640</v>
      </c>
      <c r="R58" s="106">
        <v>815</v>
      </c>
      <c r="S58" s="106">
        <f t="shared" si="1"/>
        <v>32</v>
      </c>
      <c r="T58" s="106">
        <v>879</v>
      </c>
      <c r="U58" s="106">
        <f t="shared" si="2"/>
        <v>348.5</v>
      </c>
      <c r="V58" s="106">
        <v>1576</v>
      </c>
      <c r="W58" s="106">
        <f t="shared" si="3"/>
        <v>931.5</v>
      </c>
      <c r="X58" s="106">
        <v>3439</v>
      </c>
      <c r="Y58" s="106">
        <f t="shared" si="4"/>
        <v>86</v>
      </c>
      <c r="Z58" s="106">
        <v>3611</v>
      </c>
      <c r="AA58" s="106">
        <f t="shared" si="5"/>
        <v>0</v>
      </c>
      <c r="AB58" s="106">
        <v>3611</v>
      </c>
      <c r="AC58" s="106">
        <f t="shared" si="6"/>
        <v>0</v>
      </c>
      <c r="AD58" s="106">
        <v>3611</v>
      </c>
      <c r="AE58" s="107">
        <f t="shared" si="7"/>
        <v>-29</v>
      </c>
    </row>
    <row r="59" spans="14:31" ht="15.6" customHeight="1" x14ac:dyDescent="0.3">
      <c r="N59" s="212"/>
      <c r="O59" s="94" t="s">
        <v>67</v>
      </c>
      <c r="P59" s="108"/>
      <c r="Q59" s="108">
        <v>4177</v>
      </c>
      <c r="R59" s="108">
        <v>417</v>
      </c>
      <c r="S59" s="108">
        <f t="shared" si="1"/>
        <v>88</v>
      </c>
      <c r="T59" s="108">
        <v>593</v>
      </c>
      <c r="U59" s="108">
        <f t="shared" si="2"/>
        <v>593</v>
      </c>
      <c r="V59" s="108">
        <v>1779</v>
      </c>
      <c r="W59" s="108">
        <f t="shared" si="3"/>
        <v>272.5</v>
      </c>
      <c r="X59" s="108">
        <v>2324</v>
      </c>
      <c r="Y59" s="108">
        <f t="shared" si="4"/>
        <v>711</v>
      </c>
      <c r="Z59" s="108">
        <v>3746</v>
      </c>
      <c r="AA59" s="108">
        <f t="shared" si="5"/>
        <v>0</v>
      </c>
      <c r="AB59" s="108">
        <v>3746</v>
      </c>
      <c r="AC59" s="108">
        <f t="shared" si="6"/>
        <v>0</v>
      </c>
      <c r="AD59" s="108">
        <v>3746</v>
      </c>
      <c r="AE59" s="109">
        <f t="shared" si="7"/>
        <v>-431</v>
      </c>
    </row>
    <row r="60" spans="14:31" ht="15.6" customHeight="1" thickBot="1" x14ac:dyDescent="0.35">
      <c r="N60" s="213"/>
      <c r="O60" s="99" t="s">
        <v>68</v>
      </c>
      <c r="P60" s="114"/>
      <c r="Q60" s="114">
        <v>4129</v>
      </c>
      <c r="R60" s="114">
        <v>1166</v>
      </c>
      <c r="S60" s="114">
        <f t="shared" si="1"/>
        <v>386.5</v>
      </c>
      <c r="T60" s="114">
        <v>1939</v>
      </c>
      <c r="U60" s="114">
        <f t="shared" si="2"/>
        <v>458.5</v>
      </c>
      <c r="V60" s="114">
        <v>2856</v>
      </c>
      <c r="W60" s="114">
        <f t="shared" si="3"/>
        <v>655</v>
      </c>
      <c r="X60" s="114">
        <v>4166</v>
      </c>
      <c r="Y60" s="114">
        <f t="shared" si="4"/>
        <v>141</v>
      </c>
      <c r="Z60" s="114">
        <v>4448</v>
      </c>
      <c r="AA60" s="114">
        <f t="shared" si="5"/>
        <v>0</v>
      </c>
      <c r="AB60" s="114">
        <v>4448</v>
      </c>
      <c r="AC60" s="114">
        <f t="shared" si="6"/>
        <v>0</v>
      </c>
      <c r="AD60" s="114">
        <v>4448</v>
      </c>
      <c r="AE60" s="115">
        <f t="shared" si="7"/>
        <v>319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3967</v>
      </c>
      <c r="R61" s="104">
        <v>228</v>
      </c>
      <c r="S61" s="104">
        <f t="shared" si="1"/>
        <v>595</v>
      </c>
      <c r="T61" s="104">
        <v>1418</v>
      </c>
      <c r="U61" s="104">
        <f t="shared" si="2"/>
        <v>48</v>
      </c>
      <c r="V61" s="104">
        <v>1514</v>
      </c>
      <c r="W61" s="104">
        <f t="shared" si="3"/>
        <v>269</v>
      </c>
      <c r="X61" s="104">
        <v>2052</v>
      </c>
      <c r="Y61" s="104">
        <f t="shared" si="4"/>
        <v>353</v>
      </c>
      <c r="Z61" s="104">
        <v>2758</v>
      </c>
      <c r="AA61" s="104">
        <f t="shared" si="5"/>
        <v>0</v>
      </c>
      <c r="AB61" s="104">
        <v>2758</v>
      </c>
      <c r="AC61" s="104">
        <f t="shared" si="6"/>
        <v>0</v>
      </c>
      <c r="AD61" s="104">
        <v>2758</v>
      </c>
      <c r="AE61" s="105">
        <f t="shared" si="7"/>
        <v>-1209</v>
      </c>
    </row>
    <row r="62" spans="14:31" ht="15.6" customHeight="1" x14ac:dyDescent="0.3">
      <c r="N62" s="212"/>
      <c r="O62" s="95" t="s">
        <v>66</v>
      </c>
      <c r="P62" s="106"/>
      <c r="Q62" s="106">
        <v>2891</v>
      </c>
      <c r="R62" s="106">
        <v>130</v>
      </c>
      <c r="S62" s="106">
        <f t="shared" si="1"/>
        <v>90</v>
      </c>
      <c r="T62" s="106">
        <v>310</v>
      </c>
      <c r="U62" s="106">
        <f t="shared" si="2"/>
        <v>342</v>
      </c>
      <c r="V62" s="106">
        <v>994</v>
      </c>
      <c r="W62" s="106">
        <f t="shared" si="3"/>
        <v>330.5</v>
      </c>
      <c r="X62" s="106">
        <v>1655</v>
      </c>
      <c r="Y62" s="106">
        <f t="shared" si="4"/>
        <v>363</v>
      </c>
      <c r="Z62" s="106">
        <v>2381</v>
      </c>
      <c r="AA62" s="106">
        <f t="shared" si="5"/>
        <v>0</v>
      </c>
      <c r="AB62" s="106">
        <v>2381</v>
      </c>
      <c r="AC62" s="106">
        <f t="shared" si="6"/>
        <v>0</v>
      </c>
      <c r="AD62" s="106">
        <v>2381</v>
      </c>
      <c r="AE62" s="107">
        <f t="shared" si="7"/>
        <v>-510</v>
      </c>
    </row>
    <row r="63" spans="14:31" ht="15.6" customHeight="1" x14ac:dyDescent="0.3">
      <c r="N63" s="212"/>
      <c r="O63" s="94" t="s">
        <v>67</v>
      </c>
      <c r="P63" s="108"/>
      <c r="Q63" s="108">
        <v>1929</v>
      </c>
      <c r="R63" s="108">
        <v>316</v>
      </c>
      <c r="S63" s="108">
        <f t="shared" si="1"/>
        <v>394</v>
      </c>
      <c r="T63" s="108">
        <v>1104</v>
      </c>
      <c r="U63" s="108">
        <f t="shared" si="2"/>
        <v>177</v>
      </c>
      <c r="V63" s="108">
        <v>1458</v>
      </c>
      <c r="W63" s="108">
        <f t="shared" si="3"/>
        <v>44</v>
      </c>
      <c r="X63" s="108">
        <v>1546</v>
      </c>
      <c r="Y63" s="108">
        <f t="shared" si="4"/>
        <v>115.5</v>
      </c>
      <c r="Z63" s="108">
        <v>1777</v>
      </c>
      <c r="AA63" s="108">
        <f t="shared" si="5"/>
        <v>0</v>
      </c>
      <c r="AB63" s="108">
        <v>1777</v>
      </c>
      <c r="AC63" s="108">
        <f t="shared" si="6"/>
        <v>0</v>
      </c>
      <c r="AD63" s="108">
        <v>1777</v>
      </c>
      <c r="AE63" s="109">
        <f t="shared" si="7"/>
        <v>-152</v>
      </c>
    </row>
    <row r="64" spans="14:31" ht="15.6" customHeight="1" thickBot="1" x14ac:dyDescent="0.35">
      <c r="N64" s="213"/>
      <c r="O64" s="99" t="s">
        <v>68</v>
      </c>
      <c r="P64" s="114"/>
      <c r="Q64" s="114">
        <v>2589</v>
      </c>
      <c r="R64" s="114">
        <v>904</v>
      </c>
      <c r="S64" s="114">
        <f t="shared" si="1"/>
        <v>54</v>
      </c>
      <c r="T64" s="114">
        <v>1012</v>
      </c>
      <c r="U64" s="114">
        <f t="shared" si="2"/>
        <v>229</v>
      </c>
      <c r="V64" s="114">
        <v>1470</v>
      </c>
      <c r="W64" s="114">
        <f t="shared" si="3"/>
        <v>171</v>
      </c>
      <c r="X64" s="114">
        <v>1812</v>
      </c>
      <c r="Y64" s="114">
        <f t="shared" si="4"/>
        <v>165.5</v>
      </c>
      <c r="Z64" s="114">
        <v>2143</v>
      </c>
      <c r="AA64" s="114">
        <f t="shared" si="5"/>
        <v>0</v>
      </c>
      <c r="AB64" s="114">
        <v>2143</v>
      </c>
      <c r="AC64" s="114">
        <f t="shared" si="6"/>
        <v>0</v>
      </c>
      <c r="AD64" s="114">
        <v>2143</v>
      </c>
      <c r="AE64" s="115">
        <f t="shared" si="7"/>
        <v>-446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63" priority="11" operator="lessThan">
      <formula>0</formula>
    </cfRule>
    <cfRule type="cellIs" dxfId="1162" priority="12" operator="greaterThan">
      <formula>0</formula>
    </cfRule>
  </conditionalFormatting>
  <conditionalFormatting sqref="R25:AC25">
    <cfRule type="cellIs" dxfId="1161" priority="9" operator="lessThan">
      <formula>0</formula>
    </cfRule>
    <cfRule type="cellIs" dxfId="1160" priority="10" operator="greaterThan">
      <formula>0</formula>
    </cfRule>
  </conditionalFormatting>
  <conditionalFormatting sqref="R26 T26 V26 X26 Z26 AB26">
    <cfRule type="cellIs" dxfId="1159" priority="7" operator="lessThan">
      <formula>0</formula>
    </cfRule>
    <cfRule type="cellIs" dxfId="1158" priority="8" operator="greaterThan">
      <formula>0</formula>
    </cfRule>
  </conditionalFormatting>
  <conditionalFormatting sqref="AD24:AE24">
    <cfRule type="cellIs" dxfId="1157" priority="5" operator="lessThan">
      <formula>0</formula>
    </cfRule>
    <cfRule type="cellIs" dxfId="1156" priority="6" operator="greaterThan">
      <formula>0</formula>
    </cfRule>
  </conditionalFormatting>
  <conditionalFormatting sqref="AD25:AE25">
    <cfRule type="cellIs" dxfId="1155" priority="3" operator="lessThan">
      <formula>0</formula>
    </cfRule>
    <cfRule type="cellIs" dxfId="1154" priority="4" operator="greaterThan">
      <formula>0</formula>
    </cfRule>
  </conditionalFormatting>
  <conditionalFormatting sqref="AD26">
    <cfRule type="cellIs" dxfId="1153" priority="1" operator="lessThan">
      <formula>0</formula>
    </cfRule>
    <cfRule type="cellIs" dxfId="1152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>
    <tabColor theme="1"/>
    <pageSetUpPr fitToPage="1"/>
  </sheetPr>
  <dimension ref="B1:AQ64"/>
  <sheetViews>
    <sheetView zoomScale="85" zoomScaleNormal="7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44422</v>
      </c>
    </row>
    <row r="3" spans="2:42" ht="18.75" customHeight="1" thickBot="1" x14ac:dyDescent="0.35">
      <c r="B3" t="s">
        <v>1</v>
      </c>
      <c r="C3" s="3">
        <f>C2+1</f>
        <v>44423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18360</v>
      </c>
      <c r="G6" s="117">
        <v>15003.719625</v>
      </c>
      <c r="H6" s="117">
        <v>11535.18754592</v>
      </c>
      <c r="I6" s="19">
        <f>G6+H6</f>
        <v>26538.90717092</v>
      </c>
      <c r="J6" s="119">
        <v>18847</v>
      </c>
      <c r="K6" s="117">
        <v>15545.195874999999</v>
      </c>
      <c r="L6" s="117">
        <v>12191.724073120011</v>
      </c>
      <c r="M6" s="19">
        <f>K6+L6</f>
        <v>27736.919948120012</v>
      </c>
      <c r="N6" s="85">
        <v>88</v>
      </c>
      <c r="O6" s="85">
        <v>66</v>
      </c>
      <c r="P6" s="92"/>
      <c r="Q6" s="20">
        <f>J6-P6</f>
        <v>18847</v>
      </c>
      <c r="R6" s="21">
        <v>3865</v>
      </c>
      <c r="S6" s="20">
        <f>IF(R6&gt;0,(R6-R7-$Q6),"")</f>
        <v>-15035</v>
      </c>
      <c r="T6" s="21">
        <v>8041</v>
      </c>
      <c r="U6" s="20">
        <f>IF(T6&gt;0,(T6-T7-$Q6),"")</f>
        <v>-10910</v>
      </c>
      <c r="V6" s="21">
        <v>12956</v>
      </c>
      <c r="W6" s="20">
        <f>IF(V6&gt;0,(V6-V7-$Q6),"")</f>
        <v>-6372</v>
      </c>
      <c r="X6" s="21">
        <v>16733</v>
      </c>
      <c r="Y6" s="20">
        <f>IF(X6&gt;0,(X6-X7-$Q6),"")</f>
        <v>-2360</v>
      </c>
      <c r="Z6" s="21">
        <v>18590</v>
      </c>
      <c r="AA6" s="20">
        <f>IF(Z6&gt;0,(Z6-Z7-$Q6),"")</f>
        <v>-573</v>
      </c>
      <c r="AB6" s="21">
        <v>18590</v>
      </c>
      <c r="AC6" s="22">
        <f>IF(AB6&gt;0,(AB6-AB7-$Q6),"")</f>
        <v>-573</v>
      </c>
      <c r="AD6" s="21">
        <v>18590</v>
      </c>
      <c r="AE6" s="22">
        <f>IF(AD6&gt;0,(AD6-AD7-$Q6),"")</f>
        <v>-573</v>
      </c>
    </row>
    <row r="7" spans="2:42" x14ac:dyDescent="0.3">
      <c r="B7" s="16" t="s">
        <v>23</v>
      </c>
      <c r="C7" s="17">
        <v>2318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22</v>
      </c>
      <c r="P7" s="93" t="s">
        <v>24</v>
      </c>
      <c r="Q7" s="24"/>
      <c r="R7" s="25">
        <v>53</v>
      </c>
      <c r="S7" s="24"/>
      <c r="T7" s="25">
        <v>104</v>
      </c>
      <c r="U7" s="24"/>
      <c r="V7" s="25">
        <v>481</v>
      </c>
      <c r="W7" s="24"/>
      <c r="X7" s="25">
        <v>246</v>
      </c>
      <c r="Y7" s="24"/>
      <c r="Z7" s="25">
        <v>316</v>
      </c>
      <c r="AA7" s="24"/>
      <c r="AB7" s="25">
        <v>316</v>
      </c>
      <c r="AC7" s="26"/>
      <c r="AD7" s="25">
        <v>316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3369</v>
      </c>
      <c r="E8" s="29" t="s">
        <v>27</v>
      </c>
      <c r="F8" s="119">
        <v>11292</v>
      </c>
      <c r="G8" s="117">
        <v>4675.2879999999996</v>
      </c>
      <c r="H8" s="117">
        <v>1397.2607125</v>
      </c>
      <c r="I8" s="19">
        <f>G8+H8</f>
        <v>6072.5487125</v>
      </c>
      <c r="J8" s="119">
        <v>12078</v>
      </c>
      <c r="K8" s="117">
        <v>4977.7530000000006</v>
      </c>
      <c r="L8" s="117">
        <v>1536.348645</v>
      </c>
      <c r="M8" s="19">
        <f>K8+L8</f>
        <v>6514.1016450000006</v>
      </c>
      <c r="N8" s="87">
        <v>40</v>
      </c>
      <c r="O8" s="87">
        <v>27</v>
      </c>
      <c r="P8" s="92"/>
      <c r="Q8" s="20">
        <f>J8-P8</f>
        <v>12078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3879</v>
      </c>
      <c r="W8" s="20">
        <f>IF(V8&gt;0,(V8-V9-$Q8),"")</f>
        <v>-8199</v>
      </c>
      <c r="X8" s="21">
        <v>5496</v>
      </c>
      <c r="Y8" s="20">
        <f>IF(X8&gt;0,(X8-X9-$Q8),"")</f>
        <v>-6582</v>
      </c>
      <c r="Z8" s="21">
        <v>12078</v>
      </c>
      <c r="AA8" s="20">
        <f>IF(Z8&gt;0,(Z8-Z9-$Q8),"")</f>
        <v>0</v>
      </c>
      <c r="AB8" s="21">
        <v>12078</v>
      </c>
      <c r="AC8" s="22">
        <f>IF(AB8&gt;0,(AB8-AB9-$Q8),"")</f>
        <v>0</v>
      </c>
      <c r="AD8" s="21">
        <v>12078</v>
      </c>
      <c r="AE8" s="22">
        <f>IF(AD8&gt;0,(AD8-AD9-$Q8),"")</f>
        <v>0</v>
      </c>
    </row>
    <row r="9" spans="2:42" x14ac:dyDescent="0.3">
      <c r="B9" s="28" t="s">
        <v>28</v>
      </c>
      <c r="C9" s="17">
        <v>1460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4263</v>
      </c>
      <c r="E10" s="18" t="s">
        <v>31</v>
      </c>
      <c r="F10" s="119">
        <v>19708</v>
      </c>
      <c r="G10" s="117">
        <v>15416.1315</v>
      </c>
      <c r="H10" s="117">
        <v>1696.1225675000001</v>
      </c>
      <c r="I10" s="19">
        <f>G10+H10</f>
        <v>17112.254067499998</v>
      </c>
      <c r="J10" s="119">
        <v>22311</v>
      </c>
      <c r="K10" s="117">
        <v>17578.805499999999</v>
      </c>
      <c r="L10" s="117">
        <v>1688.3990249999999</v>
      </c>
      <c r="M10" s="19">
        <f>K10+L10</f>
        <v>19267.204524999997</v>
      </c>
      <c r="N10" s="88">
        <v>57</v>
      </c>
      <c r="O10" s="88">
        <v>46</v>
      </c>
      <c r="P10" s="92"/>
      <c r="Q10" s="20">
        <f>J10-P10</f>
        <v>22311</v>
      </c>
      <c r="R10" s="21">
        <v>5462</v>
      </c>
      <c r="S10" s="20">
        <f>IF(R10&gt;0,(R10-R11-$Q10),"")</f>
        <v>-17886</v>
      </c>
      <c r="T10" s="21">
        <v>8940</v>
      </c>
      <c r="U10" s="20">
        <f>IF(T10&gt;0,(T10-T11-$Q10),"")</f>
        <v>-15236</v>
      </c>
      <c r="V10" s="21">
        <v>10407</v>
      </c>
      <c r="W10" s="20">
        <f>IF(V10&gt;0,(V10-V11-$Q10),"")</f>
        <v>-13882</v>
      </c>
      <c r="X10" s="21">
        <v>11513</v>
      </c>
      <c r="Y10" s="20">
        <f>IF(X10&gt;0,(X10-X11-$Q10),"")</f>
        <v>-13170</v>
      </c>
      <c r="Z10" s="21">
        <v>14184</v>
      </c>
      <c r="AA10" s="20">
        <f>IF(Z10&gt;0,(Z10-Z11-$Q10),"")</f>
        <v>-10884</v>
      </c>
      <c r="AB10" s="21">
        <v>14184</v>
      </c>
      <c r="AC10" s="22">
        <f>IF(AB10&gt;0,(AB10-AB11-$Q10),"")</f>
        <v>-10884</v>
      </c>
      <c r="AD10" s="21">
        <v>14184</v>
      </c>
      <c r="AE10" s="22">
        <f>IF(AD10&gt;0,(AD10-AD11-$Q10),"")</f>
        <v>-10884</v>
      </c>
    </row>
    <row r="11" spans="2:42" x14ac:dyDescent="0.3">
      <c r="B11" s="16" t="s">
        <v>32</v>
      </c>
      <c r="C11" s="17">
        <v>2200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1037</v>
      </c>
      <c r="S11" s="24"/>
      <c r="T11" s="30">
        <v>1865</v>
      </c>
      <c r="U11" s="24"/>
      <c r="V11" s="30">
        <v>1978</v>
      </c>
      <c r="W11" s="24"/>
      <c r="X11" s="30">
        <v>2372</v>
      </c>
      <c r="Y11" s="24"/>
      <c r="Z11" s="30">
        <v>2757</v>
      </c>
      <c r="AA11" s="24"/>
      <c r="AB11" s="30">
        <v>2757</v>
      </c>
      <c r="AC11" s="26"/>
      <c r="AD11" s="30">
        <v>2757</v>
      </c>
      <c r="AE11" s="26"/>
    </row>
    <row r="12" spans="2:42" x14ac:dyDescent="0.3">
      <c r="B12" s="16" t="s">
        <v>34</v>
      </c>
      <c r="C12" s="17">
        <v>1539</v>
      </c>
      <c r="E12" s="29" t="s">
        <v>35</v>
      </c>
      <c r="F12" s="119">
        <v>12333</v>
      </c>
      <c r="G12" s="117">
        <v>9668.3234999999968</v>
      </c>
      <c r="H12" s="117">
        <v>16796.897614369998</v>
      </c>
      <c r="I12" s="19">
        <f>G12+H12</f>
        <v>26465.221114369997</v>
      </c>
      <c r="J12" s="119">
        <v>13540</v>
      </c>
      <c r="K12" s="117">
        <v>11268.221250000001</v>
      </c>
      <c r="L12" s="117">
        <v>17700.12601788999</v>
      </c>
      <c r="M12" s="19">
        <f>K12+L12</f>
        <v>28968.347267889993</v>
      </c>
      <c r="N12" s="88">
        <v>61</v>
      </c>
      <c r="O12" s="88">
        <v>52</v>
      </c>
      <c r="P12" s="92"/>
      <c r="Q12" s="20">
        <f>J12-P12</f>
        <v>13540</v>
      </c>
      <c r="R12" s="21">
        <v>3343</v>
      </c>
      <c r="S12" s="20">
        <f>IF(R12&gt;0,(R12-R13-$Q12),"")</f>
        <v>-11007</v>
      </c>
      <c r="T12" s="21">
        <v>4942</v>
      </c>
      <c r="U12" s="20">
        <f>IF(T12&gt;0,(T12-T13-$Q12),"")</f>
        <v>-10343</v>
      </c>
      <c r="V12" s="21">
        <v>8971</v>
      </c>
      <c r="W12" s="20">
        <f>IF(V12&gt;0,(V12-V13-$Q12),"")</f>
        <v>-7158</v>
      </c>
      <c r="X12" s="21">
        <v>12695</v>
      </c>
      <c r="Y12" s="20">
        <f>IF(X12&gt;0,(X12-X13-$Q12),"")</f>
        <v>-4045</v>
      </c>
      <c r="Z12" s="21">
        <v>12695</v>
      </c>
      <c r="AA12" s="20">
        <f>IF(Z12&gt;0,(Z12-Z13-$Q12),"")</f>
        <v>-4045</v>
      </c>
      <c r="AB12" s="21">
        <v>12695</v>
      </c>
      <c r="AC12" s="22">
        <f>IF(AB12&gt;0,(AB12-AB13-$Q12),"")</f>
        <v>-4045</v>
      </c>
      <c r="AD12" s="21">
        <v>12695</v>
      </c>
      <c r="AE12" s="22">
        <f>IF(AD12&gt;0,(AD12-AD13-$Q12),"")</f>
        <v>-4045</v>
      </c>
    </row>
    <row r="13" spans="2:42" x14ac:dyDescent="0.3">
      <c r="B13" s="16" t="s">
        <v>36</v>
      </c>
      <c r="C13" s="17">
        <v>4445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810</v>
      </c>
      <c r="S13" s="24"/>
      <c r="T13" s="30">
        <v>1745</v>
      </c>
      <c r="U13" s="24"/>
      <c r="V13" s="30">
        <v>2589</v>
      </c>
      <c r="W13" s="24"/>
      <c r="X13" s="30">
        <v>3200</v>
      </c>
      <c r="Y13" s="24"/>
      <c r="Z13" s="30">
        <v>3200</v>
      </c>
      <c r="AA13" s="24"/>
      <c r="AB13" s="30">
        <v>3200</v>
      </c>
      <c r="AC13" s="26"/>
      <c r="AD13" s="30">
        <v>3200</v>
      </c>
      <c r="AE13" s="26"/>
    </row>
    <row r="14" spans="2:42" x14ac:dyDescent="0.3">
      <c r="B14" s="16" t="s">
        <v>38</v>
      </c>
      <c r="C14" s="17">
        <v>8734</v>
      </c>
      <c r="E14" s="18" t="s">
        <v>39</v>
      </c>
      <c r="F14" s="119">
        <v>20049</v>
      </c>
      <c r="G14" s="117">
        <v>18624.0625</v>
      </c>
      <c r="H14" s="117">
        <v>22052.453551725019</v>
      </c>
      <c r="I14" s="19">
        <f>G14+H14</f>
        <v>40676.516051725019</v>
      </c>
      <c r="J14" s="119">
        <v>20049</v>
      </c>
      <c r="K14" s="117">
        <v>18624.0625</v>
      </c>
      <c r="L14" s="117">
        <v>21931.243151725001</v>
      </c>
      <c r="M14" s="19">
        <f>K14+L14</f>
        <v>40555.305651725001</v>
      </c>
      <c r="N14" s="88">
        <v>73</v>
      </c>
      <c r="O14" s="88">
        <v>61</v>
      </c>
      <c r="P14" s="92"/>
      <c r="Q14" s="20">
        <f>J14-P14</f>
        <v>20049</v>
      </c>
      <c r="R14" s="21">
        <v>4353</v>
      </c>
      <c r="S14" s="20">
        <f>IF(R14&gt;0,(R14-R15-$Q14),"")</f>
        <v>-19474</v>
      </c>
      <c r="T14" s="21">
        <v>7900</v>
      </c>
      <c r="U14" s="20">
        <f>IF(T14&gt;0,(T14-T15-$Q14),"")</f>
        <v>-19366</v>
      </c>
      <c r="V14" s="21">
        <v>11208</v>
      </c>
      <c r="W14" s="20">
        <f>IF(V14&gt;0,(V14-V15-$Q14),"")</f>
        <v>-18474</v>
      </c>
      <c r="X14" s="21">
        <v>14496</v>
      </c>
      <c r="Y14" s="20">
        <f>IF(X14&gt;0,(X14-X15-$Q14),"")</f>
        <v>-17266</v>
      </c>
      <c r="Z14" s="21">
        <v>16679</v>
      </c>
      <c r="AA14" s="20">
        <f>IF(Z14&gt;0,(Z14-Z15-$Q14),"")</f>
        <v>-15298</v>
      </c>
      <c r="AB14" s="21">
        <v>16679</v>
      </c>
      <c r="AC14" s="22">
        <f>IF(AB14&gt;0,(AB14-AB15-$Q14),"")</f>
        <v>-15298</v>
      </c>
      <c r="AD14" s="21">
        <v>16679</v>
      </c>
      <c r="AE14" s="22">
        <f>IF(AD14&gt;0,(AD14-AD15-$Q14),"")</f>
        <v>-15298</v>
      </c>
    </row>
    <row r="15" spans="2:42" ht="15" customHeight="1" thickBot="1" x14ac:dyDescent="0.35">
      <c r="B15" s="16" t="s">
        <v>40</v>
      </c>
      <c r="C15" s="17">
        <v>2815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3778</v>
      </c>
      <c r="S15" s="24"/>
      <c r="T15" s="25">
        <v>7217</v>
      </c>
      <c r="U15" s="24"/>
      <c r="V15" s="25">
        <v>9633</v>
      </c>
      <c r="W15" s="24"/>
      <c r="X15" s="25">
        <v>11713</v>
      </c>
      <c r="Y15" s="24"/>
      <c r="Z15" s="25">
        <v>11928</v>
      </c>
      <c r="AA15" s="24"/>
      <c r="AB15" s="25">
        <v>11928</v>
      </c>
      <c r="AC15" s="26"/>
      <c r="AD15" s="25">
        <v>11928</v>
      </c>
      <c r="AE15" s="26"/>
    </row>
    <row r="16" spans="2:42" ht="15" customHeight="1" thickBot="1" x14ac:dyDescent="0.35">
      <c r="B16" s="28" t="s">
        <v>42</v>
      </c>
      <c r="C16" s="17">
        <v>14183</v>
      </c>
      <c r="E16" s="84"/>
      <c r="F16" s="31">
        <f t="shared" ref="F16:M16" si="0">SUM(F6:F15)</f>
        <v>81742</v>
      </c>
      <c r="G16" s="31">
        <f t="shared" si="0"/>
        <v>63387.525125</v>
      </c>
      <c r="H16" s="31">
        <f t="shared" si="0"/>
        <v>53477.921992015021</v>
      </c>
      <c r="I16" s="32">
        <f t="shared" si="0"/>
        <v>116865.44711701502</v>
      </c>
      <c r="J16" s="33">
        <f t="shared" si="0"/>
        <v>86825</v>
      </c>
      <c r="K16" s="33">
        <f t="shared" si="0"/>
        <v>67994.038125000006</v>
      </c>
      <c r="L16" s="33">
        <f t="shared" si="0"/>
        <v>55047.840912735002</v>
      </c>
      <c r="M16" s="33">
        <f t="shared" si="0"/>
        <v>123041.87903773502</v>
      </c>
      <c r="N16" s="31">
        <f>SUM(N14,N12,N10,N8,N6)</f>
        <v>319</v>
      </c>
      <c r="O16" s="31">
        <f>SUM(O14,O12,O10,O8,O6)</f>
        <v>252</v>
      </c>
      <c r="P16" s="34">
        <f>SUM(P6:P15)</f>
        <v>0</v>
      </c>
      <c r="Q16" s="34">
        <f>SUM(Q6:Q15)</f>
        <v>86825</v>
      </c>
      <c r="R16" s="35">
        <f>R6+R8+R10+R12+R14-R7-R9-R11-R13-R15</f>
        <v>11345</v>
      </c>
      <c r="S16" s="36">
        <f>IF(R16&gt;1,(R16-$Q16),"")</f>
        <v>-75480</v>
      </c>
      <c r="T16" s="35">
        <f>T6+T8+T10+T12+T14-T7-T9-T11-T13-T15</f>
        <v>18892</v>
      </c>
      <c r="U16" s="36">
        <f>IF(T16&gt;1,(T16-$Q16),"")</f>
        <v>-67933</v>
      </c>
      <c r="V16" s="35">
        <f>V6+V8+V10+V12+V14-V7-V9-V11-V13-V15</f>
        <v>32740</v>
      </c>
      <c r="W16" s="36">
        <f>IF(V16&gt;1,(V16-$Q16),"")</f>
        <v>-54085</v>
      </c>
      <c r="X16" s="35">
        <f>X6+X8+X10+X12+X14-X7-X9-X11-X13-X15</f>
        <v>43402</v>
      </c>
      <c r="Y16" s="36">
        <f>IF(X16&gt;1,(X16-$Q16),"")</f>
        <v>-43423</v>
      </c>
      <c r="Z16" s="35">
        <f>Z6+Z8+Z10+Z12+Z14-Z7-Z9-Z11-Z13-Z15</f>
        <v>56025</v>
      </c>
      <c r="AA16" s="36">
        <f>IF(Z16&gt;1,(Z16-$Q16),"")</f>
        <v>-30800</v>
      </c>
      <c r="AB16" s="35">
        <f>AB6+AB8+AB10+AB12+AB14-AB7-AB9-AB11-AB13-AB15</f>
        <v>56025</v>
      </c>
      <c r="AC16" s="37">
        <f>IF(AB16&gt;1,(AB16-$Q16),"")</f>
        <v>-30800</v>
      </c>
      <c r="AD16" s="35">
        <f>AD6+AD8+AD10+AD12+AD14-AD7-AD9-AD11-AD13-AD15</f>
        <v>56025</v>
      </c>
      <c r="AE16" s="37">
        <f>IF(AD16&gt;1,(AD16-$Q16),"")</f>
        <v>-30800</v>
      </c>
    </row>
    <row r="17" spans="2:43" s="4" customFormat="1" ht="15" customHeight="1" thickBot="1" x14ac:dyDescent="0.35">
      <c r="B17" s="43" t="s">
        <v>47</v>
      </c>
      <c r="C17" s="17">
        <v>2116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67</v>
      </c>
      <c r="P17" s="38" t="s">
        <v>44</v>
      </c>
      <c r="Q17" s="39"/>
      <c r="R17" s="40">
        <f>R15+R13+R11+R9+R7</f>
        <v>5678</v>
      </c>
      <c r="S17" s="41"/>
      <c r="T17" s="40">
        <f>T15+T13+T11+T9+T7</f>
        <v>10931</v>
      </c>
      <c r="U17" s="41"/>
      <c r="V17" s="40">
        <f>V15+V13+V11+V9+V7</f>
        <v>14681</v>
      </c>
      <c r="W17" s="41"/>
      <c r="X17" s="40">
        <f>X15+X13+X11+X9+X7</f>
        <v>17531</v>
      </c>
      <c r="Y17" s="41"/>
      <c r="Z17" s="40">
        <f>Z15+Z13+Z11+Z9+Z7</f>
        <v>18201</v>
      </c>
      <c r="AA17" s="41"/>
      <c r="AB17" s="40">
        <f>AB15+AB13+AB11+AB9+AB7</f>
        <v>18201</v>
      </c>
      <c r="AC17" s="42"/>
      <c r="AD17" s="40">
        <f>AD15+AD13+AD11+AD9+AD7</f>
        <v>18201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532</v>
      </c>
      <c r="P18" s="45" t="s">
        <v>46</v>
      </c>
      <c r="Q18" s="46"/>
      <c r="R18" s="47">
        <f>IF(R16&gt;0,(R16)/2,"")</f>
        <v>5672.5</v>
      </c>
      <c r="S18" s="46"/>
      <c r="T18" s="47">
        <f>IF(T16&gt;0,(T16-R16)/2,"")</f>
        <v>3773.5</v>
      </c>
      <c r="U18" s="46"/>
      <c r="V18" s="47">
        <f>IF(V16&gt;0,(V16-T16)/2,"")</f>
        <v>6924</v>
      </c>
      <c r="W18" s="46"/>
      <c r="X18" s="47">
        <f>IF(X16&gt;0,(X16-V16)/2,"")</f>
        <v>5331</v>
      </c>
      <c r="Y18" s="46"/>
      <c r="Z18" s="47">
        <f>IF(Z16&gt;0,(Z16-X16)/2,"")</f>
        <v>6311.5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8975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2416</v>
      </c>
      <c r="L20" s="4"/>
      <c r="M20" s="4"/>
      <c r="Q20" s="51" t="s">
        <v>49</v>
      </c>
      <c r="R20" s="35">
        <v>6937</v>
      </c>
      <c r="S20" s="36">
        <v>6937</v>
      </c>
      <c r="T20" s="35">
        <v>12935</v>
      </c>
      <c r="U20" s="36">
        <v>12935</v>
      </c>
      <c r="V20" s="35">
        <v>26056</v>
      </c>
      <c r="W20" s="36">
        <v>26056</v>
      </c>
      <c r="X20" s="35">
        <v>41467</v>
      </c>
      <c r="Y20" s="36">
        <v>41467</v>
      </c>
      <c r="Z20" s="35">
        <v>50074</v>
      </c>
      <c r="AA20" s="36">
        <v>50074</v>
      </c>
      <c r="AB20" s="35">
        <v>50067</v>
      </c>
      <c r="AC20" s="37">
        <v>50067</v>
      </c>
      <c r="AD20" s="35">
        <v>50067</v>
      </c>
      <c r="AE20" s="37">
        <v>50067</v>
      </c>
    </row>
    <row r="21" spans="2:43" ht="15" customHeight="1" thickBot="1" x14ac:dyDescent="0.35">
      <c r="B21" s="57" t="s">
        <v>52</v>
      </c>
      <c r="C21" s="58">
        <v>4402</v>
      </c>
      <c r="M21" s="4"/>
      <c r="Q21" s="52"/>
      <c r="R21" s="40">
        <v>5810</v>
      </c>
      <c r="S21" s="41"/>
      <c r="T21" s="40">
        <v>10072</v>
      </c>
      <c r="U21" s="41"/>
      <c r="V21" s="40">
        <v>13040</v>
      </c>
      <c r="W21" s="41"/>
      <c r="X21" s="40">
        <v>16220</v>
      </c>
      <c r="Y21" s="41"/>
      <c r="Z21" s="40">
        <v>16827</v>
      </c>
      <c r="AA21" s="41"/>
      <c r="AB21" s="40">
        <v>16827</v>
      </c>
      <c r="AC21" s="42"/>
      <c r="AD21" s="40">
        <v>16827</v>
      </c>
      <c r="AE21" s="42"/>
    </row>
    <row r="22" spans="2:43" ht="15" customHeight="1" thickBot="1" x14ac:dyDescent="0.35">
      <c r="M22" s="4"/>
      <c r="Q22" s="54"/>
      <c r="R22" s="55">
        <v>3468.5</v>
      </c>
      <c r="S22" s="55"/>
      <c r="T22" s="55">
        <v>2999</v>
      </c>
      <c r="U22" s="55"/>
      <c r="V22" s="55">
        <v>6560.5</v>
      </c>
      <c r="W22" s="55"/>
      <c r="X22" s="55">
        <v>7705.5</v>
      </c>
      <c r="Y22" s="55"/>
      <c r="Z22" s="55">
        <v>4303.5</v>
      </c>
      <c r="AA22" s="55"/>
      <c r="AB22" s="55">
        <v>-3.5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4408</v>
      </c>
      <c r="S24" s="60"/>
      <c r="T24" s="60">
        <f>IF(T16&gt;0,T16-T20,"")</f>
        <v>5957</v>
      </c>
      <c r="U24" s="60"/>
      <c r="V24" s="60">
        <f>IF(V16&gt;0,V16-V20,"")</f>
        <v>6684</v>
      </c>
      <c r="W24" s="60"/>
      <c r="X24" s="60">
        <f>IF(X16&gt;0,X16-X20,"")</f>
        <v>1935</v>
      </c>
      <c r="Y24" s="60"/>
      <c r="Z24" s="60">
        <f>IF(Z16&gt;0,Z16-Z20,"")</f>
        <v>5951</v>
      </c>
      <c r="AA24" s="60"/>
      <c r="AB24" s="60">
        <f>IF(AB16&gt;0,AB16-AB20,"")</f>
        <v>5958</v>
      </c>
      <c r="AC24" s="61"/>
      <c r="AD24" s="60">
        <f>IF(AD16&gt;0,AD16-AD20,"")</f>
        <v>5958</v>
      </c>
      <c r="AE24" s="61"/>
    </row>
    <row r="25" spans="2:43" x14ac:dyDescent="0.3">
      <c r="M25" s="4"/>
      <c r="Q25" s="62"/>
      <c r="R25" s="63">
        <f>IF(R17&gt;=0,R17-R21,"")</f>
        <v>-132</v>
      </c>
      <c r="S25" s="64"/>
      <c r="T25" s="63">
        <f>IF(T17&gt;=0,T17-T21,"")</f>
        <v>859</v>
      </c>
      <c r="U25" s="64"/>
      <c r="V25" s="63">
        <f>IF(V17&gt;=0,V17-V21,"")</f>
        <v>1641</v>
      </c>
      <c r="W25" s="64"/>
      <c r="X25" s="63">
        <f>IF(X17&gt;=0,X17-X21,"")</f>
        <v>1311</v>
      </c>
      <c r="Y25" s="64"/>
      <c r="Z25" s="63">
        <f>IF(Z17&gt;=0,Z17-Z21,"")</f>
        <v>1374</v>
      </c>
      <c r="AA25" s="64"/>
      <c r="AB25" s="63">
        <f>IF(AB17&gt;=0,AB17-AB21,"")</f>
        <v>1374</v>
      </c>
      <c r="AC25" s="65"/>
      <c r="AD25" s="63">
        <f>IF(AD17&gt;=0,AD17-AD21,"")</f>
        <v>1374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2204</v>
      </c>
      <c r="S26" s="55"/>
      <c r="T26" s="67">
        <f>IFERROR(IF(T18&gt;0,T18-T22,""),"")</f>
        <v>774.5</v>
      </c>
      <c r="U26" s="55"/>
      <c r="V26" s="67">
        <f>IFERROR(IF(V18&gt;0,V18-V22,""),"")</f>
        <v>363.5</v>
      </c>
      <c r="W26" s="55"/>
      <c r="X26" s="67">
        <f>IFERROR(IF(X18&gt;0,X18-X22,""),"")</f>
        <v>-2374.5</v>
      </c>
      <c r="Y26" s="55"/>
      <c r="Z26" s="67">
        <f>IFERROR(IF(Z18&gt;0,Z18-Z22,""),"")</f>
        <v>2008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8213</v>
      </c>
      <c r="D29" s="76">
        <f>C14</f>
        <v>8734</v>
      </c>
      <c r="E29" s="77">
        <f>D29-C29</f>
        <v>521</v>
      </c>
      <c r="O29" s="4"/>
    </row>
    <row r="30" spans="2:43" x14ac:dyDescent="0.3">
      <c r="B30" s="74" t="s">
        <v>56</v>
      </c>
      <c r="C30" s="122">
        <v>34405</v>
      </c>
      <c r="D30" s="76">
        <f>C7+C15+C16+C17+C18</f>
        <v>21964</v>
      </c>
      <c r="E30" s="77">
        <f>D30-C30</f>
        <v>-12441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12447</v>
      </c>
      <c r="D32" s="76">
        <f>C10+C11+C12+C13</f>
        <v>12447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14832</v>
      </c>
      <c r="D33" s="76">
        <f>C19+C20+C21</f>
        <v>15793</v>
      </c>
      <c r="E33" s="77">
        <f>D33-C33</f>
        <v>961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4829</v>
      </c>
      <c r="D34" s="80">
        <f>SUM(C8+C9)</f>
        <v>4829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1071</v>
      </c>
      <c r="R35" s="104">
        <v>0</v>
      </c>
      <c r="S35" s="104">
        <f t="shared" ref="S35:S64" si="1">IF(T35&gt;0,(T35-R35)/2,"")</f>
        <v>260</v>
      </c>
      <c r="T35" s="104">
        <v>520</v>
      </c>
      <c r="U35" s="104">
        <f t="shared" ref="U35:U64" si="2">IF(V35&gt;0,(V35-T35)/2,"")</f>
        <v>275.5</v>
      </c>
      <c r="V35" s="104">
        <v>1071</v>
      </c>
      <c r="W35" s="104">
        <f t="shared" ref="W35:W64" si="3">IF(X35&gt;0,(X35-V35)/2,"")</f>
        <v>0</v>
      </c>
      <c r="X35" s="104">
        <v>1071</v>
      </c>
      <c r="Y35" s="104">
        <f t="shared" ref="Y35:Y64" si="4">IF(Z35&gt;0,(Z35-X35)/2,"")</f>
        <v>0</v>
      </c>
      <c r="Z35" s="104">
        <v>1071</v>
      </c>
      <c r="AA35" s="104">
        <f t="shared" ref="AA35:AA64" si="5">IF(AB35&gt;0,(AB35-Z35)/2,"")</f>
        <v>0</v>
      </c>
      <c r="AB35" s="104">
        <v>1071</v>
      </c>
      <c r="AC35" s="104">
        <f t="shared" ref="AC35:AC64" si="6">IF(AD35&gt;0,(AD35-AB35)/2,"")</f>
        <v>0</v>
      </c>
      <c r="AD35" s="104">
        <v>1071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1172</v>
      </c>
      <c r="R36" s="106">
        <v>616</v>
      </c>
      <c r="S36" s="106">
        <f t="shared" si="1"/>
        <v>278</v>
      </c>
      <c r="T36" s="106">
        <v>1172</v>
      </c>
      <c r="U36" s="106">
        <f t="shared" si="2"/>
        <v>0</v>
      </c>
      <c r="V36" s="106">
        <v>1172</v>
      </c>
      <c r="W36" s="106">
        <f t="shared" si="3"/>
        <v>0</v>
      </c>
      <c r="X36" s="106">
        <v>1172</v>
      </c>
      <c r="Y36" s="106">
        <f t="shared" si="4"/>
        <v>0</v>
      </c>
      <c r="Z36" s="106">
        <v>1172</v>
      </c>
      <c r="AA36" s="106">
        <f t="shared" si="5"/>
        <v>0</v>
      </c>
      <c r="AB36" s="106">
        <v>1172</v>
      </c>
      <c r="AC36" s="106">
        <f t="shared" si="6"/>
        <v>0</v>
      </c>
      <c r="AD36" s="106">
        <v>1172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3820</v>
      </c>
      <c r="R37" s="108">
        <v>420</v>
      </c>
      <c r="S37" s="108">
        <f t="shared" si="1"/>
        <v>180</v>
      </c>
      <c r="T37" s="108">
        <v>780</v>
      </c>
      <c r="U37" s="108">
        <f t="shared" si="2"/>
        <v>354.5</v>
      </c>
      <c r="V37" s="108">
        <v>1489</v>
      </c>
      <c r="W37" s="108">
        <f t="shared" si="3"/>
        <v>908.5</v>
      </c>
      <c r="X37" s="108">
        <v>3306</v>
      </c>
      <c r="Y37" s="108">
        <f t="shared" si="4"/>
        <v>106</v>
      </c>
      <c r="Z37" s="108">
        <v>3518</v>
      </c>
      <c r="AA37" s="108">
        <f t="shared" si="5"/>
        <v>0</v>
      </c>
      <c r="AB37" s="108">
        <v>3518</v>
      </c>
      <c r="AC37" s="108">
        <f t="shared" si="6"/>
        <v>0</v>
      </c>
      <c r="AD37" s="108">
        <v>3518</v>
      </c>
      <c r="AE37" s="109">
        <f t="shared" si="7"/>
        <v>-302</v>
      </c>
    </row>
    <row r="38" spans="2:31" ht="15.6" customHeight="1" x14ac:dyDescent="0.3">
      <c r="N38" s="212"/>
      <c r="O38" s="95" t="s">
        <v>68</v>
      </c>
      <c r="P38" s="106"/>
      <c r="Q38" s="106">
        <v>3286</v>
      </c>
      <c r="R38" s="106">
        <v>652</v>
      </c>
      <c r="S38" s="106">
        <f t="shared" si="1"/>
        <v>283.5</v>
      </c>
      <c r="T38" s="106">
        <v>1219</v>
      </c>
      <c r="U38" s="106">
        <f t="shared" si="2"/>
        <v>300.5</v>
      </c>
      <c r="V38" s="106">
        <v>1820</v>
      </c>
      <c r="W38" s="106">
        <f t="shared" si="3"/>
        <v>452.5</v>
      </c>
      <c r="X38" s="106">
        <v>2725</v>
      </c>
      <c r="Y38" s="106">
        <f t="shared" si="4"/>
        <v>319</v>
      </c>
      <c r="Z38" s="106">
        <v>3363</v>
      </c>
      <c r="AA38" s="106">
        <f t="shared" si="5"/>
        <v>0</v>
      </c>
      <c r="AB38" s="106">
        <v>3363</v>
      </c>
      <c r="AC38" s="106">
        <f t="shared" si="6"/>
        <v>0</v>
      </c>
      <c r="AD38" s="106">
        <v>3363</v>
      </c>
      <c r="AE38" s="107">
        <f t="shared" si="7"/>
        <v>77</v>
      </c>
    </row>
    <row r="39" spans="2:31" ht="15.6" customHeight="1" x14ac:dyDescent="0.3">
      <c r="N39" s="212"/>
      <c r="O39" s="94" t="s">
        <v>69</v>
      </c>
      <c r="P39" s="108"/>
      <c r="Q39" s="108">
        <v>2242</v>
      </c>
      <c r="R39" s="108">
        <v>423</v>
      </c>
      <c r="S39" s="108">
        <f t="shared" si="1"/>
        <v>261.5</v>
      </c>
      <c r="T39" s="108">
        <v>946</v>
      </c>
      <c r="U39" s="108">
        <f t="shared" si="2"/>
        <v>584.5</v>
      </c>
      <c r="V39" s="108">
        <v>2115</v>
      </c>
      <c r="W39" s="108">
        <f t="shared" si="3"/>
        <v>41.5</v>
      </c>
      <c r="X39" s="108">
        <v>2198</v>
      </c>
      <c r="Y39" s="108">
        <f t="shared" si="4"/>
        <v>0</v>
      </c>
      <c r="Z39" s="108">
        <v>2198</v>
      </c>
      <c r="AA39" s="108">
        <f t="shared" si="5"/>
        <v>0</v>
      </c>
      <c r="AB39" s="108">
        <v>2198</v>
      </c>
      <c r="AC39" s="108">
        <f t="shared" si="6"/>
        <v>0</v>
      </c>
      <c r="AD39" s="108">
        <v>2198</v>
      </c>
      <c r="AE39" s="109">
        <f t="shared" si="7"/>
        <v>-44</v>
      </c>
    </row>
    <row r="40" spans="2:31" ht="15.6" customHeight="1" x14ac:dyDescent="0.3">
      <c r="N40" s="212"/>
      <c r="O40" s="95" t="s">
        <v>70</v>
      </c>
      <c r="P40" s="106"/>
      <c r="Q40" s="106">
        <v>2688</v>
      </c>
      <c r="R40" s="106">
        <v>624</v>
      </c>
      <c r="S40" s="106">
        <f t="shared" si="1"/>
        <v>344.5</v>
      </c>
      <c r="T40" s="106">
        <v>1313</v>
      </c>
      <c r="U40" s="106">
        <f t="shared" si="2"/>
        <v>464</v>
      </c>
      <c r="V40" s="106">
        <v>2241</v>
      </c>
      <c r="W40" s="106">
        <f t="shared" si="3"/>
        <v>238</v>
      </c>
      <c r="X40" s="106">
        <v>2717</v>
      </c>
      <c r="Y40" s="106">
        <f t="shared" si="4"/>
        <v>0</v>
      </c>
      <c r="Z40" s="106">
        <v>2717</v>
      </c>
      <c r="AA40" s="106">
        <f t="shared" si="5"/>
        <v>0</v>
      </c>
      <c r="AB40" s="106">
        <v>2717</v>
      </c>
      <c r="AC40" s="106">
        <f t="shared" si="6"/>
        <v>0</v>
      </c>
      <c r="AD40" s="106">
        <v>2717</v>
      </c>
      <c r="AE40" s="107">
        <f t="shared" si="7"/>
        <v>29</v>
      </c>
    </row>
    <row r="41" spans="2:31" ht="15.6" customHeight="1" x14ac:dyDescent="0.3">
      <c r="N41" s="212"/>
      <c r="O41" s="94" t="s">
        <v>71</v>
      </c>
      <c r="P41" s="108"/>
      <c r="Q41" s="108">
        <v>652</v>
      </c>
      <c r="R41" s="108">
        <v>278</v>
      </c>
      <c r="S41" s="108">
        <f t="shared" si="1"/>
        <v>184</v>
      </c>
      <c r="T41" s="108">
        <v>646</v>
      </c>
      <c r="U41" s="108">
        <f t="shared" si="2"/>
        <v>0</v>
      </c>
      <c r="V41" s="108">
        <v>646</v>
      </c>
      <c r="W41" s="108">
        <f t="shared" si="3"/>
        <v>0</v>
      </c>
      <c r="X41" s="108">
        <v>646</v>
      </c>
      <c r="Y41" s="108">
        <f t="shared" si="4"/>
        <v>0</v>
      </c>
      <c r="Z41" s="108">
        <v>646</v>
      </c>
      <c r="AA41" s="108">
        <f t="shared" si="5"/>
        <v>0</v>
      </c>
      <c r="AB41" s="108">
        <v>646</v>
      </c>
      <c r="AC41" s="108">
        <f t="shared" si="6"/>
        <v>0</v>
      </c>
      <c r="AD41" s="108">
        <v>646</v>
      </c>
      <c r="AE41" s="109">
        <f t="shared" si="7"/>
        <v>-6</v>
      </c>
    </row>
    <row r="42" spans="2:31" ht="15.6" customHeight="1" x14ac:dyDescent="0.3">
      <c r="N42" s="212"/>
      <c r="O42" s="95" t="s">
        <v>72</v>
      </c>
      <c r="P42" s="106"/>
      <c r="Q42" s="106">
        <v>1687</v>
      </c>
      <c r="R42" s="106">
        <v>852</v>
      </c>
      <c r="S42" s="106">
        <f t="shared" si="1"/>
        <v>0</v>
      </c>
      <c r="T42" s="106">
        <v>852</v>
      </c>
      <c r="U42" s="106">
        <f t="shared" si="2"/>
        <v>172.5</v>
      </c>
      <c r="V42" s="106">
        <v>1197</v>
      </c>
      <c r="W42" s="106">
        <f t="shared" si="3"/>
        <v>170.5</v>
      </c>
      <c r="X42" s="106">
        <v>1538</v>
      </c>
      <c r="Y42" s="106">
        <f t="shared" si="4"/>
        <v>82</v>
      </c>
      <c r="Z42" s="106">
        <v>1702</v>
      </c>
      <c r="AA42" s="106">
        <f t="shared" si="5"/>
        <v>0</v>
      </c>
      <c r="AB42" s="106">
        <v>1702</v>
      </c>
      <c r="AC42" s="106">
        <f t="shared" si="6"/>
        <v>0</v>
      </c>
      <c r="AD42" s="106">
        <v>1702</v>
      </c>
      <c r="AE42" s="107">
        <f t="shared" si="7"/>
        <v>15</v>
      </c>
    </row>
    <row r="43" spans="2:31" ht="15.6" customHeight="1" thickBot="1" x14ac:dyDescent="0.35">
      <c r="N43" s="213"/>
      <c r="O43" s="97" t="s">
        <v>73</v>
      </c>
      <c r="P43" s="110"/>
      <c r="Q43" s="110">
        <v>1747</v>
      </c>
      <c r="R43" s="110">
        <v>0</v>
      </c>
      <c r="S43" s="110">
        <f t="shared" si="1"/>
        <v>225</v>
      </c>
      <c r="T43" s="110">
        <v>450</v>
      </c>
      <c r="U43" s="110">
        <f t="shared" si="2"/>
        <v>244</v>
      </c>
      <c r="V43" s="110">
        <v>938</v>
      </c>
      <c r="W43" s="110">
        <f t="shared" si="3"/>
        <v>0</v>
      </c>
      <c r="X43" s="110">
        <v>938</v>
      </c>
      <c r="Y43" s="110">
        <f t="shared" si="4"/>
        <v>405</v>
      </c>
      <c r="Z43" s="110">
        <v>1748</v>
      </c>
      <c r="AA43" s="110">
        <f t="shared" si="5"/>
        <v>0</v>
      </c>
      <c r="AB43" s="110">
        <v>1748</v>
      </c>
      <c r="AC43" s="110">
        <f t="shared" si="6"/>
        <v>0</v>
      </c>
      <c r="AD43" s="110">
        <v>1748</v>
      </c>
      <c r="AE43" s="111">
        <f t="shared" si="7"/>
        <v>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3127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1563.5</v>
      </c>
      <c r="Z44" s="112">
        <v>3127</v>
      </c>
      <c r="AA44" s="112">
        <f t="shared" si="5"/>
        <v>0</v>
      </c>
      <c r="AB44" s="112">
        <v>3127</v>
      </c>
      <c r="AC44" s="112">
        <f t="shared" si="6"/>
        <v>0</v>
      </c>
      <c r="AD44" s="112">
        <v>3127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2638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590</v>
      </c>
      <c r="V45" s="108">
        <v>1180</v>
      </c>
      <c r="W45" s="108">
        <f t="shared" si="3"/>
        <v>0</v>
      </c>
      <c r="X45" s="108">
        <v>1180</v>
      </c>
      <c r="Y45" s="108">
        <f t="shared" si="4"/>
        <v>729</v>
      </c>
      <c r="Z45" s="108">
        <v>2638</v>
      </c>
      <c r="AA45" s="108">
        <f t="shared" si="5"/>
        <v>0</v>
      </c>
      <c r="AB45" s="108">
        <v>2638</v>
      </c>
      <c r="AC45" s="108">
        <f t="shared" si="6"/>
        <v>0</v>
      </c>
      <c r="AD45" s="108">
        <v>2638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2962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786</v>
      </c>
      <c r="V46" s="106">
        <v>1572</v>
      </c>
      <c r="W46" s="106">
        <f t="shared" si="3"/>
        <v>525</v>
      </c>
      <c r="X46" s="106">
        <v>2622</v>
      </c>
      <c r="Y46" s="106">
        <f t="shared" si="4"/>
        <v>170</v>
      </c>
      <c r="Z46" s="106">
        <v>2962</v>
      </c>
      <c r="AA46" s="106">
        <f t="shared" si="5"/>
        <v>0</v>
      </c>
      <c r="AB46" s="106">
        <v>2962</v>
      </c>
      <c r="AC46" s="106">
        <f t="shared" si="6"/>
        <v>0</v>
      </c>
      <c r="AD46" s="106">
        <v>2962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3351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563.5</v>
      </c>
      <c r="V47" s="110">
        <v>1127</v>
      </c>
      <c r="W47" s="110">
        <f t="shared" si="3"/>
        <v>283.5</v>
      </c>
      <c r="X47" s="110">
        <v>1694</v>
      </c>
      <c r="Y47" s="110">
        <f t="shared" si="4"/>
        <v>828.5</v>
      </c>
      <c r="Z47" s="110">
        <v>3351</v>
      </c>
      <c r="AA47" s="110">
        <f t="shared" si="5"/>
        <v>0</v>
      </c>
      <c r="AB47" s="110">
        <v>3351</v>
      </c>
      <c r="AC47" s="110">
        <f t="shared" si="6"/>
        <v>0</v>
      </c>
      <c r="AD47" s="110">
        <v>3351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3450</v>
      </c>
      <c r="R48" s="112">
        <v>295</v>
      </c>
      <c r="S48" s="112">
        <f t="shared" si="1"/>
        <v>0</v>
      </c>
      <c r="T48" s="112">
        <v>295</v>
      </c>
      <c r="U48" s="112">
        <f t="shared" si="2"/>
        <v>0</v>
      </c>
      <c r="V48" s="112">
        <v>295</v>
      </c>
      <c r="W48" s="112">
        <f t="shared" si="3"/>
        <v>56</v>
      </c>
      <c r="X48" s="112">
        <v>407</v>
      </c>
      <c r="Y48" s="112">
        <f t="shared" si="4"/>
        <v>33.5</v>
      </c>
      <c r="Z48" s="112">
        <v>474</v>
      </c>
      <c r="AA48" s="112">
        <f t="shared" si="5"/>
        <v>0</v>
      </c>
      <c r="AB48" s="112">
        <v>474</v>
      </c>
      <c r="AC48" s="112">
        <f t="shared" si="6"/>
        <v>0</v>
      </c>
      <c r="AD48" s="112">
        <v>474</v>
      </c>
      <c r="AE48" s="113">
        <f t="shared" si="7"/>
        <v>-2976</v>
      </c>
    </row>
    <row r="49" spans="14:31" ht="15.6" customHeight="1" x14ac:dyDescent="0.3">
      <c r="N49" s="212"/>
      <c r="O49" s="94" t="s">
        <v>66</v>
      </c>
      <c r="P49" s="108"/>
      <c r="Q49" s="108">
        <v>3034</v>
      </c>
      <c r="R49" s="108">
        <v>56</v>
      </c>
      <c r="S49" s="108">
        <f t="shared" si="1"/>
        <v>630</v>
      </c>
      <c r="T49" s="108">
        <v>1316</v>
      </c>
      <c r="U49" s="108">
        <f t="shared" si="2"/>
        <v>0</v>
      </c>
      <c r="V49" s="108">
        <v>1316</v>
      </c>
      <c r="W49" s="108">
        <f t="shared" si="3"/>
        <v>231</v>
      </c>
      <c r="X49" s="108">
        <v>1778</v>
      </c>
      <c r="Y49" s="108">
        <f t="shared" si="4"/>
        <v>0</v>
      </c>
      <c r="Z49" s="108">
        <v>1778</v>
      </c>
      <c r="AA49" s="108">
        <f t="shared" si="5"/>
        <v>0</v>
      </c>
      <c r="AB49" s="108">
        <v>1778</v>
      </c>
      <c r="AC49" s="108">
        <f t="shared" si="6"/>
        <v>0</v>
      </c>
      <c r="AD49" s="108">
        <v>1778</v>
      </c>
      <c r="AE49" s="109">
        <f t="shared" si="7"/>
        <v>-1256</v>
      </c>
    </row>
    <row r="50" spans="14:31" ht="15.6" customHeight="1" x14ac:dyDescent="0.3">
      <c r="N50" s="212"/>
      <c r="O50" s="95" t="s">
        <v>67</v>
      </c>
      <c r="P50" s="106"/>
      <c r="Q50" s="106">
        <v>1920</v>
      </c>
      <c r="R50" s="106">
        <v>917</v>
      </c>
      <c r="S50" s="106">
        <f t="shared" si="1"/>
        <v>4.5</v>
      </c>
      <c r="T50" s="106">
        <v>926</v>
      </c>
      <c r="U50" s="106">
        <f t="shared" si="2"/>
        <v>-65</v>
      </c>
      <c r="V50" s="106">
        <v>796</v>
      </c>
      <c r="W50" s="106">
        <f t="shared" si="3"/>
        <v>50.5</v>
      </c>
      <c r="X50" s="106">
        <v>897</v>
      </c>
      <c r="Y50" s="106">
        <f t="shared" si="4"/>
        <v>127.5</v>
      </c>
      <c r="Z50" s="106">
        <v>1152</v>
      </c>
      <c r="AA50" s="106">
        <f t="shared" si="5"/>
        <v>0</v>
      </c>
      <c r="AB50" s="106">
        <v>1152</v>
      </c>
      <c r="AC50" s="106">
        <f t="shared" si="6"/>
        <v>0</v>
      </c>
      <c r="AD50" s="106">
        <v>1152</v>
      </c>
      <c r="AE50" s="107">
        <f t="shared" si="7"/>
        <v>-768</v>
      </c>
    </row>
    <row r="51" spans="14:31" ht="15.6" customHeight="1" x14ac:dyDescent="0.3">
      <c r="N51" s="212"/>
      <c r="O51" s="94" t="s">
        <v>68</v>
      </c>
      <c r="P51" s="108"/>
      <c r="Q51" s="108">
        <v>1883</v>
      </c>
      <c r="R51" s="108">
        <v>449</v>
      </c>
      <c r="S51" s="108">
        <f t="shared" si="1"/>
        <v>440</v>
      </c>
      <c r="T51" s="108">
        <v>1329</v>
      </c>
      <c r="U51" s="108">
        <f t="shared" si="2"/>
        <v>69</v>
      </c>
      <c r="V51" s="108">
        <v>1467</v>
      </c>
      <c r="W51" s="108">
        <f t="shared" si="3"/>
        <v>-9</v>
      </c>
      <c r="X51" s="108">
        <v>1449</v>
      </c>
      <c r="Y51" s="108">
        <f t="shared" si="4"/>
        <v>118</v>
      </c>
      <c r="Z51" s="108">
        <v>1685</v>
      </c>
      <c r="AA51" s="108">
        <f t="shared" si="5"/>
        <v>0</v>
      </c>
      <c r="AB51" s="108">
        <v>1685</v>
      </c>
      <c r="AC51" s="108">
        <f t="shared" si="6"/>
        <v>0</v>
      </c>
      <c r="AD51" s="108">
        <v>1685</v>
      </c>
      <c r="AE51" s="109">
        <f t="shared" si="7"/>
        <v>-198</v>
      </c>
    </row>
    <row r="52" spans="14:31" ht="15.6" customHeight="1" x14ac:dyDescent="0.3">
      <c r="N52" s="212"/>
      <c r="O52" s="95" t="s">
        <v>69</v>
      </c>
      <c r="P52" s="106"/>
      <c r="Q52" s="106">
        <v>2037</v>
      </c>
      <c r="R52" s="106">
        <v>0</v>
      </c>
      <c r="S52" s="106">
        <f t="shared" si="1"/>
        <v>330</v>
      </c>
      <c r="T52" s="106">
        <v>660</v>
      </c>
      <c r="U52" s="106">
        <f t="shared" si="2"/>
        <v>346</v>
      </c>
      <c r="V52" s="106">
        <v>1352</v>
      </c>
      <c r="W52" s="106">
        <f t="shared" si="3"/>
        <v>136</v>
      </c>
      <c r="X52" s="106">
        <v>1624</v>
      </c>
      <c r="Y52" s="106">
        <f t="shared" si="4"/>
        <v>84.5</v>
      </c>
      <c r="Z52" s="106">
        <v>1793</v>
      </c>
      <c r="AA52" s="106">
        <f t="shared" si="5"/>
        <v>0</v>
      </c>
      <c r="AB52" s="106">
        <v>1793</v>
      </c>
      <c r="AC52" s="106">
        <f t="shared" si="6"/>
        <v>0</v>
      </c>
      <c r="AD52" s="106">
        <v>1793</v>
      </c>
      <c r="AE52" s="107">
        <f t="shared" si="7"/>
        <v>-244</v>
      </c>
    </row>
    <row r="53" spans="14:31" ht="15.6" customHeight="1" x14ac:dyDescent="0.3">
      <c r="N53" s="212"/>
      <c r="O53" s="94" t="s">
        <v>70</v>
      </c>
      <c r="P53" s="108"/>
      <c r="Q53" s="108">
        <v>1460</v>
      </c>
      <c r="R53" s="108">
        <v>715</v>
      </c>
      <c r="S53" s="108">
        <f t="shared" si="1"/>
        <v>0.5</v>
      </c>
      <c r="T53" s="108">
        <v>716</v>
      </c>
      <c r="U53" s="108">
        <f t="shared" si="2"/>
        <v>178.5</v>
      </c>
      <c r="V53" s="108">
        <v>1073</v>
      </c>
      <c r="W53" s="108">
        <f t="shared" si="3"/>
        <v>0</v>
      </c>
      <c r="X53" s="108">
        <v>1073</v>
      </c>
      <c r="Y53" s="108">
        <f t="shared" si="4"/>
        <v>0</v>
      </c>
      <c r="Z53" s="108">
        <v>1073</v>
      </c>
      <c r="AA53" s="108">
        <f t="shared" si="5"/>
        <v>0</v>
      </c>
      <c r="AB53" s="108">
        <v>1073</v>
      </c>
      <c r="AC53" s="108">
        <f t="shared" si="6"/>
        <v>0</v>
      </c>
      <c r="AD53" s="108">
        <v>1073</v>
      </c>
      <c r="AE53" s="109">
        <f t="shared" si="7"/>
        <v>-387</v>
      </c>
    </row>
    <row r="54" spans="14:31" ht="15.6" customHeight="1" x14ac:dyDescent="0.3">
      <c r="N54" s="212"/>
      <c r="O54" s="95" t="s">
        <v>71</v>
      </c>
      <c r="P54" s="106"/>
      <c r="Q54" s="106">
        <v>3498</v>
      </c>
      <c r="R54" s="106">
        <v>1800</v>
      </c>
      <c r="S54" s="106">
        <f t="shared" si="1"/>
        <v>0</v>
      </c>
      <c r="T54" s="106">
        <v>1800</v>
      </c>
      <c r="U54" s="106">
        <f t="shared" si="2"/>
        <v>0</v>
      </c>
      <c r="V54" s="106">
        <v>1800</v>
      </c>
      <c r="W54" s="106">
        <f t="shared" si="3"/>
        <v>0</v>
      </c>
      <c r="X54" s="106">
        <v>1800</v>
      </c>
      <c r="Y54" s="106">
        <f t="shared" si="4"/>
        <v>845</v>
      </c>
      <c r="Z54" s="106">
        <v>3490</v>
      </c>
      <c r="AA54" s="106">
        <f t="shared" si="5"/>
        <v>0</v>
      </c>
      <c r="AB54" s="106">
        <v>3490</v>
      </c>
      <c r="AC54" s="106">
        <f t="shared" si="6"/>
        <v>0</v>
      </c>
      <c r="AD54" s="106">
        <v>3490</v>
      </c>
      <c r="AE54" s="107">
        <f t="shared" si="7"/>
        <v>-8</v>
      </c>
    </row>
    <row r="55" spans="14:31" ht="15.6" customHeight="1" x14ac:dyDescent="0.3">
      <c r="N55" s="212"/>
      <c r="O55" s="94" t="s">
        <v>72</v>
      </c>
      <c r="P55" s="108"/>
      <c r="Q55" s="108">
        <v>4163</v>
      </c>
      <c r="R55" s="108">
        <v>1230</v>
      </c>
      <c r="S55" s="108">
        <f t="shared" si="1"/>
        <v>254.5</v>
      </c>
      <c r="T55" s="108">
        <v>1739</v>
      </c>
      <c r="U55" s="108">
        <f t="shared" si="2"/>
        <v>0</v>
      </c>
      <c r="V55" s="108">
        <v>1739</v>
      </c>
      <c r="W55" s="108">
        <f t="shared" si="3"/>
        <v>88.5</v>
      </c>
      <c r="X55" s="108">
        <v>1916</v>
      </c>
      <c r="Y55" s="108">
        <f t="shared" si="4"/>
        <v>0</v>
      </c>
      <c r="Z55" s="108">
        <v>1916</v>
      </c>
      <c r="AA55" s="108">
        <f t="shared" si="5"/>
        <v>0</v>
      </c>
      <c r="AB55" s="108">
        <v>1916</v>
      </c>
      <c r="AC55" s="108">
        <f t="shared" si="6"/>
        <v>0</v>
      </c>
      <c r="AD55" s="108">
        <v>1916</v>
      </c>
      <c r="AE55" s="109">
        <f t="shared" si="7"/>
        <v>-2247</v>
      </c>
    </row>
    <row r="56" spans="14:31" ht="15.6" customHeight="1" thickBot="1" x14ac:dyDescent="0.35">
      <c r="N56" s="213"/>
      <c r="O56" s="99" t="s">
        <v>73</v>
      </c>
      <c r="P56" s="114"/>
      <c r="Q56" s="114">
        <v>866</v>
      </c>
      <c r="R56" s="114">
        <v>0</v>
      </c>
      <c r="S56" s="114">
        <f t="shared" si="1"/>
        <v>79.5</v>
      </c>
      <c r="T56" s="114">
        <v>159</v>
      </c>
      <c r="U56" s="114">
        <f t="shared" si="2"/>
        <v>205</v>
      </c>
      <c r="V56" s="114">
        <v>569</v>
      </c>
      <c r="W56" s="114">
        <f t="shared" si="3"/>
        <v>0</v>
      </c>
      <c r="X56" s="114">
        <v>569</v>
      </c>
      <c r="Y56" s="114">
        <f t="shared" si="4"/>
        <v>127</v>
      </c>
      <c r="Z56" s="114">
        <v>823</v>
      </c>
      <c r="AA56" s="114">
        <f t="shared" si="5"/>
        <v>0</v>
      </c>
      <c r="AB56" s="114">
        <v>823</v>
      </c>
      <c r="AC56" s="114">
        <f t="shared" si="6"/>
        <v>0</v>
      </c>
      <c r="AD56" s="114">
        <v>823</v>
      </c>
      <c r="AE56" s="115">
        <f t="shared" si="7"/>
        <v>-43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2599</v>
      </c>
      <c r="R57" s="104">
        <v>394</v>
      </c>
      <c r="S57" s="104">
        <f t="shared" si="1"/>
        <v>0</v>
      </c>
      <c r="T57" s="104">
        <v>394</v>
      </c>
      <c r="U57" s="104">
        <f t="shared" si="2"/>
        <v>70.5</v>
      </c>
      <c r="V57" s="104">
        <v>535</v>
      </c>
      <c r="W57" s="104">
        <f t="shared" si="3"/>
        <v>432.5</v>
      </c>
      <c r="X57" s="104">
        <v>1400</v>
      </c>
      <c r="Y57" s="104">
        <f t="shared" si="4"/>
        <v>0</v>
      </c>
      <c r="Z57" s="104">
        <v>1400</v>
      </c>
      <c r="AA57" s="104">
        <f t="shared" si="5"/>
        <v>0</v>
      </c>
      <c r="AB57" s="104">
        <v>1400</v>
      </c>
      <c r="AC57" s="104">
        <f t="shared" si="6"/>
        <v>0</v>
      </c>
      <c r="AD57" s="104">
        <v>1400</v>
      </c>
      <c r="AE57" s="105">
        <f t="shared" si="7"/>
        <v>-1199</v>
      </c>
    </row>
    <row r="58" spans="14:31" ht="15.6" customHeight="1" x14ac:dyDescent="0.3">
      <c r="N58" s="212"/>
      <c r="O58" s="95" t="s">
        <v>66</v>
      </c>
      <c r="P58" s="106"/>
      <c r="Q58" s="106">
        <v>2961</v>
      </c>
      <c r="R58" s="106">
        <v>1072</v>
      </c>
      <c r="S58" s="106">
        <f t="shared" si="1"/>
        <v>0</v>
      </c>
      <c r="T58" s="106">
        <v>1072</v>
      </c>
      <c r="U58" s="106">
        <f t="shared" si="2"/>
        <v>815</v>
      </c>
      <c r="V58" s="106">
        <v>2702</v>
      </c>
      <c r="W58" s="106">
        <f t="shared" si="3"/>
        <v>104.5</v>
      </c>
      <c r="X58" s="106">
        <v>2911</v>
      </c>
      <c r="Y58" s="106">
        <f t="shared" si="4"/>
        <v>0</v>
      </c>
      <c r="Z58" s="106">
        <v>2911</v>
      </c>
      <c r="AA58" s="106">
        <f t="shared" si="5"/>
        <v>0</v>
      </c>
      <c r="AB58" s="106">
        <v>2911</v>
      </c>
      <c r="AC58" s="106">
        <f t="shared" si="6"/>
        <v>0</v>
      </c>
      <c r="AD58" s="106">
        <v>2911</v>
      </c>
      <c r="AE58" s="107">
        <f t="shared" si="7"/>
        <v>-50</v>
      </c>
    </row>
    <row r="59" spans="14:31" ht="15.6" customHeight="1" x14ac:dyDescent="0.3">
      <c r="N59" s="212"/>
      <c r="O59" s="94" t="s">
        <v>67</v>
      </c>
      <c r="P59" s="108"/>
      <c r="Q59" s="108">
        <v>4238</v>
      </c>
      <c r="R59" s="108">
        <v>509</v>
      </c>
      <c r="S59" s="108">
        <f t="shared" si="1"/>
        <v>469.5</v>
      </c>
      <c r="T59" s="108">
        <v>1448</v>
      </c>
      <c r="U59" s="108">
        <f t="shared" si="2"/>
        <v>876.5</v>
      </c>
      <c r="V59" s="108">
        <v>3201</v>
      </c>
      <c r="W59" s="108">
        <f t="shared" si="3"/>
        <v>424</v>
      </c>
      <c r="X59" s="108">
        <v>4049</v>
      </c>
      <c r="Y59" s="108">
        <f t="shared" si="4"/>
        <v>0</v>
      </c>
      <c r="Z59" s="108">
        <v>4049</v>
      </c>
      <c r="AA59" s="108">
        <f t="shared" si="5"/>
        <v>0</v>
      </c>
      <c r="AB59" s="108">
        <v>4049</v>
      </c>
      <c r="AC59" s="108">
        <f t="shared" si="6"/>
        <v>0</v>
      </c>
      <c r="AD59" s="108">
        <v>4049</v>
      </c>
      <c r="AE59" s="109">
        <f t="shared" si="7"/>
        <v>-189</v>
      </c>
    </row>
    <row r="60" spans="14:31" ht="15.6" customHeight="1" thickBot="1" x14ac:dyDescent="0.35">
      <c r="N60" s="213"/>
      <c r="O60" s="99" t="s">
        <v>68</v>
      </c>
      <c r="P60" s="114"/>
      <c r="Q60" s="114">
        <v>3742</v>
      </c>
      <c r="R60" s="114">
        <v>1368</v>
      </c>
      <c r="S60" s="114">
        <f t="shared" si="1"/>
        <v>330</v>
      </c>
      <c r="T60" s="114">
        <v>2028</v>
      </c>
      <c r="U60" s="114">
        <f t="shared" si="2"/>
        <v>252.5</v>
      </c>
      <c r="V60" s="114">
        <v>2533</v>
      </c>
      <c r="W60" s="114">
        <f t="shared" si="3"/>
        <v>901</v>
      </c>
      <c r="X60" s="114">
        <v>4335</v>
      </c>
      <c r="Y60" s="114">
        <f t="shared" si="4"/>
        <v>0</v>
      </c>
      <c r="Z60" s="114">
        <v>4335</v>
      </c>
      <c r="AA60" s="114">
        <f t="shared" si="5"/>
        <v>0</v>
      </c>
      <c r="AB60" s="114">
        <v>4335</v>
      </c>
      <c r="AC60" s="114">
        <f t="shared" si="6"/>
        <v>0</v>
      </c>
      <c r="AD60" s="114">
        <v>4335</v>
      </c>
      <c r="AE60" s="115">
        <f t="shared" si="7"/>
        <v>593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3220</v>
      </c>
      <c r="R61" s="104">
        <v>716</v>
      </c>
      <c r="S61" s="104">
        <f t="shared" si="1"/>
        <v>324.5</v>
      </c>
      <c r="T61" s="104">
        <v>1365</v>
      </c>
      <c r="U61" s="104">
        <f t="shared" si="2"/>
        <v>439.5</v>
      </c>
      <c r="V61" s="104">
        <v>2244</v>
      </c>
      <c r="W61" s="104">
        <f t="shared" si="3"/>
        <v>112.5</v>
      </c>
      <c r="X61" s="104">
        <v>2469</v>
      </c>
      <c r="Y61" s="104">
        <f t="shared" si="4"/>
        <v>87</v>
      </c>
      <c r="Z61" s="104">
        <v>2643</v>
      </c>
      <c r="AA61" s="104">
        <f t="shared" si="5"/>
        <v>0</v>
      </c>
      <c r="AB61" s="104">
        <v>2643</v>
      </c>
      <c r="AC61" s="104">
        <f t="shared" si="6"/>
        <v>0</v>
      </c>
      <c r="AD61" s="104">
        <v>2643</v>
      </c>
      <c r="AE61" s="105">
        <f t="shared" si="7"/>
        <v>-577</v>
      </c>
    </row>
    <row r="62" spans="14:31" ht="15.6" customHeight="1" x14ac:dyDescent="0.3">
      <c r="N62" s="212"/>
      <c r="O62" s="95" t="s">
        <v>66</v>
      </c>
      <c r="P62" s="106"/>
      <c r="Q62" s="106">
        <v>3065</v>
      </c>
      <c r="R62" s="106">
        <v>52</v>
      </c>
      <c r="S62" s="106">
        <f t="shared" si="1"/>
        <v>45.5</v>
      </c>
      <c r="T62" s="106">
        <v>143</v>
      </c>
      <c r="U62" s="106">
        <f t="shared" si="2"/>
        <v>45</v>
      </c>
      <c r="V62" s="106">
        <v>233</v>
      </c>
      <c r="W62" s="106">
        <f t="shared" si="3"/>
        <v>1032</v>
      </c>
      <c r="X62" s="106">
        <v>2297</v>
      </c>
      <c r="Y62" s="106">
        <f t="shared" si="4"/>
        <v>85.5</v>
      </c>
      <c r="Z62" s="106">
        <v>2468</v>
      </c>
      <c r="AA62" s="106">
        <f t="shared" si="5"/>
        <v>0</v>
      </c>
      <c r="AB62" s="106">
        <v>2468</v>
      </c>
      <c r="AC62" s="106">
        <f t="shared" si="6"/>
        <v>0</v>
      </c>
      <c r="AD62" s="106">
        <v>2468</v>
      </c>
      <c r="AE62" s="107">
        <f t="shared" si="7"/>
        <v>-597</v>
      </c>
    </row>
    <row r="63" spans="14:31" ht="15.6" customHeight="1" x14ac:dyDescent="0.3">
      <c r="N63" s="212"/>
      <c r="O63" s="94" t="s">
        <v>67</v>
      </c>
      <c r="P63" s="108"/>
      <c r="Q63" s="108">
        <v>1979</v>
      </c>
      <c r="R63" s="108">
        <v>243</v>
      </c>
      <c r="S63" s="108">
        <f t="shared" si="1"/>
        <v>435.5</v>
      </c>
      <c r="T63" s="108">
        <v>1114</v>
      </c>
      <c r="U63" s="108">
        <f t="shared" si="2"/>
        <v>60</v>
      </c>
      <c r="V63" s="108">
        <v>1234</v>
      </c>
      <c r="W63" s="108">
        <f t="shared" si="3"/>
        <v>141.5</v>
      </c>
      <c r="X63" s="108">
        <v>1517</v>
      </c>
      <c r="Y63" s="108">
        <f t="shared" si="4"/>
        <v>89</v>
      </c>
      <c r="Z63" s="108">
        <v>1695</v>
      </c>
      <c r="AA63" s="108">
        <f t="shared" si="5"/>
        <v>0</v>
      </c>
      <c r="AB63" s="108">
        <v>1695</v>
      </c>
      <c r="AC63" s="108">
        <f t="shared" si="6"/>
        <v>0</v>
      </c>
      <c r="AD63" s="108">
        <v>1695</v>
      </c>
      <c r="AE63" s="109">
        <f t="shared" si="7"/>
        <v>-284</v>
      </c>
    </row>
    <row r="64" spans="14:31" ht="15.6" customHeight="1" thickBot="1" x14ac:dyDescent="0.35">
      <c r="N64" s="213"/>
      <c r="O64" s="99" t="s">
        <v>68</v>
      </c>
      <c r="P64" s="114"/>
      <c r="Q64" s="114">
        <v>2487</v>
      </c>
      <c r="R64" s="114">
        <v>648</v>
      </c>
      <c r="S64" s="114">
        <f t="shared" si="1"/>
        <v>261</v>
      </c>
      <c r="T64" s="114">
        <v>1170</v>
      </c>
      <c r="U64" s="114">
        <f t="shared" si="2"/>
        <v>191</v>
      </c>
      <c r="V64" s="114">
        <v>1552</v>
      </c>
      <c r="W64" s="114">
        <f t="shared" si="3"/>
        <v>104</v>
      </c>
      <c r="X64" s="114">
        <v>1760</v>
      </c>
      <c r="Y64" s="114">
        <f t="shared" si="4"/>
        <v>191.5</v>
      </c>
      <c r="Z64" s="114">
        <v>2143</v>
      </c>
      <c r="AA64" s="114">
        <f t="shared" si="5"/>
        <v>0</v>
      </c>
      <c r="AB64" s="114">
        <v>2143</v>
      </c>
      <c r="AC64" s="114">
        <f t="shared" si="6"/>
        <v>0</v>
      </c>
      <c r="AD64" s="114">
        <v>2143</v>
      </c>
      <c r="AE64" s="115">
        <f t="shared" si="7"/>
        <v>-344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51" priority="11" operator="lessThan">
      <formula>0</formula>
    </cfRule>
    <cfRule type="cellIs" dxfId="1150" priority="12" operator="greaterThan">
      <formula>0</formula>
    </cfRule>
  </conditionalFormatting>
  <conditionalFormatting sqref="R25:AC25">
    <cfRule type="cellIs" dxfId="1149" priority="9" operator="lessThan">
      <formula>0</formula>
    </cfRule>
    <cfRule type="cellIs" dxfId="1148" priority="10" operator="greaterThan">
      <formula>0</formula>
    </cfRule>
  </conditionalFormatting>
  <conditionalFormatting sqref="R26 T26 V26 X26 Z26 AB26">
    <cfRule type="cellIs" dxfId="1147" priority="7" operator="lessThan">
      <formula>0</formula>
    </cfRule>
    <cfRule type="cellIs" dxfId="1146" priority="8" operator="greaterThan">
      <formula>0</formula>
    </cfRule>
  </conditionalFormatting>
  <conditionalFormatting sqref="AD24:AE24">
    <cfRule type="cellIs" dxfId="1145" priority="5" operator="lessThan">
      <formula>0</formula>
    </cfRule>
    <cfRule type="cellIs" dxfId="1144" priority="6" operator="greaterThan">
      <formula>0</formula>
    </cfRule>
  </conditionalFormatting>
  <conditionalFormatting sqref="AD25:AE25">
    <cfRule type="cellIs" dxfId="1143" priority="3" operator="lessThan">
      <formula>0</formula>
    </cfRule>
    <cfRule type="cellIs" dxfId="1142" priority="4" operator="greaterThan">
      <formula>0</formula>
    </cfRule>
  </conditionalFormatting>
  <conditionalFormatting sqref="AD26">
    <cfRule type="cellIs" dxfId="1141" priority="1" operator="lessThan">
      <formula>0</formula>
    </cfRule>
    <cfRule type="cellIs" dxfId="1140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>
    <tabColor theme="1"/>
    <pageSetUpPr fitToPage="1"/>
  </sheetPr>
  <dimension ref="B1:AQ64"/>
  <sheetViews>
    <sheetView zoomScale="80" zoomScaleNormal="8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44423</v>
      </c>
    </row>
    <row r="3" spans="2:42" ht="18.75" customHeight="1" thickBot="1" x14ac:dyDescent="0.35">
      <c r="B3" t="s">
        <v>1</v>
      </c>
      <c r="C3" s="3">
        <f>C2+1</f>
        <v>44424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2848</v>
      </c>
      <c r="E6" s="18" t="s">
        <v>22</v>
      </c>
      <c r="F6" s="119">
        <v>20137</v>
      </c>
      <c r="G6" s="117">
        <v>15763.000249999999</v>
      </c>
      <c r="H6" s="117">
        <v>13822.63634344001</v>
      </c>
      <c r="I6" s="19">
        <f>G6+H6</f>
        <v>29585.636593440009</v>
      </c>
      <c r="J6" s="119">
        <v>21243</v>
      </c>
      <c r="K6" s="117">
        <v>17119.282624999989</v>
      </c>
      <c r="L6" s="117">
        <v>14884.68815908</v>
      </c>
      <c r="M6" s="19">
        <f>K6+L6</f>
        <v>32003.970784079989</v>
      </c>
      <c r="N6" s="85">
        <v>82</v>
      </c>
      <c r="O6" s="85">
        <v>61</v>
      </c>
      <c r="P6" s="92"/>
      <c r="Q6" s="20">
        <f>J6-P6</f>
        <v>21243</v>
      </c>
      <c r="R6" s="21">
        <v>3874</v>
      </c>
      <c r="S6" s="20">
        <f>IF(R6&gt;0,(R6-R7-$Q6),"")</f>
        <v>-17578</v>
      </c>
      <c r="T6" s="21">
        <v>7275</v>
      </c>
      <c r="U6" s="20">
        <f>IF(T6&gt;0,(T6-T7-$Q6),"")</f>
        <v>-14201</v>
      </c>
      <c r="V6" s="21">
        <v>13226</v>
      </c>
      <c r="W6" s="20">
        <f>IF(V6&gt;0,(V6-V7-$Q6),"")</f>
        <v>-8285</v>
      </c>
      <c r="X6" s="21">
        <v>17080</v>
      </c>
      <c r="Y6" s="20">
        <f>IF(X6&gt;0,(X6-X7-$Q6),"")</f>
        <v>-4516</v>
      </c>
      <c r="Z6" s="21">
        <v>20645</v>
      </c>
      <c r="AA6" s="20">
        <f>IF(Z6&gt;0,(Z6-Z7-$Q6),"")</f>
        <v>-1036</v>
      </c>
      <c r="AB6" s="21">
        <v>20645</v>
      </c>
      <c r="AC6" s="22">
        <f>IF(AB6&gt;0,(AB6-AB7-$Q6),"")</f>
        <v>-1036</v>
      </c>
      <c r="AD6" s="21">
        <v>20645</v>
      </c>
      <c r="AE6" s="22">
        <f>IF(AD6&gt;0,(AD6-AD7-$Q6),"")</f>
        <v>-1036</v>
      </c>
    </row>
    <row r="7" spans="2:42" x14ac:dyDescent="0.3">
      <c r="B7" s="16" t="s">
        <v>23</v>
      </c>
      <c r="C7" s="17">
        <v>255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21</v>
      </c>
      <c r="P7" s="93" t="s">
        <v>24</v>
      </c>
      <c r="Q7" s="24"/>
      <c r="R7" s="25">
        <v>209</v>
      </c>
      <c r="S7" s="24"/>
      <c r="T7" s="25">
        <v>233</v>
      </c>
      <c r="U7" s="24"/>
      <c r="V7" s="25">
        <v>268</v>
      </c>
      <c r="W7" s="24"/>
      <c r="X7" s="25">
        <v>353</v>
      </c>
      <c r="Y7" s="24"/>
      <c r="Z7" s="25">
        <v>438</v>
      </c>
      <c r="AA7" s="24"/>
      <c r="AB7" s="25">
        <v>438</v>
      </c>
      <c r="AC7" s="26"/>
      <c r="AD7" s="25">
        <v>438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2427</v>
      </c>
      <c r="E8" s="29" t="s">
        <v>27</v>
      </c>
      <c r="F8" s="119">
        <v>10481</v>
      </c>
      <c r="G8" s="117">
        <v>4322.7089999999998</v>
      </c>
      <c r="H8" s="117">
        <v>1331.4205824999999</v>
      </c>
      <c r="I8" s="19">
        <f>G8+H8</f>
        <v>5654.1295824999997</v>
      </c>
      <c r="J8" s="119">
        <v>10586</v>
      </c>
      <c r="K8" s="117">
        <v>4341.6259999999993</v>
      </c>
      <c r="L8" s="117">
        <v>1342.6302462000001</v>
      </c>
      <c r="M8" s="19">
        <f>K8+L8</f>
        <v>5684.2562461999996</v>
      </c>
      <c r="N8" s="87">
        <v>31</v>
      </c>
      <c r="O8" s="87">
        <v>23</v>
      </c>
      <c r="P8" s="92"/>
      <c r="Q8" s="20">
        <f>J8-P8</f>
        <v>10586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8341</v>
      </c>
      <c r="Y8" s="20">
        <f>IF(X8&gt;0,(X8-X9-$Q8),"")</f>
        <v>-2245</v>
      </c>
      <c r="Z8" s="21">
        <v>10586</v>
      </c>
      <c r="AA8" s="20">
        <f>IF(Z8&gt;0,(Z8-Z9-$Q8),"")</f>
        <v>0</v>
      </c>
      <c r="AB8" s="21">
        <v>10586</v>
      </c>
      <c r="AC8" s="22">
        <f>IF(AB8&gt;0,(AB8-AB9-$Q8),"")</f>
        <v>0</v>
      </c>
      <c r="AD8" s="21">
        <v>10586</v>
      </c>
      <c r="AE8" s="22">
        <f>IF(AD8&gt;0,(AD8-AD9-$Q8),"")</f>
        <v>0</v>
      </c>
    </row>
    <row r="9" spans="2:42" x14ac:dyDescent="0.3">
      <c r="B9" s="28" t="s">
        <v>28</v>
      </c>
      <c r="C9" s="17">
        <v>1629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4280</v>
      </c>
      <c r="E10" s="18" t="s">
        <v>31</v>
      </c>
      <c r="F10" s="119">
        <v>11471</v>
      </c>
      <c r="G10" s="117">
        <v>8342.4246562500011</v>
      </c>
      <c r="H10" s="117">
        <v>1835.8937000000001</v>
      </c>
      <c r="I10" s="19">
        <f>G10+H10</f>
        <v>10178.318356250002</v>
      </c>
      <c r="J10" s="119">
        <v>12208</v>
      </c>
      <c r="K10" s="117">
        <v>9086.9221562500006</v>
      </c>
      <c r="L10" s="117">
        <v>1900.3133</v>
      </c>
      <c r="M10" s="19">
        <f>K10+L10</f>
        <v>10987.23545625</v>
      </c>
      <c r="N10" s="88">
        <v>41</v>
      </c>
      <c r="O10" s="88">
        <v>36</v>
      </c>
      <c r="P10" s="92"/>
      <c r="Q10" s="20">
        <f>J10-P10</f>
        <v>12208</v>
      </c>
      <c r="R10" s="21">
        <v>2570</v>
      </c>
      <c r="S10" s="20">
        <f>IF(R10&gt;0,(R10-R11-$Q10),"")</f>
        <v>-10117</v>
      </c>
      <c r="T10" s="21">
        <v>3811</v>
      </c>
      <c r="U10" s="20">
        <f>IF(T10&gt;0,(T10-T11-$Q10),"")</f>
        <v>-9516</v>
      </c>
      <c r="V10" s="21">
        <v>5764</v>
      </c>
      <c r="W10" s="20">
        <f>IF(V10&gt;0,(V10-V11-$Q10),"")</f>
        <v>-7868</v>
      </c>
      <c r="X10" s="21">
        <v>9422</v>
      </c>
      <c r="Y10" s="20">
        <f>IF(X10&gt;0,(X10-X11-$Q10),"")</f>
        <v>-4590</v>
      </c>
      <c r="Z10" s="21">
        <v>9422</v>
      </c>
      <c r="AA10" s="20">
        <f>IF(Z10&gt;0,(Z10-Z11-$Q10),"")</f>
        <v>-4590</v>
      </c>
      <c r="AB10" s="21">
        <v>9422</v>
      </c>
      <c r="AC10" s="22">
        <f>IF(AB10&gt;0,(AB10-AB11-$Q10),"")</f>
        <v>-4590</v>
      </c>
      <c r="AD10" s="21">
        <v>9422</v>
      </c>
      <c r="AE10" s="22">
        <f>IF(AD10&gt;0,(AD10-AD11-$Q10),"")</f>
        <v>-4590</v>
      </c>
    </row>
    <row r="11" spans="2:42" x14ac:dyDescent="0.3">
      <c r="B11" s="16" t="s">
        <v>32</v>
      </c>
      <c r="C11" s="17">
        <v>2317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479</v>
      </c>
      <c r="S11" s="24"/>
      <c r="T11" s="30">
        <v>1119</v>
      </c>
      <c r="U11" s="24"/>
      <c r="V11" s="30">
        <v>1424</v>
      </c>
      <c r="W11" s="24"/>
      <c r="X11" s="30">
        <v>1804</v>
      </c>
      <c r="Y11" s="24"/>
      <c r="Z11" s="30">
        <v>1804</v>
      </c>
      <c r="AA11" s="24"/>
      <c r="AB11" s="30">
        <v>1804</v>
      </c>
      <c r="AC11" s="26"/>
      <c r="AD11" s="30">
        <v>1804</v>
      </c>
      <c r="AE11" s="26"/>
    </row>
    <row r="12" spans="2:42" x14ac:dyDescent="0.3">
      <c r="B12" s="16" t="s">
        <v>34</v>
      </c>
      <c r="C12" s="17">
        <v>1724</v>
      </c>
      <c r="E12" s="29" t="s">
        <v>35</v>
      </c>
      <c r="F12" s="119">
        <v>11757</v>
      </c>
      <c r="G12" s="117">
        <v>8028.820999999999</v>
      </c>
      <c r="H12" s="117">
        <v>10901.34245238</v>
      </c>
      <c r="I12" s="19">
        <f>G12+H12</f>
        <v>18930.163452379998</v>
      </c>
      <c r="J12" s="119">
        <v>13646</v>
      </c>
      <c r="K12" s="117">
        <v>10535.857249999999</v>
      </c>
      <c r="L12" s="117">
        <v>13582.44299265</v>
      </c>
      <c r="M12" s="19">
        <f>K12+L12</f>
        <v>24118.300242649999</v>
      </c>
      <c r="N12" s="88">
        <v>56</v>
      </c>
      <c r="O12" s="88">
        <v>45</v>
      </c>
      <c r="P12" s="92"/>
      <c r="Q12" s="20">
        <f>J12-P12</f>
        <v>13646</v>
      </c>
      <c r="R12" s="21">
        <v>2639</v>
      </c>
      <c r="S12" s="20">
        <f>IF(R12&gt;0,(R12-R13-$Q12),"")</f>
        <v>-11857</v>
      </c>
      <c r="T12" s="21">
        <v>5123</v>
      </c>
      <c r="U12" s="20">
        <f>IF(T12&gt;0,(T12-T13-$Q12),"")</f>
        <v>-9725</v>
      </c>
      <c r="V12" s="21">
        <v>7865</v>
      </c>
      <c r="W12" s="20">
        <f>IF(V12&gt;0,(V12-V13-$Q12),"")</f>
        <v>-7413</v>
      </c>
      <c r="X12" s="21">
        <v>10615</v>
      </c>
      <c r="Y12" s="20">
        <f>IF(X12&gt;0,(X12-X13-$Q12),"")</f>
        <v>-4954</v>
      </c>
      <c r="Z12" s="21">
        <v>10694</v>
      </c>
      <c r="AA12" s="20">
        <f>IF(Z12&gt;0,(Z12-Z13-$Q12),"")</f>
        <v>-4954</v>
      </c>
      <c r="AB12" s="21">
        <v>10694</v>
      </c>
      <c r="AC12" s="22">
        <f>IF(AB12&gt;0,(AB12-AB13-$Q12),"")</f>
        <v>-4954</v>
      </c>
      <c r="AD12" s="21">
        <v>10694</v>
      </c>
      <c r="AE12" s="22">
        <f>IF(AD12&gt;0,(AD12-AD13-$Q12),"")</f>
        <v>-4954</v>
      </c>
    </row>
    <row r="13" spans="2:42" x14ac:dyDescent="0.3">
      <c r="B13" s="16" t="s">
        <v>36</v>
      </c>
      <c r="C13" s="17">
        <v>4483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850</v>
      </c>
      <c r="S13" s="24"/>
      <c r="T13" s="30">
        <v>1202</v>
      </c>
      <c r="U13" s="24"/>
      <c r="V13" s="30">
        <v>1632</v>
      </c>
      <c r="W13" s="24"/>
      <c r="X13" s="30">
        <v>1923</v>
      </c>
      <c r="Y13" s="24"/>
      <c r="Z13" s="30">
        <v>2002</v>
      </c>
      <c r="AA13" s="24"/>
      <c r="AB13" s="30">
        <v>2002</v>
      </c>
      <c r="AC13" s="26"/>
      <c r="AD13" s="30">
        <v>2002</v>
      </c>
      <c r="AE13" s="26"/>
    </row>
    <row r="14" spans="2:42" x14ac:dyDescent="0.3">
      <c r="B14" s="16" t="s">
        <v>38</v>
      </c>
      <c r="C14" s="17">
        <v>12628</v>
      </c>
      <c r="E14" s="18" t="s">
        <v>39</v>
      </c>
      <c r="F14" s="119">
        <v>15064</v>
      </c>
      <c r="G14" s="117">
        <v>10998.21875</v>
      </c>
      <c r="H14" s="117">
        <v>13643.086678354999</v>
      </c>
      <c r="I14" s="19">
        <f>G14+H14</f>
        <v>24641.305428355001</v>
      </c>
      <c r="J14" s="119">
        <v>15156</v>
      </c>
      <c r="K14" s="117">
        <v>11128.46875</v>
      </c>
      <c r="L14" s="117">
        <v>13720.938755255</v>
      </c>
      <c r="M14" s="19">
        <f>K14+L14</f>
        <v>24849.407505255</v>
      </c>
      <c r="N14" s="88">
        <v>67</v>
      </c>
      <c r="O14" s="88">
        <v>50</v>
      </c>
      <c r="P14" s="92"/>
      <c r="Q14" s="20">
        <f>J14-P14</f>
        <v>15156</v>
      </c>
      <c r="R14" s="21">
        <v>4488</v>
      </c>
      <c r="S14" s="20">
        <f>IF(R14&gt;0,(R14-R15-$Q14),"")</f>
        <v>-14373</v>
      </c>
      <c r="T14" s="21">
        <v>7450</v>
      </c>
      <c r="U14" s="20">
        <f>IF(T14&gt;0,(T14-T15-$Q14),"")</f>
        <v>-13686</v>
      </c>
      <c r="V14" s="21">
        <v>9082</v>
      </c>
      <c r="W14" s="20">
        <f>IF(V14&gt;0,(V14-V15-$Q14),"")</f>
        <v>-12813</v>
      </c>
      <c r="X14" s="21">
        <v>13270</v>
      </c>
      <c r="Y14" s="20">
        <f>IF(X14&gt;0,(X14-X15-$Q14),"")</f>
        <v>-10738</v>
      </c>
      <c r="Z14" s="21">
        <v>13270</v>
      </c>
      <c r="AA14" s="20">
        <f>IF(Z14&gt;0,(Z14-Z15-$Q14),"")</f>
        <v>-10738</v>
      </c>
      <c r="AB14" s="21">
        <v>13270</v>
      </c>
      <c r="AC14" s="22">
        <f>IF(AB14&gt;0,(AB14-AB15-$Q14),"")</f>
        <v>-10738</v>
      </c>
      <c r="AD14" s="21">
        <v>13270</v>
      </c>
      <c r="AE14" s="22">
        <f>IF(AD14&gt;0,(AD14-AD15-$Q14),"")</f>
        <v>-10738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3705</v>
      </c>
      <c r="S15" s="24"/>
      <c r="T15" s="25">
        <v>5980</v>
      </c>
      <c r="U15" s="24"/>
      <c r="V15" s="25">
        <v>6739</v>
      </c>
      <c r="W15" s="24"/>
      <c r="X15" s="25">
        <v>8852</v>
      </c>
      <c r="Y15" s="24"/>
      <c r="Z15" s="25">
        <v>8852</v>
      </c>
      <c r="AA15" s="24"/>
      <c r="AB15" s="25">
        <v>8852</v>
      </c>
      <c r="AC15" s="26"/>
      <c r="AD15" s="25">
        <v>8852</v>
      </c>
      <c r="AE15" s="26"/>
    </row>
    <row r="16" spans="2:42" ht="15" customHeight="1" thickBot="1" x14ac:dyDescent="0.35">
      <c r="B16" s="28" t="s">
        <v>42</v>
      </c>
      <c r="C16" s="17">
        <v>10216</v>
      </c>
      <c r="E16" s="84"/>
      <c r="F16" s="31">
        <f t="shared" ref="F16:M16" si="0">SUM(F6:F15)</f>
        <v>68910</v>
      </c>
      <c r="G16" s="31">
        <f t="shared" si="0"/>
        <v>47455.173656250001</v>
      </c>
      <c r="H16" s="31">
        <f t="shared" si="0"/>
        <v>41534.379756675015</v>
      </c>
      <c r="I16" s="32">
        <f t="shared" si="0"/>
        <v>88989.553412925015</v>
      </c>
      <c r="J16" s="33">
        <f t="shared" si="0"/>
        <v>72839</v>
      </c>
      <c r="K16" s="33">
        <f t="shared" si="0"/>
        <v>52212.156781249992</v>
      </c>
      <c r="L16" s="33">
        <f t="shared" si="0"/>
        <v>45431.013453185005</v>
      </c>
      <c r="M16" s="33">
        <f t="shared" si="0"/>
        <v>97643.170234434991</v>
      </c>
      <c r="N16" s="31">
        <f>SUM(N14,N12,N10,N8,N6)</f>
        <v>277</v>
      </c>
      <c r="O16" s="31">
        <f>SUM(O14,O12,O10,O8,O6)</f>
        <v>215</v>
      </c>
      <c r="P16" s="34">
        <f>SUM(P6:P15)</f>
        <v>0</v>
      </c>
      <c r="Q16" s="34">
        <f>SUM(Q6:Q15)</f>
        <v>72839</v>
      </c>
      <c r="R16" s="35">
        <f>R6+R8+R10+R12+R14-R7-R9-R11-R13-R15</f>
        <v>8328</v>
      </c>
      <c r="S16" s="36">
        <f>IF(R16&gt;1,(R16-$Q16),"")</f>
        <v>-64511</v>
      </c>
      <c r="T16" s="35">
        <f>T6+T8+T10+T12+T14-T7-T9-T11-T13-T15</f>
        <v>15125</v>
      </c>
      <c r="U16" s="36">
        <f>IF(T16&gt;1,(T16-$Q16),"")</f>
        <v>-57714</v>
      </c>
      <c r="V16" s="35">
        <f>V6+V8+V10+V12+V14-V7-V9-V11-V13-V15</f>
        <v>25874</v>
      </c>
      <c r="W16" s="36">
        <f>IF(V16&gt;1,(V16-$Q16),"")</f>
        <v>-46965</v>
      </c>
      <c r="X16" s="35">
        <f>X6+X8+X10+X12+X14-X7-X9-X11-X13-X15</f>
        <v>45796</v>
      </c>
      <c r="Y16" s="36">
        <f>IF(X16&gt;1,(X16-$Q16),"")</f>
        <v>-27043</v>
      </c>
      <c r="Z16" s="35">
        <f>Z6+Z8+Z10+Z12+Z14-Z7-Z9-Z11-Z13-Z15</f>
        <v>51521</v>
      </c>
      <c r="AA16" s="36">
        <f>IF(Z16&gt;1,(Z16-$Q16),"")</f>
        <v>-21318</v>
      </c>
      <c r="AB16" s="35">
        <f>AB6+AB8+AB10+AB12+AB14-AB7-AB9-AB11-AB13-AB15</f>
        <v>51521</v>
      </c>
      <c r="AC16" s="37">
        <f>IF(AB16&gt;1,(AB16-$Q16),"")</f>
        <v>-21318</v>
      </c>
      <c r="AD16" s="35">
        <f>AD6+AD8+AD10+AD12+AD14-AD7-AD9-AD11-AD13-AD15</f>
        <v>51521</v>
      </c>
      <c r="AE16" s="37">
        <f>IF(AD16&gt;1,(AD16-$Q16),"")</f>
        <v>-21318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62</v>
      </c>
      <c r="P17" s="38" t="s">
        <v>44</v>
      </c>
      <c r="Q17" s="39"/>
      <c r="R17" s="40">
        <f>R15+R13+R11+R9+R7</f>
        <v>5243</v>
      </c>
      <c r="S17" s="41"/>
      <c r="T17" s="40">
        <f>T15+T13+T11+T9+T7</f>
        <v>8534</v>
      </c>
      <c r="U17" s="41"/>
      <c r="V17" s="40">
        <f>V15+V13+V11+V9+V7</f>
        <v>10063</v>
      </c>
      <c r="W17" s="41"/>
      <c r="X17" s="40">
        <f>X15+X13+X11+X9+X7</f>
        <v>12932</v>
      </c>
      <c r="Y17" s="41"/>
      <c r="Z17" s="40">
        <f>Z15+Z13+Z11+Z9+Z7</f>
        <v>13096</v>
      </c>
      <c r="AA17" s="41"/>
      <c r="AB17" s="40">
        <f>AB15+AB13+AB11+AB9+AB7</f>
        <v>13096</v>
      </c>
      <c r="AC17" s="42"/>
      <c r="AD17" s="40">
        <f>AD15+AD13+AD11+AD9+AD7</f>
        <v>13096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4164</v>
      </c>
      <c r="S18" s="46"/>
      <c r="T18" s="47">
        <f>IF(T16&gt;0,(T16-R16)/2,"")</f>
        <v>3398.5</v>
      </c>
      <c r="U18" s="46"/>
      <c r="V18" s="47">
        <f>IF(V16&gt;0,(V16-T16)/2,"")</f>
        <v>5374.5</v>
      </c>
      <c r="W18" s="46"/>
      <c r="X18" s="47">
        <f>IF(X16&gt;0,(X16-V16)/2,"")</f>
        <v>9961</v>
      </c>
      <c r="Y18" s="46"/>
      <c r="Z18" s="47">
        <f>IF(Z16&gt;0,(Z16-X16)/2,"")</f>
        <v>2862.5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8276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1234</v>
      </c>
      <c r="L20" s="4"/>
      <c r="M20" s="4"/>
      <c r="Q20" s="51" t="s">
        <v>49</v>
      </c>
      <c r="R20" s="35">
        <v>11345</v>
      </c>
      <c r="S20" s="36">
        <v>-75480</v>
      </c>
      <c r="T20" s="35">
        <v>18892</v>
      </c>
      <c r="U20" s="36">
        <v>-67933</v>
      </c>
      <c r="V20" s="35">
        <v>32740</v>
      </c>
      <c r="W20" s="36">
        <v>-54085</v>
      </c>
      <c r="X20" s="35">
        <v>43402</v>
      </c>
      <c r="Y20" s="36">
        <v>-43423</v>
      </c>
      <c r="Z20" s="35">
        <v>56025</v>
      </c>
      <c r="AA20" s="36">
        <v>-30800</v>
      </c>
      <c r="AB20" s="35">
        <v>56025</v>
      </c>
      <c r="AC20" s="37">
        <v>-30800</v>
      </c>
      <c r="AD20" s="35">
        <v>56025</v>
      </c>
      <c r="AE20" s="37">
        <v>-30800</v>
      </c>
    </row>
    <row r="21" spans="2:43" ht="15" customHeight="1" thickBot="1" x14ac:dyDescent="0.35">
      <c r="B21" s="57" t="s">
        <v>52</v>
      </c>
      <c r="C21" s="58">
        <v>4332</v>
      </c>
      <c r="M21" s="4"/>
      <c r="Q21" s="52"/>
      <c r="R21" s="40">
        <v>5678</v>
      </c>
      <c r="S21" s="41"/>
      <c r="T21" s="40">
        <v>10931</v>
      </c>
      <c r="U21" s="41"/>
      <c r="V21" s="40">
        <v>14681</v>
      </c>
      <c r="W21" s="41"/>
      <c r="X21" s="40">
        <v>17531</v>
      </c>
      <c r="Y21" s="41"/>
      <c r="Z21" s="40">
        <v>18201</v>
      </c>
      <c r="AA21" s="41"/>
      <c r="AB21" s="40">
        <v>18201</v>
      </c>
      <c r="AC21" s="42"/>
      <c r="AD21" s="40">
        <v>18201</v>
      </c>
      <c r="AE21" s="42"/>
    </row>
    <row r="22" spans="2:43" ht="15" customHeight="1" thickBot="1" x14ac:dyDescent="0.35">
      <c r="M22" s="4"/>
      <c r="Q22" s="54"/>
      <c r="R22" s="55">
        <v>3468.5</v>
      </c>
      <c r="S22" s="55"/>
      <c r="T22" s="55">
        <v>2999</v>
      </c>
      <c r="U22" s="55"/>
      <c r="V22" s="55">
        <v>6560.5</v>
      </c>
      <c r="W22" s="55"/>
      <c r="X22" s="55">
        <v>7705.5</v>
      </c>
      <c r="Y22" s="55"/>
      <c r="Z22" s="55">
        <v>4303.5</v>
      </c>
      <c r="AA22" s="55"/>
      <c r="AB22" s="55">
        <v>-3.5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-3017</v>
      </c>
      <c r="S24" s="60"/>
      <c r="T24" s="60">
        <f>IF(T16&gt;0,T16-T20,"")</f>
        <v>-3767</v>
      </c>
      <c r="U24" s="60"/>
      <c r="V24" s="60">
        <f>IF(V16&gt;0,V16-V20,"")</f>
        <v>-6866</v>
      </c>
      <c r="W24" s="60"/>
      <c r="X24" s="60">
        <f>IF(X16&gt;0,X16-X20,"")</f>
        <v>2394</v>
      </c>
      <c r="Y24" s="60"/>
      <c r="Z24" s="60">
        <f>IF(Z16&gt;0,Z16-Z20,"")</f>
        <v>-4504</v>
      </c>
      <c r="AA24" s="60"/>
      <c r="AB24" s="60">
        <f>IF(AB16&gt;0,AB16-AB20,"")</f>
        <v>-4504</v>
      </c>
      <c r="AC24" s="61"/>
      <c r="AD24" s="60">
        <f>IF(AD16&gt;0,AD16-AD20,"")</f>
        <v>-4504</v>
      </c>
      <c r="AE24" s="61"/>
    </row>
    <row r="25" spans="2:43" x14ac:dyDescent="0.3">
      <c r="M25" s="4"/>
      <c r="Q25" s="62"/>
      <c r="R25" s="63">
        <f>IF(R17&gt;=0,R17-R21,"")</f>
        <v>-435</v>
      </c>
      <c r="S25" s="64"/>
      <c r="T25" s="63">
        <f>IF(T17&gt;=0,T17-T21,"")</f>
        <v>-2397</v>
      </c>
      <c r="U25" s="64"/>
      <c r="V25" s="63">
        <f>IF(V17&gt;=0,V17-V21,"")</f>
        <v>-4618</v>
      </c>
      <c r="W25" s="64"/>
      <c r="X25" s="63">
        <f>IF(X17&gt;=0,X17-X21,"")</f>
        <v>-4599</v>
      </c>
      <c r="Y25" s="64"/>
      <c r="Z25" s="63">
        <f>IF(Z17&gt;=0,Z17-Z21,"")</f>
        <v>-5105</v>
      </c>
      <c r="AA25" s="64"/>
      <c r="AB25" s="63">
        <f>IF(AB17&gt;=0,AB17-AB21,"")</f>
        <v>-5105</v>
      </c>
      <c r="AC25" s="65"/>
      <c r="AD25" s="63">
        <f>IF(AD17&gt;=0,AD17-AD21,"")</f>
        <v>-5105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695.5</v>
      </c>
      <c r="S26" s="55"/>
      <c r="T26" s="67">
        <f>IFERROR(IF(T18&gt;0,T18-T22,""),"")</f>
        <v>399.5</v>
      </c>
      <c r="U26" s="55"/>
      <c r="V26" s="67">
        <f>IFERROR(IF(V18&gt;0,V18-V22,""),"")</f>
        <v>-1186</v>
      </c>
      <c r="W26" s="55"/>
      <c r="X26" s="67">
        <f>IFERROR(IF(X18&gt;0,X18-X22,""),"")</f>
        <v>2255.5</v>
      </c>
      <c r="Y26" s="55"/>
      <c r="Z26" s="67">
        <f>IFERROR(IF(Z18&gt;0,Z18-Z22,""),"")</f>
        <v>-1441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12435</v>
      </c>
      <c r="D29" s="76">
        <f>C14</f>
        <v>12628</v>
      </c>
      <c r="E29" s="77">
        <f>D29-C29</f>
        <v>193</v>
      </c>
      <c r="O29" s="4"/>
    </row>
    <row r="30" spans="2:43" x14ac:dyDescent="0.3">
      <c r="B30" s="74" t="s">
        <v>56</v>
      </c>
      <c r="C30" s="122">
        <v>15822</v>
      </c>
      <c r="D30" s="76">
        <f>C7+C15+C16+C17+C18</f>
        <v>10471</v>
      </c>
      <c r="E30" s="77">
        <f>D30-C30</f>
        <v>-5351</v>
      </c>
      <c r="J30" s="53"/>
      <c r="O30" s="4"/>
    </row>
    <row r="31" spans="2:43" x14ac:dyDescent="0.3">
      <c r="B31" s="74" t="s">
        <v>21</v>
      </c>
      <c r="C31" s="122">
        <v>2848</v>
      </c>
      <c r="D31" s="76">
        <f>C6</f>
        <v>2848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12804</v>
      </c>
      <c r="D32" s="76">
        <f>C10+C11+C12+C13</f>
        <v>12804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13755</v>
      </c>
      <c r="D33" s="76">
        <f>C19+C20+C21</f>
        <v>13842</v>
      </c>
      <c r="E33" s="77">
        <f>D33-C33</f>
        <v>87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4056</v>
      </c>
      <c r="D34" s="80">
        <f>SUM(C8+C9)</f>
        <v>4056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1114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286.5</v>
      </c>
      <c r="V35" s="104">
        <v>573</v>
      </c>
      <c r="W35" s="104">
        <f t="shared" ref="W35:W64" si="3">IF(X35&gt;0,(X35-V35)/2,"")</f>
        <v>270.5</v>
      </c>
      <c r="X35" s="104">
        <v>1114</v>
      </c>
      <c r="Y35" s="104">
        <f t="shared" ref="Y35:Y64" si="4">IF(Z35&gt;0,(Z35-X35)/2,"")</f>
        <v>0</v>
      </c>
      <c r="Z35" s="104">
        <v>1114</v>
      </c>
      <c r="AA35" s="104">
        <f t="shared" ref="AA35:AA64" si="5">IF(AB35&gt;0,(AB35-Z35)/2,"")</f>
        <v>0</v>
      </c>
      <c r="AB35" s="104">
        <v>1114</v>
      </c>
      <c r="AC35" s="104">
        <f t="shared" ref="AC35:AC64" si="6">IF(AD35&gt;0,(AD35-AB35)/2,"")</f>
        <v>0</v>
      </c>
      <c r="AD35" s="104">
        <v>1114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1535</v>
      </c>
      <c r="R36" s="106">
        <v>0</v>
      </c>
      <c r="S36" s="106">
        <f t="shared" si="1"/>
        <v>328</v>
      </c>
      <c r="T36" s="106">
        <v>656</v>
      </c>
      <c r="U36" s="106">
        <f t="shared" si="2"/>
        <v>0</v>
      </c>
      <c r="V36" s="106">
        <v>656</v>
      </c>
      <c r="W36" s="106">
        <f t="shared" si="3"/>
        <v>105</v>
      </c>
      <c r="X36" s="106">
        <v>866</v>
      </c>
      <c r="Y36" s="106">
        <f t="shared" si="4"/>
        <v>5.5</v>
      </c>
      <c r="Z36" s="106">
        <v>877</v>
      </c>
      <c r="AA36" s="106">
        <f t="shared" si="5"/>
        <v>0</v>
      </c>
      <c r="AB36" s="106">
        <v>877</v>
      </c>
      <c r="AC36" s="106">
        <f t="shared" si="6"/>
        <v>0</v>
      </c>
      <c r="AD36" s="106">
        <v>877</v>
      </c>
      <c r="AE36" s="107">
        <f t="shared" si="7"/>
        <v>-658</v>
      </c>
    </row>
    <row r="37" spans="2:31" ht="15.6" customHeight="1" x14ac:dyDescent="0.3">
      <c r="N37" s="212"/>
      <c r="O37" s="94" t="s">
        <v>67</v>
      </c>
      <c r="P37" s="108"/>
      <c r="Q37" s="108">
        <v>2899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616.5</v>
      </c>
      <c r="V37" s="108">
        <v>1653</v>
      </c>
      <c r="W37" s="108">
        <f t="shared" si="3"/>
        <v>709.5</v>
      </c>
      <c r="X37" s="108">
        <v>3072</v>
      </c>
      <c r="Y37" s="108">
        <f t="shared" si="4"/>
        <v>408</v>
      </c>
      <c r="Z37" s="108">
        <v>3888</v>
      </c>
      <c r="AA37" s="108">
        <f t="shared" si="5"/>
        <v>0</v>
      </c>
      <c r="AB37" s="108">
        <v>3888</v>
      </c>
      <c r="AC37" s="108">
        <f t="shared" si="6"/>
        <v>0</v>
      </c>
      <c r="AD37" s="108">
        <v>3888</v>
      </c>
      <c r="AE37" s="109">
        <f t="shared" si="7"/>
        <v>989</v>
      </c>
    </row>
    <row r="38" spans="2:31" ht="15.6" customHeight="1" x14ac:dyDescent="0.3">
      <c r="N38" s="212"/>
      <c r="O38" s="95" t="s">
        <v>68</v>
      </c>
      <c r="P38" s="106"/>
      <c r="Q38" s="106">
        <v>1860</v>
      </c>
      <c r="R38" s="106">
        <v>997</v>
      </c>
      <c r="S38" s="106">
        <f t="shared" si="1"/>
        <v>307</v>
      </c>
      <c r="T38" s="106">
        <v>1611</v>
      </c>
      <c r="U38" s="106">
        <f t="shared" si="2"/>
        <v>529</v>
      </c>
      <c r="V38" s="106">
        <v>2669</v>
      </c>
      <c r="W38" s="106">
        <f t="shared" si="3"/>
        <v>394</v>
      </c>
      <c r="X38" s="106">
        <v>3457</v>
      </c>
      <c r="Y38" s="106">
        <f t="shared" si="4"/>
        <v>16</v>
      </c>
      <c r="Z38" s="106">
        <v>3489</v>
      </c>
      <c r="AA38" s="106">
        <f t="shared" si="5"/>
        <v>0</v>
      </c>
      <c r="AB38" s="106">
        <v>3489</v>
      </c>
      <c r="AC38" s="106">
        <f t="shared" si="6"/>
        <v>0</v>
      </c>
      <c r="AD38" s="106">
        <v>3489</v>
      </c>
      <c r="AE38" s="107">
        <f t="shared" si="7"/>
        <v>1629</v>
      </c>
    </row>
    <row r="39" spans="2:31" ht="15.6" customHeight="1" x14ac:dyDescent="0.3">
      <c r="N39" s="212"/>
      <c r="O39" s="94" t="s">
        <v>69</v>
      </c>
      <c r="P39" s="108"/>
      <c r="Q39" s="108">
        <v>20</v>
      </c>
      <c r="R39" s="108">
        <v>1107</v>
      </c>
      <c r="S39" s="108">
        <f t="shared" si="1"/>
        <v>257</v>
      </c>
      <c r="T39" s="108">
        <v>1621</v>
      </c>
      <c r="U39" s="108">
        <f t="shared" si="2"/>
        <v>448.5</v>
      </c>
      <c r="V39" s="108">
        <v>2518</v>
      </c>
      <c r="W39" s="108">
        <f t="shared" si="3"/>
        <v>11.5</v>
      </c>
      <c r="X39" s="108">
        <v>2541</v>
      </c>
      <c r="Y39" s="108">
        <f t="shared" si="4"/>
        <v>0</v>
      </c>
      <c r="Z39" s="108">
        <v>2541</v>
      </c>
      <c r="AA39" s="108">
        <f t="shared" si="5"/>
        <v>0</v>
      </c>
      <c r="AB39" s="108">
        <v>2541</v>
      </c>
      <c r="AC39" s="108">
        <f t="shared" si="6"/>
        <v>0</v>
      </c>
      <c r="AD39" s="108">
        <v>2541</v>
      </c>
      <c r="AE39" s="109">
        <f t="shared" si="7"/>
        <v>2521</v>
      </c>
    </row>
    <row r="40" spans="2:31" ht="15.6" customHeight="1" x14ac:dyDescent="0.3">
      <c r="N40" s="212"/>
      <c r="O40" s="95" t="s">
        <v>70</v>
      </c>
      <c r="P40" s="106"/>
      <c r="Q40" s="106">
        <v>0</v>
      </c>
      <c r="R40" s="106">
        <v>724</v>
      </c>
      <c r="S40" s="106">
        <f t="shared" si="1"/>
        <v>175.5</v>
      </c>
      <c r="T40" s="106">
        <v>1075</v>
      </c>
      <c r="U40" s="106">
        <f t="shared" si="2"/>
        <v>498</v>
      </c>
      <c r="V40" s="106">
        <v>2071</v>
      </c>
      <c r="W40" s="106">
        <f t="shared" si="3"/>
        <v>262.5</v>
      </c>
      <c r="X40" s="106">
        <v>2596</v>
      </c>
      <c r="Y40" s="106">
        <f t="shared" si="4"/>
        <v>666</v>
      </c>
      <c r="Z40" s="106">
        <v>3928</v>
      </c>
      <c r="AA40" s="106">
        <f t="shared" si="5"/>
        <v>0</v>
      </c>
      <c r="AB40" s="106">
        <v>3928</v>
      </c>
      <c r="AC40" s="106">
        <f t="shared" si="6"/>
        <v>0</v>
      </c>
      <c r="AD40" s="106">
        <v>3928</v>
      </c>
      <c r="AE40" s="107">
        <f t="shared" si="7"/>
        <v>3928</v>
      </c>
    </row>
    <row r="41" spans="2:31" ht="15.6" customHeight="1" x14ac:dyDescent="0.3">
      <c r="N41" s="212"/>
      <c r="O41" s="94" t="s">
        <v>71</v>
      </c>
      <c r="P41" s="108"/>
      <c r="Q41" s="108">
        <v>666</v>
      </c>
      <c r="R41" s="108">
        <v>0</v>
      </c>
      <c r="S41" s="108">
        <f t="shared" si="1"/>
        <v>334.5</v>
      </c>
      <c r="T41" s="108">
        <v>669</v>
      </c>
      <c r="U41" s="108">
        <f t="shared" si="2"/>
        <v>0</v>
      </c>
      <c r="V41" s="108">
        <v>669</v>
      </c>
      <c r="W41" s="108">
        <f t="shared" si="3"/>
        <v>0</v>
      </c>
      <c r="X41" s="108">
        <v>669</v>
      </c>
      <c r="Y41" s="108">
        <f t="shared" si="4"/>
        <v>0</v>
      </c>
      <c r="Z41" s="108">
        <v>669</v>
      </c>
      <c r="AA41" s="108">
        <f t="shared" si="5"/>
        <v>0</v>
      </c>
      <c r="AB41" s="108">
        <v>669</v>
      </c>
      <c r="AC41" s="108">
        <f t="shared" si="6"/>
        <v>0</v>
      </c>
      <c r="AD41" s="108">
        <v>669</v>
      </c>
      <c r="AE41" s="109">
        <f t="shared" si="7"/>
        <v>3</v>
      </c>
    </row>
    <row r="42" spans="2:31" ht="15.6" customHeight="1" x14ac:dyDescent="0.3">
      <c r="N42" s="212"/>
      <c r="O42" s="95" t="s">
        <v>72</v>
      </c>
      <c r="P42" s="106"/>
      <c r="Q42" s="106">
        <v>50</v>
      </c>
      <c r="R42" s="106">
        <v>498</v>
      </c>
      <c r="S42" s="106">
        <f t="shared" si="1"/>
        <v>240</v>
      </c>
      <c r="T42" s="106">
        <v>978</v>
      </c>
      <c r="U42" s="106">
        <f t="shared" si="2"/>
        <v>234</v>
      </c>
      <c r="V42" s="106">
        <v>1446</v>
      </c>
      <c r="W42" s="106">
        <f t="shared" si="3"/>
        <v>105.5</v>
      </c>
      <c r="X42" s="106">
        <v>1657</v>
      </c>
      <c r="Y42" s="106">
        <f t="shared" si="4"/>
        <v>58</v>
      </c>
      <c r="Z42" s="106">
        <v>1773</v>
      </c>
      <c r="AA42" s="106">
        <f t="shared" si="5"/>
        <v>0</v>
      </c>
      <c r="AB42" s="106">
        <v>1773</v>
      </c>
      <c r="AC42" s="106">
        <f t="shared" si="6"/>
        <v>0</v>
      </c>
      <c r="AD42" s="106">
        <v>1773</v>
      </c>
      <c r="AE42" s="107">
        <f t="shared" si="7"/>
        <v>1723</v>
      </c>
    </row>
    <row r="43" spans="2:31" ht="15.6" customHeight="1" thickBot="1" x14ac:dyDescent="0.35">
      <c r="N43" s="213"/>
      <c r="O43" s="97" t="s">
        <v>73</v>
      </c>
      <c r="P43" s="110"/>
      <c r="Q43" s="110">
        <v>1867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300</v>
      </c>
      <c r="V43" s="110">
        <v>600</v>
      </c>
      <c r="W43" s="110">
        <f t="shared" si="3"/>
        <v>6</v>
      </c>
      <c r="X43" s="110">
        <v>612</v>
      </c>
      <c r="Y43" s="110">
        <f t="shared" si="4"/>
        <v>629</v>
      </c>
      <c r="Z43" s="110">
        <v>1870</v>
      </c>
      <c r="AA43" s="110">
        <f t="shared" si="5"/>
        <v>0</v>
      </c>
      <c r="AB43" s="110">
        <v>1870</v>
      </c>
      <c r="AC43" s="110">
        <f t="shared" si="6"/>
        <v>0</v>
      </c>
      <c r="AD43" s="110">
        <v>1870</v>
      </c>
      <c r="AE43" s="111">
        <f t="shared" si="7"/>
        <v>3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892</v>
      </c>
      <c r="X44" s="112">
        <v>1784</v>
      </c>
      <c r="Y44" s="112">
        <f t="shared" si="4"/>
        <v>489</v>
      </c>
      <c r="Z44" s="112">
        <v>2762</v>
      </c>
      <c r="AA44" s="112">
        <f t="shared" si="5"/>
        <v>0</v>
      </c>
      <c r="AB44" s="112">
        <v>2762</v>
      </c>
      <c r="AC44" s="112">
        <f t="shared" si="6"/>
        <v>0</v>
      </c>
      <c r="AD44" s="112">
        <v>2762</v>
      </c>
      <c r="AE44" s="113">
        <f t="shared" si="7"/>
        <v>2762</v>
      </c>
    </row>
    <row r="45" spans="2:31" ht="15.6" customHeight="1" x14ac:dyDescent="0.3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503.5</v>
      </c>
      <c r="X45" s="108">
        <v>1007</v>
      </c>
      <c r="Y45" s="108">
        <f t="shared" si="4"/>
        <v>633.5</v>
      </c>
      <c r="Z45" s="108">
        <v>2274</v>
      </c>
      <c r="AA45" s="108">
        <f t="shared" si="5"/>
        <v>0</v>
      </c>
      <c r="AB45" s="108">
        <v>2274</v>
      </c>
      <c r="AC45" s="108">
        <f t="shared" si="6"/>
        <v>0</v>
      </c>
      <c r="AD45" s="108">
        <v>2274</v>
      </c>
      <c r="AE45" s="109">
        <f t="shared" si="7"/>
        <v>2274</v>
      </c>
    </row>
    <row r="46" spans="2:31" ht="15.6" customHeight="1" x14ac:dyDescent="0.3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1288</v>
      </c>
      <c r="X46" s="106">
        <v>2576</v>
      </c>
      <c r="Y46" s="106">
        <f t="shared" si="4"/>
        <v>0</v>
      </c>
      <c r="Z46" s="106">
        <v>2576</v>
      </c>
      <c r="AA46" s="106">
        <f t="shared" si="5"/>
        <v>0</v>
      </c>
      <c r="AB46" s="106">
        <v>2576</v>
      </c>
      <c r="AC46" s="106">
        <f t="shared" si="6"/>
        <v>0</v>
      </c>
      <c r="AD46" s="106">
        <v>2576</v>
      </c>
      <c r="AE46" s="107">
        <f t="shared" si="7"/>
        <v>2576</v>
      </c>
    </row>
    <row r="47" spans="2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1487</v>
      </c>
      <c r="X47" s="110">
        <v>2974</v>
      </c>
      <c r="Y47" s="110">
        <f t="shared" si="4"/>
        <v>0</v>
      </c>
      <c r="Z47" s="110">
        <v>2974</v>
      </c>
      <c r="AA47" s="110">
        <f t="shared" si="5"/>
        <v>0</v>
      </c>
      <c r="AB47" s="110">
        <v>2974</v>
      </c>
      <c r="AC47" s="110">
        <f t="shared" si="6"/>
        <v>0</v>
      </c>
      <c r="AD47" s="110">
        <v>2974</v>
      </c>
      <c r="AE47" s="111">
        <f t="shared" si="7"/>
        <v>2974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94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70.5</v>
      </c>
      <c r="V48" s="112">
        <v>141</v>
      </c>
      <c r="W48" s="112">
        <f t="shared" si="3"/>
        <v>58.5</v>
      </c>
      <c r="X48" s="112">
        <v>258</v>
      </c>
      <c r="Y48" s="112">
        <f t="shared" si="4"/>
        <v>0</v>
      </c>
      <c r="Z48" s="112">
        <v>258</v>
      </c>
      <c r="AA48" s="112">
        <f t="shared" si="5"/>
        <v>0</v>
      </c>
      <c r="AB48" s="112">
        <v>258</v>
      </c>
      <c r="AC48" s="112">
        <f t="shared" si="6"/>
        <v>0</v>
      </c>
      <c r="AD48" s="112">
        <v>258</v>
      </c>
      <c r="AE48" s="113">
        <f t="shared" si="7"/>
        <v>164</v>
      </c>
    </row>
    <row r="49" spans="14:31" ht="15.6" customHeight="1" x14ac:dyDescent="0.3">
      <c r="N49" s="212"/>
      <c r="O49" s="94" t="s">
        <v>66</v>
      </c>
      <c r="P49" s="108"/>
      <c r="Q49" s="108">
        <v>0</v>
      </c>
      <c r="R49" s="108">
        <v>0</v>
      </c>
      <c r="S49" s="108" t="str">
        <f t="shared" si="1"/>
        <v/>
      </c>
      <c r="T49" s="108">
        <v>0</v>
      </c>
      <c r="U49" s="108" t="str">
        <f t="shared" si="2"/>
        <v/>
      </c>
      <c r="V49" s="108">
        <v>0</v>
      </c>
      <c r="W49" s="108">
        <f t="shared" si="3"/>
        <v>228</v>
      </c>
      <c r="X49" s="108">
        <v>456</v>
      </c>
      <c r="Y49" s="108">
        <f t="shared" si="4"/>
        <v>0</v>
      </c>
      <c r="Z49" s="108">
        <v>456</v>
      </c>
      <c r="AA49" s="108">
        <f t="shared" si="5"/>
        <v>0</v>
      </c>
      <c r="AB49" s="108">
        <v>456</v>
      </c>
      <c r="AC49" s="108">
        <f t="shared" si="6"/>
        <v>0</v>
      </c>
      <c r="AD49" s="108">
        <v>456</v>
      </c>
      <c r="AE49" s="109">
        <f t="shared" si="7"/>
        <v>456</v>
      </c>
    </row>
    <row r="50" spans="14:31" ht="15.6" customHeight="1" x14ac:dyDescent="0.3">
      <c r="N50" s="212"/>
      <c r="O50" s="95" t="s">
        <v>67</v>
      </c>
      <c r="P50" s="106"/>
      <c r="Q50" s="106">
        <v>1141</v>
      </c>
      <c r="R50" s="106">
        <v>443</v>
      </c>
      <c r="S50" s="106">
        <f t="shared" si="1"/>
        <v>72.5</v>
      </c>
      <c r="T50" s="106">
        <v>588</v>
      </c>
      <c r="U50" s="106">
        <f t="shared" si="2"/>
        <v>15</v>
      </c>
      <c r="V50" s="106">
        <v>618</v>
      </c>
      <c r="W50" s="106">
        <f t="shared" si="3"/>
        <v>175.5</v>
      </c>
      <c r="X50" s="106">
        <v>969</v>
      </c>
      <c r="Y50" s="106">
        <f t="shared" si="4"/>
        <v>0</v>
      </c>
      <c r="Z50" s="106">
        <v>969</v>
      </c>
      <c r="AA50" s="106">
        <f t="shared" si="5"/>
        <v>0</v>
      </c>
      <c r="AB50" s="106">
        <v>969</v>
      </c>
      <c r="AC50" s="106">
        <f t="shared" si="6"/>
        <v>0</v>
      </c>
      <c r="AD50" s="106">
        <v>969</v>
      </c>
      <c r="AE50" s="107">
        <f t="shared" si="7"/>
        <v>-172</v>
      </c>
    </row>
    <row r="51" spans="14:31" ht="15.6" customHeight="1" x14ac:dyDescent="0.3">
      <c r="N51" s="212"/>
      <c r="O51" s="94" t="s">
        <v>68</v>
      </c>
      <c r="P51" s="108"/>
      <c r="Q51" s="108">
        <v>1088</v>
      </c>
      <c r="R51" s="108">
        <v>371</v>
      </c>
      <c r="S51" s="108">
        <f t="shared" si="1"/>
        <v>109</v>
      </c>
      <c r="T51" s="108">
        <v>589</v>
      </c>
      <c r="U51" s="108">
        <f t="shared" si="2"/>
        <v>148.5</v>
      </c>
      <c r="V51" s="108">
        <v>886</v>
      </c>
      <c r="W51" s="108">
        <f t="shared" si="3"/>
        <v>21</v>
      </c>
      <c r="X51" s="108">
        <v>928</v>
      </c>
      <c r="Y51" s="108">
        <f t="shared" si="4"/>
        <v>0</v>
      </c>
      <c r="Z51" s="108">
        <v>928</v>
      </c>
      <c r="AA51" s="108">
        <f t="shared" si="5"/>
        <v>0</v>
      </c>
      <c r="AB51" s="108">
        <v>928</v>
      </c>
      <c r="AC51" s="108">
        <f t="shared" si="6"/>
        <v>0</v>
      </c>
      <c r="AD51" s="108">
        <v>928</v>
      </c>
      <c r="AE51" s="109">
        <f t="shared" si="7"/>
        <v>-160</v>
      </c>
    </row>
    <row r="52" spans="14:31" ht="15.6" customHeight="1" x14ac:dyDescent="0.3">
      <c r="N52" s="212"/>
      <c r="O52" s="95" t="s">
        <v>69</v>
      </c>
      <c r="P52" s="106"/>
      <c r="Q52" s="106">
        <v>1454</v>
      </c>
      <c r="R52" s="106">
        <v>0</v>
      </c>
      <c r="S52" s="106">
        <f t="shared" si="1"/>
        <v>112.5</v>
      </c>
      <c r="T52" s="106">
        <v>225</v>
      </c>
      <c r="U52" s="106">
        <f t="shared" si="2"/>
        <v>274</v>
      </c>
      <c r="V52" s="106">
        <v>773</v>
      </c>
      <c r="W52" s="106">
        <f t="shared" si="3"/>
        <v>190</v>
      </c>
      <c r="X52" s="106">
        <v>1153</v>
      </c>
      <c r="Y52" s="106">
        <f t="shared" si="4"/>
        <v>0</v>
      </c>
      <c r="Z52" s="106">
        <v>1153</v>
      </c>
      <c r="AA52" s="106">
        <f t="shared" si="5"/>
        <v>0</v>
      </c>
      <c r="AB52" s="106">
        <v>1153</v>
      </c>
      <c r="AC52" s="106">
        <f t="shared" si="6"/>
        <v>0</v>
      </c>
      <c r="AD52" s="106">
        <v>1153</v>
      </c>
      <c r="AE52" s="107">
        <f t="shared" si="7"/>
        <v>-301</v>
      </c>
    </row>
    <row r="53" spans="14:31" ht="15.6" customHeight="1" x14ac:dyDescent="0.3">
      <c r="N53" s="212"/>
      <c r="O53" s="94" t="s">
        <v>70</v>
      </c>
      <c r="P53" s="108"/>
      <c r="Q53" s="108">
        <v>716</v>
      </c>
      <c r="R53" s="108">
        <v>716</v>
      </c>
      <c r="S53" s="108">
        <f t="shared" si="1"/>
        <v>0</v>
      </c>
      <c r="T53" s="108">
        <v>716</v>
      </c>
      <c r="U53" s="108">
        <f t="shared" si="2"/>
        <v>95</v>
      </c>
      <c r="V53" s="108">
        <v>906</v>
      </c>
      <c r="W53" s="108">
        <f t="shared" si="3"/>
        <v>48</v>
      </c>
      <c r="X53" s="108">
        <v>1002</v>
      </c>
      <c r="Y53" s="108">
        <f t="shared" si="4"/>
        <v>0</v>
      </c>
      <c r="Z53" s="108">
        <v>1002</v>
      </c>
      <c r="AA53" s="108">
        <f t="shared" si="5"/>
        <v>0</v>
      </c>
      <c r="AB53" s="108">
        <v>1002</v>
      </c>
      <c r="AC53" s="108">
        <f t="shared" si="6"/>
        <v>0</v>
      </c>
      <c r="AD53" s="108">
        <v>1002</v>
      </c>
      <c r="AE53" s="109">
        <f t="shared" si="7"/>
        <v>286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1000</v>
      </c>
      <c r="S54" s="106">
        <f t="shared" si="1"/>
        <v>223</v>
      </c>
      <c r="T54" s="106">
        <v>1446</v>
      </c>
      <c r="U54" s="106">
        <f t="shared" si="2"/>
        <v>200</v>
      </c>
      <c r="V54" s="106">
        <v>1846</v>
      </c>
      <c r="W54" s="106">
        <f t="shared" si="3"/>
        <v>984</v>
      </c>
      <c r="X54" s="106">
        <v>3814</v>
      </c>
      <c r="Y54" s="106">
        <f t="shared" si="4"/>
        <v>0</v>
      </c>
      <c r="Z54" s="106">
        <v>3814</v>
      </c>
      <c r="AA54" s="106">
        <f t="shared" si="5"/>
        <v>0</v>
      </c>
      <c r="AB54" s="106">
        <v>3814</v>
      </c>
      <c r="AC54" s="106">
        <f t="shared" si="6"/>
        <v>0</v>
      </c>
      <c r="AD54" s="106">
        <v>3814</v>
      </c>
      <c r="AE54" s="107">
        <f t="shared" si="7"/>
        <v>3814</v>
      </c>
    </row>
    <row r="55" spans="14:31" ht="15.6" customHeight="1" x14ac:dyDescent="0.3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121</v>
      </c>
      <c r="X55" s="108">
        <v>242</v>
      </c>
      <c r="Y55" s="108">
        <f t="shared" si="4"/>
        <v>0</v>
      </c>
      <c r="Z55" s="108">
        <v>242</v>
      </c>
      <c r="AA55" s="108">
        <f t="shared" si="5"/>
        <v>0</v>
      </c>
      <c r="AB55" s="108">
        <v>242</v>
      </c>
      <c r="AC55" s="108">
        <f t="shared" si="6"/>
        <v>0</v>
      </c>
      <c r="AD55" s="108">
        <v>242</v>
      </c>
      <c r="AE55" s="109">
        <f t="shared" si="7"/>
        <v>242</v>
      </c>
    </row>
    <row r="56" spans="14:31" ht="15.6" customHeight="1" thickBot="1" x14ac:dyDescent="0.35">
      <c r="N56" s="213"/>
      <c r="O56" s="99" t="s">
        <v>73</v>
      </c>
      <c r="P56" s="114"/>
      <c r="Q56" s="114">
        <v>543</v>
      </c>
      <c r="R56" s="114">
        <v>40</v>
      </c>
      <c r="S56" s="114">
        <f t="shared" si="1"/>
        <v>103.5</v>
      </c>
      <c r="T56" s="114">
        <v>247</v>
      </c>
      <c r="U56" s="114">
        <f t="shared" si="2"/>
        <v>173.5</v>
      </c>
      <c r="V56" s="114">
        <v>594</v>
      </c>
      <c r="W56" s="114">
        <f t="shared" si="3"/>
        <v>3</v>
      </c>
      <c r="X56" s="114">
        <v>600</v>
      </c>
      <c r="Y56" s="114">
        <f t="shared" si="4"/>
        <v>0</v>
      </c>
      <c r="Z56" s="114">
        <v>600</v>
      </c>
      <c r="AA56" s="114">
        <f t="shared" si="5"/>
        <v>0</v>
      </c>
      <c r="AB56" s="114">
        <v>600</v>
      </c>
      <c r="AC56" s="114">
        <f t="shared" si="6"/>
        <v>0</v>
      </c>
      <c r="AD56" s="114">
        <v>600</v>
      </c>
      <c r="AE56" s="115">
        <f t="shared" si="7"/>
        <v>57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1006</v>
      </c>
      <c r="R57" s="104">
        <v>169</v>
      </c>
      <c r="S57" s="104">
        <f t="shared" si="1"/>
        <v>0</v>
      </c>
      <c r="T57" s="104">
        <v>169</v>
      </c>
      <c r="U57" s="104">
        <f t="shared" si="2"/>
        <v>262.5</v>
      </c>
      <c r="V57" s="104">
        <v>694</v>
      </c>
      <c r="W57" s="104">
        <f t="shared" si="3"/>
        <v>128.5</v>
      </c>
      <c r="X57" s="104">
        <v>951</v>
      </c>
      <c r="Y57" s="104">
        <f t="shared" si="4"/>
        <v>0</v>
      </c>
      <c r="Z57" s="104">
        <v>951</v>
      </c>
      <c r="AA57" s="104">
        <f t="shared" si="5"/>
        <v>0</v>
      </c>
      <c r="AB57" s="104">
        <v>951</v>
      </c>
      <c r="AC57" s="104">
        <f t="shared" si="6"/>
        <v>0</v>
      </c>
      <c r="AD57" s="104">
        <v>951</v>
      </c>
      <c r="AE57" s="105">
        <f t="shared" si="7"/>
        <v>-55</v>
      </c>
    </row>
    <row r="58" spans="14:31" ht="15.6" customHeight="1" x14ac:dyDescent="0.3">
      <c r="N58" s="212"/>
      <c r="O58" s="95" t="s">
        <v>66</v>
      </c>
      <c r="P58" s="106"/>
      <c r="Q58" s="106">
        <v>224</v>
      </c>
      <c r="R58" s="106">
        <v>430</v>
      </c>
      <c r="S58" s="106">
        <f t="shared" si="1"/>
        <v>255</v>
      </c>
      <c r="T58" s="106">
        <v>940</v>
      </c>
      <c r="U58" s="106">
        <f t="shared" si="2"/>
        <v>554</v>
      </c>
      <c r="V58" s="106">
        <v>2048</v>
      </c>
      <c r="W58" s="106">
        <f t="shared" si="3"/>
        <v>220</v>
      </c>
      <c r="X58" s="106">
        <v>2488</v>
      </c>
      <c r="Y58" s="106">
        <f t="shared" si="4"/>
        <v>0</v>
      </c>
      <c r="Z58" s="106">
        <v>2488</v>
      </c>
      <c r="AA58" s="106">
        <f t="shared" si="5"/>
        <v>0</v>
      </c>
      <c r="AB58" s="106">
        <v>2488</v>
      </c>
      <c r="AC58" s="106">
        <f t="shared" si="6"/>
        <v>0</v>
      </c>
      <c r="AD58" s="106">
        <v>2488</v>
      </c>
      <c r="AE58" s="107">
        <f t="shared" si="7"/>
        <v>2264</v>
      </c>
    </row>
    <row r="59" spans="14:31" ht="15.6" customHeight="1" x14ac:dyDescent="0.3">
      <c r="N59" s="212"/>
      <c r="O59" s="94" t="s">
        <v>67</v>
      </c>
      <c r="P59" s="108"/>
      <c r="Q59" s="108">
        <v>3970</v>
      </c>
      <c r="R59" s="108">
        <v>692</v>
      </c>
      <c r="S59" s="108">
        <f t="shared" si="1"/>
        <v>563</v>
      </c>
      <c r="T59" s="108">
        <v>1818</v>
      </c>
      <c r="U59" s="108">
        <f t="shared" si="2"/>
        <v>225</v>
      </c>
      <c r="V59" s="108">
        <v>2268</v>
      </c>
      <c r="W59" s="108">
        <f t="shared" si="3"/>
        <v>633</v>
      </c>
      <c r="X59" s="108">
        <v>3534</v>
      </c>
      <c r="Y59" s="108">
        <f t="shared" si="4"/>
        <v>39.5</v>
      </c>
      <c r="Z59" s="108">
        <v>3613</v>
      </c>
      <c r="AA59" s="108">
        <f t="shared" si="5"/>
        <v>0</v>
      </c>
      <c r="AB59" s="108">
        <v>3613</v>
      </c>
      <c r="AC59" s="108">
        <f t="shared" si="6"/>
        <v>0</v>
      </c>
      <c r="AD59" s="108">
        <v>3613</v>
      </c>
      <c r="AE59" s="109">
        <f t="shared" si="7"/>
        <v>-357</v>
      </c>
    </row>
    <row r="60" spans="14:31" ht="15.6" customHeight="1" thickBot="1" x14ac:dyDescent="0.35">
      <c r="N60" s="213"/>
      <c r="O60" s="99" t="s">
        <v>68</v>
      </c>
      <c r="P60" s="114"/>
      <c r="Q60" s="114">
        <v>379</v>
      </c>
      <c r="R60" s="114">
        <v>1348</v>
      </c>
      <c r="S60" s="114">
        <f t="shared" si="1"/>
        <v>424</v>
      </c>
      <c r="T60" s="114">
        <v>2196</v>
      </c>
      <c r="U60" s="114">
        <f t="shared" si="2"/>
        <v>329.5</v>
      </c>
      <c r="V60" s="114">
        <v>2855</v>
      </c>
      <c r="W60" s="114">
        <f t="shared" si="3"/>
        <v>393.5</v>
      </c>
      <c r="X60" s="114">
        <v>3642</v>
      </c>
      <c r="Y60" s="114">
        <f t="shared" si="4"/>
        <v>0</v>
      </c>
      <c r="Z60" s="114">
        <v>3642</v>
      </c>
      <c r="AA60" s="114">
        <f t="shared" si="5"/>
        <v>0</v>
      </c>
      <c r="AB60" s="114">
        <v>3642</v>
      </c>
      <c r="AC60" s="114">
        <f t="shared" si="6"/>
        <v>0</v>
      </c>
      <c r="AD60" s="114">
        <v>3642</v>
      </c>
      <c r="AE60" s="115">
        <f t="shared" si="7"/>
        <v>3263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3948</v>
      </c>
      <c r="R61" s="104">
        <v>808</v>
      </c>
      <c r="S61" s="104">
        <f t="shared" si="1"/>
        <v>345</v>
      </c>
      <c r="T61" s="104">
        <v>1498</v>
      </c>
      <c r="U61" s="104">
        <f t="shared" si="2"/>
        <v>217</v>
      </c>
      <c r="V61" s="104">
        <v>1932</v>
      </c>
      <c r="W61" s="104">
        <f t="shared" si="3"/>
        <v>375</v>
      </c>
      <c r="X61" s="104">
        <v>2682</v>
      </c>
      <c r="Y61" s="104">
        <f t="shared" si="4"/>
        <v>0</v>
      </c>
      <c r="Z61" s="104">
        <v>2682</v>
      </c>
      <c r="AA61" s="104">
        <f t="shared" si="5"/>
        <v>0</v>
      </c>
      <c r="AB61" s="104">
        <v>2682</v>
      </c>
      <c r="AC61" s="104">
        <f t="shared" si="6"/>
        <v>0</v>
      </c>
      <c r="AD61" s="104">
        <v>2682</v>
      </c>
      <c r="AE61" s="105">
        <f t="shared" si="7"/>
        <v>-1266</v>
      </c>
    </row>
    <row r="62" spans="14:31" ht="15.6" customHeight="1" x14ac:dyDescent="0.3">
      <c r="N62" s="212"/>
      <c r="O62" s="95" t="s">
        <v>66</v>
      </c>
      <c r="P62" s="106"/>
      <c r="Q62" s="106">
        <v>3267</v>
      </c>
      <c r="R62" s="106">
        <v>0</v>
      </c>
      <c r="S62" s="106">
        <f t="shared" si="1"/>
        <v>63</v>
      </c>
      <c r="T62" s="106">
        <v>126</v>
      </c>
      <c r="U62" s="106">
        <f t="shared" si="2"/>
        <v>157.5</v>
      </c>
      <c r="V62" s="106">
        <v>441</v>
      </c>
      <c r="W62" s="106">
        <f t="shared" si="3"/>
        <v>875</v>
      </c>
      <c r="X62" s="106">
        <v>2191</v>
      </c>
      <c r="Y62" s="106">
        <f t="shared" si="4"/>
        <v>0</v>
      </c>
      <c r="Z62" s="106">
        <v>2191</v>
      </c>
      <c r="AA62" s="106">
        <f t="shared" si="5"/>
        <v>0</v>
      </c>
      <c r="AB62" s="106">
        <v>2191</v>
      </c>
      <c r="AC62" s="106">
        <f t="shared" si="6"/>
        <v>0</v>
      </c>
      <c r="AD62" s="106">
        <v>2191</v>
      </c>
      <c r="AE62" s="107">
        <f t="shared" si="7"/>
        <v>-1076</v>
      </c>
    </row>
    <row r="63" spans="14:31" ht="15.6" customHeight="1" x14ac:dyDescent="0.3">
      <c r="N63" s="212"/>
      <c r="O63" s="94" t="s">
        <v>67</v>
      </c>
      <c r="P63" s="108"/>
      <c r="Q63" s="108">
        <v>1368</v>
      </c>
      <c r="R63" s="108">
        <v>399</v>
      </c>
      <c r="S63" s="108">
        <f t="shared" si="1"/>
        <v>366.5</v>
      </c>
      <c r="T63" s="108">
        <v>1132</v>
      </c>
      <c r="U63" s="108">
        <f t="shared" si="2"/>
        <v>113.5</v>
      </c>
      <c r="V63" s="108">
        <v>1359</v>
      </c>
      <c r="W63" s="108">
        <f t="shared" si="3"/>
        <v>67</v>
      </c>
      <c r="X63" s="108">
        <v>1493</v>
      </c>
      <c r="Y63" s="108">
        <f t="shared" si="4"/>
        <v>0</v>
      </c>
      <c r="Z63" s="108">
        <v>1493</v>
      </c>
      <c r="AA63" s="108">
        <f t="shared" si="5"/>
        <v>0</v>
      </c>
      <c r="AB63" s="108">
        <v>1493</v>
      </c>
      <c r="AC63" s="108">
        <f t="shared" si="6"/>
        <v>0</v>
      </c>
      <c r="AD63" s="108">
        <v>1493</v>
      </c>
      <c r="AE63" s="109">
        <f t="shared" si="7"/>
        <v>125</v>
      </c>
    </row>
    <row r="64" spans="14:31" ht="15.6" customHeight="1" thickBot="1" x14ac:dyDescent="0.35">
      <c r="N64" s="213"/>
      <c r="O64" s="99" t="s">
        <v>68</v>
      </c>
      <c r="P64" s="114"/>
      <c r="Q64" s="114">
        <v>1050</v>
      </c>
      <c r="R64" s="114">
        <v>765</v>
      </c>
      <c r="S64" s="114">
        <f t="shared" si="1"/>
        <v>0</v>
      </c>
      <c r="T64" s="114">
        <v>765</v>
      </c>
      <c r="U64" s="114">
        <f t="shared" si="2"/>
        <v>0</v>
      </c>
      <c r="V64" s="114">
        <v>765</v>
      </c>
      <c r="W64" s="114">
        <f t="shared" si="3"/>
        <v>340.5</v>
      </c>
      <c r="X64" s="114">
        <v>1446</v>
      </c>
      <c r="Y64" s="114">
        <f t="shared" si="4"/>
        <v>0</v>
      </c>
      <c r="Z64" s="114">
        <v>1446</v>
      </c>
      <c r="AA64" s="114">
        <f t="shared" si="5"/>
        <v>0</v>
      </c>
      <c r="AB64" s="114">
        <v>1446</v>
      </c>
      <c r="AC64" s="114">
        <f t="shared" si="6"/>
        <v>0</v>
      </c>
      <c r="AD64" s="114">
        <v>1446</v>
      </c>
      <c r="AE64" s="115">
        <f t="shared" si="7"/>
        <v>396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39" priority="11" operator="lessThan">
      <formula>0</formula>
    </cfRule>
    <cfRule type="cellIs" dxfId="1138" priority="12" operator="greaterThan">
      <formula>0</formula>
    </cfRule>
  </conditionalFormatting>
  <conditionalFormatting sqref="R25:AC25">
    <cfRule type="cellIs" dxfId="1137" priority="9" operator="lessThan">
      <formula>0</formula>
    </cfRule>
    <cfRule type="cellIs" dxfId="1136" priority="10" operator="greaterThan">
      <formula>0</formula>
    </cfRule>
  </conditionalFormatting>
  <conditionalFormatting sqref="R26 T26 V26 X26 Z26 AB26">
    <cfRule type="cellIs" dxfId="1135" priority="7" operator="lessThan">
      <formula>0</formula>
    </cfRule>
    <cfRule type="cellIs" dxfId="1134" priority="8" operator="greaterThan">
      <formula>0</formula>
    </cfRule>
  </conditionalFormatting>
  <conditionalFormatting sqref="AD24:AE24">
    <cfRule type="cellIs" dxfId="1133" priority="5" operator="lessThan">
      <formula>0</formula>
    </cfRule>
    <cfRule type="cellIs" dxfId="1132" priority="6" operator="greaterThan">
      <formula>0</formula>
    </cfRule>
  </conditionalFormatting>
  <conditionalFormatting sqref="AD25:AE25">
    <cfRule type="cellIs" dxfId="1131" priority="3" operator="lessThan">
      <formula>0</formula>
    </cfRule>
    <cfRule type="cellIs" dxfId="1130" priority="4" operator="greaterThan">
      <formula>0</formula>
    </cfRule>
  </conditionalFormatting>
  <conditionalFormatting sqref="AD26">
    <cfRule type="cellIs" dxfId="1129" priority="1" operator="lessThan">
      <formula>0</formula>
    </cfRule>
    <cfRule type="cellIs" dxfId="112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>
    <tabColor theme="1"/>
    <pageSetUpPr fitToPage="1"/>
  </sheetPr>
  <dimension ref="B1:AQ64"/>
  <sheetViews>
    <sheetView topLeftCell="A4" zoomScale="80" zoomScaleNormal="8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44424</v>
      </c>
    </row>
    <row r="3" spans="2:42" ht="18.75" customHeight="1" thickBot="1" x14ac:dyDescent="0.35">
      <c r="B3" t="s">
        <v>1</v>
      </c>
      <c r="C3" s="3">
        <f>C2+1</f>
        <v>44425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2390</v>
      </c>
      <c r="E6" s="18" t="s">
        <v>22</v>
      </c>
      <c r="F6" s="119">
        <v>19478</v>
      </c>
      <c r="G6" s="117">
        <v>16252.681624999999</v>
      </c>
      <c r="H6" s="117">
        <v>13791.05184489999</v>
      </c>
      <c r="I6" s="19">
        <f>G6+H6</f>
        <v>30043.733469899991</v>
      </c>
      <c r="J6" s="119">
        <v>19726</v>
      </c>
      <c r="K6" s="117">
        <v>16565.127250000009</v>
      </c>
      <c r="L6" s="117">
        <v>14378.03823582001</v>
      </c>
      <c r="M6" s="19">
        <f>K6+L6</f>
        <v>30943.16548582002</v>
      </c>
      <c r="N6" s="85">
        <v>67</v>
      </c>
      <c r="O6" s="85">
        <v>46</v>
      </c>
      <c r="P6" s="92"/>
      <c r="Q6" s="20">
        <f>J6-P6</f>
        <v>19726</v>
      </c>
      <c r="R6" s="21">
        <v>2966</v>
      </c>
      <c r="S6" s="20">
        <f>IF(R6&gt;0,(R6-R7-$Q6),"")</f>
        <v>-16788</v>
      </c>
      <c r="T6" s="21">
        <v>6621</v>
      </c>
      <c r="U6" s="20">
        <f>IF(T6&gt;0,(T6-T7-$Q6),"")</f>
        <v>-13304</v>
      </c>
      <c r="V6" s="21">
        <v>10593</v>
      </c>
      <c r="W6" s="20">
        <f>IF(V6&gt;0,(V6-V7-$Q6),"")</f>
        <v>-9369</v>
      </c>
      <c r="X6" s="21">
        <v>13795</v>
      </c>
      <c r="Y6" s="20">
        <f>IF(X6&gt;0,(X6-X7-$Q6),"")</f>
        <v>-6364</v>
      </c>
      <c r="Z6" s="21">
        <v>17234</v>
      </c>
      <c r="AA6" s="20">
        <f>IF(Z6&gt;0,(Z6-Z7-$Q6),"")</f>
        <v>-2930</v>
      </c>
      <c r="AB6" s="21">
        <v>19037</v>
      </c>
      <c r="AC6" s="22">
        <f>IF(AB6&gt;0,(AB6-AB7-$Q6),"")</f>
        <v>-1130</v>
      </c>
      <c r="AD6" s="21">
        <v>19037</v>
      </c>
      <c r="AE6" s="22">
        <f>IF(AD6&gt;0,(AD6-AD7-$Q6),"")</f>
        <v>-1130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21</v>
      </c>
      <c r="P7" s="93" t="s">
        <v>24</v>
      </c>
      <c r="Q7" s="24"/>
      <c r="R7" s="25">
        <v>28</v>
      </c>
      <c r="S7" s="24"/>
      <c r="T7" s="25">
        <v>199</v>
      </c>
      <c r="U7" s="24"/>
      <c r="V7" s="25">
        <v>236</v>
      </c>
      <c r="W7" s="24"/>
      <c r="X7" s="25">
        <v>433</v>
      </c>
      <c r="Y7" s="24"/>
      <c r="Z7" s="25">
        <v>438</v>
      </c>
      <c r="AA7" s="24"/>
      <c r="AB7" s="25">
        <v>441</v>
      </c>
      <c r="AC7" s="26"/>
      <c r="AD7" s="25">
        <v>441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2641</v>
      </c>
      <c r="E8" s="29" t="s">
        <v>27</v>
      </c>
      <c r="F8" s="119">
        <v>11585</v>
      </c>
      <c r="G8" s="117">
        <v>4774.68</v>
      </c>
      <c r="H8" s="117">
        <v>1467.3638725000001</v>
      </c>
      <c r="I8" s="19">
        <f>G8+H8</f>
        <v>6242.0438725000004</v>
      </c>
      <c r="J8" s="119">
        <v>12025</v>
      </c>
      <c r="K8" s="117">
        <v>4942.3599999999997</v>
      </c>
      <c r="L8" s="117">
        <v>1507.6110861</v>
      </c>
      <c r="M8" s="19">
        <f>K8+L8</f>
        <v>6449.9710860999994</v>
      </c>
      <c r="N8" s="87">
        <v>31</v>
      </c>
      <c r="O8" s="87">
        <v>22</v>
      </c>
      <c r="P8" s="92"/>
      <c r="Q8" s="20">
        <f>J8-P8</f>
        <v>12025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4332</v>
      </c>
      <c r="Y8" s="20">
        <f>IF(X8&gt;0,(X8-X9-$Q8),"")</f>
        <v>-7693</v>
      </c>
      <c r="Z8" s="21">
        <v>12025</v>
      </c>
      <c r="AA8" s="20">
        <f>IF(Z8&gt;0,(Z8-Z9-$Q8),"")</f>
        <v>0</v>
      </c>
      <c r="AB8" s="21">
        <v>12025</v>
      </c>
      <c r="AC8" s="22">
        <f>IF(AB8&gt;0,(AB8-AB9-$Q8),"")</f>
        <v>0</v>
      </c>
      <c r="AD8" s="21">
        <v>12025</v>
      </c>
      <c r="AE8" s="22">
        <f>IF(AD8&gt;0,(AD8-AD9-$Q8),"")</f>
        <v>0</v>
      </c>
    </row>
    <row r="9" spans="2:42" x14ac:dyDescent="0.3">
      <c r="B9" s="28" t="s">
        <v>28</v>
      </c>
      <c r="C9" s="17">
        <v>1540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5908</v>
      </c>
      <c r="E10" s="18" t="s">
        <v>31</v>
      </c>
      <c r="F10" s="119">
        <v>12778</v>
      </c>
      <c r="G10" s="117">
        <v>9292.1958749999958</v>
      </c>
      <c r="H10" s="117">
        <v>1780.05396</v>
      </c>
      <c r="I10" s="19">
        <f>G10+H10</f>
        <v>11072.249834999995</v>
      </c>
      <c r="J10" s="119">
        <v>13204</v>
      </c>
      <c r="K10" s="117">
        <v>9663.4738749999997</v>
      </c>
      <c r="L10" s="117">
        <v>1753.1465424999999</v>
      </c>
      <c r="M10" s="19">
        <f>K10+L10</f>
        <v>11416.6204175</v>
      </c>
      <c r="N10" s="88">
        <v>43</v>
      </c>
      <c r="O10" s="88">
        <v>40</v>
      </c>
      <c r="P10" s="92"/>
      <c r="Q10" s="20">
        <f>J10-P10</f>
        <v>13204</v>
      </c>
      <c r="R10" s="21">
        <v>2574</v>
      </c>
      <c r="S10" s="20">
        <f>IF(R10&gt;0,(R10-R11-$Q10),"")</f>
        <v>-11220</v>
      </c>
      <c r="T10" s="21">
        <v>4621</v>
      </c>
      <c r="U10" s="20">
        <f>IF(T10&gt;0,(T10-T11-$Q10),"")</f>
        <v>-9629</v>
      </c>
      <c r="V10" s="21">
        <v>9088</v>
      </c>
      <c r="W10" s="20">
        <f>IF(V10&gt;0,(V10-V11-$Q10),"")</f>
        <v>-5637</v>
      </c>
      <c r="X10" s="21">
        <v>10260</v>
      </c>
      <c r="Y10" s="20">
        <f>IF(X10&gt;0,(X10-X11-$Q10),"")</f>
        <v>-4667</v>
      </c>
      <c r="Z10" s="21">
        <v>10260</v>
      </c>
      <c r="AA10" s="20">
        <f>IF(Z10&gt;0,(Z10-Z11-$Q10),"")</f>
        <v>-4667</v>
      </c>
      <c r="AB10" s="21">
        <v>10260</v>
      </c>
      <c r="AC10" s="22">
        <f>IF(AB10&gt;0,(AB10-AB11-$Q10),"")</f>
        <v>-4667</v>
      </c>
      <c r="AD10" s="21">
        <v>10260</v>
      </c>
      <c r="AE10" s="22">
        <f>IF(AD10&gt;0,(AD10-AD11-$Q10),"")</f>
        <v>-4667</v>
      </c>
    </row>
    <row r="11" spans="2:42" x14ac:dyDescent="0.3">
      <c r="B11" s="16" t="s">
        <v>32</v>
      </c>
      <c r="C11" s="17">
        <v>2040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3</v>
      </c>
      <c r="P11" s="93" t="s">
        <v>33</v>
      </c>
      <c r="Q11" s="24"/>
      <c r="R11" s="30">
        <v>590</v>
      </c>
      <c r="S11" s="24"/>
      <c r="T11" s="30">
        <v>1046</v>
      </c>
      <c r="U11" s="24"/>
      <c r="V11" s="30">
        <v>1521</v>
      </c>
      <c r="W11" s="24"/>
      <c r="X11" s="30">
        <v>1723</v>
      </c>
      <c r="Y11" s="24"/>
      <c r="Z11" s="30">
        <v>1723</v>
      </c>
      <c r="AA11" s="24"/>
      <c r="AB11" s="30">
        <v>1723</v>
      </c>
      <c r="AC11" s="26"/>
      <c r="AD11" s="30">
        <v>1723</v>
      </c>
      <c r="AE11" s="26"/>
    </row>
    <row r="12" spans="2:42" x14ac:dyDescent="0.3">
      <c r="B12" s="16" t="s">
        <v>34</v>
      </c>
      <c r="C12" s="17">
        <v>1478</v>
      </c>
      <c r="E12" s="29" t="s">
        <v>35</v>
      </c>
      <c r="F12" s="119">
        <v>16150</v>
      </c>
      <c r="G12" s="117">
        <v>12334.505999999999</v>
      </c>
      <c r="H12" s="117">
        <v>16448.892603230001</v>
      </c>
      <c r="I12" s="19">
        <f>G12+H12</f>
        <v>28783.398603230002</v>
      </c>
      <c r="J12" s="119">
        <v>15650</v>
      </c>
      <c r="K12" s="117">
        <v>11685.53075</v>
      </c>
      <c r="L12" s="117">
        <v>14998.734671890001</v>
      </c>
      <c r="M12" s="19">
        <f>K12+L12</f>
        <v>26684.265421889999</v>
      </c>
      <c r="N12" s="88">
        <v>47</v>
      </c>
      <c r="O12" s="88">
        <v>39</v>
      </c>
      <c r="P12" s="92"/>
      <c r="Q12" s="20">
        <f>J12-P12</f>
        <v>15650</v>
      </c>
      <c r="R12" s="21">
        <v>1089</v>
      </c>
      <c r="S12" s="20">
        <f>IF(R12&gt;0,(R12-R13-$Q12),"")</f>
        <v>-14561</v>
      </c>
      <c r="T12" s="21">
        <v>3989</v>
      </c>
      <c r="U12" s="20">
        <f>IF(T12&gt;0,(T12-T13-$Q12),"")</f>
        <v>-12676</v>
      </c>
      <c r="V12" s="21">
        <v>7331</v>
      </c>
      <c r="W12" s="20">
        <f>IF(V12&gt;0,(V12-V13-$Q12),"")</f>
        <v>-9512</v>
      </c>
      <c r="X12" s="21">
        <v>9913</v>
      </c>
      <c r="Y12" s="20">
        <f>IF(X12&gt;0,(X12-X13-$Q12),"")</f>
        <v>-6860</v>
      </c>
      <c r="Z12" s="21">
        <v>11779</v>
      </c>
      <c r="AA12" s="20">
        <f>IF(Z12&gt;0,(Z12-Z13-$Q12),"")</f>
        <v>-4994</v>
      </c>
      <c r="AB12" s="21">
        <v>11779</v>
      </c>
      <c r="AC12" s="22">
        <f>IF(AB12&gt;0,(AB12-AB13-$Q12),"")</f>
        <v>-4994</v>
      </c>
      <c r="AD12" s="21">
        <v>11779</v>
      </c>
      <c r="AE12" s="22">
        <f>IF(AD12&gt;0,(AD12-AD13-$Q12),"")</f>
        <v>-4994</v>
      </c>
    </row>
    <row r="13" spans="2:42" x14ac:dyDescent="0.3">
      <c r="B13" s="16" t="s">
        <v>36</v>
      </c>
      <c r="C13" s="17">
        <v>4463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0</v>
      </c>
      <c r="S13" s="24"/>
      <c r="T13" s="30">
        <v>1015</v>
      </c>
      <c r="U13" s="24"/>
      <c r="V13" s="30">
        <v>1193</v>
      </c>
      <c r="W13" s="24"/>
      <c r="X13" s="30">
        <v>1123</v>
      </c>
      <c r="Y13" s="24"/>
      <c r="Z13" s="30">
        <v>1123</v>
      </c>
      <c r="AA13" s="24"/>
      <c r="AB13" s="30">
        <v>1123</v>
      </c>
      <c r="AC13" s="26"/>
      <c r="AD13" s="30">
        <v>1123</v>
      </c>
      <c r="AE13" s="26"/>
    </row>
    <row r="14" spans="2:42" x14ac:dyDescent="0.3">
      <c r="B14" s="16" t="s">
        <v>38</v>
      </c>
      <c r="C14" s="17"/>
      <c r="E14" s="18" t="s">
        <v>39</v>
      </c>
      <c r="F14" s="119">
        <v>22801</v>
      </c>
      <c r="G14" s="117">
        <v>16104</v>
      </c>
      <c r="H14" s="117">
        <v>21198.58220014998</v>
      </c>
      <c r="I14" s="19">
        <f>G14+H14</f>
        <v>37302.582200149976</v>
      </c>
      <c r="J14" s="119">
        <v>22409</v>
      </c>
      <c r="K14" s="117">
        <v>14928</v>
      </c>
      <c r="L14" s="117">
        <v>19874.710872650001</v>
      </c>
      <c r="M14" s="19">
        <f>K14+L14</f>
        <v>34802.710872650001</v>
      </c>
      <c r="N14" s="88">
        <v>59</v>
      </c>
      <c r="O14" s="88">
        <v>43</v>
      </c>
      <c r="P14" s="92"/>
      <c r="Q14" s="20">
        <f>J14-P14</f>
        <v>22409</v>
      </c>
      <c r="R14" s="21">
        <v>4168</v>
      </c>
      <c r="S14" s="20">
        <f>IF(R14&gt;0,(R14-R15-$Q14),"")</f>
        <v>-21968</v>
      </c>
      <c r="T14" s="21">
        <v>6642</v>
      </c>
      <c r="U14" s="20">
        <f>IF(T14&gt;0,(T14-T15-$Q14),"")</f>
        <v>-21185</v>
      </c>
      <c r="V14" s="21">
        <v>7546</v>
      </c>
      <c r="W14" s="20">
        <f>IF(V14&gt;0,(V14-V15-$Q14),"")</f>
        <v>-20745</v>
      </c>
      <c r="X14" s="21">
        <v>11133</v>
      </c>
      <c r="Y14" s="20">
        <f>IF(X14&gt;0,(X14-X15-$Q14),"")</f>
        <v>-19204</v>
      </c>
      <c r="Z14" s="21">
        <v>13717</v>
      </c>
      <c r="AA14" s="20">
        <f>IF(Z14&gt;0,(Z14-Z15-$Q14),"")</f>
        <v>-16623</v>
      </c>
      <c r="AB14" s="21">
        <v>13923</v>
      </c>
      <c r="AC14" s="22">
        <f>IF(AB14&gt;0,(AB14-AB15-$Q14),"")</f>
        <v>-16417</v>
      </c>
      <c r="AD14" s="21">
        <v>13923</v>
      </c>
      <c r="AE14" s="22">
        <f>IF(AD14&gt;0,(AD14-AD15-$Q14),"")</f>
        <v>-16417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3727</v>
      </c>
      <c r="S15" s="24"/>
      <c r="T15" s="25">
        <v>5418</v>
      </c>
      <c r="U15" s="24"/>
      <c r="V15" s="25">
        <v>5882</v>
      </c>
      <c r="W15" s="24"/>
      <c r="X15" s="25">
        <v>7928</v>
      </c>
      <c r="Y15" s="24"/>
      <c r="Z15" s="25">
        <v>7931</v>
      </c>
      <c r="AA15" s="24"/>
      <c r="AB15" s="25">
        <v>7931</v>
      </c>
      <c r="AC15" s="26"/>
      <c r="AD15" s="25">
        <v>7931</v>
      </c>
      <c r="AE15" s="26"/>
    </row>
    <row r="16" spans="2:42" ht="15" customHeight="1" thickBot="1" x14ac:dyDescent="0.35">
      <c r="B16" s="28" t="s">
        <v>42</v>
      </c>
      <c r="C16" s="17"/>
      <c r="E16" s="84"/>
      <c r="F16" s="31">
        <f t="shared" ref="F16:M16" si="0">SUM(F6:F15)</f>
        <v>82792</v>
      </c>
      <c r="G16" s="31">
        <f t="shared" si="0"/>
        <v>58758.063499999997</v>
      </c>
      <c r="H16" s="31">
        <f t="shared" si="0"/>
        <v>54685.944480779974</v>
      </c>
      <c r="I16" s="32">
        <f t="shared" si="0"/>
        <v>113444.00798077996</v>
      </c>
      <c r="J16" s="33">
        <f t="shared" si="0"/>
        <v>83014</v>
      </c>
      <c r="K16" s="33">
        <f t="shared" si="0"/>
        <v>57784.491875000007</v>
      </c>
      <c r="L16" s="33">
        <f t="shared" si="0"/>
        <v>52512.241408960006</v>
      </c>
      <c r="M16" s="33">
        <f t="shared" si="0"/>
        <v>110296.73328396003</v>
      </c>
      <c r="N16" s="31">
        <f>SUM(N14,N12,N10,N8,N6)</f>
        <v>247</v>
      </c>
      <c r="O16" s="31">
        <f>SUM(O14,O12,O10,O8,O6)</f>
        <v>190</v>
      </c>
      <c r="P16" s="34">
        <f>SUM(P6:P15)</f>
        <v>0</v>
      </c>
      <c r="Q16" s="34">
        <f>SUM(Q6:Q15)</f>
        <v>83014</v>
      </c>
      <c r="R16" s="35">
        <f>R6+R8+R10+R12+R14-R7-R9-R11-R13-R15</f>
        <v>6452</v>
      </c>
      <c r="S16" s="36">
        <f>IF(R16&gt;1,(R16-$Q16),"")</f>
        <v>-76562</v>
      </c>
      <c r="T16" s="35">
        <f>T6+T8+T10+T12+T14-T7-T9-T11-T13-T15</f>
        <v>14195</v>
      </c>
      <c r="U16" s="36">
        <f>IF(T16&gt;1,(T16-$Q16),"")</f>
        <v>-68819</v>
      </c>
      <c r="V16" s="35">
        <f>V6+V8+V10+V12+V14-V7-V9-V11-V13-V15</f>
        <v>25726</v>
      </c>
      <c r="W16" s="36">
        <f>IF(V16&gt;1,(V16-$Q16),"")</f>
        <v>-57288</v>
      </c>
      <c r="X16" s="35">
        <f>X6+X8+X10+X12+X14-X7-X9-X11-X13-X15</f>
        <v>38226</v>
      </c>
      <c r="Y16" s="36">
        <f>IF(X16&gt;1,(X16-$Q16),"")</f>
        <v>-44788</v>
      </c>
      <c r="Z16" s="35">
        <f>Z6+Z8+Z10+Z12+Z14-Z7-Z9-Z11-Z13-Z15</f>
        <v>53800</v>
      </c>
      <c r="AA16" s="36">
        <f>IF(Z16&gt;1,(Z16-$Q16),"")</f>
        <v>-29214</v>
      </c>
      <c r="AB16" s="35">
        <f>AB6+AB8+AB10+AB12+AB14-AB7-AB9-AB11-AB13-AB15</f>
        <v>55806</v>
      </c>
      <c r="AC16" s="37">
        <f>IF(AB16&gt;1,(AB16-$Q16),"")</f>
        <v>-27208</v>
      </c>
      <c r="AD16" s="35">
        <f>AD6+AD8+AD10+AD12+AD14-AD7-AD9-AD11-AD13-AD15</f>
        <v>55806</v>
      </c>
      <c r="AE16" s="37">
        <f>IF(AD16&gt;1,(AD16-$Q16),"")</f>
        <v>-27208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4345</v>
      </c>
      <c r="S17" s="41"/>
      <c r="T17" s="40">
        <f>T15+T13+T11+T9+T7</f>
        <v>7678</v>
      </c>
      <c r="U17" s="41"/>
      <c r="V17" s="40">
        <f>V15+V13+V11+V9+V7</f>
        <v>8832</v>
      </c>
      <c r="W17" s="41"/>
      <c r="X17" s="40">
        <f>X15+X13+X11+X9+X7</f>
        <v>11207</v>
      </c>
      <c r="Y17" s="41"/>
      <c r="Z17" s="40">
        <f>Z15+Z13+Z11+Z9+Z7</f>
        <v>11215</v>
      </c>
      <c r="AA17" s="41"/>
      <c r="AB17" s="40">
        <f>AB15+AB13+AB11+AB9+AB7</f>
        <v>11218</v>
      </c>
      <c r="AC17" s="42"/>
      <c r="AD17" s="40">
        <f>AD15+AD13+AD11+AD9+AD7</f>
        <v>11218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3226</v>
      </c>
      <c r="S18" s="46"/>
      <c r="T18" s="47">
        <f>IF(T16&gt;0,(T16-R16)/2,"")</f>
        <v>3871.5</v>
      </c>
      <c r="U18" s="46"/>
      <c r="V18" s="47">
        <f>IF(V16&gt;0,(V16-T16)/2,"")</f>
        <v>5765.5</v>
      </c>
      <c r="W18" s="46"/>
      <c r="X18" s="47">
        <f>IF(X16&gt;0,(X16-V16)/2,"")</f>
        <v>6250</v>
      </c>
      <c r="Y18" s="46"/>
      <c r="Z18" s="47">
        <f>IF(Z16&gt;0,(Z16-X16)/2,"")</f>
        <v>7787</v>
      </c>
      <c r="AA18" s="46"/>
      <c r="AB18" s="47">
        <f>IF(AB16&gt;0,(AB16-Z16)/2,"")</f>
        <v>1003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/>
      <c r="L20" s="4"/>
      <c r="M20" s="4"/>
      <c r="Q20" s="51" t="s">
        <v>49</v>
      </c>
      <c r="R20" s="35">
        <v>8328</v>
      </c>
      <c r="S20" s="36">
        <v>-64511</v>
      </c>
      <c r="T20" s="35">
        <v>15125</v>
      </c>
      <c r="U20" s="36">
        <v>-57714</v>
      </c>
      <c r="V20" s="35">
        <v>25874</v>
      </c>
      <c r="W20" s="36">
        <v>-46965</v>
      </c>
      <c r="X20" s="35">
        <v>45796</v>
      </c>
      <c r="Y20" s="36">
        <v>-27043</v>
      </c>
      <c r="Z20" s="35">
        <v>51521</v>
      </c>
      <c r="AA20" s="36">
        <v>-21318</v>
      </c>
      <c r="AB20" s="35">
        <v>51521</v>
      </c>
      <c r="AC20" s="37">
        <v>-21318</v>
      </c>
      <c r="AD20" s="35">
        <v>51521</v>
      </c>
      <c r="AE20" s="37">
        <v>-21318</v>
      </c>
    </row>
    <row r="21" spans="2:43" ht="15" customHeight="1" thickBot="1" x14ac:dyDescent="0.35">
      <c r="B21" s="57" t="s">
        <v>52</v>
      </c>
      <c r="C21" s="58"/>
      <c r="M21" s="4"/>
      <c r="Q21" s="52"/>
      <c r="R21" s="40">
        <v>5243</v>
      </c>
      <c r="S21" s="41"/>
      <c r="T21" s="40">
        <v>8534</v>
      </c>
      <c r="U21" s="41"/>
      <c r="V21" s="40">
        <v>10063</v>
      </c>
      <c r="W21" s="41"/>
      <c r="X21" s="40">
        <v>12932</v>
      </c>
      <c r="Y21" s="41"/>
      <c r="Z21" s="40">
        <v>13096</v>
      </c>
      <c r="AA21" s="41"/>
      <c r="AB21" s="40">
        <v>13096</v>
      </c>
      <c r="AC21" s="42"/>
      <c r="AD21" s="40">
        <v>13096</v>
      </c>
      <c r="AE21" s="42"/>
    </row>
    <row r="22" spans="2:43" ht="15" customHeight="1" thickBot="1" x14ac:dyDescent="0.35">
      <c r="M22" s="4"/>
      <c r="Q22" s="54"/>
      <c r="R22" s="55">
        <v>3468.5</v>
      </c>
      <c r="S22" s="55"/>
      <c r="T22" s="55">
        <v>2999</v>
      </c>
      <c r="U22" s="55"/>
      <c r="V22" s="55">
        <v>6560.5</v>
      </c>
      <c r="W22" s="55"/>
      <c r="X22" s="55">
        <v>7705.5</v>
      </c>
      <c r="Y22" s="55"/>
      <c r="Z22" s="55">
        <v>4303.5</v>
      </c>
      <c r="AA22" s="55"/>
      <c r="AB22" s="55">
        <v>-3.5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-1876</v>
      </c>
      <c r="S24" s="60"/>
      <c r="T24" s="60">
        <f>IF(T16&gt;0,T16-T20,"")</f>
        <v>-930</v>
      </c>
      <c r="U24" s="60"/>
      <c r="V24" s="60">
        <f>IF(V16&gt;0,V16-V20,"")</f>
        <v>-148</v>
      </c>
      <c r="W24" s="60"/>
      <c r="X24" s="60">
        <f>IF(X16&gt;0,X16-X20,"")</f>
        <v>-7570</v>
      </c>
      <c r="Y24" s="60"/>
      <c r="Z24" s="60">
        <f>IF(Z16&gt;0,Z16-Z20,"")</f>
        <v>2279</v>
      </c>
      <c r="AA24" s="60"/>
      <c r="AB24" s="60">
        <f>IF(AB16&gt;0,AB16-AB20,"")</f>
        <v>4285</v>
      </c>
      <c r="AC24" s="61"/>
      <c r="AD24" s="60">
        <f>IF(AD16&gt;0,AD16-AD20,"")</f>
        <v>4285</v>
      </c>
      <c r="AE24" s="61"/>
    </row>
    <row r="25" spans="2:43" x14ac:dyDescent="0.3">
      <c r="M25" s="4"/>
      <c r="Q25" s="62"/>
      <c r="R25" s="63">
        <f>IF(R17&gt;=0,R17-R21,"")</f>
        <v>-898</v>
      </c>
      <c r="S25" s="64"/>
      <c r="T25" s="63">
        <f>IF(T17&gt;=0,T17-T21,"")</f>
        <v>-856</v>
      </c>
      <c r="U25" s="64"/>
      <c r="V25" s="63">
        <f>IF(V17&gt;=0,V17-V21,"")</f>
        <v>-1231</v>
      </c>
      <c r="W25" s="64"/>
      <c r="X25" s="63">
        <f>IF(X17&gt;=0,X17-X21,"")</f>
        <v>-1725</v>
      </c>
      <c r="Y25" s="64"/>
      <c r="Z25" s="63">
        <f>IF(Z17&gt;=0,Z17-Z21,"")</f>
        <v>-1881</v>
      </c>
      <c r="AA25" s="64"/>
      <c r="AB25" s="63">
        <f>IF(AB17&gt;=0,AB17-AB21,"")</f>
        <v>-1878</v>
      </c>
      <c r="AC25" s="65"/>
      <c r="AD25" s="63">
        <f>IF(AD17&gt;=0,AD17-AD21,"")</f>
        <v>-1878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-242.5</v>
      </c>
      <c r="S26" s="55"/>
      <c r="T26" s="67">
        <f>IFERROR(IF(T18&gt;0,T18-T22,""),"")</f>
        <v>872.5</v>
      </c>
      <c r="U26" s="55"/>
      <c r="V26" s="67">
        <f>IFERROR(IF(V18&gt;0,V18-V22,""),"")</f>
        <v>-795</v>
      </c>
      <c r="W26" s="55"/>
      <c r="X26" s="67">
        <f>IFERROR(IF(X18&gt;0,X18-X22,""),"")</f>
        <v>-1455.5</v>
      </c>
      <c r="Y26" s="55"/>
      <c r="Z26" s="67">
        <f>IFERROR(IF(Z18&gt;0,Z18-Z22,""),"")</f>
        <v>3483.5</v>
      </c>
      <c r="AA26" s="55"/>
      <c r="AB26" s="67">
        <f>IFERROR(IF(AB18&gt;0,AB18-AB22,""),"")</f>
        <v>1006.5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10223</v>
      </c>
      <c r="D29" s="76">
        <f>C14</f>
        <v>0</v>
      </c>
      <c r="E29" s="77">
        <f>D29-C29</f>
        <v>-10223</v>
      </c>
      <c r="O29" s="4"/>
    </row>
    <row r="30" spans="2:43" x14ac:dyDescent="0.3">
      <c r="B30" s="74" t="s">
        <v>56</v>
      </c>
      <c r="C30" s="122">
        <v>26349</v>
      </c>
      <c r="D30" s="76">
        <f>C7+C15+C16+C17+C18</f>
        <v>0</v>
      </c>
      <c r="E30" s="77">
        <f>D30-C30</f>
        <v>-26349</v>
      </c>
      <c r="J30" s="53"/>
      <c r="O30" s="4"/>
    </row>
    <row r="31" spans="2:43" x14ac:dyDescent="0.3">
      <c r="B31" s="74" t="s">
        <v>21</v>
      </c>
      <c r="C31" s="122">
        <v>2390</v>
      </c>
      <c r="D31" s="76">
        <f>C6</f>
        <v>2390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13889</v>
      </c>
      <c r="D32" s="76">
        <f>C10+C11+C12+C13</f>
        <v>13889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15205</v>
      </c>
      <c r="D33" s="76">
        <f>C19+C20+C21</f>
        <v>0</v>
      </c>
      <c r="E33" s="77">
        <f>D33-C33</f>
        <v>-15205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4181</v>
      </c>
      <c r="D34" s="80">
        <f>SUM(C8+C9)</f>
        <v>4181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1049</v>
      </c>
      <c r="R35" s="104">
        <v>0</v>
      </c>
      <c r="S35" s="104">
        <f t="shared" ref="S35:S64" si="1">IF(T35&gt;0,(T35-R35)/2,"")</f>
        <v>284.5</v>
      </c>
      <c r="T35" s="104">
        <v>569</v>
      </c>
      <c r="U35" s="104">
        <f t="shared" ref="U35:U64" si="2">IF(V35&gt;0,(V35-T35)/2,"")</f>
        <v>245.5</v>
      </c>
      <c r="V35" s="104">
        <v>1060</v>
      </c>
      <c r="W35" s="104">
        <f t="shared" ref="W35:W64" si="3">IF(X35&gt;0,(X35-V35)/2,"")</f>
        <v>0</v>
      </c>
      <c r="X35" s="104">
        <v>1060</v>
      </c>
      <c r="Y35" s="104">
        <f t="shared" ref="Y35:Y64" si="4">IF(Z35&gt;0,(Z35-X35)/2,"")</f>
        <v>0</v>
      </c>
      <c r="Z35" s="104">
        <v>1060</v>
      </c>
      <c r="AA35" s="104">
        <f t="shared" ref="AA35:AA64" si="5">IF(AB35&gt;0,(AB35-Z35)/2,"")</f>
        <v>0</v>
      </c>
      <c r="AB35" s="104">
        <v>1060</v>
      </c>
      <c r="AC35" s="104">
        <f t="shared" ref="AC35:AC64" si="6">IF(AD35&gt;0,(AD35-AB35)/2,"")</f>
        <v>0</v>
      </c>
      <c r="AD35" s="104">
        <v>1060</v>
      </c>
      <c r="AE35" s="105">
        <f t="shared" ref="AE35:AE64" si="7">AD35-Q35</f>
        <v>11</v>
      </c>
    </row>
    <row r="36" spans="2:31" ht="15.6" customHeight="1" x14ac:dyDescent="0.3">
      <c r="N36" s="212"/>
      <c r="O36" s="95" t="s">
        <v>66</v>
      </c>
      <c r="P36" s="106"/>
      <c r="Q36" s="106">
        <v>1493</v>
      </c>
      <c r="R36" s="106">
        <v>166</v>
      </c>
      <c r="S36" s="106">
        <f t="shared" si="1"/>
        <v>0</v>
      </c>
      <c r="T36" s="106">
        <v>166</v>
      </c>
      <c r="U36" s="106">
        <f t="shared" si="2"/>
        <v>0</v>
      </c>
      <c r="V36" s="106">
        <v>166</v>
      </c>
      <c r="W36" s="106">
        <f t="shared" si="3"/>
        <v>0</v>
      </c>
      <c r="X36" s="106">
        <v>166</v>
      </c>
      <c r="Y36" s="106">
        <f t="shared" si="4"/>
        <v>222.5</v>
      </c>
      <c r="Z36" s="106">
        <v>611</v>
      </c>
      <c r="AA36" s="106">
        <f t="shared" si="5"/>
        <v>271.5</v>
      </c>
      <c r="AB36" s="106">
        <v>1154</v>
      </c>
      <c r="AC36" s="106">
        <f t="shared" si="6"/>
        <v>0</v>
      </c>
      <c r="AD36" s="106">
        <v>1154</v>
      </c>
      <c r="AE36" s="107">
        <f t="shared" si="7"/>
        <v>-339</v>
      </c>
    </row>
    <row r="37" spans="2:31" ht="15.6" customHeight="1" x14ac:dyDescent="0.3">
      <c r="N37" s="212"/>
      <c r="O37" s="94" t="s">
        <v>67</v>
      </c>
      <c r="P37" s="108"/>
      <c r="Q37" s="108">
        <v>3580</v>
      </c>
      <c r="R37" s="108">
        <v>420</v>
      </c>
      <c r="S37" s="108">
        <f t="shared" si="1"/>
        <v>168</v>
      </c>
      <c r="T37" s="108">
        <v>756</v>
      </c>
      <c r="U37" s="108">
        <f t="shared" si="2"/>
        <v>227</v>
      </c>
      <c r="V37" s="108">
        <v>1210</v>
      </c>
      <c r="W37" s="108">
        <f t="shared" si="3"/>
        <v>427</v>
      </c>
      <c r="X37" s="108">
        <v>2064</v>
      </c>
      <c r="Y37" s="108">
        <f t="shared" si="4"/>
        <v>210</v>
      </c>
      <c r="Z37" s="108">
        <v>2484</v>
      </c>
      <c r="AA37" s="108">
        <f t="shared" si="5"/>
        <v>293.5</v>
      </c>
      <c r="AB37" s="108">
        <v>3071</v>
      </c>
      <c r="AC37" s="108">
        <f t="shared" si="6"/>
        <v>0</v>
      </c>
      <c r="AD37" s="108">
        <v>3071</v>
      </c>
      <c r="AE37" s="109">
        <f t="shared" si="7"/>
        <v>-509</v>
      </c>
    </row>
    <row r="38" spans="2:31" ht="15.6" customHeight="1" x14ac:dyDescent="0.3">
      <c r="N38" s="212"/>
      <c r="O38" s="95" t="s">
        <v>68</v>
      </c>
      <c r="P38" s="106"/>
      <c r="Q38" s="106">
        <v>3162</v>
      </c>
      <c r="R38" s="106">
        <v>740</v>
      </c>
      <c r="S38" s="106">
        <f t="shared" si="1"/>
        <v>467</v>
      </c>
      <c r="T38" s="106">
        <v>1674</v>
      </c>
      <c r="U38" s="106">
        <f t="shared" si="2"/>
        <v>453.5</v>
      </c>
      <c r="V38" s="106">
        <v>2581</v>
      </c>
      <c r="W38" s="106">
        <f t="shared" si="3"/>
        <v>322.5</v>
      </c>
      <c r="X38" s="106">
        <v>3226</v>
      </c>
      <c r="Y38" s="106">
        <f t="shared" si="4"/>
        <v>0</v>
      </c>
      <c r="Z38" s="106">
        <v>3226</v>
      </c>
      <c r="AA38" s="106">
        <f t="shared" si="5"/>
        <v>0</v>
      </c>
      <c r="AB38" s="106">
        <v>3226</v>
      </c>
      <c r="AC38" s="106">
        <f t="shared" si="6"/>
        <v>0</v>
      </c>
      <c r="AD38" s="106">
        <v>3226</v>
      </c>
      <c r="AE38" s="107">
        <f t="shared" si="7"/>
        <v>64</v>
      </c>
    </row>
    <row r="39" spans="2:31" ht="15.6" customHeight="1" x14ac:dyDescent="0.3">
      <c r="N39" s="212"/>
      <c r="O39" s="94" t="s">
        <v>69</v>
      </c>
      <c r="P39" s="108"/>
      <c r="Q39" s="108">
        <v>2286</v>
      </c>
      <c r="R39" s="108">
        <v>531</v>
      </c>
      <c r="S39" s="108">
        <f t="shared" si="1"/>
        <v>199.5</v>
      </c>
      <c r="T39" s="108">
        <v>930</v>
      </c>
      <c r="U39" s="108">
        <f t="shared" si="2"/>
        <v>195</v>
      </c>
      <c r="V39" s="108">
        <v>1320</v>
      </c>
      <c r="W39" s="108">
        <f t="shared" si="3"/>
        <v>126.5</v>
      </c>
      <c r="X39" s="108">
        <v>1573</v>
      </c>
      <c r="Y39" s="108">
        <f t="shared" si="4"/>
        <v>360</v>
      </c>
      <c r="Z39" s="108">
        <v>2293</v>
      </c>
      <c r="AA39" s="108">
        <f t="shared" si="5"/>
        <v>0</v>
      </c>
      <c r="AB39" s="108">
        <v>2293</v>
      </c>
      <c r="AC39" s="108">
        <f t="shared" si="6"/>
        <v>0</v>
      </c>
      <c r="AD39" s="108">
        <v>2293</v>
      </c>
      <c r="AE39" s="109">
        <f t="shared" si="7"/>
        <v>7</v>
      </c>
    </row>
    <row r="40" spans="2:31" ht="15.6" customHeight="1" x14ac:dyDescent="0.3">
      <c r="N40" s="212"/>
      <c r="O40" s="95" t="s">
        <v>70</v>
      </c>
      <c r="P40" s="106"/>
      <c r="Q40" s="106">
        <v>3560</v>
      </c>
      <c r="R40" s="106">
        <v>711</v>
      </c>
      <c r="S40" s="106">
        <f t="shared" si="1"/>
        <v>84</v>
      </c>
      <c r="T40" s="106">
        <v>879</v>
      </c>
      <c r="U40" s="106">
        <f t="shared" si="2"/>
        <v>311.5</v>
      </c>
      <c r="V40" s="106">
        <v>1502</v>
      </c>
      <c r="W40" s="106">
        <f t="shared" si="3"/>
        <v>293</v>
      </c>
      <c r="X40" s="106">
        <v>2088</v>
      </c>
      <c r="Y40" s="106">
        <f t="shared" si="4"/>
        <v>614.5</v>
      </c>
      <c r="Z40" s="106">
        <v>3317</v>
      </c>
      <c r="AA40" s="106">
        <f t="shared" si="5"/>
        <v>139</v>
      </c>
      <c r="AB40" s="106">
        <v>3595</v>
      </c>
      <c r="AC40" s="106">
        <f t="shared" si="6"/>
        <v>0</v>
      </c>
      <c r="AD40" s="106">
        <v>3595</v>
      </c>
      <c r="AE40" s="107">
        <f t="shared" si="7"/>
        <v>35</v>
      </c>
    </row>
    <row r="41" spans="2:31" ht="15.6" customHeight="1" x14ac:dyDescent="0.3">
      <c r="N41" s="212"/>
      <c r="O41" s="94" t="s">
        <v>71</v>
      </c>
      <c r="P41" s="108"/>
      <c r="Q41" s="108">
        <v>644</v>
      </c>
      <c r="R41" s="108">
        <v>274</v>
      </c>
      <c r="S41" s="108">
        <f t="shared" si="1"/>
        <v>0.5</v>
      </c>
      <c r="T41" s="108">
        <v>275</v>
      </c>
      <c r="U41" s="108">
        <f t="shared" si="2"/>
        <v>0</v>
      </c>
      <c r="V41" s="108">
        <v>275</v>
      </c>
      <c r="W41" s="108">
        <f t="shared" si="3"/>
        <v>186.5</v>
      </c>
      <c r="X41" s="108">
        <v>648</v>
      </c>
      <c r="Y41" s="108">
        <f t="shared" si="4"/>
        <v>0</v>
      </c>
      <c r="Z41" s="108">
        <v>648</v>
      </c>
      <c r="AA41" s="108">
        <f t="shared" si="5"/>
        <v>0</v>
      </c>
      <c r="AB41" s="108">
        <v>648</v>
      </c>
      <c r="AC41" s="108">
        <f t="shared" si="6"/>
        <v>0</v>
      </c>
      <c r="AD41" s="108">
        <v>648</v>
      </c>
      <c r="AE41" s="109">
        <f t="shared" si="7"/>
        <v>4</v>
      </c>
    </row>
    <row r="42" spans="2:31" ht="15.6" customHeight="1" x14ac:dyDescent="0.3">
      <c r="N42" s="212"/>
      <c r="O42" s="95" t="s">
        <v>72</v>
      </c>
      <c r="P42" s="106"/>
      <c r="Q42" s="106">
        <v>1643</v>
      </c>
      <c r="R42" s="106">
        <v>0</v>
      </c>
      <c r="S42" s="106">
        <f t="shared" si="1"/>
        <v>360</v>
      </c>
      <c r="T42" s="106">
        <v>720</v>
      </c>
      <c r="U42" s="106">
        <f t="shared" si="2"/>
        <v>283.5</v>
      </c>
      <c r="V42" s="106">
        <v>1287</v>
      </c>
      <c r="W42" s="106">
        <f t="shared" si="3"/>
        <v>171</v>
      </c>
      <c r="X42" s="106">
        <v>1629</v>
      </c>
      <c r="Y42" s="106">
        <f t="shared" si="4"/>
        <v>24.5</v>
      </c>
      <c r="Z42" s="106">
        <v>1678</v>
      </c>
      <c r="AA42" s="106">
        <f t="shared" si="5"/>
        <v>2</v>
      </c>
      <c r="AB42" s="106">
        <v>1682</v>
      </c>
      <c r="AC42" s="106">
        <f t="shared" si="6"/>
        <v>0</v>
      </c>
      <c r="AD42" s="106">
        <v>1682</v>
      </c>
      <c r="AE42" s="107">
        <f t="shared" si="7"/>
        <v>39</v>
      </c>
    </row>
    <row r="43" spans="2:31" ht="15.6" customHeight="1" thickBot="1" x14ac:dyDescent="0.35">
      <c r="N43" s="213"/>
      <c r="O43" s="97" t="s">
        <v>73</v>
      </c>
      <c r="P43" s="110"/>
      <c r="Q43" s="110">
        <v>1727</v>
      </c>
      <c r="R43" s="110">
        <v>0</v>
      </c>
      <c r="S43" s="110">
        <f t="shared" si="1"/>
        <v>264</v>
      </c>
      <c r="T43" s="110">
        <v>528</v>
      </c>
      <c r="U43" s="110">
        <f t="shared" si="2"/>
        <v>178</v>
      </c>
      <c r="V43" s="110">
        <v>884</v>
      </c>
      <c r="W43" s="110">
        <f t="shared" si="3"/>
        <v>17.5</v>
      </c>
      <c r="X43" s="110">
        <v>919</v>
      </c>
      <c r="Y43" s="110">
        <f t="shared" si="4"/>
        <v>208.5</v>
      </c>
      <c r="Z43" s="110">
        <v>1336</v>
      </c>
      <c r="AA43" s="110">
        <f t="shared" si="5"/>
        <v>195.5</v>
      </c>
      <c r="AB43" s="110">
        <v>1727</v>
      </c>
      <c r="AC43" s="110">
        <f t="shared" si="6"/>
        <v>0</v>
      </c>
      <c r="AD43" s="110">
        <v>1727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3147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1573.5</v>
      </c>
      <c r="Z44" s="112">
        <v>3147</v>
      </c>
      <c r="AA44" s="112">
        <f t="shared" si="5"/>
        <v>0</v>
      </c>
      <c r="AB44" s="112">
        <v>3147</v>
      </c>
      <c r="AC44" s="112">
        <f t="shared" si="6"/>
        <v>0</v>
      </c>
      <c r="AD44" s="112">
        <v>3147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2620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589.5</v>
      </c>
      <c r="X45" s="108">
        <v>1179</v>
      </c>
      <c r="Y45" s="108">
        <f t="shared" si="4"/>
        <v>720.5</v>
      </c>
      <c r="Z45" s="108">
        <v>2620</v>
      </c>
      <c r="AA45" s="108">
        <f t="shared" si="5"/>
        <v>0</v>
      </c>
      <c r="AB45" s="108">
        <v>2620</v>
      </c>
      <c r="AC45" s="108">
        <f t="shared" si="6"/>
        <v>0</v>
      </c>
      <c r="AD45" s="108">
        <v>2620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2916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1300</v>
      </c>
      <c r="X46" s="106">
        <v>2600</v>
      </c>
      <c r="Y46" s="106">
        <f t="shared" si="4"/>
        <v>158</v>
      </c>
      <c r="Z46" s="106">
        <v>2916</v>
      </c>
      <c r="AA46" s="106">
        <f t="shared" si="5"/>
        <v>0</v>
      </c>
      <c r="AB46" s="106">
        <v>2916</v>
      </c>
      <c r="AC46" s="106">
        <f t="shared" si="6"/>
        <v>0</v>
      </c>
      <c r="AD46" s="106">
        <v>2916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3342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276.5</v>
      </c>
      <c r="X47" s="110">
        <v>553</v>
      </c>
      <c r="Y47" s="110">
        <f t="shared" si="4"/>
        <v>1394.5</v>
      </c>
      <c r="Z47" s="110">
        <v>3342</v>
      </c>
      <c r="AA47" s="110">
        <f t="shared" si="5"/>
        <v>0</v>
      </c>
      <c r="AB47" s="110">
        <v>3342</v>
      </c>
      <c r="AC47" s="110">
        <f t="shared" si="6"/>
        <v>0</v>
      </c>
      <c r="AD47" s="110">
        <v>3342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253</v>
      </c>
      <c r="R48" s="112">
        <v>0</v>
      </c>
      <c r="S48" s="112">
        <f t="shared" si="1"/>
        <v>15.5</v>
      </c>
      <c r="T48" s="112">
        <v>31</v>
      </c>
      <c r="U48" s="112">
        <f t="shared" si="2"/>
        <v>62</v>
      </c>
      <c r="V48" s="112">
        <v>155</v>
      </c>
      <c r="W48" s="112">
        <f t="shared" si="3"/>
        <v>1</v>
      </c>
      <c r="X48" s="112">
        <v>157</v>
      </c>
      <c r="Y48" s="112">
        <f t="shared" si="4"/>
        <v>0</v>
      </c>
      <c r="Z48" s="112">
        <v>157</v>
      </c>
      <c r="AA48" s="112">
        <f t="shared" si="5"/>
        <v>0</v>
      </c>
      <c r="AB48" s="112">
        <v>157</v>
      </c>
      <c r="AC48" s="112">
        <f t="shared" si="6"/>
        <v>0</v>
      </c>
      <c r="AD48" s="112">
        <v>157</v>
      </c>
      <c r="AE48" s="113">
        <f t="shared" si="7"/>
        <v>-96</v>
      </c>
    </row>
    <row r="49" spans="14:31" ht="15.6" customHeight="1" x14ac:dyDescent="0.3">
      <c r="N49" s="212"/>
      <c r="O49" s="94" t="s">
        <v>66</v>
      </c>
      <c r="P49" s="108"/>
      <c r="Q49" s="108">
        <v>401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199.5</v>
      </c>
      <c r="V49" s="108">
        <v>399</v>
      </c>
      <c r="W49" s="108">
        <f t="shared" si="3"/>
        <v>1</v>
      </c>
      <c r="X49" s="108">
        <v>401</v>
      </c>
      <c r="Y49" s="108">
        <f t="shared" si="4"/>
        <v>0</v>
      </c>
      <c r="Z49" s="108">
        <v>401</v>
      </c>
      <c r="AA49" s="108">
        <f t="shared" si="5"/>
        <v>0</v>
      </c>
      <c r="AB49" s="108">
        <v>401</v>
      </c>
      <c r="AC49" s="108">
        <f t="shared" si="6"/>
        <v>0</v>
      </c>
      <c r="AD49" s="108">
        <v>401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1569</v>
      </c>
      <c r="R50" s="106">
        <v>178</v>
      </c>
      <c r="S50" s="106">
        <f t="shared" si="1"/>
        <v>212.5</v>
      </c>
      <c r="T50" s="106">
        <v>603</v>
      </c>
      <c r="U50" s="106">
        <f t="shared" si="2"/>
        <v>-35.5</v>
      </c>
      <c r="V50" s="106">
        <v>532</v>
      </c>
      <c r="W50" s="106">
        <f t="shared" si="3"/>
        <v>79</v>
      </c>
      <c r="X50" s="106">
        <v>690</v>
      </c>
      <c r="Y50" s="106">
        <f t="shared" si="4"/>
        <v>0</v>
      </c>
      <c r="Z50" s="106">
        <v>690</v>
      </c>
      <c r="AA50" s="106">
        <f t="shared" si="5"/>
        <v>0</v>
      </c>
      <c r="AB50" s="106">
        <v>690</v>
      </c>
      <c r="AC50" s="106">
        <f t="shared" si="6"/>
        <v>0</v>
      </c>
      <c r="AD50" s="106">
        <v>690</v>
      </c>
      <c r="AE50" s="107">
        <f t="shared" si="7"/>
        <v>-879</v>
      </c>
    </row>
    <row r="51" spans="14:31" ht="15.6" customHeight="1" x14ac:dyDescent="0.3">
      <c r="N51" s="212"/>
      <c r="O51" s="94" t="s">
        <v>68</v>
      </c>
      <c r="P51" s="108"/>
      <c r="Q51" s="108">
        <v>2523</v>
      </c>
      <c r="R51" s="108">
        <v>375</v>
      </c>
      <c r="S51" s="108">
        <f t="shared" si="1"/>
        <v>55</v>
      </c>
      <c r="T51" s="108">
        <v>485</v>
      </c>
      <c r="U51" s="108">
        <f t="shared" si="2"/>
        <v>532.5</v>
      </c>
      <c r="V51" s="108">
        <v>1550</v>
      </c>
      <c r="W51" s="108">
        <f t="shared" si="3"/>
        <v>96.5</v>
      </c>
      <c r="X51" s="108">
        <v>1743</v>
      </c>
      <c r="Y51" s="108">
        <f t="shared" si="4"/>
        <v>0</v>
      </c>
      <c r="Z51" s="108">
        <v>1743</v>
      </c>
      <c r="AA51" s="108">
        <f t="shared" si="5"/>
        <v>0</v>
      </c>
      <c r="AB51" s="108">
        <v>1743</v>
      </c>
      <c r="AC51" s="108">
        <f t="shared" si="6"/>
        <v>0</v>
      </c>
      <c r="AD51" s="108">
        <v>1743</v>
      </c>
      <c r="AE51" s="109">
        <f t="shared" si="7"/>
        <v>-780</v>
      </c>
    </row>
    <row r="52" spans="14:31" ht="15.6" customHeight="1" x14ac:dyDescent="0.3">
      <c r="N52" s="212"/>
      <c r="O52" s="95" t="s">
        <v>69</v>
      </c>
      <c r="P52" s="106"/>
      <c r="Q52" s="106">
        <v>1932</v>
      </c>
      <c r="R52" s="106">
        <v>236</v>
      </c>
      <c r="S52" s="106">
        <f t="shared" si="1"/>
        <v>202</v>
      </c>
      <c r="T52" s="106">
        <v>640</v>
      </c>
      <c r="U52" s="106">
        <f t="shared" si="2"/>
        <v>106.5</v>
      </c>
      <c r="V52" s="106">
        <v>853</v>
      </c>
      <c r="W52" s="106">
        <f t="shared" si="3"/>
        <v>90.5</v>
      </c>
      <c r="X52" s="106">
        <v>1034</v>
      </c>
      <c r="Y52" s="106">
        <f t="shared" si="4"/>
        <v>0</v>
      </c>
      <c r="Z52" s="106">
        <v>1034</v>
      </c>
      <c r="AA52" s="106">
        <f t="shared" si="5"/>
        <v>0</v>
      </c>
      <c r="AB52" s="106">
        <v>1034</v>
      </c>
      <c r="AC52" s="106">
        <f t="shared" si="6"/>
        <v>0</v>
      </c>
      <c r="AD52" s="106">
        <v>1034</v>
      </c>
      <c r="AE52" s="107">
        <f t="shared" si="7"/>
        <v>-898</v>
      </c>
    </row>
    <row r="53" spans="14:31" ht="15.6" customHeight="1" x14ac:dyDescent="0.3">
      <c r="N53" s="212"/>
      <c r="O53" s="94" t="s">
        <v>70</v>
      </c>
      <c r="P53" s="108"/>
      <c r="Q53" s="108">
        <v>1234</v>
      </c>
      <c r="R53" s="108">
        <v>664</v>
      </c>
      <c r="S53" s="108">
        <f t="shared" si="1"/>
        <v>76</v>
      </c>
      <c r="T53" s="108">
        <v>816</v>
      </c>
      <c r="U53" s="108">
        <f t="shared" si="2"/>
        <v>-22</v>
      </c>
      <c r="V53" s="108">
        <v>772</v>
      </c>
      <c r="W53" s="108">
        <f t="shared" si="3"/>
        <v>114</v>
      </c>
      <c r="X53" s="108">
        <v>1000</v>
      </c>
      <c r="Y53" s="108">
        <f t="shared" si="4"/>
        <v>0</v>
      </c>
      <c r="Z53" s="108">
        <v>1000</v>
      </c>
      <c r="AA53" s="108">
        <f t="shared" si="5"/>
        <v>0</v>
      </c>
      <c r="AB53" s="108">
        <v>1000</v>
      </c>
      <c r="AC53" s="108">
        <f t="shared" si="6"/>
        <v>0</v>
      </c>
      <c r="AD53" s="108">
        <v>1000</v>
      </c>
      <c r="AE53" s="109">
        <f t="shared" si="7"/>
        <v>-234</v>
      </c>
    </row>
    <row r="54" spans="14:31" ht="15.6" customHeight="1" x14ac:dyDescent="0.3">
      <c r="N54" s="212"/>
      <c r="O54" s="95" t="s">
        <v>71</v>
      </c>
      <c r="P54" s="106"/>
      <c r="Q54" s="106">
        <v>3787</v>
      </c>
      <c r="R54" s="106">
        <v>1000</v>
      </c>
      <c r="S54" s="106">
        <f t="shared" si="1"/>
        <v>462.5</v>
      </c>
      <c r="T54" s="106">
        <v>1925</v>
      </c>
      <c r="U54" s="106">
        <f t="shared" si="2"/>
        <v>776.5</v>
      </c>
      <c r="V54" s="106">
        <v>3478</v>
      </c>
      <c r="W54" s="106">
        <f t="shared" si="3"/>
        <v>126</v>
      </c>
      <c r="X54" s="106">
        <v>3730</v>
      </c>
      <c r="Y54" s="106">
        <f t="shared" si="4"/>
        <v>0</v>
      </c>
      <c r="Z54" s="106">
        <v>3730</v>
      </c>
      <c r="AA54" s="106">
        <f t="shared" si="5"/>
        <v>0</v>
      </c>
      <c r="AB54" s="106">
        <v>3730</v>
      </c>
      <c r="AC54" s="106">
        <f t="shared" si="6"/>
        <v>0</v>
      </c>
      <c r="AD54" s="106">
        <v>3730</v>
      </c>
      <c r="AE54" s="107">
        <f t="shared" si="7"/>
        <v>-57</v>
      </c>
    </row>
    <row r="55" spans="14:31" ht="15.6" customHeight="1" x14ac:dyDescent="0.3">
      <c r="N55" s="212"/>
      <c r="O55" s="94" t="s">
        <v>72</v>
      </c>
      <c r="P55" s="108"/>
      <c r="Q55" s="108">
        <v>219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109.5</v>
      </c>
      <c r="V55" s="108">
        <v>219</v>
      </c>
      <c r="W55" s="108">
        <f t="shared" si="3"/>
        <v>0</v>
      </c>
      <c r="X55" s="108">
        <v>219</v>
      </c>
      <c r="Y55" s="108">
        <f t="shared" si="4"/>
        <v>0</v>
      </c>
      <c r="Z55" s="108">
        <v>219</v>
      </c>
      <c r="AA55" s="108">
        <f t="shared" si="5"/>
        <v>0</v>
      </c>
      <c r="AB55" s="108">
        <v>219</v>
      </c>
      <c r="AC55" s="108">
        <f t="shared" si="6"/>
        <v>0</v>
      </c>
      <c r="AD55" s="108">
        <v>219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1286</v>
      </c>
      <c r="R56" s="114">
        <v>121</v>
      </c>
      <c r="S56" s="114">
        <f t="shared" si="1"/>
        <v>0</v>
      </c>
      <c r="T56" s="114">
        <v>121</v>
      </c>
      <c r="U56" s="114">
        <f t="shared" si="2"/>
        <v>504.5</v>
      </c>
      <c r="V56" s="114">
        <v>1130</v>
      </c>
      <c r="W56" s="114">
        <f t="shared" si="3"/>
        <v>78</v>
      </c>
      <c r="X56" s="114">
        <v>1286</v>
      </c>
      <c r="Y56" s="114">
        <f t="shared" si="4"/>
        <v>0</v>
      </c>
      <c r="Z56" s="114">
        <v>1286</v>
      </c>
      <c r="AA56" s="114">
        <f t="shared" si="5"/>
        <v>0</v>
      </c>
      <c r="AB56" s="114">
        <v>1286</v>
      </c>
      <c r="AC56" s="114">
        <f t="shared" si="6"/>
        <v>0</v>
      </c>
      <c r="AD56" s="114">
        <v>1286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4994</v>
      </c>
      <c r="R57" s="104">
        <v>503</v>
      </c>
      <c r="S57" s="104">
        <f t="shared" si="1"/>
        <v>78.5</v>
      </c>
      <c r="T57" s="104">
        <v>660</v>
      </c>
      <c r="U57" s="104">
        <f t="shared" si="2"/>
        <v>7.5</v>
      </c>
      <c r="V57" s="104">
        <v>675</v>
      </c>
      <c r="W57" s="104">
        <f t="shared" si="3"/>
        <v>369.5</v>
      </c>
      <c r="X57" s="104">
        <v>1414</v>
      </c>
      <c r="Y57" s="104">
        <f t="shared" si="4"/>
        <v>427.5</v>
      </c>
      <c r="Z57" s="104">
        <v>2269</v>
      </c>
      <c r="AA57" s="104">
        <f t="shared" si="5"/>
        <v>0</v>
      </c>
      <c r="AB57" s="104">
        <v>2269</v>
      </c>
      <c r="AC57" s="104">
        <f t="shared" si="6"/>
        <v>0</v>
      </c>
      <c r="AD57" s="104">
        <v>2269</v>
      </c>
      <c r="AE57" s="105">
        <f t="shared" si="7"/>
        <v>-2725</v>
      </c>
    </row>
    <row r="58" spans="14:31" ht="15.6" customHeight="1" x14ac:dyDescent="0.3">
      <c r="N58" s="212"/>
      <c r="O58" s="95" t="s">
        <v>66</v>
      </c>
      <c r="P58" s="106"/>
      <c r="Q58" s="106">
        <v>3700</v>
      </c>
      <c r="R58" s="106">
        <v>0</v>
      </c>
      <c r="S58" s="106">
        <f t="shared" si="1"/>
        <v>419.5</v>
      </c>
      <c r="T58" s="106">
        <v>839</v>
      </c>
      <c r="U58" s="106">
        <f t="shared" si="2"/>
        <v>575</v>
      </c>
      <c r="V58" s="106">
        <v>1989</v>
      </c>
      <c r="W58" s="106">
        <f t="shared" si="3"/>
        <v>433</v>
      </c>
      <c r="X58" s="106">
        <v>2855</v>
      </c>
      <c r="Y58" s="106">
        <f t="shared" si="4"/>
        <v>457</v>
      </c>
      <c r="Z58" s="106">
        <v>3769</v>
      </c>
      <c r="AA58" s="106">
        <f t="shared" si="5"/>
        <v>0</v>
      </c>
      <c r="AB58" s="106">
        <v>3769</v>
      </c>
      <c r="AC58" s="106">
        <f t="shared" si="6"/>
        <v>0</v>
      </c>
      <c r="AD58" s="106">
        <v>3769</v>
      </c>
      <c r="AE58" s="107">
        <f t="shared" si="7"/>
        <v>69</v>
      </c>
    </row>
    <row r="59" spans="14:31" ht="15.6" customHeight="1" x14ac:dyDescent="0.3">
      <c r="N59" s="212"/>
      <c r="O59" s="94" t="s">
        <v>67</v>
      </c>
      <c r="P59" s="108"/>
      <c r="Q59" s="108">
        <v>3263</v>
      </c>
      <c r="R59" s="108">
        <v>21</v>
      </c>
      <c r="S59" s="108">
        <f t="shared" si="1"/>
        <v>419</v>
      </c>
      <c r="T59" s="108">
        <v>859</v>
      </c>
      <c r="U59" s="108">
        <f t="shared" si="2"/>
        <v>305.5</v>
      </c>
      <c r="V59" s="108">
        <v>1470</v>
      </c>
      <c r="W59" s="108">
        <f t="shared" si="3"/>
        <v>263.5</v>
      </c>
      <c r="X59" s="108">
        <v>1997</v>
      </c>
      <c r="Y59" s="108">
        <f t="shared" si="4"/>
        <v>25.5</v>
      </c>
      <c r="Z59" s="108">
        <v>2048</v>
      </c>
      <c r="AA59" s="108">
        <f t="shared" si="5"/>
        <v>0</v>
      </c>
      <c r="AB59" s="108">
        <v>2048</v>
      </c>
      <c r="AC59" s="108">
        <f t="shared" si="6"/>
        <v>0</v>
      </c>
      <c r="AD59" s="108">
        <v>2048</v>
      </c>
      <c r="AE59" s="109">
        <f t="shared" si="7"/>
        <v>-1215</v>
      </c>
    </row>
    <row r="60" spans="14:31" ht="15.6" customHeight="1" thickBot="1" x14ac:dyDescent="0.35">
      <c r="N60" s="213"/>
      <c r="O60" s="99" t="s">
        <v>68</v>
      </c>
      <c r="P60" s="114"/>
      <c r="Q60" s="114">
        <v>3693</v>
      </c>
      <c r="R60" s="114">
        <v>565</v>
      </c>
      <c r="S60" s="114">
        <f t="shared" si="1"/>
        <v>533</v>
      </c>
      <c r="T60" s="114">
        <v>1631</v>
      </c>
      <c r="U60" s="114">
        <f t="shared" si="2"/>
        <v>783</v>
      </c>
      <c r="V60" s="114">
        <v>3197</v>
      </c>
      <c r="W60" s="114">
        <f t="shared" si="3"/>
        <v>225</v>
      </c>
      <c r="X60" s="114">
        <v>3647</v>
      </c>
      <c r="Y60" s="114">
        <f t="shared" si="4"/>
        <v>23</v>
      </c>
      <c r="Z60" s="114">
        <v>3693</v>
      </c>
      <c r="AA60" s="114">
        <f t="shared" si="5"/>
        <v>0</v>
      </c>
      <c r="AB60" s="114">
        <v>3693</v>
      </c>
      <c r="AC60" s="114">
        <f t="shared" si="6"/>
        <v>0</v>
      </c>
      <c r="AD60" s="114">
        <v>3693</v>
      </c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2594</v>
      </c>
      <c r="R61" s="104">
        <v>0</v>
      </c>
      <c r="S61" s="104">
        <f t="shared" si="1"/>
        <v>161</v>
      </c>
      <c r="T61" s="104">
        <v>322</v>
      </c>
      <c r="U61" s="104">
        <f t="shared" si="2"/>
        <v>96</v>
      </c>
      <c r="V61" s="104">
        <v>514</v>
      </c>
      <c r="W61" s="104">
        <f t="shared" si="3"/>
        <v>633.5</v>
      </c>
      <c r="X61" s="104">
        <v>1781</v>
      </c>
      <c r="Y61" s="104">
        <f t="shared" si="4"/>
        <v>147.5</v>
      </c>
      <c r="Z61" s="104">
        <v>2076</v>
      </c>
      <c r="AA61" s="104">
        <f t="shared" si="5"/>
        <v>0</v>
      </c>
      <c r="AB61" s="104">
        <v>2076</v>
      </c>
      <c r="AC61" s="104">
        <f t="shared" si="6"/>
        <v>0</v>
      </c>
      <c r="AD61" s="104">
        <v>2076</v>
      </c>
      <c r="AE61" s="105">
        <f t="shared" si="7"/>
        <v>-518</v>
      </c>
    </row>
    <row r="62" spans="14:31" ht="15.6" customHeight="1" x14ac:dyDescent="0.3">
      <c r="N62" s="212"/>
      <c r="O62" s="95" t="s">
        <v>66</v>
      </c>
      <c r="P62" s="106"/>
      <c r="Q62" s="106">
        <v>2380</v>
      </c>
      <c r="R62" s="106">
        <v>47</v>
      </c>
      <c r="S62" s="106">
        <f t="shared" si="1"/>
        <v>257.5</v>
      </c>
      <c r="T62" s="106">
        <v>562</v>
      </c>
      <c r="U62" s="106">
        <f t="shared" si="2"/>
        <v>0</v>
      </c>
      <c r="V62" s="106">
        <v>562</v>
      </c>
      <c r="W62" s="106">
        <f t="shared" si="3"/>
        <v>584</v>
      </c>
      <c r="X62" s="106">
        <v>1730</v>
      </c>
      <c r="Y62" s="106">
        <f t="shared" si="4"/>
        <v>57.5</v>
      </c>
      <c r="Z62" s="106">
        <v>1845</v>
      </c>
      <c r="AA62" s="106">
        <f t="shared" si="5"/>
        <v>0</v>
      </c>
      <c r="AB62" s="106">
        <v>1845</v>
      </c>
      <c r="AC62" s="106">
        <f t="shared" si="6"/>
        <v>0</v>
      </c>
      <c r="AD62" s="106">
        <v>1845</v>
      </c>
      <c r="AE62" s="107">
        <f t="shared" si="7"/>
        <v>-535</v>
      </c>
    </row>
    <row r="63" spans="14:31" ht="15.6" customHeight="1" x14ac:dyDescent="0.3">
      <c r="N63" s="212"/>
      <c r="O63" s="94" t="s">
        <v>67</v>
      </c>
      <c r="P63" s="108"/>
      <c r="Q63" s="108">
        <v>2657</v>
      </c>
      <c r="R63" s="108">
        <v>295</v>
      </c>
      <c r="S63" s="108">
        <f t="shared" si="1"/>
        <v>184</v>
      </c>
      <c r="T63" s="108">
        <v>663</v>
      </c>
      <c r="U63" s="108">
        <f t="shared" si="2"/>
        <v>73</v>
      </c>
      <c r="V63" s="108">
        <v>809</v>
      </c>
      <c r="W63" s="108">
        <f t="shared" si="3"/>
        <v>170</v>
      </c>
      <c r="X63" s="108">
        <v>1149</v>
      </c>
      <c r="Y63" s="108">
        <f t="shared" si="4"/>
        <v>144</v>
      </c>
      <c r="Z63" s="108">
        <v>1437</v>
      </c>
      <c r="AA63" s="108">
        <f t="shared" si="5"/>
        <v>0</v>
      </c>
      <c r="AB63" s="108">
        <v>1437</v>
      </c>
      <c r="AC63" s="108">
        <f t="shared" si="6"/>
        <v>0</v>
      </c>
      <c r="AD63" s="108">
        <v>1437</v>
      </c>
      <c r="AE63" s="109">
        <f t="shared" si="7"/>
        <v>-1220</v>
      </c>
    </row>
    <row r="64" spans="14:31" ht="15.6" customHeight="1" thickBot="1" x14ac:dyDescent="0.35">
      <c r="N64" s="213"/>
      <c r="O64" s="99" t="s">
        <v>68</v>
      </c>
      <c r="P64" s="114"/>
      <c r="Q64" s="114">
        <v>3652</v>
      </c>
      <c r="R64" s="114">
        <v>1136</v>
      </c>
      <c r="S64" s="114">
        <f t="shared" si="1"/>
        <v>120.5</v>
      </c>
      <c r="T64" s="114">
        <v>1377</v>
      </c>
      <c r="U64" s="114">
        <f t="shared" si="2"/>
        <v>68.5</v>
      </c>
      <c r="V64" s="114">
        <v>1514</v>
      </c>
      <c r="W64" s="114">
        <f t="shared" si="3"/>
        <v>10.5</v>
      </c>
      <c r="X64" s="114">
        <v>1535</v>
      </c>
      <c r="Y64" s="114">
        <f t="shared" si="4"/>
        <v>153</v>
      </c>
      <c r="Z64" s="114">
        <v>1841</v>
      </c>
      <c r="AA64" s="114">
        <f t="shared" si="5"/>
        <v>0</v>
      </c>
      <c r="AB64" s="114">
        <v>1841</v>
      </c>
      <c r="AC64" s="114">
        <f t="shared" si="6"/>
        <v>0</v>
      </c>
      <c r="AD64" s="114">
        <v>1841</v>
      </c>
      <c r="AE64" s="115">
        <f t="shared" si="7"/>
        <v>-1811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27" priority="11" operator="lessThan">
      <formula>0</formula>
    </cfRule>
    <cfRule type="cellIs" dxfId="1126" priority="12" operator="greaterThan">
      <formula>0</formula>
    </cfRule>
  </conditionalFormatting>
  <conditionalFormatting sqref="R25:AC25">
    <cfRule type="cellIs" dxfId="1125" priority="9" operator="lessThan">
      <formula>0</formula>
    </cfRule>
    <cfRule type="cellIs" dxfId="1124" priority="10" operator="greaterThan">
      <formula>0</formula>
    </cfRule>
  </conditionalFormatting>
  <conditionalFormatting sqref="R26 T26 V26 X26 Z26 AB26">
    <cfRule type="cellIs" dxfId="1123" priority="7" operator="lessThan">
      <formula>0</formula>
    </cfRule>
    <cfRule type="cellIs" dxfId="1122" priority="8" operator="greaterThan">
      <formula>0</formula>
    </cfRule>
  </conditionalFormatting>
  <conditionalFormatting sqref="AD24:AE24">
    <cfRule type="cellIs" dxfId="1121" priority="5" operator="lessThan">
      <formula>0</formula>
    </cfRule>
    <cfRule type="cellIs" dxfId="1120" priority="6" operator="greaterThan">
      <formula>0</formula>
    </cfRule>
  </conditionalFormatting>
  <conditionalFormatting sqref="AD25:AE25">
    <cfRule type="cellIs" dxfId="1119" priority="3" operator="lessThan">
      <formula>0</formula>
    </cfRule>
    <cfRule type="cellIs" dxfId="1118" priority="4" operator="greaterThan">
      <formula>0</formula>
    </cfRule>
  </conditionalFormatting>
  <conditionalFormatting sqref="AD26">
    <cfRule type="cellIs" dxfId="1117" priority="1" operator="lessThan">
      <formula>0</formula>
    </cfRule>
    <cfRule type="cellIs" dxfId="1116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>
    <tabColor theme="1"/>
    <pageSetUpPr fitToPage="1"/>
  </sheetPr>
  <dimension ref="B1:AQ64"/>
  <sheetViews>
    <sheetView zoomScale="80" zoomScaleNormal="8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44425</v>
      </c>
    </row>
    <row r="3" spans="2:42" ht="18.75" customHeight="1" thickBot="1" x14ac:dyDescent="0.35">
      <c r="B3" t="s">
        <v>1</v>
      </c>
      <c r="C3" s="3">
        <f>C2+1</f>
        <v>44426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5116</v>
      </c>
      <c r="E6" s="18" t="s">
        <v>22</v>
      </c>
      <c r="F6" s="119">
        <v>20916</v>
      </c>
      <c r="G6" s="117">
        <v>17100.202625000009</v>
      </c>
      <c r="H6" s="117">
        <v>15568.73774814</v>
      </c>
      <c r="I6" s="19">
        <f>G6+H6</f>
        <v>32668.940373140009</v>
      </c>
      <c r="J6" s="119">
        <v>21433</v>
      </c>
      <c r="K6" s="117">
        <v>17579.7435</v>
      </c>
      <c r="L6" s="117">
        <v>15901.24530733999</v>
      </c>
      <c r="M6" s="19">
        <f>K6+L6</f>
        <v>33480.988807339992</v>
      </c>
      <c r="N6" s="85">
        <v>68</v>
      </c>
      <c r="O6" s="85">
        <v>56</v>
      </c>
      <c r="P6" s="92"/>
      <c r="Q6" s="20">
        <f>J6-P6</f>
        <v>21433</v>
      </c>
      <c r="R6" s="21">
        <v>4012</v>
      </c>
      <c r="S6" s="20">
        <f>IF(R6&gt;0,(R6-R7-$Q6),"")</f>
        <v>-17440</v>
      </c>
      <c r="T6" s="21">
        <v>6721</v>
      </c>
      <c r="U6" s="20">
        <f>IF(T6&gt;0,(T6-T7-$Q6),"")</f>
        <v>-14747</v>
      </c>
      <c r="V6" s="21">
        <v>12100</v>
      </c>
      <c r="W6" s="20">
        <f>IF(V6&gt;0,(V6-V7-$Q6),"")</f>
        <v>-9705</v>
      </c>
      <c r="X6" s="21">
        <v>15519</v>
      </c>
      <c r="Y6" s="20">
        <f>IF(X6&gt;0,(X6-X7-$Q6),"")</f>
        <v>-6294</v>
      </c>
      <c r="Z6" s="21">
        <v>18902</v>
      </c>
      <c r="AA6" s="20">
        <f>IF(Z6&gt;0,(Z6-Z7-$Q6),"")</f>
        <v>-2917</v>
      </c>
      <c r="AB6" s="21">
        <v>20711</v>
      </c>
      <c r="AC6" s="22">
        <f>IF(AB6&gt;0,(AB6-AB7-$Q6),"")</f>
        <v>-1151</v>
      </c>
      <c r="AD6" s="21">
        <v>20711</v>
      </c>
      <c r="AE6" s="22">
        <f>IF(AD6&gt;0,(AD6-AD7-$Q6),"")</f>
        <v>-1151</v>
      </c>
    </row>
    <row r="7" spans="2:42" x14ac:dyDescent="0.3">
      <c r="B7" s="16" t="s">
        <v>23</v>
      </c>
      <c r="C7" s="17">
        <v>2443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19</v>
      </c>
      <c r="S7" s="24"/>
      <c r="T7" s="25">
        <v>35</v>
      </c>
      <c r="U7" s="24"/>
      <c r="V7" s="25">
        <v>372</v>
      </c>
      <c r="W7" s="24"/>
      <c r="X7" s="25">
        <v>380</v>
      </c>
      <c r="Y7" s="24"/>
      <c r="Z7" s="25">
        <v>386</v>
      </c>
      <c r="AA7" s="24"/>
      <c r="AB7" s="25">
        <v>429</v>
      </c>
      <c r="AC7" s="26"/>
      <c r="AD7" s="25">
        <v>429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2558</v>
      </c>
      <c r="E8" s="29" t="s">
        <v>27</v>
      </c>
      <c r="F8" s="119">
        <v>11270</v>
      </c>
      <c r="G8" s="117">
        <v>4631.0749999999998</v>
      </c>
      <c r="H8" s="117">
        <v>1396.9054599999999</v>
      </c>
      <c r="I8" s="19">
        <f>G8+H8</f>
        <v>6027.9804599999998</v>
      </c>
      <c r="J8" s="119">
        <v>11152</v>
      </c>
      <c r="K8" s="117">
        <v>4575.3040000000001</v>
      </c>
      <c r="L8" s="117">
        <v>1412.4065739</v>
      </c>
      <c r="M8" s="19">
        <f>K8+L8</f>
        <v>5987.7105738999999</v>
      </c>
      <c r="N8" s="87">
        <v>29</v>
      </c>
      <c r="O8" s="87">
        <v>18</v>
      </c>
      <c r="P8" s="92"/>
      <c r="Q8" s="20">
        <f>J8-P8</f>
        <v>11152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7910</v>
      </c>
      <c r="Y8" s="20">
        <f>IF(X8&gt;0,(X8-X9-$Q8),"")</f>
        <v>-3242</v>
      </c>
      <c r="Z8" s="21">
        <v>11152</v>
      </c>
      <c r="AA8" s="20">
        <f>IF(Z8&gt;0,(Z8-Z9-$Q8),"")</f>
        <v>0</v>
      </c>
      <c r="AB8" s="21">
        <v>11152</v>
      </c>
      <c r="AC8" s="22">
        <f>IF(AB8&gt;0,(AB8-AB9-$Q8),"")</f>
        <v>0</v>
      </c>
      <c r="AD8" s="21">
        <v>11152</v>
      </c>
      <c r="AE8" s="22">
        <f>IF(AD8&gt;0,(AD8-AD9-$Q8),"")</f>
        <v>0</v>
      </c>
    </row>
    <row r="9" spans="2:42" x14ac:dyDescent="0.3">
      <c r="B9" s="28" t="s">
        <v>28</v>
      </c>
      <c r="C9" s="17">
        <v>1913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6304</v>
      </c>
      <c r="E10" s="18" t="s">
        <v>31</v>
      </c>
      <c r="F10" s="119">
        <v>18074</v>
      </c>
      <c r="G10" s="117">
        <v>13198.26990625</v>
      </c>
      <c r="H10" s="117">
        <v>1861.6832999999999</v>
      </c>
      <c r="I10" s="19">
        <f>G10+H10</f>
        <v>15059.95320625</v>
      </c>
      <c r="J10" s="119">
        <v>22268</v>
      </c>
      <c r="K10" s="117">
        <v>16911.188281250001</v>
      </c>
      <c r="L10" s="117">
        <v>1819.289775</v>
      </c>
      <c r="M10" s="19">
        <f>K10+L10</f>
        <v>18730.478056250002</v>
      </c>
      <c r="N10" s="88">
        <v>44</v>
      </c>
      <c r="O10" s="88">
        <v>38</v>
      </c>
      <c r="P10" s="92"/>
      <c r="Q10" s="20">
        <f>J10-P10</f>
        <v>22268</v>
      </c>
      <c r="R10" s="21">
        <v>3053</v>
      </c>
      <c r="S10" s="20">
        <f>IF(R10&gt;0,(R10-R11-$Q10),"")</f>
        <v>-20413</v>
      </c>
      <c r="T10" s="21">
        <v>5488</v>
      </c>
      <c r="U10" s="20">
        <f>IF(T10&gt;0,(T10-T11-$Q10),"")</f>
        <v>-18144</v>
      </c>
      <c r="V10" s="21">
        <v>6390</v>
      </c>
      <c r="W10" s="20">
        <f>IF(V10&gt;0,(V10-V11-$Q10),"")</f>
        <v>-17822</v>
      </c>
      <c r="X10" s="21">
        <v>11782</v>
      </c>
      <c r="Y10" s="20">
        <f>IF(X10&gt;0,(X10-X11-$Q10),"")</f>
        <v>-12221</v>
      </c>
      <c r="Z10" s="21">
        <v>17774</v>
      </c>
      <c r="AA10" s="20">
        <f>IF(Z10&gt;0,(Z10-Z11-$Q10),"")</f>
        <v>-6795</v>
      </c>
      <c r="AB10" s="21">
        <v>18288</v>
      </c>
      <c r="AC10" s="22">
        <f>IF(AB10&gt;0,(AB10-AB11-$Q10),"")</f>
        <v>-6284</v>
      </c>
      <c r="AD10" s="21">
        <v>18288</v>
      </c>
      <c r="AE10" s="22">
        <f>IF(AD10&gt;0,(AD10-AD11-$Q10),"")</f>
        <v>-6284</v>
      </c>
    </row>
    <row r="11" spans="2:42" x14ac:dyDescent="0.3">
      <c r="B11" s="16" t="s">
        <v>32</v>
      </c>
      <c r="C11" s="17">
        <v>1998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1198</v>
      </c>
      <c r="S11" s="24"/>
      <c r="T11" s="30">
        <v>1364</v>
      </c>
      <c r="U11" s="24"/>
      <c r="V11" s="30">
        <v>1944</v>
      </c>
      <c r="W11" s="24"/>
      <c r="X11" s="30">
        <v>1735</v>
      </c>
      <c r="Y11" s="24"/>
      <c r="Z11" s="30">
        <v>2301</v>
      </c>
      <c r="AA11" s="24"/>
      <c r="AB11" s="30">
        <v>2304</v>
      </c>
      <c r="AC11" s="26"/>
      <c r="AD11" s="30">
        <v>2304</v>
      </c>
      <c r="AE11" s="26"/>
    </row>
    <row r="12" spans="2:42" x14ac:dyDescent="0.3">
      <c r="B12" s="16" t="s">
        <v>34</v>
      </c>
      <c r="C12" s="17">
        <v>1511</v>
      </c>
      <c r="E12" s="29" t="s">
        <v>35</v>
      </c>
      <c r="F12" s="119">
        <v>18907</v>
      </c>
      <c r="G12" s="117">
        <v>11871.55975</v>
      </c>
      <c r="H12" s="117">
        <v>17566.972676220001</v>
      </c>
      <c r="I12" s="19">
        <f>G12+H12</f>
        <v>29438.532426220001</v>
      </c>
      <c r="J12" s="119">
        <v>19215</v>
      </c>
      <c r="K12" s="117">
        <v>11978</v>
      </c>
      <c r="L12" s="117">
        <v>18247.371808349999</v>
      </c>
      <c r="M12" s="19">
        <f>K12+L12</f>
        <v>30225.371808349999</v>
      </c>
      <c r="N12" s="88">
        <v>46</v>
      </c>
      <c r="O12" s="88">
        <v>39</v>
      </c>
      <c r="P12" s="92"/>
      <c r="Q12" s="20">
        <f>J12-P12</f>
        <v>19215</v>
      </c>
      <c r="R12" s="21">
        <v>3357</v>
      </c>
      <c r="S12" s="20">
        <f>IF(R12&gt;0,(R12-R13-$Q12),"")</f>
        <v>-16299</v>
      </c>
      <c r="T12" s="21">
        <v>5022</v>
      </c>
      <c r="U12" s="20">
        <f>IF(T12&gt;0,(T12-T13-$Q12),"")</f>
        <v>-14634</v>
      </c>
      <c r="V12" s="21">
        <v>7541</v>
      </c>
      <c r="W12" s="20">
        <f>IF(V12&gt;0,(V12-V13-$Q12),"")</f>
        <v>-12526</v>
      </c>
      <c r="X12" s="21">
        <v>8614</v>
      </c>
      <c r="Y12" s="20">
        <f>IF(X12&gt;0,(X12-X13-$Q12),"")</f>
        <v>-11466</v>
      </c>
      <c r="Z12" s="21">
        <v>11641</v>
      </c>
      <c r="AA12" s="20">
        <f>IF(Z12&gt;0,(Z12-Z13-$Q12),"")</f>
        <v>-8803</v>
      </c>
      <c r="AB12" s="21">
        <v>11641</v>
      </c>
      <c r="AC12" s="22">
        <f>IF(AB12&gt;0,(AB12-AB13-$Q12),"")</f>
        <v>-8803</v>
      </c>
      <c r="AD12" s="21">
        <v>11641</v>
      </c>
      <c r="AE12" s="22">
        <f>IF(AD12&gt;0,(AD12-AD13-$Q12),"")</f>
        <v>-8803</v>
      </c>
    </row>
    <row r="13" spans="2:42" x14ac:dyDescent="0.3">
      <c r="B13" s="16" t="s">
        <v>36</v>
      </c>
      <c r="C13" s="17">
        <v>4419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441</v>
      </c>
      <c r="S13" s="24"/>
      <c r="T13" s="30">
        <v>441</v>
      </c>
      <c r="U13" s="24"/>
      <c r="V13" s="30">
        <v>852</v>
      </c>
      <c r="W13" s="24"/>
      <c r="X13" s="30">
        <v>865</v>
      </c>
      <c r="Y13" s="24"/>
      <c r="Z13" s="30">
        <v>1229</v>
      </c>
      <c r="AA13" s="24"/>
      <c r="AB13" s="30">
        <v>1229</v>
      </c>
      <c r="AC13" s="26"/>
      <c r="AD13" s="30">
        <v>1229</v>
      </c>
      <c r="AE13" s="26"/>
    </row>
    <row r="14" spans="2:42" x14ac:dyDescent="0.3">
      <c r="B14" s="16" t="s">
        <v>38</v>
      </c>
      <c r="C14" s="17">
        <v>11916</v>
      </c>
      <c r="E14" s="18" t="s">
        <v>39</v>
      </c>
      <c r="F14" s="119">
        <v>22673</v>
      </c>
      <c r="G14" s="117">
        <v>15674.4375</v>
      </c>
      <c r="H14" s="117">
        <v>20164.160054589989</v>
      </c>
      <c r="I14" s="19">
        <f>G14+H14</f>
        <v>35838.597554589986</v>
      </c>
      <c r="J14" s="119">
        <v>22929</v>
      </c>
      <c r="K14" s="117">
        <v>15952.9375</v>
      </c>
      <c r="L14" s="117">
        <v>20327.877923</v>
      </c>
      <c r="M14" s="19">
        <f>K14+L14</f>
        <v>36280.815423</v>
      </c>
      <c r="N14" s="88">
        <v>62</v>
      </c>
      <c r="O14" s="88">
        <v>42</v>
      </c>
      <c r="P14" s="92"/>
      <c r="Q14" s="20">
        <f>J14-P14</f>
        <v>22929</v>
      </c>
      <c r="R14" s="21">
        <v>4060</v>
      </c>
      <c r="S14" s="20">
        <f>IF(R14&gt;0,(R14-R15-$Q14),"")</f>
        <v>-22209</v>
      </c>
      <c r="T14" s="21">
        <v>6563</v>
      </c>
      <c r="U14" s="20">
        <f>IF(T14&gt;0,(T14-T15-$Q14),"")</f>
        <v>-21713</v>
      </c>
      <c r="V14" s="21">
        <v>9104</v>
      </c>
      <c r="W14" s="20">
        <f>IF(V14&gt;0,(V14-V15-$Q14),"")</f>
        <v>-21053</v>
      </c>
      <c r="X14" s="21">
        <v>13169</v>
      </c>
      <c r="Y14" s="20">
        <f>IF(X14&gt;0,(X14-X15-$Q14),"")</f>
        <v>-18670</v>
      </c>
      <c r="Z14" s="21">
        <v>15306</v>
      </c>
      <c r="AA14" s="20">
        <f>IF(Z14&gt;0,(Z14-Z15-$Q14),"")</f>
        <v>-16638</v>
      </c>
      <c r="AB14" s="21">
        <v>15306</v>
      </c>
      <c r="AC14" s="22">
        <f>IF(AB14&gt;0,(AB14-AB15-$Q14),"")</f>
        <v>-16638</v>
      </c>
      <c r="AD14" s="21">
        <v>15306</v>
      </c>
      <c r="AE14" s="22">
        <f>IF(AD14&gt;0,(AD14-AD15-$Q14),"")</f>
        <v>-16638</v>
      </c>
    </row>
    <row r="15" spans="2:42" ht="15" customHeight="1" thickBot="1" x14ac:dyDescent="0.35">
      <c r="B15" s="16" t="s">
        <v>40</v>
      </c>
      <c r="C15" s="17">
        <v>2255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3340</v>
      </c>
      <c r="S15" s="24"/>
      <c r="T15" s="25">
        <v>5347</v>
      </c>
      <c r="U15" s="24"/>
      <c r="V15" s="25">
        <v>7228</v>
      </c>
      <c r="W15" s="24"/>
      <c r="X15" s="25">
        <v>8910</v>
      </c>
      <c r="Y15" s="24"/>
      <c r="Z15" s="25">
        <v>9015</v>
      </c>
      <c r="AA15" s="24"/>
      <c r="AB15" s="25">
        <v>9015</v>
      </c>
      <c r="AC15" s="26"/>
      <c r="AD15" s="25">
        <v>9015</v>
      </c>
      <c r="AE15" s="26"/>
    </row>
    <row r="16" spans="2:42" ht="15" customHeight="1" thickBot="1" x14ac:dyDescent="0.35">
      <c r="B16" s="28" t="s">
        <v>42</v>
      </c>
      <c r="C16" s="17">
        <v>13600</v>
      </c>
      <c r="E16" s="84"/>
      <c r="F16" s="31">
        <f t="shared" ref="F16:M16" si="0">SUM(F6:F15)</f>
        <v>91840</v>
      </c>
      <c r="G16" s="31">
        <f t="shared" si="0"/>
        <v>62475.544781250006</v>
      </c>
      <c r="H16" s="31">
        <f t="shared" si="0"/>
        <v>56558.459238949989</v>
      </c>
      <c r="I16" s="32">
        <f t="shared" si="0"/>
        <v>119034.00402019999</v>
      </c>
      <c r="J16" s="33">
        <f t="shared" si="0"/>
        <v>96997</v>
      </c>
      <c r="K16" s="33">
        <f t="shared" si="0"/>
        <v>66997.173281249998</v>
      </c>
      <c r="L16" s="33">
        <f t="shared" si="0"/>
        <v>57708.191387589992</v>
      </c>
      <c r="M16" s="33">
        <f t="shared" si="0"/>
        <v>124705.36466883999</v>
      </c>
      <c r="N16" s="31">
        <f>SUM(N14,N12,N10,N8,N6)</f>
        <v>249</v>
      </c>
      <c r="O16" s="31">
        <f>SUM(O14,O12,O10,O8,O6)</f>
        <v>193</v>
      </c>
      <c r="P16" s="34">
        <f>SUM(P6:P15)</f>
        <v>0</v>
      </c>
      <c r="Q16" s="34">
        <f>SUM(Q6:Q15)</f>
        <v>96997</v>
      </c>
      <c r="R16" s="35">
        <f>R6+R8+R10+R12+R14-R7-R9-R11-R13-R15</f>
        <v>9484</v>
      </c>
      <c r="S16" s="36">
        <f>IF(R16&gt;1,(R16-$Q16),"")</f>
        <v>-87513</v>
      </c>
      <c r="T16" s="35">
        <f>T6+T8+T10+T12+T14-T7-T9-T11-T13-T15</f>
        <v>16607</v>
      </c>
      <c r="U16" s="36">
        <f>IF(T16&gt;1,(T16-$Q16),"")</f>
        <v>-80390</v>
      </c>
      <c r="V16" s="35">
        <f>V6+V8+V10+V12+V14-V7-V9-V11-V13-V15</f>
        <v>24739</v>
      </c>
      <c r="W16" s="36">
        <f>IF(V16&gt;1,(V16-$Q16),"")</f>
        <v>-72258</v>
      </c>
      <c r="X16" s="35">
        <f>X6+X8+X10+X12+X14-X7-X9-X11-X13-X15</f>
        <v>45104</v>
      </c>
      <c r="Y16" s="36">
        <f>IF(X16&gt;1,(X16-$Q16),"")</f>
        <v>-51893</v>
      </c>
      <c r="Z16" s="35">
        <f>Z6+Z8+Z10+Z12+Z14-Z7-Z9-Z11-Z13-Z15</f>
        <v>61844</v>
      </c>
      <c r="AA16" s="36">
        <f>IF(Z16&gt;1,(Z16-$Q16),"")</f>
        <v>-35153</v>
      </c>
      <c r="AB16" s="35">
        <f>AB6+AB8+AB10+AB12+AB14-AB7-AB9-AB11-AB13-AB15</f>
        <v>64121</v>
      </c>
      <c r="AC16" s="37">
        <f>IF(AB16&gt;1,(AB16-$Q16),"")</f>
        <v>-32876</v>
      </c>
      <c r="AD16" s="35">
        <f>AD6+AD8+AD10+AD12+AD14-AD7-AD9-AD11-AD13-AD15</f>
        <v>64121</v>
      </c>
      <c r="AE16" s="37">
        <f>IF(AD16&gt;1,(AD16-$Q16),"")</f>
        <v>-32876</v>
      </c>
    </row>
    <row r="17" spans="2:43" s="4" customFormat="1" ht="15" customHeight="1" thickBot="1" x14ac:dyDescent="0.35">
      <c r="B17" s="43" t="s">
        <v>47</v>
      </c>
      <c r="C17" s="17">
        <v>1152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56</v>
      </c>
      <c r="P17" s="38" t="s">
        <v>44</v>
      </c>
      <c r="Q17" s="39"/>
      <c r="R17" s="40">
        <f>R15+R13+R11+R9+R7</f>
        <v>4998</v>
      </c>
      <c r="S17" s="41"/>
      <c r="T17" s="40">
        <f>T15+T13+T11+T9+T7</f>
        <v>7187</v>
      </c>
      <c r="U17" s="41"/>
      <c r="V17" s="40">
        <f>V15+V13+V11+V9+V7</f>
        <v>10396</v>
      </c>
      <c r="W17" s="41"/>
      <c r="X17" s="40">
        <f>X15+X13+X11+X9+X7</f>
        <v>11890</v>
      </c>
      <c r="Y17" s="41"/>
      <c r="Z17" s="40">
        <f>Z15+Z13+Z11+Z9+Z7</f>
        <v>12931</v>
      </c>
      <c r="AA17" s="41"/>
      <c r="AB17" s="40">
        <f>AB15+AB13+AB11+AB9+AB7</f>
        <v>12977</v>
      </c>
      <c r="AC17" s="42"/>
      <c r="AD17" s="40">
        <f>AD15+AD13+AD11+AD9+AD7</f>
        <v>12977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416</v>
      </c>
      <c r="P18" s="45" t="s">
        <v>46</v>
      </c>
      <c r="Q18" s="46"/>
      <c r="R18" s="47">
        <f>IF(R16&gt;0,(R16)/2,"")</f>
        <v>4742</v>
      </c>
      <c r="S18" s="46"/>
      <c r="T18" s="47">
        <f>IF(T16&gt;0,(T16-R16)/2,"")</f>
        <v>3561.5</v>
      </c>
      <c r="U18" s="46"/>
      <c r="V18" s="47">
        <f>IF(V16&gt;0,(V16-T16)/2,"")</f>
        <v>4066</v>
      </c>
      <c r="W18" s="46"/>
      <c r="X18" s="47">
        <f>IF(X16&gt;0,(X16-V16)/2,"")</f>
        <v>10182.5</v>
      </c>
      <c r="Y18" s="46"/>
      <c r="Z18" s="47">
        <f>IF(Z16&gt;0,(Z16-X16)/2,"")</f>
        <v>8370</v>
      </c>
      <c r="AA18" s="46"/>
      <c r="AB18" s="47">
        <f>IF(AB16&gt;0,(AB16-Z16)/2,"")</f>
        <v>1138.5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9116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973</v>
      </c>
      <c r="L20" s="4"/>
      <c r="M20" s="4"/>
      <c r="Q20" s="51" t="s">
        <v>49</v>
      </c>
      <c r="R20" s="35">
        <v>6452</v>
      </c>
      <c r="S20" s="36">
        <v>-76562</v>
      </c>
      <c r="T20" s="35">
        <v>14195</v>
      </c>
      <c r="U20" s="36">
        <v>-68819</v>
      </c>
      <c r="V20" s="35">
        <v>25726</v>
      </c>
      <c r="W20" s="36">
        <v>-57288</v>
      </c>
      <c r="X20" s="35">
        <v>38226</v>
      </c>
      <c r="Y20" s="36">
        <v>-44788</v>
      </c>
      <c r="Z20" s="35">
        <v>53800</v>
      </c>
      <c r="AA20" s="36">
        <v>-29214</v>
      </c>
      <c r="AB20" s="35">
        <v>55806</v>
      </c>
      <c r="AC20" s="37">
        <v>-27208</v>
      </c>
      <c r="AD20" s="35">
        <v>55806</v>
      </c>
      <c r="AE20" s="37">
        <v>-27208</v>
      </c>
    </row>
    <row r="21" spans="2:43" ht="15" customHeight="1" thickBot="1" x14ac:dyDescent="0.35">
      <c r="B21" s="57" t="s">
        <v>52</v>
      </c>
      <c r="C21" s="58">
        <v>4587</v>
      </c>
      <c r="M21" s="4"/>
      <c r="Q21" s="52"/>
      <c r="R21" s="40">
        <v>4345</v>
      </c>
      <c r="S21" s="41"/>
      <c r="T21" s="40">
        <v>7678</v>
      </c>
      <c r="U21" s="41"/>
      <c r="V21" s="40">
        <v>8832</v>
      </c>
      <c r="W21" s="41"/>
      <c r="X21" s="40">
        <v>11207</v>
      </c>
      <c r="Y21" s="41"/>
      <c r="Z21" s="40">
        <v>11215</v>
      </c>
      <c r="AA21" s="41"/>
      <c r="AB21" s="40">
        <v>11218</v>
      </c>
      <c r="AC21" s="42"/>
      <c r="AD21" s="40">
        <v>11218</v>
      </c>
      <c r="AE21" s="42"/>
    </row>
    <row r="22" spans="2:43" ht="15" customHeight="1" thickBot="1" x14ac:dyDescent="0.35">
      <c r="M22" s="4"/>
      <c r="Q22" s="54"/>
      <c r="R22" s="55">
        <v>3226</v>
      </c>
      <c r="S22" s="55"/>
      <c r="T22" s="55">
        <v>3871.5</v>
      </c>
      <c r="U22" s="55"/>
      <c r="V22" s="55">
        <v>5765.5</v>
      </c>
      <c r="W22" s="55"/>
      <c r="X22" s="55">
        <v>6250</v>
      </c>
      <c r="Y22" s="55"/>
      <c r="Z22" s="55">
        <v>7787</v>
      </c>
      <c r="AA22" s="55"/>
      <c r="AB22" s="55">
        <v>1003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3032</v>
      </c>
      <c r="S24" s="60"/>
      <c r="T24" s="60">
        <f>IF(T16&gt;0,T16-T20,"")</f>
        <v>2412</v>
      </c>
      <c r="U24" s="60"/>
      <c r="V24" s="60">
        <f>IF(V16&gt;0,V16-V20,"")</f>
        <v>-987</v>
      </c>
      <c r="W24" s="60"/>
      <c r="X24" s="60">
        <f>IF(X16&gt;0,X16-X20,"")</f>
        <v>6878</v>
      </c>
      <c r="Y24" s="60"/>
      <c r="Z24" s="60">
        <f>IF(Z16&gt;0,Z16-Z20,"")</f>
        <v>8044</v>
      </c>
      <c r="AA24" s="60"/>
      <c r="AB24" s="60">
        <f>IF(AB16&gt;0,AB16-AB20,"")</f>
        <v>8315</v>
      </c>
      <c r="AC24" s="61"/>
      <c r="AD24" s="60">
        <f>IF(AD16&gt;0,AD16-AD20,"")</f>
        <v>8315</v>
      </c>
      <c r="AE24" s="61"/>
    </row>
    <row r="25" spans="2:43" x14ac:dyDescent="0.3">
      <c r="M25" s="4"/>
      <c r="Q25" s="62"/>
      <c r="R25" s="63">
        <f>IF(R17&gt;=0,R17-R21,"")</f>
        <v>653</v>
      </c>
      <c r="S25" s="64"/>
      <c r="T25" s="63">
        <f>IF(T17&gt;=0,T17-T21,"")</f>
        <v>-491</v>
      </c>
      <c r="U25" s="64"/>
      <c r="V25" s="63">
        <f>IF(V17&gt;=0,V17-V21,"")</f>
        <v>1564</v>
      </c>
      <c r="W25" s="64"/>
      <c r="X25" s="63">
        <f>IF(X17&gt;=0,X17-X21,"")</f>
        <v>683</v>
      </c>
      <c r="Y25" s="64"/>
      <c r="Z25" s="63">
        <f>IF(Z17&gt;=0,Z17-Z21,"")</f>
        <v>1716</v>
      </c>
      <c r="AA25" s="64"/>
      <c r="AB25" s="63">
        <f>IF(AB17&gt;=0,AB17-AB21,"")</f>
        <v>1759</v>
      </c>
      <c r="AC25" s="65"/>
      <c r="AD25" s="63">
        <f>IF(AD17&gt;=0,AD17-AD21,"")</f>
        <v>1759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1516</v>
      </c>
      <c r="S26" s="55"/>
      <c r="T26" s="67">
        <f>IFERROR(IF(T18&gt;0,T18-T22,""),"")</f>
        <v>-310</v>
      </c>
      <c r="U26" s="55"/>
      <c r="V26" s="67">
        <f>IFERROR(IF(V18&gt;0,V18-V22,""),"")</f>
        <v>-1699.5</v>
      </c>
      <c r="W26" s="55"/>
      <c r="X26" s="67">
        <f>IFERROR(IF(X18&gt;0,X18-X22,""),"")</f>
        <v>3932.5</v>
      </c>
      <c r="Y26" s="55"/>
      <c r="Z26" s="67">
        <f>IFERROR(IF(Z18&gt;0,Z18-Z22,""),"")</f>
        <v>583</v>
      </c>
      <c r="AA26" s="55"/>
      <c r="AB26" s="67">
        <f>IFERROR(IF(AB18&gt;0,AB18-AB22,""),"")</f>
        <v>135.5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11276</v>
      </c>
      <c r="D29" s="76">
        <f>C14</f>
        <v>11916</v>
      </c>
      <c r="E29" s="77">
        <f>D29-C29</f>
        <v>640</v>
      </c>
      <c r="O29" s="4"/>
    </row>
    <row r="30" spans="2:43" x14ac:dyDescent="0.3">
      <c r="B30" s="74" t="s">
        <v>56</v>
      </c>
      <c r="C30" s="122">
        <v>29764</v>
      </c>
      <c r="D30" s="76">
        <f>C7+C15+C16+C17+C18</f>
        <v>19866</v>
      </c>
      <c r="E30" s="77">
        <f>D30-C30</f>
        <v>-9898</v>
      </c>
      <c r="J30" s="53"/>
      <c r="O30" s="4"/>
    </row>
    <row r="31" spans="2:43" x14ac:dyDescent="0.3">
      <c r="B31" s="74" t="s">
        <v>21</v>
      </c>
      <c r="C31" s="122">
        <v>5116</v>
      </c>
      <c r="D31" s="76">
        <f>C6</f>
        <v>5116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14232</v>
      </c>
      <c r="D32" s="76">
        <f>C10+C11+C12+C13</f>
        <v>14232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14900</v>
      </c>
      <c r="D33" s="76">
        <f>C19+C20+C21</f>
        <v>14676</v>
      </c>
      <c r="E33" s="77">
        <f>D33-C33</f>
        <v>-224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4471</v>
      </c>
      <c r="D34" s="80">
        <f>SUM(C8+C9)</f>
        <v>4471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1014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265.5</v>
      </c>
      <c r="V35" s="104">
        <v>531</v>
      </c>
      <c r="W35" s="104">
        <f t="shared" ref="W35:W64" si="3">IF(X35&gt;0,(X35-V35)/2,"")</f>
        <v>241</v>
      </c>
      <c r="X35" s="104">
        <v>1013</v>
      </c>
      <c r="Y35" s="104">
        <f t="shared" ref="Y35:Y64" si="4">IF(Z35&gt;0,(Z35-X35)/2,"")</f>
        <v>0</v>
      </c>
      <c r="Z35" s="104">
        <v>1013</v>
      </c>
      <c r="AA35" s="104">
        <f t="shared" ref="AA35:AA64" si="5">IF(AB35&gt;0,(AB35-Z35)/2,"")</f>
        <v>0.5</v>
      </c>
      <c r="AB35" s="104">
        <v>1014</v>
      </c>
      <c r="AC35" s="104">
        <f t="shared" ref="AC35:AC64" si="6">IF(AD35&gt;0,(AD35-AB35)/2,"")</f>
        <v>0</v>
      </c>
      <c r="AD35" s="104">
        <v>1014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1967</v>
      </c>
      <c r="R36" s="106">
        <v>576</v>
      </c>
      <c r="S36" s="106">
        <f t="shared" si="1"/>
        <v>278</v>
      </c>
      <c r="T36" s="106">
        <v>1132</v>
      </c>
      <c r="U36" s="106">
        <f t="shared" si="2"/>
        <v>0</v>
      </c>
      <c r="V36" s="106">
        <v>1132</v>
      </c>
      <c r="W36" s="106">
        <f t="shared" si="3"/>
        <v>0</v>
      </c>
      <c r="X36" s="106">
        <v>1132</v>
      </c>
      <c r="Y36" s="106">
        <f t="shared" si="4"/>
        <v>0</v>
      </c>
      <c r="Z36" s="106">
        <v>1132</v>
      </c>
      <c r="AA36" s="106">
        <f t="shared" si="5"/>
        <v>14.5</v>
      </c>
      <c r="AB36" s="106">
        <v>1161</v>
      </c>
      <c r="AC36" s="106">
        <f t="shared" si="6"/>
        <v>0</v>
      </c>
      <c r="AD36" s="106">
        <v>1161</v>
      </c>
      <c r="AE36" s="107">
        <f t="shared" si="7"/>
        <v>-806</v>
      </c>
    </row>
    <row r="37" spans="2:31" ht="15.6" customHeight="1" x14ac:dyDescent="0.3">
      <c r="N37" s="212"/>
      <c r="O37" s="94" t="s">
        <v>67</v>
      </c>
      <c r="P37" s="108"/>
      <c r="Q37" s="108">
        <v>3867</v>
      </c>
      <c r="R37" s="108">
        <v>420</v>
      </c>
      <c r="S37" s="108">
        <f t="shared" si="1"/>
        <v>186</v>
      </c>
      <c r="T37" s="108">
        <v>792</v>
      </c>
      <c r="U37" s="108">
        <f t="shared" si="2"/>
        <v>210</v>
      </c>
      <c r="V37" s="108">
        <v>1212</v>
      </c>
      <c r="W37" s="108">
        <f t="shared" si="3"/>
        <v>512.5</v>
      </c>
      <c r="X37" s="108">
        <v>2237</v>
      </c>
      <c r="Y37" s="108">
        <f t="shared" si="4"/>
        <v>512.5</v>
      </c>
      <c r="Z37" s="108">
        <v>3262</v>
      </c>
      <c r="AA37" s="108">
        <f t="shared" si="5"/>
        <v>198</v>
      </c>
      <c r="AB37" s="108">
        <v>3658</v>
      </c>
      <c r="AC37" s="108">
        <f t="shared" si="6"/>
        <v>0</v>
      </c>
      <c r="AD37" s="108">
        <v>3658</v>
      </c>
      <c r="AE37" s="109">
        <f t="shared" si="7"/>
        <v>-209</v>
      </c>
    </row>
    <row r="38" spans="2:31" ht="15.6" customHeight="1" x14ac:dyDescent="0.3">
      <c r="N38" s="212"/>
      <c r="O38" s="95" t="s">
        <v>68</v>
      </c>
      <c r="P38" s="106"/>
      <c r="Q38" s="106">
        <v>3409</v>
      </c>
      <c r="R38" s="106">
        <v>749</v>
      </c>
      <c r="S38" s="106">
        <f t="shared" si="1"/>
        <v>465</v>
      </c>
      <c r="T38" s="106">
        <v>1679</v>
      </c>
      <c r="U38" s="106">
        <f t="shared" si="2"/>
        <v>267</v>
      </c>
      <c r="V38" s="106">
        <v>2213</v>
      </c>
      <c r="W38" s="106">
        <f t="shared" si="3"/>
        <v>236.5</v>
      </c>
      <c r="X38" s="106">
        <v>2686</v>
      </c>
      <c r="Y38" s="106">
        <f t="shared" si="4"/>
        <v>364.5</v>
      </c>
      <c r="Z38" s="106">
        <v>3415</v>
      </c>
      <c r="AA38" s="106">
        <f t="shared" si="5"/>
        <v>0</v>
      </c>
      <c r="AB38" s="106">
        <v>3415</v>
      </c>
      <c r="AC38" s="106">
        <f t="shared" si="6"/>
        <v>0</v>
      </c>
      <c r="AD38" s="106">
        <v>3415</v>
      </c>
      <c r="AE38" s="107">
        <f t="shared" si="7"/>
        <v>6</v>
      </c>
    </row>
    <row r="39" spans="2:31" ht="15.6" customHeight="1" x14ac:dyDescent="0.3">
      <c r="N39" s="212"/>
      <c r="O39" s="94" t="s">
        <v>69</v>
      </c>
      <c r="P39" s="108"/>
      <c r="Q39" s="108">
        <v>2838</v>
      </c>
      <c r="R39" s="108">
        <v>0</v>
      </c>
      <c r="S39" s="108" t="str">
        <f t="shared" si="1"/>
        <v/>
      </c>
      <c r="T39" s="108">
        <v>0</v>
      </c>
      <c r="U39" s="108">
        <f t="shared" si="2"/>
        <v>544</v>
      </c>
      <c r="V39" s="108">
        <v>1088</v>
      </c>
      <c r="W39" s="108">
        <f t="shared" si="3"/>
        <v>0</v>
      </c>
      <c r="X39" s="108">
        <v>1088</v>
      </c>
      <c r="Y39" s="108">
        <f t="shared" si="4"/>
        <v>472.5</v>
      </c>
      <c r="Z39" s="108">
        <v>2033</v>
      </c>
      <c r="AA39" s="108">
        <f t="shared" si="5"/>
        <v>400</v>
      </c>
      <c r="AB39" s="108">
        <v>2833</v>
      </c>
      <c r="AC39" s="108">
        <f t="shared" si="6"/>
        <v>0</v>
      </c>
      <c r="AD39" s="108">
        <v>2833</v>
      </c>
      <c r="AE39" s="109">
        <f t="shared" si="7"/>
        <v>-5</v>
      </c>
    </row>
    <row r="40" spans="2:31" ht="15.6" customHeight="1" x14ac:dyDescent="0.3">
      <c r="N40" s="212"/>
      <c r="O40" s="95" t="s">
        <v>70</v>
      </c>
      <c r="P40" s="106"/>
      <c r="Q40" s="106">
        <v>3574</v>
      </c>
      <c r="R40" s="106">
        <v>594</v>
      </c>
      <c r="S40" s="106">
        <f t="shared" si="1"/>
        <v>0</v>
      </c>
      <c r="T40" s="106">
        <v>594</v>
      </c>
      <c r="U40" s="106">
        <f t="shared" si="2"/>
        <v>697.5</v>
      </c>
      <c r="V40" s="106">
        <v>1989</v>
      </c>
      <c r="W40" s="106">
        <f t="shared" si="3"/>
        <v>248.5</v>
      </c>
      <c r="X40" s="106">
        <v>2486</v>
      </c>
      <c r="Y40" s="106">
        <f t="shared" si="4"/>
        <v>293.5</v>
      </c>
      <c r="Z40" s="106">
        <v>3073</v>
      </c>
      <c r="AA40" s="106">
        <f t="shared" si="5"/>
        <v>288</v>
      </c>
      <c r="AB40" s="106">
        <v>3649</v>
      </c>
      <c r="AC40" s="106">
        <f t="shared" si="6"/>
        <v>0</v>
      </c>
      <c r="AD40" s="106">
        <v>3649</v>
      </c>
      <c r="AE40" s="107">
        <f t="shared" si="7"/>
        <v>75</v>
      </c>
    </row>
    <row r="41" spans="2:31" ht="15.6" customHeight="1" x14ac:dyDescent="0.3">
      <c r="N41" s="212"/>
      <c r="O41" s="94" t="s">
        <v>71</v>
      </c>
      <c r="P41" s="108"/>
      <c r="Q41" s="108">
        <v>614</v>
      </c>
      <c r="R41" s="108">
        <v>0</v>
      </c>
      <c r="S41" s="108">
        <f t="shared" si="1"/>
        <v>130.5</v>
      </c>
      <c r="T41" s="108">
        <v>261</v>
      </c>
      <c r="U41" s="108">
        <f t="shared" si="2"/>
        <v>314</v>
      </c>
      <c r="V41" s="108">
        <v>889</v>
      </c>
      <c r="W41" s="108">
        <f t="shared" si="3"/>
        <v>0</v>
      </c>
      <c r="X41" s="108">
        <v>889</v>
      </c>
      <c r="Y41" s="108">
        <f t="shared" si="4"/>
        <v>0</v>
      </c>
      <c r="Z41" s="108">
        <v>889</v>
      </c>
      <c r="AA41" s="108">
        <f t="shared" si="5"/>
        <v>0</v>
      </c>
      <c r="AB41" s="108">
        <v>889</v>
      </c>
      <c r="AC41" s="108">
        <f t="shared" si="6"/>
        <v>0</v>
      </c>
      <c r="AD41" s="108">
        <v>889</v>
      </c>
      <c r="AE41" s="109">
        <f t="shared" si="7"/>
        <v>275</v>
      </c>
    </row>
    <row r="42" spans="2:31" ht="15.6" customHeight="1" x14ac:dyDescent="0.3">
      <c r="N42" s="212"/>
      <c r="O42" s="95" t="s">
        <v>72</v>
      </c>
      <c r="P42" s="106"/>
      <c r="Q42" s="106">
        <v>1807</v>
      </c>
      <c r="R42" s="106">
        <v>614</v>
      </c>
      <c r="S42" s="106">
        <f t="shared" si="1"/>
        <v>266</v>
      </c>
      <c r="T42" s="106">
        <v>1146</v>
      </c>
      <c r="U42" s="106">
        <f t="shared" si="2"/>
        <v>300.5</v>
      </c>
      <c r="V42" s="106">
        <v>1747</v>
      </c>
      <c r="W42" s="106">
        <f t="shared" si="3"/>
        <v>21</v>
      </c>
      <c r="X42" s="106">
        <v>1789</v>
      </c>
      <c r="Y42" s="106">
        <f t="shared" si="4"/>
        <v>12</v>
      </c>
      <c r="Z42" s="106">
        <v>1813</v>
      </c>
      <c r="AA42" s="106">
        <f t="shared" si="5"/>
        <v>0</v>
      </c>
      <c r="AB42" s="106">
        <v>1813</v>
      </c>
      <c r="AC42" s="106">
        <f t="shared" si="6"/>
        <v>0</v>
      </c>
      <c r="AD42" s="106">
        <v>1813</v>
      </c>
      <c r="AE42" s="107">
        <f t="shared" si="7"/>
        <v>6</v>
      </c>
    </row>
    <row r="43" spans="2:31" ht="15.6" customHeight="1" thickBot="1" x14ac:dyDescent="0.35">
      <c r="N43" s="213"/>
      <c r="O43" s="97" t="s">
        <v>73</v>
      </c>
      <c r="P43" s="110"/>
      <c r="Q43" s="110">
        <v>1729</v>
      </c>
      <c r="R43" s="110">
        <v>927</v>
      </c>
      <c r="S43" s="110">
        <f t="shared" si="1"/>
        <v>0</v>
      </c>
      <c r="T43" s="110">
        <v>927</v>
      </c>
      <c r="U43" s="110">
        <f t="shared" si="2"/>
        <v>0</v>
      </c>
      <c r="V43" s="110">
        <v>927</v>
      </c>
      <c r="W43" s="110">
        <f t="shared" si="3"/>
        <v>395.5</v>
      </c>
      <c r="X43" s="110">
        <v>1718</v>
      </c>
      <c r="Y43" s="110">
        <f t="shared" si="4"/>
        <v>0</v>
      </c>
      <c r="Z43" s="110">
        <v>1718</v>
      </c>
      <c r="AA43" s="110">
        <f t="shared" si="5"/>
        <v>3.5</v>
      </c>
      <c r="AB43" s="110">
        <v>1725</v>
      </c>
      <c r="AC43" s="110">
        <f t="shared" si="6"/>
        <v>0</v>
      </c>
      <c r="AD43" s="110">
        <v>1725</v>
      </c>
      <c r="AE43" s="111">
        <f t="shared" si="7"/>
        <v>-4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2927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947.5</v>
      </c>
      <c r="X44" s="112">
        <v>1895</v>
      </c>
      <c r="Y44" s="112">
        <f t="shared" si="4"/>
        <v>516</v>
      </c>
      <c r="Z44" s="112">
        <v>2927</v>
      </c>
      <c r="AA44" s="112">
        <f t="shared" si="5"/>
        <v>0</v>
      </c>
      <c r="AB44" s="112">
        <v>2927</v>
      </c>
      <c r="AC44" s="112">
        <f t="shared" si="6"/>
        <v>0</v>
      </c>
      <c r="AD44" s="112">
        <v>2927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2362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524.5</v>
      </c>
      <c r="X45" s="108">
        <v>1049</v>
      </c>
      <c r="Y45" s="108">
        <f t="shared" si="4"/>
        <v>656.5</v>
      </c>
      <c r="Z45" s="108">
        <v>2362</v>
      </c>
      <c r="AA45" s="108">
        <f t="shared" si="5"/>
        <v>0</v>
      </c>
      <c r="AB45" s="108">
        <v>2362</v>
      </c>
      <c r="AC45" s="108">
        <f t="shared" si="6"/>
        <v>0</v>
      </c>
      <c r="AD45" s="108">
        <v>2362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2695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899</v>
      </c>
      <c r="X46" s="106">
        <v>1798</v>
      </c>
      <c r="Y46" s="106">
        <f t="shared" si="4"/>
        <v>448.5</v>
      </c>
      <c r="Z46" s="106">
        <v>2695</v>
      </c>
      <c r="AA46" s="106">
        <f t="shared" si="5"/>
        <v>0</v>
      </c>
      <c r="AB46" s="106">
        <v>2695</v>
      </c>
      <c r="AC46" s="106">
        <f t="shared" si="6"/>
        <v>0</v>
      </c>
      <c r="AD46" s="106">
        <v>2695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3168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1584</v>
      </c>
      <c r="X47" s="110">
        <v>3168</v>
      </c>
      <c r="Y47" s="110">
        <f t="shared" si="4"/>
        <v>0</v>
      </c>
      <c r="Z47" s="110">
        <v>3168</v>
      </c>
      <c r="AA47" s="110">
        <f t="shared" si="5"/>
        <v>0</v>
      </c>
      <c r="AB47" s="110">
        <v>3168</v>
      </c>
      <c r="AC47" s="110">
        <f t="shared" si="6"/>
        <v>0</v>
      </c>
      <c r="AD47" s="110">
        <v>3168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1270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30</v>
      </c>
      <c r="V48" s="112">
        <v>60</v>
      </c>
      <c r="W48" s="112">
        <f t="shared" si="3"/>
        <v>50</v>
      </c>
      <c r="X48" s="112">
        <v>160</v>
      </c>
      <c r="Y48" s="112">
        <f t="shared" si="4"/>
        <v>388</v>
      </c>
      <c r="Z48" s="112">
        <v>936</v>
      </c>
      <c r="AA48" s="112">
        <f t="shared" si="5"/>
        <v>124</v>
      </c>
      <c r="AB48" s="112">
        <v>1184</v>
      </c>
      <c r="AC48" s="112">
        <f t="shared" si="6"/>
        <v>0</v>
      </c>
      <c r="AD48" s="112">
        <v>1184</v>
      </c>
      <c r="AE48" s="113">
        <f t="shared" si="7"/>
        <v>-86</v>
      </c>
    </row>
    <row r="49" spans="14:31" ht="15.6" customHeight="1" x14ac:dyDescent="0.3">
      <c r="N49" s="212"/>
      <c r="O49" s="94" t="s">
        <v>66</v>
      </c>
      <c r="P49" s="108"/>
      <c r="Q49" s="108">
        <v>2927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69.5</v>
      </c>
      <c r="V49" s="108">
        <v>139</v>
      </c>
      <c r="W49" s="108">
        <f t="shared" si="3"/>
        <v>915.5</v>
      </c>
      <c r="X49" s="108">
        <v>1970</v>
      </c>
      <c r="Y49" s="108">
        <f t="shared" si="4"/>
        <v>448</v>
      </c>
      <c r="Z49" s="108">
        <v>2866</v>
      </c>
      <c r="AA49" s="108">
        <f t="shared" si="5"/>
        <v>30.5</v>
      </c>
      <c r="AB49" s="108">
        <v>2927</v>
      </c>
      <c r="AC49" s="108">
        <f t="shared" si="6"/>
        <v>0</v>
      </c>
      <c r="AD49" s="108">
        <v>2927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1742</v>
      </c>
      <c r="R50" s="106">
        <v>605</v>
      </c>
      <c r="S50" s="106">
        <f t="shared" si="1"/>
        <v>113</v>
      </c>
      <c r="T50" s="106">
        <v>831</v>
      </c>
      <c r="U50" s="106">
        <f t="shared" si="2"/>
        <v>35</v>
      </c>
      <c r="V50" s="106">
        <v>901</v>
      </c>
      <c r="W50" s="106">
        <f t="shared" si="3"/>
        <v>-30</v>
      </c>
      <c r="X50" s="106">
        <v>841</v>
      </c>
      <c r="Y50" s="106">
        <f t="shared" si="4"/>
        <v>120.5</v>
      </c>
      <c r="Z50" s="106">
        <v>1082</v>
      </c>
      <c r="AA50" s="106">
        <f t="shared" si="5"/>
        <v>0.5</v>
      </c>
      <c r="AB50" s="106">
        <v>1083</v>
      </c>
      <c r="AC50" s="106">
        <f t="shared" si="6"/>
        <v>0</v>
      </c>
      <c r="AD50" s="106">
        <v>1083</v>
      </c>
      <c r="AE50" s="107">
        <f t="shared" si="7"/>
        <v>-659</v>
      </c>
    </row>
    <row r="51" spans="14:31" ht="15.6" customHeight="1" x14ac:dyDescent="0.3">
      <c r="N51" s="212"/>
      <c r="O51" s="94" t="s">
        <v>68</v>
      </c>
      <c r="P51" s="108"/>
      <c r="Q51" s="108">
        <v>3209</v>
      </c>
      <c r="R51" s="108">
        <v>105</v>
      </c>
      <c r="S51" s="108">
        <f t="shared" si="1"/>
        <v>247</v>
      </c>
      <c r="T51" s="108">
        <v>599</v>
      </c>
      <c r="U51" s="108">
        <f t="shared" si="2"/>
        <v>77</v>
      </c>
      <c r="V51" s="108">
        <v>753</v>
      </c>
      <c r="W51" s="108">
        <f t="shared" si="3"/>
        <v>454.5</v>
      </c>
      <c r="X51" s="108">
        <v>1662</v>
      </c>
      <c r="Y51" s="108">
        <f t="shared" si="4"/>
        <v>70.5</v>
      </c>
      <c r="Z51" s="108">
        <v>1803</v>
      </c>
      <c r="AA51" s="108">
        <f t="shared" si="5"/>
        <v>4.5</v>
      </c>
      <c r="AB51" s="108">
        <v>1812</v>
      </c>
      <c r="AC51" s="108">
        <f t="shared" si="6"/>
        <v>0</v>
      </c>
      <c r="AD51" s="108">
        <v>1812</v>
      </c>
      <c r="AE51" s="109">
        <f t="shared" si="7"/>
        <v>-1397</v>
      </c>
    </row>
    <row r="52" spans="14:31" ht="15.6" customHeight="1" x14ac:dyDescent="0.3">
      <c r="N52" s="212"/>
      <c r="O52" s="95" t="s">
        <v>69</v>
      </c>
      <c r="P52" s="106"/>
      <c r="Q52" s="106">
        <v>2135</v>
      </c>
      <c r="R52" s="106">
        <v>675</v>
      </c>
      <c r="S52" s="106">
        <f t="shared" si="1"/>
        <v>179</v>
      </c>
      <c r="T52" s="106">
        <v>1033</v>
      </c>
      <c r="U52" s="106">
        <f t="shared" si="2"/>
        <v>60.5</v>
      </c>
      <c r="V52" s="106">
        <v>1154</v>
      </c>
      <c r="W52" s="106">
        <f t="shared" si="3"/>
        <v>39.5</v>
      </c>
      <c r="X52" s="106">
        <v>1233</v>
      </c>
      <c r="Y52" s="106">
        <f t="shared" si="4"/>
        <v>230</v>
      </c>
      <c r="Z52" s="106">
        <v>1693</v>
      </c>
      <c r="AA52" s="106">
        <f t="shared" si="5"/>
        <v>12</v>
      </c>
      <c r="AB52" s="106">
        <v>1717</v>
      </c>
      <c r="AC52" s="106">
        <f t="shared" si="6"/>
        <v>0</v>
      </c>
      <c r="AD52" s="106">
        <v>1717</v>
      </c>
      <c r="AE52" s="107">
        <f t="shared" si="7"/>
        <v>-418</v>
      </c>
    </row>
    <row r="53" spans="14:31" ht="15.6" customHeight="1" x14ac:dyDescent="0.3">
      <c r="N53" s="212"/>
      <c r="O53" s="94" t="s">
        <v>70</v>
      </c>
      <c r="P53" s="108"/>
      <c r="Q53" s="108">
        <v>1341</v>
      </c>
      <c r="R53" s="108">
        <v>668</v>
      </c>
      <c r="S53" s="108">
        <f t="shared" si="1"/>
        <v>191</v>
      </c>
      <c r="T53" s="108">
        <v>1050</v>
      </c>
      <c r="U53" s="108">
        <f t="shared" si="2"/>
        <v>0</v>
      </c>
      <c r="V53" s="108">
        <v>1050</v>
      </c>
      <c r="W53" s="108">
        <f t="shared" si="3"/>
        <v>0</v>
      </c>
      <c r="X53" s="108">
        <v>1050</v>
      </c>
      <c r="Y53" s="108">
        <f t="shared" si="4"/>
        <v>0</v>
      </c>
      <c r="Z53" s="108">
        <v>1050</v>
      </c>
      <c r="AA53" s="108">
        <f t="shared" si="5"/>
        <v>55.5</v>
      </c>
      <c r="AB53" s="108">
        <v>1161</v>
      </c>
      <c r="AC53" s="108">
        <f t="shared" si="6"/>
        <v>0</v>
      </c>
      <c r="AD53" s="108">
        <v>1161</v>
      </c>
      <c r="AE53" s="109">
        <f t="shared" si="7"/>
        <v>-180</v>
      </c>
    </row>
    <row r="54" spans="14:31" ht="15.6" customHeight="1" x14ac:dyDescent="0.3">
      <c r="N54" s="212"/>
      <c r="O54" s="95" t="s">
        <v>71</v>
      </c>
      <c r="P54" s="106"/>
      <c r="Q54" s="106">
        <v>3960</v>
      </c>
      <c r="R54" s="106">
        <v>1000</v>
      </c>
      <c r="S54" s="106">
        <f t="shared" si="1"/>
        <v>475</v>
      </c>
      <c r="T54" s="106">
        <v>1950</v>
      </c>
      <c r="U54" s="106">
        <f t="shared" si="2"/>
        <v>0</v>
      </c>
      <c r="V54" s="106">
        <v>1950</v>
      </c>
      <c r="W54" s="106">
        <f t="shared" si="3"/>
        <v>779</v>
      </c>
      <c r="X54" s="106">
        <v>3508</v>
      </c>
      <c r="Y54" s="106">
        <f t="shared" si="4"/>
        <v>183.5</v>
      </c>
      <c r="Z54" s="106">
        <v>3875</v>
      </c>
      <c r="AA54" s="106">
        <f t="shared" si="5"/>
        <v>5.5</v>
      </c>
      <c r="AB54" s="106">
        <v>3886</v>
      </c>
      <c r="AC54" s="106">
        <f t="shared" si="6"/>
        <v>0</v>
      </c>
      <c r="AD54" s="106">
        <v>3886</v>
      </c>
      <c r="AE54" s="107">
        <f t="shared" si="7"/>
        <v>-74</v>
      </c>
    </row>
    <row r="55" spans="14:31" ht="15.6" customHeight="1" x14ac:dyDescent="0.3">
      <c r="N55" s="212"/>
      <c r="O55" s="94" t="s">
        <v>72</v>
      </c>
      <c r="P55" s="108"/>
      <c r="Q55" s="108">
        <v>3927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600</v>
      </c>
      <c r="X55" s="108">
        <v>1200</v>
      </c>
      <c r="Y55" s="108">
        <f t="shared" si="4"/>
        <v>1339.5</v>
      </c>
      <c r="Z55" s="108">
        <v>3879</v>
      </c>
      <c r="AA55" s="108">
        <f t="shared" si="5"/>
        <v>24</v>
      </c>
      <c r="AB55" s="108">
        <v>3927</v>
      </c>
      <c r="AC55" s="108">
        <f t="shared" si="6"/>
        <v>0</v>
      </c>
      <c r="AD55" s="108">
        <v>3927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1757</v>
      </c>
      <c r="R56" s="114">
        <v>0</v>
      </c>
      <c r="S56" s="114">
        <f t="shared" si="1"/>
        <v>12.5</v>
      </c>
      <c r="T56" s="114">
        <v>25</v>
      </c>
      <c r="U56" s="114">
        <f t="shared" si="2"/>
        <v>179</v>
      </c>
      <c r="V56" s="114">
        <v>383</v>
      </c>
      <c r="W56" s="114">
        <f t="shared" si="3"/>
        <v>-112.5</v>
      </c>
      <c r="X56" s="114">
        <v>158</v>
      </c>
      <c r="Y56" s="114">
        <f t="shared" si="4"/>
        <v>216</v>
      </c>
      <c r="Z56" s="114">
        <v>590</v>
      </c>
      <c r="AA56" s="114">
        <f t="shared" si="5"/>
        <v>0.5</v>
      </c>
      <c r="AB56" s="114">
        <v>591</v>
      </c>
      <c r="AC56" s="114">
        <f t="shared" si="6"/>
        <v>0</v>
      </c>
      <c r="AD56" s="114">
        <v>591</v>
      </c>
      <c r="AE56" s="115">
        <f t="shared" si="7"/>
        <v>-1166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4748</v>
      </c>
      <c r="R57" s="104">
        <v>174</v>
      </c>
      <c r="S57" s="104">
        <f t="shared" si="1"/>
        <v>104</v>
      </c>
      <c r="T57" s="104">
        <v>382</v>
      </c>
      <c r="U57" s="104">
        <f t="shared" si="2"/>
        <v>84</v>
      </c>
      <c r="V57" s="104">
        <v>550</v>
      </c>
      <c r="W57" s="104">
        <f t="shared" si="3"/>
        <v>111</v>
      </c>
      <c r="X57" s="104">
        <v>772</v>
      </c>
      <c r="Y57" s="104">
        <f t="shared" si="4"/>
        <v>355.5</v>
      </c>
      <c r="Z57" s="104">
        <v>1483</v>
      </c>
      <c r="AA57" s="104">
        <f t="shared" si="5"/>
        <v>0</v>
      </c>
      <c r="AB57" s="104">
        <v>1483</v>
      </c>
      <c r="AC57" s="104">
        <f t="shared" si="6"/>
        <v>0</v>
      </c>
      <c r="AD57" s="104">
        <v>1483</v>
      </c>
      <c r="AE57" s="105">
        <f t="shared" si="7"/>
        <v>-3265</v>
      </c>
    </row>
    <row r="58" spans="14:31" ht="15.6" customHeight="1" x14ac:dyDescent="0.3">
      <c r="N58" s="212"/>
      <c r="O58" s="95" t="s">
        <v>66</v>
      </c>
      <c r="P58" s="106"/>
      <c r="Q58" s="106">
        <v>3193</v>
      </c>
      <c r="R58" s="106">
        <v>1363</v>
      </c>
      <c r="S58" s="106">
        <f t="shared" si="1"/>
        <v>231.5</v>
      </c>
      <c r="T58" s="106">
        <v>1826</v>
      </c>
      <c r="U58" s="106">
        <f t="shared" si="2"/>
        <v>458.5</v>
      </c>
      <c r="V58" s="106">
        <v>2743</v>
      </c>
      <c r="W58" s="106">
        <f t="shared" si="3"/>
        <v>0</v>
      </c>
      <c r="X58" s="106">
        <v>2743</v>
      </c>
      <c r="Y58" s="106">
        <f t="shared" si="4"/>
        <v>269.5</v>
      </c>
      <c r="Z58" s="106">
        <v>3282</v>
      </c>
      <c r="AA58" s="106">
        <f t="shared" si="5"/>
        <v>0</v>
      </c>
      <c r="AB58" s="106">
        <v>3282</v>
      </c>
      <c r="AC58" s="106">
        <f t="shared" si="6"/>
        <v>0</v>
      </c>
      <c r="AD58" s="106">
        <v>3282</v>
      </c>
      <c r="AE58" s="107">
        <f t="shared" si="7"/>
        <v>89</v>
      </c>
    </row>
    <row r="59" spans="14:31" ht="15.6" customHeight="1" x14ac:dyDescent="0.3">
      <c r="N59" s="212"/>
      <c r="O59" s="94" t="s">
        <v>67</v>
      </c>
      <c r="P59" s="108"/>
      <c r="Q59" s="108">
        <v>7557</v>
      </c>
      <c r="R59" s="108">
        <v>260</v>
      </c>
      <c r="S59" s="108">
        <f t="shared" si="1"/>
        <v>260</v>
      </c>
      <c r="T59" s="108">
        <v>780</v>
      </c>
      <c r="U59" s="108">
        <f t="shared" si="2"/>
        <v>314.5</v>
      </c>
      <c r="V59" s="108">
        <v>1409</v>
      </c>
      <c r="W59" s="108">
        <f t="shared" si="3"/>
        <v>206</v>
      </c>
      <c r="X59" s="108">
        <v>1821</v>
      </c>
      <c r="Y59" s="108">
        <f t="shared" si="4"/>
        <v>636.5</v>
      </c>
      <c r="Z59" s="108">
        <v>3094</v>
      </c>
      <c r="AA59" s="108">
        <f t="shared" si="5"/>
        <v>0</v>
      </c>
      <c r="AB59" s="108">
        <v>3094</v>
      </c>
      <c r="AC59" s="108">
        <f t="shared" si="6"/>
        <v>0</v>
      </c>
      <c r="AD59" s="108">
        <v>3094</v>
      </c>
      <c r="AE59" s="109">
        <f t="shared" si="7"/>
        <v>-4463</v>
      </c>
    </row>
    <row r="60" spans="14:31" ht="15.6" customHeight="1" thickBot="1" x14ac:dyDescent="0.35">
      <c r="N60" s="213"/>
      <c r="O60" s="99" t="s">
        <v>68</v>
      </c>
      <c r="P60" s="114"/>
      <c r="Q60" s="114">
        <v>3717</v>
      </c>
      <c r="R60" s="114">
        <v>1560</v>
      </c>
      <c r="S60" s="114">
        <f t="shared" si="1"/>
        <v>237</v>
      </c>
      <c r="T60" s="114">
        <v>2034</v>
      </c>
      <c r="U60" s="114">
        <f t="shared" si="2"/>
        <v>402.5</v>
      </c>
      <c r="V60" s="114">
        <v>2839</v>
      </c>
      <c r="W60" s="114">
        <f t="shared" si="3"/>
        <v>219.5</v>
      </c>
      <c r="X60" s="114">
        <v>3278</v>
      </c>
      <c r="Y60" s="114">
        <f t="shared" si="4"/>
        <v>252</v>
      </c>
      <c r="Z60" s="114">
        <v>3782</v>
      </c>
      <c r="AA60" s="114">
        <f t="shared" si="5"/>
        <v>0</v>
      </c>
      <c r="AB60" s="114">
        <v>3782</v>
      </c>
      <c r="AC60" s="114">
        <f t="shared" si="6"/>
        <v>0</v>
      </c>
      <c r="AD60" s="114">
        <v>3782</v>
      </c>
      <c r="AE60" s="115">
        <f t="shared" si="7"/>
        <v>65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4308</v>
      </c>
      <c r="R61" s="104">
        <v>108</v>
      </c>
      <c r="S61" s="104">
        <f t="shared" si="1"/>
        <v>65</v>
      </c>
      <c r="T61" s="104">
        <v>238</v>
      </c>
      <c r="U61" s="104">
        <f t="shared" si="2"/>
        <v>576</v>
      </c>
      <c r="V61" s="104">
        <v>1390</v>
      </c>
      <c r="W61" s="104">
        <f t="shared" si="3"/>
        <v>347</v>
      </c>
      <c r="X61" s="104">
        <v>2084</v>
      </c>
      <c r="Y61" s="104">
        <f t="shared" si="4"/>
        <v>278.5</v>
      </c>
      <c r="Z61" s="104">
        <v>2641</v>
      </c>
      <c r="AA61" s="104">
        <f t="shared" si="5"/>
        <v>0</v>
      </c>
      <c r="AB61" s="104">
        <v>2641</v>
      </c>
      <c r="AC61" s="104">
        <f t="shared" si="6"/>
        <v>0</v>
      </c>
      <c r="AD61" s="104">
        <v>2641</v>
      </c>
      <c r="AE61" s="105">
        <f t="shared" si="7"/>
        <v>-1667</v>
      </c>
    </row>
    <row r="62" spans="14:31" ht="15.6" customHeight="1" x14ac:dyDescent="0.3">
      <c r="N62" s="212"/>
      <c r="O62" s="95" t="s">
        <v>66</v>
      </c>
      <c r="P62" s="106"/>
      <c r="Q62" s="106">
        <v>3464</v>
      </c>
      <c r="R62" s="106">
        <v>322</v>
      </c>
      <c r="S62" s="106">
        <f t="shared" si="1"/>
        <v>58.5</v>
      </c>
      <c r="T62" s="106">
        <v>439</v>
      </c>
      <c r="U62" s="106">
        <f t="shared" si="2"/>
        <v>131.5</v>
      </c>
      <c r="V62" s="106">
        <v>702</v>
      </c>
      <c r="W62" s="106">
        <f t="shared" si="3"/>
        <v>719</v>
      </c>
      <c r="X62" s="106">
        <v>2140</v>
      </c>
      <c r="Y62" s="106">
        <f t="shared" si="4"/>
        <v>85.5</v>
      </c>
      <c r="Z62" s="106">
        <v>2311</v>
      </c>
      <c r="AA62" s="106">
        <f t="shared" si="5"/>
        <v>0</v>
      </c>
      <c r="AB62" s="106">
        <v>2311</v>
      </c>
      <c r="AC62" s="106">
        <f t="shared" si="6"/>
        <v>0</v>
      </c>
      <c r="AD62" s="106">
        <v>2311</v>
      </c>
      <c r="AE62" s="107">
        <f t="shared" si="7"/>
        <v>-1153</v>
      </c>
    </row>
    <row r="63" spans="14:31" ht="15.6" customHeight="1" x14ac:dyDescent="0.3">
      <c r="N63" s="212"/>
      <c r="O63" s="94" t="s">
        <v>67</v>
      </c>
      <c r="P63" s="108"/>
      <c r="Q63" s="108">
        <v>1606</v>
      </c>
      <c r="R63" s="108">
        <v>143</v>
      </c>
      <c r="S63" s="108">
        <f t="shared" si="1"/>
        <v>287.5</v>
      </c>
      <c r="T63" s="108">
        <v>718</v>
      </c>
      <c r="U63" s="108">
        <f t="shared" si="2"/>
        <v>0</v>
      </c>
      <c r="V63" s="108">
        <v>718</v>
      </c>
      <c r="W63" s="108">
        <f t="shared" si="3"/>
        <v>83.5</v>
      </c>
      <c r="X63" s="108">
        <v>885</v>
      </c>
      <c r="Y63" s="108">
        <f t="shared" si="4"/>
        <v>119.5</v>
      </c>
      <c r="Z63" s="108">
        <v>1124</v>
      </c>
      <c r="AA63" s="108">
        <f t="shared" si="5"/>
        <v>0</v>
      </c>
      <c r="AB63" s="108">
        <v>1124</v>
      </c>
      <c r="AC63" s="108">
        <f t="shared" si="6"/>
        <v>0</v>
      </c>
      <c r="AD63" s="108">
        <v>1124</v>
      </c>
      <c r="AE63" s="109">
        <f t="shared" si="7"/>
        <v>-482</v>
      </c>
    </row>
    <row r="64" spans="14:31" ht="15.6" customHeight="1" thickBot="1" x14ac:dyDescent="0.35">
      <c r="N64" s="213"/>
      <c r="O64" s="99" t="s">
        <v>68</v>
      </c>
      <c r="P64" s="114"/>
      <c r="Q64" s="114">
        <v>2443</v>
      </c>
      <c r="R64" s="114">
        <v>954</v>
      </c>
      <c r="S64" s="114">
        <f t="shared" si="1"/>
        <v>54</v>
      </c>
      <c r="T64" s="114">
        <v>1062</v>
      </c>
      <c r="U64" s="114">
        <f t="shared" si="2"/>
        <v>139.5</v>
      </c>
      <c r="V64" s="114">
        <v>1341</v>
      </c>
      <c r="W64" s="114">
        <f t="shared" si="3"/>
        <v>242.5</v>
      </c>
      <c r="X64" s="114">
        <v>1826</v>
      </c>
      <c r="Y64" s="114">
        <f t="shared" si="4"/>
        <v>41.5</v>
      </c>
      <c r="Z64" s="114">
        <v>1909</v>
      </c>
      <c r="AA64" s="114">
        <f t="shared" si="5"/>
        <v>0</v>
      </c>
      <c r="AB64" s="114">
        <v>1909</v>
      </c>
      <c r="AC64" s="114">
        <f t="shared" si="6"/>
        <v>0</v>
      </c>
      <c r="AD64" s="114">
        <v>1909</v>
      </c>
      <c r="AE64" s="115">
        <f t="shared" si="7"/>
        <v>-534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15" priority="11" operator="lessThan">
      <formula>0</formula>
    </cfRule>
    <cfRule type="cellIs" dxfId="1114" priority="12" operator="greaterThan">
      <formula>0</formula>
    </cfRule>
  </conditionalFormatting>
  <conditionalFormatting sqref="R25:AC25">
    <cfRule type="cellIs" dxfId="1113" priority="9" operator="lessThan">
      <formula>0</formula>
    </cfRule>
    <cfRule type="cellIs" dxfId="1112" priority="10" operator="greaterThan">
      <formula>0</formula>
    </cfRule>
  </conditionalFormatting>
  <conditionalFormatting sqref="R26 T26 V26 X26 Z26 AB26">
    <cfRule type="cellIs" dxfId="1111" priority="7" operator="lessThan">
      <formula>0</formula>
    </cfRule>
    <cfRule type="cellIs" dxfId="1110" priority="8" operator="greaterThan">
      <formula>0</formula>
    </cfRule>
  </conditionalFormatting>
  <conditionalFormatting sqref="AD24:AE24">
    <cfRule type="cellIs" dxfId="1109" priority="5" operator="lessThan">
      <formula>0</formula>
    </cfRule>
    <cfRule type="cellIs" dxfId="1108" priority="6" operator="greaterThan">
      <formula>0</formula>
    </cfRule>
  </conditionalFormatting>
  <conditionalFormatting sqref="AD25:AE25">
    <cfRule type="cellIs" dxfId="1107" priority="3" operator="lessThan">
      <formula>0</formula>
    </cfRule>
    <cfRule type="cellIs" dxfId="1106" priority="4" operator="greaterThan">
      <formula>0</formula>
    </cfRule>
  </conditionalFormatting>
  <conditionalFormatting sqref="AD26">
    <cfRule type="cellIs" dxfId="1105" priority="1" operator="lessThan">
      <formula>0</formula>
    </cfRule>
    <cfRule type="cellIs" dxfId="11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>
    <tabColor theme="1"/>
    <pageSetUpPr fitToPage="1"/>
  </sheetPr>
  <dimension ref="B1:AQ64"/>
  <sheetViews>
    <sheetView zoomScale="80" zoomScaleNormal="8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44426</v>
      </c>
    </row>
    <row r="3" spans="2:42" ht="18.75" customHeight="1" thickBot="1" x14ac:dyDescent="0.35">
      <c r="B3" t="s">
        <v>1</v>
      </c>
      <c r="C3" s="3">
        <f>C2+1</f>
        <v>44427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20636</v>
      </c>
      <c r="G6" s="117">
        <v>17305.238000000001</v>
      </c>
      <c r="H6" s="117">
        <v>14523.877411720019</v>
      </c>
      <c r="I6" s="19">
        <f>G6+H6</f>
        <v>31829.11541172002</v>
      </c>
      <c r="J6" s="119">
        <v>20471</v>
      </c>
      <c r="K6" s="117">
        <v>16429.415000000001</v>
      </c>
      <c r="L6" s="117">
        <v>13818.617977919999</v>
      </c>
      <c r="M6" s="19">
        <f>K6+L6</f>
        <v>30248.03297792</v>
      </c>
      <c r="N6" s="85">
        <v>66</v>
      </c>
      <c r="O6" s="85">
        <v>53</v>
      </c>
      <c r="P6" s="92"/>
      <c r="Q6" s="20">
        <f>J6-P6</f>
        <v>20471</v>
      </c>
      <c r="R6" s="21">
        <v>3957</v>
      </c>
      <c r="S6" s="20">
        <f>IF(R6&gt;0,(R6-R7-$Q6),"")</f>
        <v>-16602</v>
      </c>
      <c r="T6" s="21">
        <v>8366</v>
      </c>
      <c r="U6" s="20">
        <f>IF(T6&gt;0,(T6-T7-$Q6),"")</f>
        <v>-12270</v>
      </c>
      <c r="V6" s="21">
        <v>12823</v>
      </c>
      <c r="W6" s="20">
        <f>IF(V6&gt;0,(V6-V7-$Q6),"")</f>
        <v>-7857</v>
      </c>
      <c r="X6" s="21">
        <v>15480</v>
      </c>
      <c r="Y6" s="20">
        <f>IF(X6&gt;0,(X6-X7-$Q6),"")</f>
        <v>-5216</v>
      </c>
      <c r="Z6" s="21">
        <v>19442</v>
      </c>
      <c r="AA6" s="20">
        <f>IF(Z6&gt;0,(Z6-Z7-$Q6),"")</f>
        <v>-1351</v>
      </c>
      <c r="AB6" s="21">
        <v>20347</v>
      </c>
      <c r="AC6" s="22">
        <f>IF(AB6&gt;0,(AB6-AB7-$Q6),"")</f>
        <v>-474</v>
      </c>
      <c r="AD6" s="21">
        <v>20347</v>
      </c>
      <c r="AE6" s="22">
        <f>IF(AD6&gt;0,(AD6-AD7-$Q6),"")</f>
        <v>-474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88</v>
      </c>
      <c r="S7" s="24"/>
      <c r="T7" s="25">
        <v>165</v>
      </c>
      <c r="U7" s="24"/>
      <c r="V7" s="25">
        <v>209</v>
      </c>
      <c r="W7" s="24"/>
      <c r="X7" s="25">
        <v>225</v>
      </c>
      <c r="Y7" s="24"/>
      <c r="Z7" s="25">
        <v>322</v>
      </c>
      <c r="AA7" s="24"/>
      <c r="AB7" s="25">
        <v>350</v>
      </c>
      <c r="AC7" s="26"/>
      <c r="AD7" s="25">
        <v>350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2246</v>
      </c>
      <c r="E8" s="29" t="s">
        <v>27</v>
      </c>
      <c r="F8" s="119">
        <v>12320</v>
      </c>
      <c r="G8" s="117">
        <v>5044.5200000000004</v>
      </c>
      <c r="H8" s="117">
        <v>1509.8257564999999</v>
      </c>
      <c r="I8" s="19">
        <f>G8+H8</f>
        <v>6554.3457565000008</v>
      </c>
      <c r="J8" s="119">
        <v>13022</v>
      </c>
      <c r="K8" s="117">
        <v>5338.3440000000001</v>
      </c>
      <c r="L8" s="117">
        <v>1624.5765243999999</v>
      </c>
      <c r="M8" s="19">
        <f>K8+L8</f>
        <v>6962.9205244000004</v>
      </c>
      <c r="N8" s="87">
        <v>31</v>
      </c>
      <c r="O8" s="87">
        <v>24</v>
      </c>
      <c r="P8" s="92"/>
      <c r="Q8" s="20">
        <f>J8-P8</f>
        <v>13022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5093</v>
      </c>
      <c r="W8" s="20">
        <f>IF(V8&gt;0,(V8-V9-$Q8),"")</f>
        <v>-7929</v>
      </c>
      <c r="X8" s="21">
        <v>6942</v>
      </c>
      <c r="Y8" s="20">
        <f>IF(X8&gt;0,(X8-X9-$Q8),"")</f>
        <v>-6080</v>
      </c>
      <c r="Z8" s="21">
        <v>13022</v>
      </c>
      <c r="AA8" s="20">
        <f>IF(Z8&gt;0,(Z8-Z9-$Q8),"")</f>
        <v>0</v>
      </c>
      <c r="AB8" s="21">
        <v>13022</v>
      </c>
      <c r="AC8" s="22">
        <f>IF(AB8&gt;0,(AB8-AB9-$Q8),"")</f>
        <v>0</v>
      </c>
      <c r="AD8" s="21">
        <v>13022</v>
      </c>
      <c r="AE8" s="22">
        <f>IF(AD8&gt;0,(AD8-AD9-$Q8),"")</f>
        <v>0</v>
      </c>
    </row>
    <row r="9" spans="2:42" x14ac:dyDescent="0.3">
      <c r="B9" s="28" t="s">
        <v>28</v>
      </c>
      <c r="C9" s="17">
        <v>1956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5810</v>
      </c>
      <c r="E10" s="18" t="s">
        <v>31</v>
      </c>
      <c r="F10" s="119">
        <v>13169</v>
      </c>
      <c r="G10" s="117">
        <v>9950.56759375</v>
      </c>
      <c r="H10" s="117">
        <v>1948.496725</v>
      </c>
      <c r="I10" s="19">
        <f>G10+H10</f>
        <v>11899.064318749999</v>
      </c>
      <c r="J10" s="119">
        <v>13424</v>
      </c>
      <c r="K10" s="117">
        <v>10290.21109375</v>
      </c>
      <c r="L10" s="117">
        <v>1841.8548575</v>
      </c>
      <c r="M10" s="19">
        <f>K10+L10</f>
        <v>12132.065951250001</v>
      </c>
      <c r="N10" s="88">
        <v>45</v>
      </c>
      <c r="O10" s="88">
        <v>41</v>
      </c>
      <c r="P10" s="92"/>
      <c r="Q10" s="20">
        <f>J10-P10</f>
        <v>13424</v>
      </c>
      <c r="R10" s="21">
        <v>4250</v>
      </c>
      <c r="S10" s="20">
        <f>IF(R10&gt;0,(R10-R11-$Q10),"")</f>
        <v>-10707</v>
      </c>
      <c r="T10" s="21">
        <v>6697</v>
      </c>
      <c r="U10" s="20">
        <f>IF(T10&gt;0,(T10-T11-$Q10),"")</f>
        <v>-8576</v>
      </c>
      <c r="V10" s="21">
        <v>9342</v>
      </c>
      <c r="W10" s="20">
        <f>IF(V10&gt;0,(V10-V11-$Q10),"")</f>
        <v>-5979</v>
      </c>
      <c r="X10" s="21">
        <v>11018</v>
      </c>
      <c r="Y10" s="20">
        <f>IF(X10&gt;0,(X10-X11-$Q10),"")</f>
        <v>-5058</v>
      </c>
      <c r="Z10" s="21">
        <v>11396</v>
      </c>
      <c r="AA10" s="20">
        <f>IF(Z10&gt;0,(Z10-Z11-$Q10),"")</f>
        <v>-4845</v>
      </c>
      <c r="AB10" s="21">
        <v>11396</v>
      </c>
      <c r="AC10" s="22">
        <f>IF(AB10&gt;0,(AB10-AB11-$Q10),"")</f>
        <v>-4845</v>
      </c>
      <c r="AD10" s="21">
        <v>11396</v>
      </c>
      <c r="AE10" s="22">
        <f>IF(AD10&gt;0,(AD10-AD11-$Q10),"")</f>
        <v>-4845</v>
      </c>
    </row>
    <row r="11" spans="2:42" x14ac:dyDescent="0.3">
      <c r="B11" s="16" t="s">
        <v>32</v>
      </c>
      <c r="C11" s="17">
        <v>2103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1533</v>
      </c>
      <c r="S11" s="24"/>
      <c r="T11" s="30">
        <v>1849</v>
      </c>
      <c r="U11" s="24"/>
      <c r="V11" s="30">
        <v>1897</v>
      </c>
      <c r="W11" s="24"/>
      <c r="X11" s="30">
        <v>2652</v>
      </c>
      <c r="Y11" s="24"/>
      <c r="Z11" s="30">
        <v>2817</v>
      </c>
      <c r="AA11" s="24"/>
      <c r="AB11" s="30">
        <v>2817</v>
      </c>
      <c r="AC11" s="26"/>
      <c r="AD11" s="30">
        <v>2817</v>
      </c>
      <c r="AE11" s="26"/>
    </row>
    <row r="12" spans="2:42" x14ac:dyDescent="0.3">
      <c r="B12" s="16" t="s">
        <v>34</v>
      </c>
      <c r="C12" s="17">
        <v>1507</v>
      </c>
      <c r="E12" s="29" t="s">
        <v>35</v>
      </c>
      <c r="F12" s="119">
        <v>15516</v>
      </c>
      <c r="G12" s="117">
        <v>12086.591249999999</v>
      </c>
      <c r="H12" s="117">
        <v>17446.585172160001</v>
      </c>
      <c r="I12" s="19">
        <f>G12+H12</f>
        <v>29533.176422160002</v>
      </c>
      <c r="J12" s="119">
        <v>15177</v>
      </c>
      <c r="K12" s="117">
        <v>11409.8205</v>
      </c>
      <c r="L12" s="117">
        <v>15941.41609424001</v>
      </c>
      <c r="M12" s="19">
        <f>K12+L12</f>
        <v>27351.23659424001</v>
      </c>
      <c r="N12" s="88">
        <v>53</v>
      </c>
      <c r="O12" s="88">
        <v>44</v>
      </c>
      <c r="P12" s="92"/>
      <c r="Q12" s="20">
        <f>J12-P12</f>
        <v>15177</v>
      </c>
      <c r="R12" s="21">
        <v>2836</v>
      </c>
      <c r="S12" s="20">
        <f>IF(R12&gt;0,(R12-R13-$Q12),"")</f>
        <v>-13048</v>
      </c>
      <c r="T12" s="21">
        <v>4473</v>
      </c>
      <c r="U12" s="20">
        <f>IF(T12&gt;0,(T12-T13-$Q12),"")</f>
        <v>-11850</v>
      </c>
      <c r="V12" s="21">
        <v>7500</v>
      </c>
      <c r="W12" s="20">
        <f>IF(V12&gt;0,(V12-V13-$Q12),"")</f>
        <v>-9591</v>
      </c>
      <c r="X12" s="21">
        <v>12179</v>
      </c>
      <c r="Y12" s="20">
        <f>IF(X12&gt;0,(X12-X13-$Q12),"")</f>
        <v>-5411</v>
      </c>
      <c r="Z12" s="21">
        <v>13629</v>
      </c>
      <c r="AA12" s="20">
        <f>IF(Z12&gt;0,(Z12-Z13-$Q12),"")</f>
        <v>-4276</v>
      </c>
      <c r="AB12" s="21">
        <v>13629</v>
      </c>
      <c r="AC12" s="22">
        <f>IF(AB12&gt;0,(AB12-AB13-$Q12),"")</f>
        <v>-4276</v>
      </c>
      <c r="AD12" s="21">
        <v>13629</v>
      </c>
      <c r="AE12" s="22">
        <f>IF(AD12&gt;0,(AD12-AD13-$Q12),"")</f>
        <v>-4276</v>
      </c>
    </row>
    <row r="13" spans="2:42" x14ac:dyDescent="0.3">
      <c r="B13" s="16" t="s">
        <v>36</v>
      </c>
      <c r="C13" s="17">
        <v>4461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707</v>
      </c>
      <c r="S13" s="24"/>
      <c r="T13" s="30">
        <v>1146</v>
      </c>
      <c r="U13" s="24"/>
      <c r="V13" s="30">
        <v>1914</v>
      </c>
      <c r="W13" s="24"/>
      <c r="X13" s="30">
        <v>2413</v>
      </c>
      <c r="Y13" s="24"/>
      <c r="Z13" s="30">
        <v>2728</v>
      </c>
      <c r="AA13" s="24"/>
      <c r="AB13" s="30">
        <v>2728</v>
      </c>
      <c r="AC13" s="26"/>
      <c r="AD13" s="30">
        <v>2728</v>
      </c>
      <c r="AE13" s="26"/>
    </row>
    <row r="14" spans="2:42" x14ac:dyDescent="0.3">
      <c r="B14" s="16" t="s">
        <v>38</v>
      </c>
      <c r="C14" s="17">
        <v>12166</v>
      </c>
      <c r="E14" s="18" t="s">
        <v>39</v>
      </c>
      <c r="F14" s="119">
        <v>22865</v>
      </c>
      <c r="G14" s="117">
        <v>15584.40625</v>
      </c>
      <c r="H14" s="117">
        <v>19611.585784909999</v>
      </c>
      <c r="I14" s="19">
        <f>G14+H14</f>
        <v>35195.992034909999</v>
      </c>
      <c r="J14" s="119">
        <v>22865</v>
      </c>
      <c r="K14" s="117">
        <v>15584.40625</v>
      </c>
      <c r="L14" s="117">
        <v>19500.95428491</v>
      </c>
      <c r="M14" s="19">
        <f>K14+L14</f>
        <v>35085.360534909996</v>
      </c>
      <c r="N14" s="88">
        <v>69</v>
      </c>
      <c r="O14" s="88">
        <v>51</v>
      </c>
      <c r="P14" s="92"/>
      <c r="Q14" s="20">
        <f>J14-P14</f>
        <v>22865</v>
      </c>
      <c r="R14" s="21">
        <v>3957</v>
      </c>
      <c r="S14" s="20">
        <f>IF(R14&gt;0,(R14-R15-$Q14),"")</f>
        <v>-22236</v>
      </c>
      <c r="T14" s="21">
        <v>8709</v>
      </c>
      <c r="U14" s="20">
        <f>IF(T14&gt;0,(T14-T15-$Q14),"")</f>
        <v>-21058</v>
      </c>
      <c r="V14" s="21">
        <v>9221</v>
      </c>
      <c r="W14" s="20">
        <f>IF(V14&gt;0,(V14-V15-$Q14),"")</f>
        <v>-20354</v>
      </c>
      <c r="X14" s="21">
        <v>12359</v>
      </c>
      <c r="Y14" s="20">
        <f>IF(X14&gt;0,(X14-X15-$Q14),"")</f>
        <v>-18240</v>
      </c>
      <c r="Z14" s="21">
        <v>14160</v>
      </c>
      <c r="AA14" s="20">
        <f>IF(Z14&gt;0,(Z14-Z15-$Q14),"")</f>
        <v>-17112</v>
      </c>
      <c r="AB14" s="21">
        <v>14160</v>
      </c>
      <c r="AC14" s="22">
        <f>IF(AB14&gt;0,(AB14-AB15-$Q14),"")</f>
        <v>-17112</v>
      </c>
      <c r="AD14" s="21">
        <v>14160</v>
      </c>
      <c r="AE14" s="22">
        <f>IF(AD14&gt;0,(AD14-AD15-$Q14),"")</f>
        <v>-17112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3328</v>
      </c>
      <c r="S15" s="24"/>
      <c r="T15" s="25">
        <v>6902</v>
      </c>
      <c r="U15" s="24"/>
      <c r="V15" s="25">
        <v>6710</v>
      </c>
      <c r="W15" s="24"/>
      <c r="X15" s="25">
        <v>7734</v>
      </c>
      <c r="Y15" s="24"/>
      <c r="Z15" s="25">
        <v>8407</v>
      </c>
      <c r="AA15" s="24"/>
      <c r="AB15" s="25">
        <v>8407</v>
      </c>
      <c r="AC15" s="26"/>
      <c r="AD15" s="25">
        <v>8407</v>
      </c>
      <c r="AE15" s="26"/>
    </row>
    <row r="16" spans="2:42" ht="15" customHeight="1" thickBot="1" x14ac:dyDescent="0.35">
      <c r="B16" s="28" t="s">
        <v>42</v>
      </c>
      <c r="C16" s="17">
        <v>12783</v>
      </c>
      <c r="E16" s="84"/>
      <c r="F16" s="31">
        <f t="shared" ref="F16:M16" si="0">SUM(F6:F15)</f>
        <v>84506</v>
      </c>
      <c r="G16" s="31">
        <f t="shared" si="0"/>
        <v>59971.323093749997</v>
      </c>
      <c r="H16" s="31">
        <f t="shared" si="0"/>
        <v>55040.370850290019</v>
      </c>
      <c r="I16" s="32">
        <f t="shared" si="0"/>
        <v>115011.69394404002</v>
      </c>
      <c r="J16" s="33">
        <f t="shared" si="0"/>
        <v>84959</v>
      </c>
      <c r="K16" s="33">
        <f t="shared" si="0"/>
        <v>59052.196843750004</v>
      </c>
      <c r="L16" s="33">
        <f t="shared" si="0"/>
        <v>52727.419738970013</v>
      </c>
      <c r="M16" s="33">
        <f t="shared" si="0"/>
        <v>111779.61658272</v>
      </c>
      <c r="N16" s="31">
        <f>SUM(N14,N12,N10,N8,N6)</f>
        <v>264</v>
      </c>
      <c r="O16" s="31">
        <f>SUM(O14,O12,O10,O8,O6)</f>
        <v>213</v>
      </c>
      <c r="P16" s="34">
        <f>SUM(P6:P15)</f>
        <v>0</v>
      </c>
      <c r="Q16" s="34">
        <f>SUM(Q6:Q15)</f>
        <v>84959</v>
      </c>
      <c r="R16" s="35">
        <f>R6+R8+R10+R12+R14-R7-R9-R11-R13-R15</f>
        <v>9344</v>
      </c>
      <c r="S16" s="36">
        <f>IF(R16&gt;1,(R16-$Q16),"")</f>
        <v>-75615</v>
      </c>
      <c r="T16" s="35">
        <f>T6+T8+T10+T12+T14-T7-T9-T11-T13-T15</f>
        <v>18183</v>
      </c>
      <c r="U16" s="36">
        <f>IF(T16&gt;1,(T16-$Q16),"")</f>
        <v>-66776</v>
      </c>
      <c r="V16" s="35">
        <f>V6+V8+V10+V12+V14-V7-V9-V11-V13-V15</f>
        <v>33249</v>
      </c>
      <c r="W16" s="36">
        <f>IF(V16&gt;1,(V16-$Q16),"")</f>
        <v>-51710</v>
      </c>
      <c r="X16" s="35">
        <f>X6+X8+X10+X12+X14-X7-X9-X11-X13-X15</f>
        <v>44954</v>
      </c>
      <c r="Y16" s="36">
        <f>IF(X16&gt;1,(X16-$Q16),"")</f>
        <v>-40005</v>
      </c>
      <c r="Z16" s="35">
        <f>Z6+Z8+Z10+Z12+Z14-Z7-Z9-Z11-Z13-Z15</f>
        <v>57375</v>
      </c>
      <c r="AA16" s="36">
        <f>IF(Z16&gt;1,(Z16-$Q16),"")</f>
        <v>-27584</v>
      </c>
      <c r="AB16" s="35">
        <f>AB6+AB8+AB10+AB12+AB14-AB7-AB9-AB11-AB13-AB15</f>
        <v>58252</v>
      </c>
      <c r="AC16" s="37">
        <f>IF(AB16&gt;1,(AB16-$Q16),"")</f>
        <v>-26707</v>
      </c>
      <c r="AD16" s="35">
        <f>AD6+AD8+AD10+AD12+AD14-AD7-AD9-AD11-AD13-AD15</f>
        <v>58252</v>
      </c>
      <c r="AE16" s="37">
        <f>IF(AD16&gt;1,(AD16-$Q16),"")</f>
        <v>-26707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51</v>
      </c>
      <c r="P17" s="38" t="s">
        <v>44</v>
      </c>
      <c r="Q17" s="39"/>
      <c r="R17" s="40">
        <f>R15+R13+R11+R9+R7</f>
        <v>5656</v>
      </c>
      <c r="S17" s="41"/>
      <c r="T17" s="40">
        <f>T15+T13+T11+T9+T7</f>
        <v>10062</v>
      </c>
      <c r="U17" s="41"/>
      <c r="V17" s="40">
        <f>V15+V13+V11+V9+V7</f>
        <v>10730</v>
      </c>
      <c r="W17" s="41"/>
      <c r="X17" s="40">
        <f>X15+X13+X11+X9+X7</f>
        <v>13024</v>
      </c>
      <c r="Y17" s="41"/>
      <c r="Z17" s="40">
        <f>Z15+Z13+Z11+Z9+Z7</f>
        <v>14274</v>
      </c>
      <c r="AA17" s="41"/>
      <c r="AB17" s="40">
        <f>AB15+AB13+AB11+AB9+AB7</f>
        <v>14302</v>
      </c>
      <c r="AC17" s="42"/>
      <c r="AD17" s="40">
        <f>AD15+AD13+AD11+AD9+AD7</f>
        <v>14302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4672</v>
      </c>
      <c r="S18" s="46"/>
      <c r="T18" s="47">
        <f>IF(T16&gt;0,(T16-R16)/2,"")</f>
        <v>4419.5</v>
      </c>
      <c r="U18" s="46"/>
      <c r="V18" s="47">
        <f>IF(V16&gt;0,(V16-T16)/2,"")</f>
        <v>7533</v>
      </c>
      <c r="W18" s="46"/>
      <c r="X18" s="47">
        <f>IF(X16&gt;0,(X16-V16)/2,"")</f>
        <v>5852.5</v>
      </c>
      <c r="Y18" s="46"/>
      <c r="Z18" s="47">
        <f>IF(Z16&gt;0,(Z16-X16)/2,"")</f>
        <v>6210.5</v>
      </c>
      <c r="AA18" s="46"/>
      <c r="AB18" s="47">
        <f>IF(AB16&gt;0,(AB16-Z16)/2,"")</f>
        <v>438.5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9927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2390</v>
      </c>
      <c r="L20" s="4"/>
      <c r="M20" s="4"/>
      <c r="Q20" s="51" t="s">
        <v>49</v>
      </c>
      <c r="R20" s="35">
        <v>9484</v>
      </c>
      <c r="S20" s="36">
        <v>-87513</v>
      </c>
      <c r="T20" s="35">
        <v>16607</v>
      </c>
      <c r="U20" s="36">
        <v>-80390</v>
      </c>
      <c r="V20" s="35">
        <v>24739</v>
      </c>
      <c r="W20" s="36">
        <v>-72258</v>
      </c>
      <c r="X20" s="35">
        <v>45104</v>
      </c>
      <c r="Y20" s="36">
        <v>-51893</v>
      </c>
      <c r="Z20" s="35">
        <v>61844</v>
      </c>
      <c r="AA20" s="36">
        <v>-35153</v>
      </c>
      <c r="AB20" s="35">
        <v>64121</v>
      </c>
      <c r="AC20" s="37">
        <v>-32876</v>
      </c>
      <c r="AD20" s="35">
        <v>64121</v>
      </c>
      <c r="AE20" s="37">
        <v>-32876</v>
      </c>
    </row>
    <row r="21" spans="2:43" ht="15" customHeight="1" thickBot="1" x14ac:dyDescent="0.35">
      <c r="B21" s="57" t="s">
        <v>52</v>
      </c>
      <c r="C21" s="58">
        <v>4778</v>
      </c>
      <c r="M21" s="4"/>
      <c r="Q21" s="52"/>
      <c r="R21" s="40">
        <v>4998</v>
      </c>
      <c r="S21" s="41"/>
      <c r="T21" s="40">
        <v>7187</v>
      </c>
      <c r="U21" s="41"/>
      <c r="V21" s="40">
        <v>10396</v>
      </c>
      <c r="W21" s="41"/>
      <c r="X21" s="40">
        <v>11890</v>
      </c>
      <c r="Y21" s="41"/>
      <c r="Z21" s="40">
        <v>12931</v>
      </c>
      <c r="AA21" s="41"/>
      <c r="AB21" s="40">
        <v>12977</v>
      </c>
      <c r="AC21" s="42"/>
      <c r="AD21" s="40">
        <v>12977</v>
      </c>
      <c r="AE21" s="42"/>
    </row>
    <row r="22" spans="2:43" ht="15" customHeight="1" thickBot="1" x14ac:dyDescent="0.35">
      <c r="M22" s="4"/>
      <c r="Q22" s="54"/>
      <c r="R22" s="55">
        <v>4742</v>
      </c>
      <c r="S22" s="55"/>
      <c r="T22" s="55">
        <v>3561.5</v>
      </c>
      <c r="U22" s="55"/>
      <c r="V22" s="55">
        <v>4066</v>
      </c>
      <c r="W22" s="55"/>
      <c r="X22" s="55">
        <v>10182.5</v>
      </c>
      <c r="Y22" s="55"/>
      <c r="Z22" s="55">
        <v>8370</v>
      </c>
      <c r="AA22" s="55"/>
      <c r="AB22" s="55">
        <v>1138.5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-140</v>
      </c>
      <c r="S24" s="60"/>
      <c r="T24" s="60">
        <f>IF(T16&gt;0,T16-T20,"")</f>
        <v>1576</v>
      </c>
      <c r="U24" s="60"/>
      <c r="V24" s="60">
        <f>IF(V16&gt;0,V16-V20,"")</f>
        <v>8510</v>
      </c>
      <c r="W24" s="60"/>
      <c r="X24" s="60">
        <f>IF(X16&gt;0,X16-X20,"")</f>
        <v>-150</v>
      </c>
      <c r="Y24" s="60"/>
      <c r="Z24" s="60">
        <f>IF(Z16&gt;0,Z16-Z20,"")</f>
        <v>-4469</v>
      </c>
      <c r="AA24" s="60"/>
      <c r="AB24" s="60">
        <f>IF(AB16&gt;0,AB16-AB20,"")</f>
        <v>-5869</v>
      </c>
      <c r="AC24" s="61"/>
      <c r="AD24" s="60">
        <f>IF(AD16&gt;0,AD16-AD20,"")</f>
        <v>-5869</v>
      </c>
      <c r="AE24" s="61"/>
    </row>
    <row r="25" spans="2:43" x14ac:dyDescent="0.3">
      <c r="M25" s="4"/>
      <c r="Q25" s="62"/>
      <c r="R25" s="63">
        <f>IF(R17&gt;=0,R17-R21,"")</f>
        <v>658</v>
      </c>
      <c r="S25" s="64"/>
      <c r="T25" s="63">
        <f>IF(T17&gt;=0,T17-T21,"")</f>
        <v>2875</v>
      </c>
      <c r="U25" s="64"/>
      <c r="V25" s="63">
        <f>IF(V17&gt;=0,V17-V21,"")</f>
        <v>334</v>
      </c>
      <c r="W25" s="64"/>
      <c r="X25" s="63">
        <f>IF(X17&gt;=0,X17-X21,"")</f>
        <v>1134</v>
      </c>
      <c r="Y25" s="64"/>
      <c r="Z25" s="63">
        <f>IF(Z17&gt;=0,Z17-Z21,"")</f>
        <v>1343</v>
      </c>
      <c r="AA25" s="64"/>
      <c r="AB25" s="63">
        <f>IF(AB17&gt;=0,AB17-AB21,"")</f>
        <v>1325</v>
      </c>
      <c r="AC25" s="65"/>
      <c r="AD25" s="63">
        <f>IF(AD17&gt;=0,AD17-AD21,"")</f>
        <v>1325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-70</v>
      </c>
      <c r="S26" s="55"/>
      <c r="T26" s="67">
        <f>IFERROR(IF(T18&gt;0,T18-T22,""),"")</f>
        <v>858</v>
      </c>
      <c r="U26" s="55"/>
      <c r="V26" s="67">
        <f>IFERROR(IF(V18&gt;0,V18-V22,""),"")</f>
        <v>3467</v>
      </c>
      <c r="W26" s="55"/>
      <c r="X26" s="67">
        <f>IFERROR(IF(X18&gt;0,X18-X22,""),"")</f>
        <v>-4330</v>
      </c>
      <c r="Y26" s="55"/>
      <c r="Z26" s="67">
        <f>IFERROR(IF(Z18&gt;0,Z18-Z22,""),"")</f>
        <v>-2159.5</v>
      </c>
      <c r="AA26" s="55"/>
      <c r="AB26" s="67">
        <f>IFERROR(IF(AB18&gt;0,AB18-AB22,""),"")</f>
        <v>-700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11495</v>
      </c>
      <c r="D29" s="76">
        <f>C14</f>
        <v>12166</v>
      </c>
      <c r="E29" s="77">
        <f>D29-C29</f>
        <v>671</v>
      </c>
      <c r="O29" s="4"/>
    </row>
    <row r="30" spans="2:43" x14ac:dyDescent="0.3">
      <c r="B30" s="74" t="s">
        <v>56</v>
      </c>
      <c r="C30" s="122">
        <v>27655</v>
      </c>
      <c r="D30" s="76">
        <f>C7+C15+C16+C17+C18</f>
        <v>12783</v>
      </c>
      <c r="E30" s="77">
        <f>D30-C30</f>
        <v>-14872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13881</v>
      </c>
      <c r="D32" s="76">
        <f>C10+C11+C12+C13</f>
        <v>13881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16225</v>
      </c>
      <c r="D33" s="76">
        <f>C19+C20+C21</f>
        <v>17095</v>
      </c>
      <c r="E33" s="77">
        <f>D33-C33</f>
        <v>870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4202</v>
      </c>
      <c r="D34" s="80">
        <f>SUM(C8+C9)</f>
        <v>4202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1076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284</v>
      </c>
      <c r="V35" s="104">
        <v>568</v>
      </c>
      <c r="W35" s="104">
        <f t="shared" ref="W35:W64" si="3">IF(X35&gt;0,(X35-V35)/2,"")</f>
        <v>254.5</v>
      </c>
      <c r="X35" s="104">
        <v>1077</v>
      </c>
      <c r="Y35" s="104">
        <f t="shared" ref="Y35:Y64" si="4">IF(Z35&gt;0,(Z35-X35)/2,"")</f>
        <v>0</v>
      </c>
      <c r="Z35" s="104">
        <v>1077</v>
      </c>
      <c r="AA35" s="104">
        <f t="shared" ref="AA35:AA64" si="5">IF(AB35&gt;0,(AB35-Z35)/2,"")</f>
        <v>0</v>
      </c>
      <c r="AB35" s="104">
        <v>1077</v>
      </c>
      <c r="AC35" s="104">
        <f t="shared" ref="AC35:AC64" si="6">IF(AD35&gt;0,(AD35-AB35)/2,"")</f>
        <v>0</v>
      </c>
      <c r="AD35" s="104">
        <v>1077</v>
      </c>
      <c r="AE35" s="105">
        <f t="shared" ref="AE35:AE64" si="7">AD35-Q35</f>
        <v>1</v>
      </c>
    </row>
    <row r="36" spans="2:31" ht="15.6" customHeight="1" x14ac:dyDescent="0.3">
      <c r="N36" s="212"/>
      <c r="O36" s="95" t="s">
        <v>66</v>
      </c>
      <c r="P36" s="106"/>
      <c r="Q36" s="106">
        <v>1171</v>
      </c>
      <c r="R36" s="106">
        <v>636</v>
      </c>
      <c r="S36" s="106">
        <f t="shared" si="1"/>
        <v>267.5</v>
      </c>
      <c r="T36" s="106">
        <v>1171</v>
      </c>
      <c r="U36" s="106">
        <f t="shared" si="2"/>
        <v>0</v>
      </c>
      <c r="V36" s="106">
        <v>1171</v>
      </c>
      <c r="W36" s="106">
        <f t="shared" si="3"/>
        <v>0</v>
      </c>
      <c r="X36" s="106">
        <v>1171</v>
      </c>
      <c r="Y36" s="106">
        <f t="shared" si="4"/>
        <v>0</v>
      </c>
      <c r="Z36" s="106">
        <v>1171</v>
      </c>
      <c r="AA36" s="106">
        <f t="shared" si="5"/>
        <v>0</v>
      </c>
      <c r="AB36" s="106">
        <v>1171</v>
      </c>
      <c r="AC36" s="106">
        <f t="shared" si="6"/>
        <v>0</v>
      </c>
      <c r="AD36" s="106">
        <v>1171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3794</v>
      </c>
      <c r="R37" s="108">
        <v>420</v>
      </c>
      <c r="S37" s="108">
        <f t="shared" si="1"/>
        <v>184.5</v>
      </c>
      <c r="T37" s="108">
        <v>789</v>
      </c>
      <c r="U37" s="108">
        <f t="shared" si="2"/>
        <v>210</v>
      </c>
      <c r="V37" s="108">
        <v>1209</v>
      </c>
      <c r="W37" s="108">
        <f t="shared" si="3"/>
        <v>369.5</v>
      </c>
      <c r="X37" s="108">
        <v>1948</v>
      </c>
      <c r="Y37" s="108">
        <f t="shared" si="4"/>
        <v>853.5</v>
      </c>
      <c r="Z37" s="108">
        <v>3655</v>
      </c>
      <c r="AA37" s="108">
        <f t="shared" si="5"/>
        <v>123.5</v>
      </c>
      <c r="AB37" s="108">
        <v>3902</v>
      </c>
      <c r="AC37" s="108">
        <f t="shared" si="6"/>
        <v>0</v>
      </c>
      <c r="AD37" s="108">
        <v>3902</v>
      </c>
      <c r="AE37" s="109">
        <f t="shared" si="7"/>
        <v>108</v>
      </c>
    </row>
    <row r="38" spans="2:31" ht="15.6" customHeight="1" x14ac:dyDescent="0.3">
      <c r="N38" s="212"/>
      <c r="O38" s="95" t="s">
        <v>68</v>
      </c>
      <c r="P38" s="106"/>
      <c r="Q38" s="106">
        <v>3380</v>
      </c>
      <c r="R38" s="106">
        <v>770</v>
      </c>
      <c r="S38" s="106">
        <f t="shared" si="1"/>
        <v>466.5</v>
      </c>
      <c r="T38" s="106">
        <v>1703</v>
      </c>
      <c r="U38" s="106">
        <f t="shared" si="2"/>
        <v>269</v>
      </c>
      <c r="V38" s="106">
        <v>2241</v>
      </c>
      <c r="W38" s="106">
        <f t="shared" si="3"/>
        <v>227</v>
      </c>
      <c r="X38" s="106">
        <v>2695</v>
      </c>
      <c r="Y38" s="106">
        <f t="shared" si="4"/>
        <v>366</v>
      </c>
      <c r="Z38" s="106">
        <v>3427</v>
      </c>
      <c r="AA38" s="106">
        <f t="shared" si="5"/>
        <v>0</v>
      </c>
      <c r="AB38" s="106">
        <v>3427</v>
      </c>
      <c r="AC38" s="106">
        <f t="shared" si="6"/>
        <v>0</v>
      </c>
      <c r="AD38" s="106">
        <v>3427</v>
      </c>
      <c r="AE38" s="107">
        <f t="shared" si="7"/>
        <v>47</v>
      </c>
    </row>
    <row r="39" spans="2:31" ht="15.6" customHeight="1" x14ac:dyDescent="0.3">
      <c r="N39" s="212"/>
      <c r="O39" s="94" t="s">
        <v>69</v>
      </c>
      <c r="P39" s="108"/>
      <c r="Q39" s="108">
        <v>2661</v>
      </c>
      <c r="R39" s="108">
        <v>306</v>
      </c>
      <c r="S39" s="108">
        <f t="shared" si="1"/>
        <v>298.5</v>
      </c>
      <c r="T39" s="108">
        <v>903</v>
      </c>
      <c r="U39" s="108">
        <f t="shared" si="2"/>
        <v>508</v>
      </c>
      <c r="V39" s="108">
        <v>1919</v>
      </c>
      <c r="W39" s="108">
        <f t="shared" si="3"/>
        <v>172</v>
      </c>
      <c r="X39" s="108">
        <v>2263</v>
      </c>
      <c r="Y39" s="108">
        <f t="shared" si="4"/>
        <v>194</v>
      </c>
      <c r="Z39" s="108">
        <v>2651</v>
      </c>
      <c r="AA39" s="108">
        <f t="shared" si="5"/>
        <v>28.5</v>
      </c>
      <c r="AB39" s="108">
        <v>2708</v>
      </c>
      <c r="AC39" s="108">
        <f t="shared" si="6"/>
        <v>0</v>
      </c>
      <c r="AD39" s="108">
        <v>2708</v>
      </c>
      <c r="AE39" s="109">
        <f t="shared" si="7"/>
        <v>47</v>
      </c>
    </row>
    <row r="40" spans="2:31" ht="15.6" customHeight="1" x14ac:dyDescent="0.3">
      <c r="N40" s="212"/>
      <c r="O40" s="95" t="s">
        <v>70</v>
      </c>
      <c r="P40" s="106"/>
      <c r="Q40" s="106">
        <v>3669</v>
      </c>
      <c r="R40" s="106">
        <v>308</v>
      </c>
      <c r="S40" s="106">
        <f t="shared" si="1"/>
        <v>344.5</v>
      </c>
      <c r="T40" s="106">
        <v>997</v>
      </c>
      <c r="U40" s="106">
        <f t="shared" si="2"/>
        <v>471</v>
      </c>
      <c r="V40" s="106">
        <v>1939</v>
      </c>
      <c r="W40" s="106">
        <f t="shared" si="3"/>
        <v>98</v>
      </c>
      <c r="X40" s="106">
        <v>2135</v>
      </c>
      <c r="Y40" s="106">
        <f t="shared" si="4"/>
        <v>489.5</v>
      </c>
      <c r="Z40" s="106">
        <v>3114</v>
      </c>
      <c r="AA40" s="106">
        <f t="shared" si="5"/>
        <v>300.5</v>
      </c>
      <c r="AB40" s="106">
        <v>3715</v>
      </c>
      <c r="AC40" s="106">
        <f t="shared" si="6"/>
        <v>0</v>
      </c>
      <c r="AD40" s="106">
        <v>3715</v>
      </c>
      <c r="AE40" s="107">
        <f t="shared" si="7"/>
        <v>46</v>
      </c>
    </row>
    <row r="41" spans="2:31" ht="15.6" customHeight="1" x14ac:dyDescent="0.3">
      <c r="N41" s="212"/>
      <c r="O41" s="94" t="s">
        <v>71</v>
      </c>
      <c r="P41" s="108"/>
      <c r="Q41" s="108">
        <v>644</v>
      </c>
      <c r="R41" s="108">
        <v>0</v>
      </c>
      <c r="S41" s="108">
        <f t="shared" si="1"/>
        <v>133.5</v>
      </c>
      <c r="T41" s="108">
        <v>267</v>
      </c>
      <c r="U41" s="108">
        <f t="shared" si="2"/>
        <v>189</v>
      </c>
      <c r="V41" s="108">
        <v>645</v>
      </c>
      <c r="W41" s="108">
        <f t="shared" si="3"/>
        <v>0</v>
      </c>
      <c r="X41" s="108">
        <v>645</v>
      </c>
      <c r="Y41" s="108">
        <f t="shared" si="4"/>
        <v>0</v>
      </c>
      <c r="Z41" s="108">
        <v>645</v>
      </c>
      <c r="AA41" s="108">
        <f t="shared" si="5"/>
        <v>0</v>
      </c>
      <c r="AB41" s="108">
        <v>645</v>
      </c>
      <c r="AC41" s="108">
        <f t="shared" si="6"/>
        <v>0</v>
      </c>
      <c r="AD41" s="108">
        <v>645</v>
      </c>
      <c r="AE41" s="109">
        <f t="shared" si="7"/>
        <v>1</v>
      </c>
    </row>
    <row r="42" spans="2:31" ht="15.6" customHeight="1" x14ac:dyDescent="0.3">
      <c r="N42" s="212"/>
      <c r="O42" s="95" t="s">
        <v>72</v>
      </c>
      <c r="P42" s="106"/>
      <c r="Q42" s="106">
        <v>1805</v>
      </c>
      <c r="R42" s="106">
        <v>813</v>
      </c>
      <c r="S42" s="106">
        <f t="shared" si="1"/>
        <v>272</v>
      </c>
      <c r="T42" s="106">
        <v>1357</v>
      </c>
      <c r="U42" s="106">
        <f t="shared" si="2"/>
        <v>225.5</v>
      </c>
      <c r="V42" s="106">
        <v>1808</v>
      </c>
      <c r="W42" s="106">
        <f t="shared" si="3"/>
        <v>-266.5</v>
      </c>
      <c r="X42" s="106">
        <v>1275</v>
      </c>
      <c r="Y42" s="106">
        <f t="shared" si="4"/>
        <v>69</v>
      </c>
      <c r="Z42" s="106">
        <v>1413</v>
      </c>
      <c r="AA42" s="106">
        <f t="shared" si="5"/>
        <v>0</v>
      </c>
      <c r="AB42" s="106">
        <v>1413</v>
      </c>
      <c r="AC42" s="106">
        <f t="shared" si="6"/>
        <v>0</v>
      </c>
      <c r="AD42" s="106">
        <v>1413</v>
      </c>
      <c r="AE42" s="107">
        <f t="shared" si="7"/>
        <v>-392</v>
      </c>
    </row>
    <row r="43" spans="2:31" ht="15.6" customHeight="1" thickBot="1" x14ac:dyDescent="0.35">
      <c r="N43" s="213"/>
      <c r="O43" s="97" t="s">
        <v>73</v>
      </c>
      <c r="P43" s="110"/>
      <c r="Q43" s="110">
        <v>1750</v>
      </c>
      <c r="R43" s="110">
        <v>584</v>
      </c>
      <c r="S43" s="110">
        <f t="shared" si="1"/>
        <v>183</v>
      </c>
      <c r="T43" s="110">
        <v>950</v>
      </c>
      <c r="U43" s="110">
        <f t="shared" si="2"/>
        <v>0</v>
      </c>
      <c r="V43" s="110">
        <v>950</v>
      </c>
      <c r="W43" s="110">
        <f t="shared" si="3"/>
        <v>401</v>
      </c>
      <c r="X43" s="110">
        <v>1752</v>
      </c>
      <c r="Y43" s="110">
        <f t="shared" si="4"/>
        <v>0</v>
      </c>
      <c r="Z43" s="110">
        <v>1752</v>
      </c>
      <c r="AA43" s="110">
        <f t="shared" si="5"/>
        <v>0</v>
      </c>
      <c r="AB43" s="110">
        <v>1752</v>
      </c>
      <c r="AC43" s="110">
        <f t="shared" si="6"/>
        <v>0</v>
      </c>
      <c r="AD43" s="110">
        <v>1752</v>
      </c>
      <c r="AE43" s="111">
        <f t="shared" si="7"/>
        <v>2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3415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1080</v>
      </c>
      <c r="V44" s="112">
        <v>2160</v>
      </c>
      <c r="W44" s="112">
        <f t="shared" si="3"/>
        <v>0</v>
      </c>
      <c r="X44" s="112">
        <v>2160</v>
      </c>
      <c r="Y44" s="112">
        <f t="shared" si="4"/>
        <v>627.5</v>
      </c>
      <c r="Z44" s="112">
        <v>3415</v>
      </c>
      <c r="AA44" s="112">
        <f t="shared" si="5"/>
        <v>0</v>
      </c>
      <c r="AB44" s="112">
        <v>3415</v>
      </c>
      <c r="AC44" s="112">
        <f t="shared" si="6"/>
        <v>0</v>
      </c>
      <c r="AD44" s="112">
        <v>3415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2847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632.5</v>
      </c>
      <c r="X45" s="108">
        <v>1265</v>
      </c>
      <c r="Y45" s="108">
        <f t="shared" si="4"/>
        <v>791</v>
      </c>
      <c r="Z45" s="108">
        <v>2847</v>
      </c>
      <c r="AA45" s="108">
        <f t="shared" si="5"/>
        <v>0</v>
      </c>
      <c r="AB45" s="108">
        <v>2847</v>
      </c>
      <c r="AC45" s="108">
        <f t="shared" si="6"/>
        <v>0</v>
      </c>
      <c r="AD45" s="108">
        <v>2847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3186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865.5</v>
      </c>
      <c r="V46" s="106">
        <v>1731</v>
      </c>
      <c r="W46" s="106">
        <f t="shared" si="3"/>
        <v>0</v>
      </c>
      <c r="X46" s="106">
        <v>1731</v>
      </c>
      <c r="Y46" s="106">
        <f t="shared" si="4"/>
        <v>727.5</v>
      </c>
      <c r="Z46" s="106">
        <v>3186</v>
      </c>
      <c r="AA46" s="106">
        <f t="shared" si="5"/>
        <v>0</v>
      </c>
      <c r="AB46" s="106">
        <v>3186</v>
      </c>
      <c r="AC46" s="106">
        <f t="shared" si="6"/>
        <v>0</v>
      </c>
      <c r="AD46" s="106">
        <v>3186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3574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601</v>
      </c>
      <c r="V47" s="110">
        <v>1202</v>
      </c>
      <c r="W47" s="110">
        <f t="shared" si="3"/>
        <v>292</v>
      </c>
      <c r="X47" s="110">
        <v>1786</v>
      </c>
      <c r="Y47" s="110">
        <f t="shared" si="4"/>
        <v>894</v>
      </c>
      <c r="Z47" s="110">
        <v>3574</v>
      </c>
      <c r="AA47" s="110">
        <f t="shared" si="5"/>
        <v>0</v>
      </c>
      <c r="AB47" s="110">
        <v>3574</v>
      </c>
      <c r="AC47" s="110">
        <f t="shared" si="6"/>
        <v>0</v>
      </c>
      <c r="AD47" s="110">
        <v>3574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309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65</v>
      </c>
      <c r="V48" s="112">
        <v>130</v>
      </c>
      <c r="W48" s="112">
        <f t="shared" si="3"/>
        <v>77</v>
      </c>
      <c r="X48" s="112">
        <v>284</v>
      </c>
      <c r="Y48" s="112">
        <f t="shared" si="4"/>
        <v>0</v>
      </c>
      <c r="Z48" s="112">
        <v>284</v>
      </c>
      <c r="AA48" s="112">
        <f t="shared" si="5"/>
        <v>0</v>
      </c>
      <c r="AB48" s="112">
        <v>284</v>
      </c>
      <c r="AC48" s="112">
        <f t="shared" si="6"/>
        <v>0</v>
      </c>
      <c r="AD48" s="112">
        <v>284</v>
      </c>
      <c r="AE48" s="113">
        <f t="shared" si="7"/>
        <v>-25</v>
      </c>
    </row>
    <row r="49" spans="14:31" ht="15.6" customHeight="1" x14ac:dyDescent="0.3">
      <c r="N49" s="212"/>
      <c r="O49" s="94" t="s">
        <v>66</v>
      </c>
      <c r="P49" s="108"/>
      <c r="Q49" s="108">
        <v>461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182</v>
      </c>
      <c r="V49" s="108">
        <v>364</v>
      </c>
      <c r="W49" s="108">
        <f t="shared" si="3"/>
        <v>48.5</v>
      </c>
      <c r="X49" s="108">
        <v>461</v>
      </c>
      <c r="Y49" s="108">
        <f t="shared" si="4"/>
        <v>0</v>
      </c>
      <c r="Z49" s="108">
        <v>461</v>
      </c>
      <c r="AA49" s="108">
        <f t="shared" si="5"/>
        <v>0</v>
      </c>
      <c r="AB49" s="108">
        <v>461</v>
      </c>
      <c r="AC49" s="108">
        <f t="shared" si="6"/>
        <v>0</v>
      </c>
      <c r="AD49" s="108">
        <v>461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1470</v>
      </c>
      <c r="R50" s="106">
        <v>922</v>
      </c>
      <c r="S50" s="106">
        <f t="shared" si="1"/>
        <v>67.5</v>
      </c>
      <c r="T50" s="106">
        <v>1057</v>
      </c>
      <c r="U50" s="106">
        <f t="shared" si="2"/>
        <v>-54.5</v>
      </c>
      <c r="V50" s="106">
        <v>948</v>
      </c>
      <c r="W50" s="106">
        <f t="shared" si="3"/>
        <v>101</v>
      </c>
      <c r="X50" s="106">
        <v>1150</v>
      </c>
      <c r="Y50" s="106">
        <f t="shared" si="4"/>
        <v>0</v>
      </c>
      <c r="Z50" s="106">
        <v>1150</v>
      </c>
      <c r="AA50" s="106">
        <f t="shared" si="5"/>
        <v>0</v>
      </c>
      <c r="AB50" s="106">
        <v>1150</v>
      </c>
      <c r="AC50" s="106">
        <f t="shared" si="6"/>
        <v>0</v>
      </c>
      <c r="AD50" s="106">
        <v>1150</v>
      </c>
      <c r="AE50" s="107">
        <f t="shared" si="7"/>
        <v>-320</v>
      </c>
    </row>
    <row r="51" spans="14:31" ht="15.6" customHeight="1" x14ac:dyDescent="0.3">
      <c r="N51" s="212"/>
      <c r="O51" s="94" t="s">
        <v>68</v>
      </c>
      <c r="P51" s="108"/>
      <c r="Q51" s="108">
        <v>2044</v>
      </c>
      <c r="R51" s="108">
        <v>378</v>
      </c>
      <c r="S51" s="108">
        <f t="shared" si="1"/>
        <v>522</v>
      </c>
      <c r="T51" s="108">
        <v>1422</v>
      </c>
      <c r="U51" s="108">
        <f t="shared" si="2"/>
        <v>121.5</v>
      </c>
      <c r="V51" s="108">
        <v>1665</v>
      </c>
      <c r="W51" s="108">
        <f t="shared" si="3"/>
        <v>46.5</v>
      </c>
      <c r="X51" s="108">
        <v>1758</v>
      </c>
      <c r="Y51" s="108">
        <f t="shared" si="4"/>
        <v>0.5</v>
      </c>
      <c r="Z51" s="108">
        <v>1759</v>
      </c>
      <c r="AA51" s="108">
        <f t="shared" si="5"/>
        <v>0</v>
      </c>
      <c r="AB51" s="108">
        <v>1759</v>
      </c>
      <c r="AC51" s="108">
        <f t="shared" si="6"/>
        <v>0</v>
      </c>
      <c r="AD51" s="108">
        <v>1759</v>
      </c>
      <c r="AE51" s="109">
        <f t="shared" si="7"/>
        <v>-285</v>
      </c>
    </row>
    <row r="52" spans="14:31" ht="15.6" customHeight="1" x14ac:dyDescent="0.3">
      <c r="N52" s="212"/>
      <c r="O52" s="95" t="s">
        <v>69</v>
      </c>
      <c r="P52" s="106"/>
      <c r="Q52" s="106">
        <v>2045</v>
      </c>
      <c r="R52" s="106">
        <v>1060</v>
      </c>
      <c r="S52" s="106">
        <f t="shared" si="1"/>
        <v>51</v>
      </c>
      <c r="T52" s="106">
        <v>1162</v>
      </c>
      <c r="U52" s="106">
        <f t="shared" si="2"/>
        <v>73</v>
      </c>
      <c r="V52" s="106">
        <v>1308</v>
      </c>
      <c r="W52" s="106">
        <f t="shared" si="3"/>
        <v>76.5</v>
      </c>
      <c r="X52" s="106">
        <v>1461</v>
      </c>
      <c r="Y52" s="106">
        <f t="shared" si="4"/>
        <v>180.5</v>
      </c>
      <c r="Z52" s="106">
        <v>1822</v>
      </c>
      <c r="AA52" s="106">
        <f t="shared" si="5"/>
        <v>0</v>
      </c>
      <c r="AB52" s="106">
        <v>1822</v>
      </c>
      <c r="AC52" s="106">
        <f t="shared" si="6"/>
        <v>0</v>
      </c>
      <c r="AD52" s="106">
        <v>1822</v>
      </c>
      <c r="AE52" s="107">
        <f t="shared" si="7"/>
        <v>-223</v>
      </c>
    </row>
    <row r="53" spans="14:31" ht="15.6" customHeight="1" x14ac:dyDescent="0.3">
      <c r="N53" s="212"/>
      <c r="O53" s="94" t="s">
        <v>70</v>
      </c>
      <c r="P53" s="108"/>
      <c r="Q53" s="108">
        <v>1350</v>
      </c>
      <c r="R53" s="108">
        <v>890</v>
      </c>
      <c r="S53" s="108">
        <f t="shared" si="1"/>
        <v>83</v>
      </c>
      <c r="T53" s="108">
        <v>1056</v>
      </c>
      <c r="U53" s="108">
        <f t="shared" si="2"/>
        <v>46</v>
      </c>
      <c r="V53" s="108">
        <v>1148</v>
      </c>
      <c r="W53" s="108">
        <f t="shared" si="3"/>
        <v>0</v>
      </c>
      <c r="X53" s="108">
        <v>1148</v>
      </c>
      <c r="Y53" s="108">
        <f t="shared" si="4"/>
        <v>1</v>
      </c>
      <c r="Z53" s="108">
        <v>1150</v>
      </c>
      <c r="AA53" s="108">
        <f t="shared" si="5"/>
        <v>0</v>
      </c>
      <c r="AB53" s="108">
        <v>1150</v>
      </c>
      <c r="AC53" s="108">
        <f t="shared" si="6"/>
        <v>0</v>
      </c>
      <c r="AD53" s="108">
        <v>1150</v>
      </c>
      <c r="AE53" s="109">
        <f t="shared" si="7"/>
        <v>-200</v>
      </c>
    </row>
    <row r="54" spans="14:31" ht="15.6" customHeight="1" x14ac:dyDescent="0.3">
      <c r="N54" s="212"/>
      <c r="O54" s="95" t="s">
        <v>71</v>
      </c>
      <c r="P54" s="106"/>
      <c r="Q54" s="106">
        <v>4048</v>
      </c>
      <c r="R54" s="106">
        <v>1000</v>
      </c>
      <c r="S54" s="106">
        <f t="shared" si="1"/>
        <v>500</v>
      </c>
      <c r="T54" s="106">
        <v>2000</v>
      </c>
      <c r="U54" s="106">
        <f t="shared" si="2"/>
        <v>765.5</v>
      </c>
      <c r="V54" s="106">
        <v>3531</v>
      </c>
      <c r="W54" s="106">
        <f t="shared" si="3"/>
        <v>154</v>
      </c>
      <c r="X54" s="106">
        <v>3839</v>
      </c>
      <c r="Y54" s="106">
        <f t="shared" si="4"/>
        <v>7</v>
      </c>
      <c r="Z54" s="106">
        <v>3853</v>
      </c>
      <c r="AA54" s="106">
        <f t="shared" si="5"/>
        <v>0</v>
      </c>
      <c r="AB54" s="106">
        <v>3853</v>
      </c>
      <c r="AC54" s="106">
        <f t="shared" si="6"/>
        <v>0</v>
      </c>
      <c r="AD54" s="106">
        <v>3853</v>
      </c>
      <c r="AE54" s="107">
        <f t="shared" si="7"/>
        <v>-195</v>
      </c>
    </row>
    <row r="55" spans="14:31" ht="15.6" customHeight="1" x14ac:dyDescent="0.3">
      <c r="N55" s="212"/>
      <c r="O55" s="94" t="s">
        <v>72</v>
      </c>
      <c r="P55" s="108"/>
      <c r="Q55" s="108">
        <v>236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115</v>
      </c>
      <c r="V55" s="108">
        <v>230</v>
      </c>
      <c r="W55" s="108">
        <f t="shared" si="3"/>
        <v>3</v>
      </c>
      <c r="X55" s="108">
        <v>236</v>
      </c>
      <c r="Y55" s="108">
        <f t="shared" si="4"/>
        <v>0</v>
      </c>
      <c r="Z55" s="108">
        <v>236</v>
      </c>
      <c r="AA55" s="108">
        <f t="shared" si="5"/>
        <v>0</v>
      </c>
      <c r="AB55" s="108">
        <v>236</v>
      </c>
      <c r="AC55" s="108">
        <f t="shared" si="6"/>
        <v>0</v>
      </c>
      <c r="AD55" s="108">
        <v>236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1461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9</v>
      </c>
      <c r="V56" s="114">
        <v>18</v>
      </c>
      <c r="W56" s="114">
        <f t="shared" si="3"/>
        <v>331.5</v>
      </c>
      <c r="X56" s="114">
        <v>681</v>
      </c>
      <c r="Y56" s="114">
        <f t="shared" si="4"/>
        <v>0</v>
      </c>
      <c r="Z56" s="114">
        <v>681</v>
      </c>
      <c r="AA56" s="114">
        <f t="shared" si="5"/>
        <v>0</v>
      </c>
      <c r="AB56" s="114">
        <v>681</v>
      </c>
      <c r="AC56" s="114">
        <f t="shared" si="6"/>
        <v>0</v>
      </c>
      <c r="AD56" s="114">
        <v>681</v>
      </c>
      <c r="AE56" s="115">
        <f t="shared" si="7"/>
        <v>-780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4510</v>
      </c>
      <c r="R57" s="104">
        <v>473</v>
      </c>
      <c r="S57" s="104">
        <f t="shared" si="1"/>
        <v>117</v>
      </c>
      <c r="T57" s="104">
        <v>707</v>
      </c>
      <c r="U57" s="104">
        <f t="shared" si="2"/>
        <v>132</v>
      </c>
      <c r="V57" s="104">
        <v>971</v>
      </c>
      <c r="W57" s="104">
        <f t="shared" si="3"/>
        <v>168</v>
      </c>
      <c r="X57" s="104">
        <v>1307</v>
      </c>
      <c r="Y57" s="104">
        <f t="shared" si="4"/>
        <v>466.5</v>
      </c>
      <c r="Z57" s="104">
        <v>2240</v>
      </c>
      <c r="AA57" s="104">
        <f t="shared" si="5"/>
        <v>0</v>
      </c>
      <c r="AB57" s="104">
        <v>2240</v>
      </c>
      <c r="AC57" s="104">
        <f t="shared" si="6"/>
        <v>0</v>
      </c>
      <c r="AD57" s="104">
        <v>2240</v>
      </c>
      <c r="AE57" s="105">
        <f t="shared" si="7"/>
        <v>-2270</v>
      </c>
    </row>
    <row r="58" spans="14:31" ht="15.6" customHeight="1" x14ac:dyDescent="0.3">
      <c r="N58" s="212"/>
      <c r="O58" s="95" t="s">
        <v>66</v>
      </c>
      <c r="P58" s="106"/>
      <c r="Q58" s="106">
        <v>3719</v>
      </c>
      <c r="R58" s="106">
        <v>698</v>
      </c>
      <c r="S58" s="106">
        <f t="shared" si="1"/>
        <v>118</v>
      </c>
      <c r="T58" s="106">
        <v>934</v>
      </c>
      <c r="U58" s="106">
        <f t="shared" si="2"/>
        <v>463.5</v>
      </c>
      <c r="V58" s="106">
        <v>1861</v>
      </c>
      <c r="W58" s="106">
        <f t="shared" si="3"/>
        <v>836</v>
      </c>
      <c r="X58" s="106">
        <v>3533</v>
      </c>
      <c r="Y58" s="106">
        <f t="shared" si="4"/>
        <v>159</v>
      </c>
      <c r="Z58" s="106">
        <v>3851</v>
      </c>
      <c r="AA58" s="106">
        <f t="shared" si="5"/>
        <v>0</v>
      </c>
      <c r="AB58" s="106">
        <v>3851</v>
      </c>
      <c r="AC58" s="106">
        <f t="shared" si="6"/>
        <v>0</v>
      </c>
      <c r="AD58" s="106">
        <v>3851</v>
      </c>
      <c r="AE58" s="107">
        <f t="shared" si="7"/>
        <v>132</v>
      </c>
    </row>
    <row r="59" spans="14:31" ht="15.6" customHeight="1" x14ac:dyDescent="0.3">
      <c r="N59" s="212"/>
      <c r="O59" s="94" t="s">
        <v>67</v>
      </c>
      <c r="P59" s="108"/>
      <c r="Q59" s="108">
        <v>2919</v>
      </c>
      <c r="R59" s="108">
        <v>453</v>
      </c>
      <c r="S59" s="108">
        <f t="shared" si="1"/>
        <v>196.5</v>
      </c>
      <c r="T59" s="108">
        <v>846</v>
      </c>
      <c r="U59" s="108">
        <f t="shared" si="2"/>
        <v>361</v>
      </c>
      <c r="V59" s="108">
        <v>1568</v>
      </c>
      <c r="W59" s="108">
        <f t="shared" si="3"/>
        <v>840.5</v>
      </c>
      <c r="X59" s="108">
        <v>3249</v>
      </c>
      <c r="Y59" s="108">
        <f t="shared" si="4"/>
        <v>99.5</v>
      </c>
      <c r="Z59" s="108">
        <v>3448</v>
      </c>
      <c r="AA59" s="108">
        <f t="shared" si="5"/>
        <v>0</v>
      </c>
      <c r="AB59" s="108">
        <v>3448</v>
      </c>
      <c r="AC59" s="108">
        <f t="shared" si="6"/>
        <v>0</v>
      </c>
      <c r="AD59" s="108">
        <v>3448</v>
      </c>
      <c r="AE59" s="109">
        <f t="shared" si="7"/>
        <v>529</v>
      </c>
    </row>
    <row r="60" spans="14:31" ht="15.6" customHeight="1" thickBot="1" x14ac:dyDescent="0.35">
      <c r="N60" s="213"/>
      <c r="O60" s="99" t="s">
        <v>68</v>
      </c>
      <c r="P60" s="114"/>
      <c r="Q60" s="114">
        <v>4029</v>
      </c>
      <c r="R60" s="114">
        <v>1212</v>
      </c>
      <c r="S60" s="114">
        <f t="shared" si="1"/>
        <v>387</v>
      </c>
      <c r="T60" s="114">
        <v>1986</v>
      </c>
      <c r="U60" s="114">
        <f t="shared" si="2"/>
        <v>557</v>
      </c>
      <c r="V60" s="114">
        <v>3100</v>
      </c>
      <c r="W60" s="114">
        <f t="shared" si="3"/>
        <v>495</v>
      </c>
      <c r="X60" s="114">
        <v>4090</v>
      </c>
      <c r="Y60" s="114">
        <f t="shared" si="4"/>
        <v>0</v>
      </c>
      <c r="Z60" s="114">
        <v>4090</v>
      </c>
      <c r="AA60" s="114">
        <f t="shared" si="5"/>
        <v>0</v>
      </c>
      <c r="AB60" s="114">
        <v>4090</v>
      </c>
      <c r="AC60" s="114">
        <f t="shared" si="6"/>
        <v>0</v>
      </c>
      <c r="AD60" s="114">
        <v>4090</v>
      </c>
      <c r="AE60" s="115">
        <f t="shared" si="7"/>
        <v>61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3790</v>
      </c>
      <c r="R61" s="104">
        <v>0</v>
      </c>
      <c r="S61" s="104">
        <f t="shared" si="1"/>
        <v>270</v>
      </c>
      <c r="T61" s="104">
        <v>540</v>
      </c>
      <c r="U61" s="104">
        <f t="shared" si="2"/>
        <v>547</v>
      </c>
      <c r="V61" s="104">
        <v>1634</v>
      </c>
      <c r="W61" s="104">
        <f t="shared" si="3"/>
        <v>346</v>
      </c>
      <c r="X61" s="104">
        <v>2326</v>
      </c>
      <c r="Y61" s="104">
        <f t="shared" si="4"/>
        <v>0</v>
      </c>
      <c r="Z61" s="104">
        <v>2326</v>
      </c>
      <c r="AA61" s="104">
        <f t="shared" si="5"/>
        <v>0</v>
      </c>
      <c r="AB61" s="104">
        <v>2326</v>
      </c>
      <c r="AC61" s="104">
        <f t="shared" si="6"/>
        <v>0</v>
      </c>
      <c r="AD61" s="104">
        <v>2326</v>
      </c>
      <c r="AE61" s="105">
        <f t="shared" si="7"/>
        <v>-1464</v>
      </c>
    </row>
    <row r="62" spans="14:31" ht="15.6" customHeight="1" x14ac:dyDescent="0.3">
      <c r="N62" s="212"/>
      <c r="O62" s="95" t="s">
        <v>66</v>
      </c>
      <c r="P62" s="106"/>
      <c r="Q62" s="106">
        <v>4400</v>
      </c>
      <c r="R62" s="106">
        <v>617</v>
      </c>
      <c r="S62" s="106">
        <f t="shared" si="1"/>
        <v>461.5</v>
      </c>
      <c r="T62" s="106">
        <v>1540</v>
      </c>
      <c r="U62" s="106">
        <f t="shared" si="2"/>
        <v>0</v>
      </c>
      <c r="V62" s="106">
        <v>1540</v>
      </c>
      <c r="W62" s="106">
        <f t="shared" si="3"/>
        <v>362</v>
      </c>
      <c r="X62" s="106">
        <v>2264</v>
      </c>
      <c r="Y62" s="106">
        <f t="shared" si="4"/>
        <v>0</v>
      </c>
      <c r="Z62" s="106">
        <v>2264</v>
      </c>
      <c r="AA62" s="106">
        <f t="shared" si="5"/>
        <v>0</v>
      </c>
      <c r="AB62" s="106">
        <v>2264</v>
      </c>
      <c r="AC62" s="106">
        <f t="shared" si="6"/>
        <v>0</v>
      </c>
      <c r="AD62" s="106">
        <v>2264</v>
      </c>
      <c r="AE62" s="107">
        <f t="shared" si="7"/>
        <v>-2136</v>
      </c>
    </row>
    <row r="63" spans="14:31" ht="15.6" customHeight="1" x14ac:dyDescent="0.3">
      <c r="N63" s="212"/>
      <c r="O63" s="94" t="s">
        <v>67</v>
      </c>
      <c r="P63" s="108"/>
      <c r="Q63" s="108">
        <v>1973</v>
      </c>
      <c r="R63" s="108">
        <v>501</v>
      </c>
      <c r="S63" s="108">
        <f t="shared" si="1"/>
        <v>226.5</v>
      </c>
      <c r="T63" s="108">
        <v>954</v>
      </c>
      <c r="U63" s="108">
        <f t="shared" si="2"/>
        <v>53</v>
      </c>
      <c r="V63" s="108">
        <v>1060</v>
      </c>
      <c r="W63" s="108">
        <f t="shared" si="3"/>
        <v>107.5</v>
      </c>
      <c r="X63" s="108">
        <v>1275</v>
      </c>
      <c r="Y63" s="108">
        <f t="shared" si="4"/>
        <v>91</v>
      </c>
      <c r="Z63" s="108">
        <v>1457</v>
      </c>
      <c r="AA63" s="108">
        <f t="shared" si="5"/>
        <v>0</v>
      </c>
      <c r="AB63" s="108">
        <v>1457</v>
      </c>
      <c r="AC63" s="108">
        <f t="shared" si="6"/>
        <v>0</v>
      </c>
      <c r="AD63" s="108">
        <v>1457</v>
      </c>
      <c r="AE63" s="109">
        <f t="shared" si="7"/>
        <v>-516</v>
      </c>
    </row>
    <row r="64" spans="14:31" ht="15.6" customHeight="1" thickBot="1" x14ac:dyDescent="0.35">
      <c r="N64" s="213"/>
      <c r="O64" s="99" t="s">
        <v>68</v>
      </c>
      <c r="P64" s="114"/>
      <c r="Q64" s="114">
        <v>2856</v>
      </c>
      <c r="R64" s="114">
        <v>373</v>
      </c>
      <c r="S64" s="114">
        <f t="shared" si="1"/>
        <v>117</v>
      </c>
      <c r="T64" s="114">
        <v>607</v>
      </c>
      <c r="U64" s="114">
        <f t="shared" si="2"/>
        <v>306</v>
      </c>
      <c r="V64" s="114">
        <v>1219</v>
      </c>
      <c r="W64" s="114">
        <f t="shared" si="3"/>
        <v>289.5</v>
      </c>
      <c r="X64" s="114">
        <v>1798</v>
      </c>
      <c r="Y64" s="114">
        <f t="shared" si="4"/>
        <v>0</v>
      </c>
      <c r="Z64" s="114">
        <v>1798</v>
      </c>
      <c r="AA64" s="114">
        <f t="shared" si="5"/>
        <v>0</v>
      </c>
      <c r="AB64" s="114">
        <v>1798</v>
      </c>
      <c r="AC64" s="114">
        <f t="shared" si="6"/>
        <v>0</v>
      </c>
      <c r="AD64" s="114">
        <v>1798</v>
      </c>
      <c r="AE64" s="115">
        <f t="shared" si="7"/>
        <v>-1058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03" priority="11" operator="lessThan">
      <formula>0</formula>
    </cfRule>
    <cfRule type="cellIs" dxfId="1102" priority="12" operator="greaterThan">
      <formula>0</formula>
    </cfRule>
  </conditionalFormatting>
  <conditionalFormatting sqref="R25:AC25">
    <cfRule type="cellIs" dxfId="1101" priority="9" operator="lessThan">
      <formula>0</formula>
    </cfRule>
    <cfRule type="cellIs" dxfId="1100" priority="10" operator="greaterThan">
      <formula>0</formula>
    </cfRule>
  </conditionalFormatting>
  <conditionalFormatting sqref="R26 T26 V26 X26 Z26 AB26">
    <cfRule type="cellIs" dxfId="1099" priority="7" operator="lessThan">
      <formula>0</formula>
    </cfRule>
    <cfRule type="cellIs" dxfId="1098" priority="8" operator="greaterThan">
      <formula>0</formula>
    </cfRule>
  </conditionalFormatting>
  <conditionalFormatting sqref="AD24:AE24">
    <cfRule type="cellIs" dxfId="1097" priority="5" operator="lessThan">
      <formula>0</formula>
    </cfRule>
    <cfRule type="cellIs" dxfId="1096" priority="6" operator="greaterThan">
      <formula>0</formula>
    </cfRule>
  </conditionalFormatting>
  <conditionalFormatting sqref="AD25:AE25">
    <cfRule type="cellIs" dxfId="1095" priority="3" operator="lessThan">
      <formula>0</formula>
    </cfRule>
    <cfRule type="cellIs" dxfId="1094" priority="4" operator="greaterThan">
      <formula>0</formula>
    </cfRule>
  </conditionalFormatting>
  <conditionalFormatting sqref="AD26">
    <cfRule type="cellIs" dxfId="1093" priority="1" operator="lessThan">
      <formula>0</formula>
    </cfRule>
    <cfRule type="cellIs" dxfId="10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>
    <tabColor theme="1"/>
    <pageSetUpPr fitToPage="1"/>
  </sheetPr>
  <dimension ref="B1:AQ64"/>
  <sheetViews>
    <sheetView topLeftCell="A21" zoomScale="158" zoomScaleNormal="80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44427</v>
      </c>
    </row>
    <row r="3" spans="2:42" ht="18.75" customHeight="1" thickBot="1" x14ac:dyDescent="0.35">
      <c r="B3" t="s">
        <v>1</v>
      </c>
      <c r="C3" s="3">
        <f>C2+1</f>
        <v>44428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5980</v>
      </c>
      <c r="E6" s="18" t="s">
        <v>22</v>
      </c>
      <c r="F6" s="119">
        <v>21426</v>
      </c>
      <c r="G6" s="117">
        <v>18018.361499999999</v>
      </c>
      <c r="H6" s="117">
        <v>16565.02665593999</v>
      </c>
      <c r="I6" s="19">
        <f>G6+H6</f>
        <v>34583.388155939989</v>
      </c>
      <c r="J6" s="119">
        <v>21876</v>
      </c>
      <c r="K6" s="117">
        <v>17341.01200000001</v>
      </c>
      <c r="L6" s="117">
        <v>16356.831335180001</v>
      </c>
      <c r="M6" s="19">
        <f>K6+L6</f>
        <v>33697.843335180012</v>
      </c>
      <c r="N6" s="85">
        <v>72</v>
      </c>
      <c r="O6" s="85">
        <v>53</v>
      </c>
      <c r="P6" s="92"/>
      <c r="Q6" s="20">
        <f>J6-P6</f>
        <v>21876</v>
      </c>
      <c r="R6" s="21">
        <v>4169</v>
      </c>
      <c r="S6" s="20">
        <f>IF(R6&gt;0,(R6-R7-$Q6),"")</f>
        <v>-17707</v>
      </c>
      <c r="T6" s="21">
        <v>7574</v>
      </c>
      <c r="U6" s="20">
        <f>IF(T6&gt;0,(T6-T7-$Q6),"")</f>
        <v>-14320</v>
      </c>
      <c r="V6" s="21">
        <v>12611</v>
      </c>
      <c r="W6" s="20">
        <f>IF(V6&gt;0,(V6-V7-$Q6),"")</f>
        <v>-9387</v>
      </c>
      <c r="X6" s="21">
        <v>16708</v>
      </c>
      <c r="Y6" s="20">
        <f>IF(X6&gt;0,(X6-X7-$Q6),"")</f>
        <v>-5317</v>
      </c>
      <c r="Z6" s="21">
        <v>20966</v>
      </c>
      <c r="AA6" s="20">
        <f>IF(Z6&gt;0,(Z6-Z7-$Q6),"")</f>
        <v>-1118</v>
      </c>
      <c r="AB6" s="21">
        <v>21267</v>
      </c>
      <c r="AC6" s="22">
        <f>IF(AB6&gt;0,(AB6-AB7-$Q6),"")</f>
        <v>-817</v>
      </c>
      <c r="AD6" s="21">
        <v>21267</v>
      </c>
      <c r="AE6" s="22">
        <f>IF(AD6&gt;0,(AD6-AD7-$Q6),"")</f>
        <v>-817</v>
      </c>
    </row>
    <row r="7" spans="2:42" x14ac:dyDescent="0.3">
      <c r="B7" s="16" t="s">
        <v>23</v>
      </c>
      <c r="C7" s="17">
        <v>2505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0</v>
      </c>
      <c r="S7" s="24"/>
      <c r="T7" s="25">
        <v>18</v>
      </c>
      <c r="U7" s="24"/>
      <c r="V7" s="25">
        <v>122</v>
      </c>
      <c r="W7" s="24"/>
      <c r="X7" s="25">
        <v>149</v>
      </c>
      <c r="Y7" s="24"/>
      <c r="Z7" s="25">
        <v>208</v>
      </c>
      <c r="AA7" s="24"/>
      <c r="AB7" s="25">
        <v>208</v>
      </c>
      <c r="AC7" s="26"/>
      <c r="AD7" s="25">
        <v>208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2578</v>
      </c>
      <c r="E8" s="29" t="s">
        <v>27</v>
      </c>
      <c r="F8" s="119">
        <v>11635</v>
      </c>
      <c r="G8" s="117">
        <v>4774.0599999999986</v>
      </c>
      <c r="H8" s="117">
        <v>1431.6333655000001</v>
      </c>
      <c r="I8" s="19">
        <f>G8+H8</f>
        <v>6205.6933654999984</v>
      </c>
      <c r="J8" s="119">
        <v>11370</v>
      </c>
      <c r="K8" s="117">
        <v>4642.6349999999993</v>
      </c>
      <c r="L8" s="117">
        <v>1394.0018629000001</v>
      </c>
      <c r="M8" s="19">
        <f>K8+L8</f>
        <v>6036.636862899999</v>
      </c>
      <c r="N8" s="87">
        <v>34</v>
      </c>
      <c r="O8" s="87">
        <v>26</v>
      </c>
      <c r="P8" s="92"/>
      <c r="Q8" s="20">
        <f>J8-P8</f>
        <v>11370</v>
      </c>
      <c r="R8" s="21">
        <v>0</v>
      </c>
      <c r="S8" s="20" t="str">
        <f>IF(R8&gt;0,(R8-R9-$Q8),"")</f>
        <v/>
      </c>
      <c r="T8" s="21">
        <v>4436</v>
      </c>
      <c r="U8" s="20">
        <f>IF(T8&gt;0,(T8-T9-$Q8),"")</f>
        <v>-6934</v>
      </c>
      <c r="V8" s="21">
        <v>7609</v>
      </c>
      <c r="W8" s="20">
        <f>IF(V8&gt;0,(V8-V9-$Q8),"")</f>
        <v>-3761</v>
      </c>
      <c r="X8" s="21">
        <v>11370</v>
      </c>
      <c r="Y8" s="20">
        <f>IF(X8&gt;0,(X8-X9-$Q8),"")</f>
        <v>0</v>
      </c>
      <c r="Z8" s="21">
        <v>11370</v>
      </c>
      <c r="AA8" s="20">
        <f>IF(Z8&gt;0,(Z8-Z9-$Q8),"")</f>
        <v>0</v>
      </c>
      <c r="AB8" s="21">
        <v>11370</v>
      </c>
      <c r="AC8" s="22">
        <f>IF(AB8&gt;0,(AB8-AB9-$Q8),"")</f>
        <v>0</v>
      </c>
      <c r="AD8" s="21">
        <v>11370</v>
      </c>
      <c r="AE8" s="22">
        <f>IF(AD8&gt;0,(AD8-AD9-$Q8),"")</f>
        <v>0</v>
      </c>
    </row>
    <row r="9" spans="2:42" x14ac:dyDescent="0.3">
      <c r="B9" s="28" t="s">
        <v>28</v>
      </c>
      <c r="C9" s="17">
        <v>1874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3628</v>
      </c>
      <c r="E10" s="18" t="s">
        <v>31</v>
      </c>
      <c r="F10" s="119">
        <v>24796</v>
      </c>
      <c r="G10" s="117">
        <v>18798.763624999989</v>
      </c>
      <c r="H10" s="117">
        <v>1912.0501200000001</v>
      </c>
      <c r="I10" s="19">
        <f>G10+H10</f>
        <v>20710.813744999989</v>
      </c>
      <c r="J10" s="119">
        <v>24984</v>
      </c>
      <c r="K10" s="117">
        <v>19031.274125</v>
      </c>
      <c r="L10" s="117">
        <v>1948.47011</v>
      </c>
      <c r="M10" s="19">
        <f>K10+L10</f>
        <v>20979.744234999998</v>
      </c>
      <c r="N10" s="88">
        <v>47</v>
      </c>
      <c r="O10" s="88">
        <v>37</v>
      </c>
      <c r="P10" s="92"/>
      <c r="Q10" s="20">
        <f>J10-P10</f>
        <v>24984</v>
      </c>
      <c r="R10" s="21">
        <v>6184</v>
      </c>
      <c r="S10" s="20">
        <f>IF(R10&gt;0,(R10-R11-$Q10),"")</f>
        <v>-19393</v>
      </c>
      <c r="T10" s="21">
        <v>9601</v>
      </c>
      <c r="U10" s="20">
        <f>IF(T10&gt;0,(T10-T11-$Q10),"")</f>
        <v>-17332</v>
      </c>
      <c r="V10" s="21">
        <v>12887</v>
      </c>
      <c r="W10" s="20">
        <f>IF(V10&gt;0,(V10-V11-$Q10),"")</f>
        <v>-14736</v>
      </c>
      <c r="X10" s="21">
        <v>17389</v>
      </c>
      <c r="Y10" s="20">
        <f>IF(X10&gt;0,(X10-X11-$Q10),"")</f>
        <v>-10729</v>
      </c>
      <c r="Z10" s="21">
        <v>20820.18</v>
      </c>
      <c r="AA10" s="20">
        <f>IF(Z10&gt;0,(Z10-Z11-$Q10),"")</f>
        <v>-7685.82</v>
      </c>
      <c r="AB10" s="21">
        <v>20820.18</v>
      </c>
      <c r="AC10" s="22">
        <f>IF(AB10&gt;0,(AB10-AB11-$Q10),"")</f>
        <v>-7685.82</v>
      </c>
      <c r="AD10" s="21">
        <v>20820.18</v>
      </c>
      <c r="AE10" s="22">
        <f>IF(AD10&gt;0,(AD10-AD11-$Q10),"")</f>
        <v>-7685.82</v>
      </c>
    </row>
    <row r="11" spans="2:42" x14ac:dyDescent="0.3">
      <c r="B11" s="16" t="s">
        <v>32</v>
      </c>
      <c r="C11" s="17">
        <v>2119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593</v>
      </c>
      <c r="S11" s="24"/>
      <c r="T11" s="30">
        <v>1949</v>
      </c>
      <c r="U11" s="24"/>
      <c r="V11" s="30">
        <v>2639</v>
      </c>
      <c r="W11" s="24"/>
      <c r="X11" s="30">
        <v>3134</v>
      </c>
      <c r="Y11" s="24"/>
      <c r="Z11" s="30">
        <v>3522</v>
      </c>
      <c r="AA11" s="24"/>
      <c r="AB11" s="30">
        <v>3522</v>
      </c>
      <c r="AC11" s="26"/>
      <c r="AD11" s="30">
        <v>3522</v>
      </c>
      <c r="AE11" s="26"/>
    </row>
    <row r="12" spans="2:42" x14ac:dyDescent="0.3">
      <c r="B12" s="16" t="s">
        <v>34</v>
      </c>
      <c r="C12" s="17">
        <v>1525</v>
      </c>
      <c r="E12" s="29" t="s">
        <v>35</v>
      </c>
      <c r="F12" s="119">
        <v>17415</v>
      </c>
      <c r="G12" s="117">
        <v>12429.61325</v>
      </c>
      <c r="H12" s="117">
        <v>19964.437766290001</v>
      </c>
      <c r="I12" s="19">
        <f>G12+H12</f>
        <v>32394.051016290003</v>
      </c>
      <c r="J12" s="119">
        <v>16732</v>
      </c>
      <c r="K12" s="117">
        <v>11891.39525</v>
      </c>
      <c r="L12" s="117">
        <v>18149.215592010001</v>
      </c>
      <c r="M12" s="19">
        <f>K12+L12</f>
        <v>30040.610842009999</v>
      </c>
      <c r="N12" s="88">
        <v>47</v>
      </c>
      <c r="O12" s="88">
        <v>43</v>
      </c>
      <c r="P12" s="92"/>
      <c r="Q12" s="20">
        <f>J12-P12</f>
        <v>16732</v>
      </c>
      <c r="R12" s="21">
        <v>3351</v>
      </c>
      <c r="S12" s="20">
        <f>IF(R12&gt;0,(R12-R13-$Q12),"")</f>
        <v>-14010</v>
      </c>
      <c r="T12" s="21">
        <v>5296</v>
      </c>
      <c r="U12" s="20">
        <f>IF(T12&gt;0,(T12-T13-$Q12),"")</f>
        <v>-12276</v>
      </c>
      <c r="V12" s="21">
        <v>8085</v>
      </c>
      <c r="W12" s="20">
        <f>IF(V12&gt;0,(V12-V13-$Q12),"")</f>
        <v>-9597</v>
      </c>
      <c r="X12" s="21">
        <v>10530</v>
      </c>
      <c r="Y12" s="20">
        <f>IF(X12&gt;0,(X12-X13-$Q12),"")</f>
        <v>-7921</v>
      </c>
      <c r="Z12" s="21">
        <v>10979</v>
      </c>
      <c r="AA12" s="20">
        <f>IF(Z12&gt;0,(Z12-Z13-$Q12),"")</f>
        <v>-7472</v>
      </c>
      <c r="AB12" s="21">
        <v>10979</v>
      </c>
      <c r="AC12" s="22">
        <f>IF(AB12&gt;0,(AB12-AB13-$Q12),"")</f>
        <v>-7472</v>
      </c>
      <c r="AD12" s="21">
        <v>10979</v>
      </c>
      <c r="AE12" s="22">
        <f>IF(AD12&gt;0,(AD12-AD13-$Q12),"")</f>
        <v>-7472</v>
      </c>
    </row>
    <row r="13" spans="2:42" x14ac:dyDescent="0.3">
      <c r="B13" s="16" t="s">
        <v>36</v>
      </c>
      <c r="C13" s="17">
        <v>4423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4</v>
      </c>
      <c r="P13" s="93" t="s">
        <v>37</v>
      </c>
      <c r="Q13" s="24"/>
      <c r="R13" s="30">
        <v>629</v>
      </c>
      <c r="S13" s="24"/>
      <c r="T13" s="30">
        <v>840</v>
      </c>
      <c r="U13" s="24"/>
      <c r="V13" s="30">
        <v>950</v>
      </c>
      <c r="W13" s="24"/>
      <c r="X13" s="30">
        <v>1719</v>
      </c>
      <c r="Y13" s="24"/>
      <c r="Z13" s="30">
        <v>1719</v>
      </c>
      <c r="AA13" s="24"/>
      <c r="AB13" s="30">
        <v>1719</v>
      </c>
      <c r="AC13" s="26"/>
      <c r="AD13" s="30">
        <v>1719</v>
      </c>
      <c r="AE13" s="26"/>
    </row>
    <row r="14" spans="2:42" x14ac:dyDescent="0.3">
      <c r="B14" s="16" t="s">
        <v>38</v>
      </c>
      <c r="C14" s="17">
        <v>12624</v>
      </c>
      <c r="E14" s="18" t="s">
        <v>39</v>
      </c>
      <c r="F14" s="119">
        <v>16810</v>
      </c>
      <c r="G14" s="117">
        <v>16533.34375</v>
      </c>
      <c r="H14" s="117">
        <v>19448.279861240011</v>
      </c>
      <c r="I14" s="19">
        <f>G14+H14</f>
        <v>35981.623611240007</v>
      </c>
      <c r="J14" s="119">
        <v>17441</v>
      </c>
      <c r="K14" s="117">
        <v>18243.84375</v>
      </c>
      <c r="L14" s="117">
        <v>21130.035838740001</v>
      </c>
      <c r="M14" s="19">
        <f>K14+L14</f>
        <v>39373.879588740005</v>
      </c>
      <c r="N14" s="88">
        <v>56</v>
      </c>
      <c r="O14" s="88">
        <v>43</v>
      </c>
      <c r="P14" s="92"/>
      <c r="Q14" s="20">
        <f>J14-P14</f>
        <v>17441</v>
      </c>
      <c r="R14" s="21">
        <v>4831</v>
      </c>
      <c r="S14" s="20">
        <f>IF(R14&gt;0,(R14-R15-$Q14),"")</f>
        <v>-17009</v>
      </c>
      <c r="T14" s="21">
        <v>8084</v>
      </c>
      <c r="U14" s="20">
        <f>IF(T14&gt;0,(T14-T15-$Q14),"")</f>
        <v>-16462</v>
      </c>
      <c r="V14" s="21">
        <v>10939</v>
      </c>
      <c r="W14" s="20">
        <f>IF(V14&gt;0,(V14-V15-$Q14),"")</f>
        <v>-14432</v>
      </c>
      <c r="X14" s="21">
        <v>12107</v>
      </c>
      <c r="Y14" s="20">
        <f>IF(X14&gt;0,(X14-X15-$Q14),"")</f>
        <v>-13396</v>
      </c>
      <c r="Z14" s="21">
        <v>12107</v>
      </c>
      <c r="AA14" s="20">
        <f>IF(Z14&gt;0,(Z14-Z15-$Q14),"")</f>
        <v>-13396</v>
      </c>
      <c r="AB14" s="21">
        <v>12107</v>
      </c>
      <c r="AC14" s="22">
        <f>IF(AB14&gt;0,(AB14-AB15-$Q14),"")</f>
        <v>-13396</v>
      </c>
      <c r="AD14" s="21">
        <v>12107</v>
      </c>
      <c r="AE14" s="22">
        <f>IF(AD14&gt;0,(AD14-AD15-$Q14),"")</f>
        <v>-13396</v>
      </c>
    </row>
    <row r="15" spans="2:42" ht="15" customHeight="1" thickBot="1" x14ac:dyDescent="0.35">
      <c r="B15" s="16" t="s">
        <v>40</v>
      </c>
      <c r="C15" s="17">
        <v>2902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4399</v>
      </c>
      <c r="S15" s="24"/>
      <c r="T15" s="25">
        <v>7105</v>
      </c>
      <c r="U15" s="24"/>
      <c r="V15" s="25">
        <v>7930</v>
      </c>
      <c r="W15" s="24"/>
      <c r="X15" s="25">
        <v>8062</v>
      </c>
      <c r="Y15" s="24"/>
      <c r="Z15" s="25">
        <v>8062</v>
      </c>
      <c r="AA15" s="24"/>
      <c r="AB15" s="25">
        <v>8062</v>
      </c>
      <c r="AC15" s="26"/>
      <c r="AD15" s="25">
        <v>8062</v>
      </c>
      <c r="AE15" s="26"/>
    </row>
    <row r="16" spans="2:42" ht="15" customHeight="1" thickBot="1" x14ac:dyDescent="0.35">
      <c r="B16" s="28" t="s">
        <v>42</v>
      </c>
      <c r="C16" s="17">
        <v>12970</v>
      </c>
      <c r="E16" s="84"/>
      <c r="F16" s="31">
        <f t="shared" ref="F16:M16" si="0">SUM(F6:F15)</f>
        <v>92082</v>
      </c>
      <c r="G16" s="31">
        <f t="shared" si="0"/>
        <v>70554.142124999984</v>
      </c>
      <c r="H16" s="31">
        <f t="shared" si="0"/>
        <v>59321.427768969996</v>
      </c>
      <c r="I16" s="32">
        <f t="shared" si="0"/>
        <v>129875.56989396998</v>
      </c>
      <c r="J16" s="33">
        <f t="shared" si="0"/>
        <v>92403</v>
      </c>
      <c r="K16" s="33">
        <f t="shared" si="0"/>
        <v>71150.160125000009</v>
      </c>
      <c r="L16" s="33">
        <f t="shared" si="0"/>
        <v>58978.554738830004</v>
      </c>
      <c r="M16" s="33">
        <f t="shared" si="0"/>
        <v>130128.71486383001</v>
      </c>
      <c r="N16" s="31">
        <f>SUM(N14,N12,N10,N8,N6)</f>
        <v>256</v>
      </c>
      <c r="O16" s="31">
        <f>SUM(O14,O12,O10,O8,O6)</f>
        <v>202</v>
      </c>
      <c r="P16" s="34">
        <f>SUM(P6:P15)</f>
        <v>0</v>
      </c>
      <c r="Q16" s="34">
        <f>SUM(Q6:Q15)</f>
        <v>92403</v>
      </c>
      <c r="R16" s="35">
        <f>R6+R8+R10+R12+R14-R7-R9-R11-R13-R15</f>
        <v>12914</v>
      </c>
      <c r="S16" s="36">
        <f>IF(R16&gt;1,(R16-$Q16),"")</f>
        <v>-79489</v>
      </c>
      <c r="T16" s="35">
        <f>T6+T8+T10+T12+T14-T7-T9-T11-T13-T15</f>
        <v>25079</v>
      </c>
      <c r="U16" s="36">
        <f>IF(T16&gt;1,(T16-$Q16),"")</f>
        <v>-67324</v>
      </c>
      <c r="V16" s="35">
        <f>V6+V8+V10+V12+V14-V7-V9-V11-V13-V15</f>
        <v>40490</v>
      </c>
      <c r="W16" s="36">
        <f>IF(V16&gt;1,(V16-$Q16),"")</f>
        <v>-51913</v>
      </c>
      <c r="X16" s="35">
        <f>X6+X8+X10+X12+X14-X7-X9-X11-X13-X15</f>
        <v>55040</v>
      </c>
      <c r="Y16" s="36">
        <f>IF(X16&gt;1,(X16-$Q16),"")</f>
        <v>-37363</v>
      </c>
      <c r="Z16" s="35">
        <f>Z6+Z8+Z10+Z12+Z14-Z7-Z9-Z11-Z13-Z15</f>
        <v>62731.179999999993</v>
      </c>
      <c r="AA16" s="36">
        <f>IF(Z16&gt;1,(Z16-$Q16),"")</f>
        <v>-29671.820000000007</v>
      </c>
      <c r="AB16" s="35">
        <f>AB6+AB8+AB10+AB12+AB14-AB7-AB9-AB11-AB13-AB15</f>
        <v>63032.179999999993</v>
      </c>
      <c r="AC16" s="37">
        <f>IF(AB16&gt;1,(AB16-$Q16),"")</f>
        <v>-29370.820000000007</v>
      </c>
      <c r="AD16" s="35">
        <f>AD6+AD8+AD10+AD12+AD14-AD7-AD9-AD11-AD13-AD15</f>
        <v>63032.179999999993</v>
      </c>
      <c r="AE16" s="37">
        <f>IF(AD16&gt;1,(AD16-$Q16),"")</f>
        <v>-29370.820000000007</v>
      </c>
    </row>
    <row r="17" spans="2:43" s="4" customFormat="1" ht="15" customHeight="1" thickBot="1" x14ac:dyDescent="0.35">
      <c r="B17" s="43" t="s">
        <v>47</v>
      </c>
      <c r="C17" s="17">
        <v>1431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5621</v>
      </c>
      <c r="S17" s="41"/>
      <c r="T17" s="40">
        <f>T15+T13+T11+T9+T7</f>
        <v>9912</v>
      </c>
      <c r="U17" s="41"/>
      <c r="V17" s="40">
        <f>V15+V13+V11+V9+V7</f>
        <v>11641</v>
      </c>
      <c r="W17" s="41"/>
      <c r="X17" s="40">
        <f>X15+X13+X11+X9+X7</f>
        <v>13064</v>
      </c>
      <c r="Y17" s="41"/>
      <c r="Z17" s="40">
        <f>Z15+Z13+Z11+Z9+Z7</f>
        <v>13511</v>
      </c>
      <c r="AA17" s="41"/>
      <c r="AB17" s="40">
        <f>AB15+AB13+AB11+AB9+AB7</f>
        <v>13511</v>
      </c>
      <c r="AC17" s="42"/>
      <c r="AD17" s="40">
        <f>AD15+AD13+AD11+AD9+AD7</f>
        <v>13511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572</v>
      </c>
      <c r="P18" s="45" t="s">
        <v>46</v>
      </c>
      <c r="Q18" s="46"/>
      <c r="R18" s="47">
        <f>IF(R16&gt;0,(R16)/2,"")</f>
        <v>6457</v>
      </c>
      <c r="S18" s="46"/>
      <c r="T18" s="47">
        <f>IF(T16&gt;0,(T16-R16)/2,"")</f>
        <v>6082.5</v>
      </c>
      <c r="U18" s="46"/>
      <c r="V18" s="47">
        <f>IF(V16&gt;0,(V16-T16)/2,"")</f>
        <v>7705.5</v>
      </c>
      <c r="W18" s="46"/>
      <c r="X18" s="47">
        <f>IF(X16&gt;0,(X16-V16)/2,"")</f>
        <v>7275</v>
      </c>
      <c r="Y18" s="46"/>
      <c r="Z18" s="47">
        <f>IF(Z16&gt;0,(Z16-X16)/2,"")</f>
        <v>3845.5899999999965</v>
      </c>
      <c r="AA18" s="46"/>
      <c r="AB18" s="47">
        <f>IF(AB16&gt;0,(AB16-Z16)/2,"")</f>
        <v>150.5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8042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2494</v>
      </c>
      <c r="L20" s="4"/>
      <c r="M20" s="4"/>
      <c r="Q20" s="51" t="s">
        <v>49</v>
      </c>
      <c r="R20" s="35">
        <v>9344</v>
      </c>
      <c r="S20" s="36">
        <v>-75615</v>
      </c>
      <c r="T20" s="35">
        <v>18183</v>
      </c>
      <c r="U20" s="36">
        <v>-66776</v>
      </c>
      <c r="V20" s="35">
        <v>33249</v>
      </c>
      <c r="W20" s="36">
        <v>-51710</v>
      </c>
      <c r="X20" s="35">
        <v>44954</v>
      </c>
      <c r="Y20" s="36">
        <v>-40005</v>
      </c>
      <c r="Z20" s="35">
        <v>57375</v>
      </c>
      <c r="AA20" s="36">
        <v>-27584</v>
      </c>
      <c r="AB20" s="35">
        <v>58252</v>
      </c>
      <c r="AC20" s="37">
        <v>-26707</v>
      </c>
      <c r="AD20" s="35">
        <v>58252</v>
      </c>
      <c r="AE20" s="37">
        <v>-26707</v>
      </c>
    </row>
    <row r="21" spans="2:43" ht="15" customHeight="1" thickBot="1" x14ac:dyDescent="0.35">
      <c r="B21" s="57" t="s">
        <v>52</v>
      </c>
      <c r="C21" s="58">
        <v>4310</v>
      </c>
      <c r="M21" s="4"/>
      <c r="Q21" s="52"/>
      <c r="R21" s="40">
        <v>5656</v>
      </c>
      <c r="S21" s="41"/>
      <c r="T21" s="40">
        <v>10062</v>
      </c>
      <c r="U21" s="41"/>
      <c r="V21" s="40">
        <v>10730</v>
      </c>
      <c r="W21" s="41"/>
      <c r="X21" s="40">
        <v>13024</v>
      </c>
      <c r="Y21" s="41"/>
      <c r="Z21" s="40">
        <v>14274</v>
      </c>
      <c r="AA21" s="41"/>
      <c r="AB21" s="40">
        <v>14302</v>
      </c>
      <c r="AC21" s="42"/>
      <c r="AD21" s="40">
        <v>14302</v>
      </c>
      <c r="AE21" s="42"/>
    </row>
    <row r="22" spans="2:43" ht="15" customHeight="1" thickBot="1" x14ac:dyDescent="0.35">
      <c r="M22" s="4"/>
      <c r="Q22" s="54"/>
      <c r="R22" s="55">
        <v>4672</v>
      </c>
      <c r="S22" s="55"/>
      <c r="T22" s="55">
        <v>4419.5</v>
      </c>
      <c r="U22" s="55"/>
      <c r="V22" s="55">
        <v>7533</v>
      </c>
      <c r="W22" s="55"/>
      <c r="X22" s="55">
        <v>5852.5</v>
      </c>
      <c r="Y22" s="55"/>
      <c r="Z22" s="55">
        <v>6210.5</v>
      </c>
      <c r="AA22" s="55"/>
      <c r="AB22" s="55">
        <v>438.5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3570</v>
      </c>
      <c r="S24" s="60"/>
      <c r="T24" s="60">
        <f>IF(T16&gt;0,T16-T20,"")</f>
        <v>6896</v>
      </c>
      <c r="U24" s="60"/>
      <c r="V24" s="60">
        <f>IF(V16&gt;0,V16-V20,"")</f>
        <v>7241</v>
      </c>
      <c r="W24" s="60"/>
      <c r="X24" s="60">
        <f>IF(X16&gt;0,X16-X20,"")</f>
        <v>10086</v>
      </c>
      <c r="Y24" s="60"/>
      <c r="Z24" s="60">
        <f>IF(Z16&gt;0,Z16-Z20,"")</f>
        <v>5356.179999999993</v>
      </c>
      <c r="AA24" s="60"/>
      <c r="AB24" s="60">
        <f>IF(AB16&gt;0,AB16-AB20,"")</f>
        <v>4780.179999999993</v>
      </c>
      <c r="AC24" s="61"/>
      <c r="AD24" s="60">
        <f>IF(AD16&gt;0,AD16-AD20,"")</f>
        <v>4780.179999999993</v>
      </c>
      <c r="AE24" s="61"/>
    </row>
    <row r="25" spans="2:43" x14ac:dyDescent="0.3">
      <c r="M25" s="4"/>
      <c r="Q25" s="62"/>
      <c r="R25" s="63">
        <f>IF(R17&gt;=0,R17-R21,"")</f>
        <v>-35</v>
      </c>
      <c r="S25" s="64"/>
      <c r="T25" s="63">
        <f>IF(T17&gt;=0,T17-T21,"")</f>
        <v>-150</v>
      </c>
      <c r="U25" s="64"/>
      <c r="V25" s="63">
        <f>IF(V17&gt;=0,V17-V21,"")</f>
        <v>911</v>
      </c>
      <c r="W25" s="64"/>
      <c r="X25" s="63">
        <f>IF(X17&gt;=0,X17-X21,"")</f>
        <v>40</v>
      </c>
      <c r="Y25" s="64"/>
      <c r="Z25" s="63">
        <f>IF(Z17&gt;=0,Z17-Z21,"")</f>
        <v>-763</v>
      </c>
      <c r="AA25" s="64"/>
      <c r="AB25" s="63">
        <f>IF(AB17&gt;=0,AB17-AB21,"")</f>
        <v>-791</v>
      </c>
      <c r="AC25" s="65"/>
      <c r="AD25" s="63">
        <f>IF(AD17&gt;=0,AD17-AD21,"")</f>
        <v>-791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1785</v>
      </c>
      <c r="S26" s="55"/>
      <c r="T26" s="67">
        <f>IFERROR(IF(T18&gt;0,T18-T22,""),"")</f>
        <v>1663</v>
      </c>
      <c r="U26" s="55"/>
      <c r="V26" s="67">
        <f>IFERROR(IF(V18&gt;0,V18-V22,""),"")</f>
        <v>172.5</v>
      </c>
      <c r="W26" s="55"/>
      <c r="X26" s="67">
        <f>IFERROR(IF(X18&gt;0,X18-X22,""),"")</f>
        <v>1422.5</v>
      </c>
      <c r="Y26" s="55"/>
      <c r="Z26" s="67">
        <f>IFERROR(IF(Z18&gt;0,Z18-Z22,""),"")</f>
        <v>-2364.9100000000035</v>
      </c>
      <c r="AA26" s="55"/>
      <c r="AB26" s="67">
        <f>IFERROR(IF(AB18&gt;0,AB18-AB22,""),"")</f>
        <v>-288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11939</v>
      </c>
      <c r="D29" s="76">
        <f>C14</f>
        <v>12624</v>
      </c>
      <c r="E29" s="77">
        <f>D29-C29</f>
        <v>685</v>
      </c>
      <c r="O29" s="4"/>
    </row>
    <row r="30" spans="2:43" x14ac:dyDescent="0.3">
      <c r="B30" s="74" t="s">
        <v>56</v>
      </c>
      <c r="C30" s="122">
        <v>37433</v>
      </c>
      <c r="D30" s="76">
        <f>C7+C15+C16+C17+C18</f>
        <v>20380</v>
      </c>
      <c r="E30" s="77">
        <f>D30-C30</f>
        <v>-17053</v>
      </c>
      <c r="J30" s="53"/>
      <c r="O30" s="4"/>
    </row>
    <row r="31" spans="2:43" x14ac:dyDescent="0.3">
      <c r="B31" s="74" t="s">
        <v>21</v>
      </c>
      <c r="C31" s="122">
        <v>5980</v>
      </c>
      <c r="D31" s="76">
        <f>C6</f>
        <v>5980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11695</v>
      </c>
      <c r="D32" s="76">
        <f>C10+C11+C12+C13</f>
        <v>11695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15200</v>
      </c>
      <c r="D33" s="76">
        <f>C19+C20+C21</f>
        <v>14846</v>
      </c>
      <c r="E33" s="77">
        <f>D33-C33</f>
        <v>-354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4452</v>
      </c>
      <c r="D34" s="80">
        <f>SUM(C8+C9)</f>
        <v>4452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1057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279.5</v>
      </c>
      <c r="V35" s="104">
        <v>559</v>
      </c>
      <c r="W35" s="104">
        <f t="shared" ref="W35:W64" si="3">IF(X35&gt;0,(X35-V35)/2,"")</f>
        <v>252</v>
      </c>
      <c r="X35" s="104">
        <v>1063</v>
      </c>
      <c r="Y35" s="104">
        <f t="shared" ref="Y35:Y64" si="4">IF(Z35&gt;0,(Z35-X35)/2,"")</f>
        <v>0</v>
      </c>
      <c r="Z35" s="104">
        <v>1063</v>
      </c>
      <c r="AA35" s="104">
        <f t="shared" ref="AA35:AA64" si="5">IF(AB35&gt;0,(AB35-Z35)/2,"")</f>
        <v>0</v>
      </c>
      <c r="AB35" s="104">
        <v>1063</v>
      </c>
      <c r="AC35" s="104">
        <f t="shared" ref="AC35:AC64" si="6">IF(AD35&gt;0,(AD35-AB35)/2,"")</f>
        <v>0</v>
      </c>
      <c r="AD35" s="104">
        <v>1063</v>
      </c>
      <c r="AE35" s="105">
        <f t="shared" ref="AE35:AE64" si="7">AD35-Q35</f>
        <v>6</v>
      </c>
    </row>
    <row r="36" spans="2:31" ht="15.6" customHeight="1" x14ac:dyDescent="0.3">
      <c r="N36" s="212"/>
      <c r="O36" s="95" t="s">
        <v>66</v>
      </c>
      <c r="P36" s="106"/>
      <c r="Q36" s="106">
        <v>1993</v>
      </c>
      <c r="R36" s="106">
        <v>626</v>
      </c>
      <c r="S36" s="106">
        <f t="shared" si="1"/>
        <v>265.5</v>
      </c>
      <c r="T36" s="106">
        <v>1157</v>
      </c>
      <c r="U36" s="106">
        <f t="shared" si="2"/>
        <v>3</v>
      </c>
      <c r="V36" s="106">
        <v>1163</v>
      </c>
      <c r="W36" s="106">
        <f t="shared" si="3"/>
        <v>0</v>
      </c>
      <c r="X36" s="106">
        <v>1163</v>
      </c>
      <c r="Y36" s="106">
        <f t="shared" si="4"/>
        <v>18</v>
      </c>
      <c r="Z36" s="106">
        <v>1199</v>
      </c>
      <c r="AA36" s="106">
        <f t="shared" si="5"/>
        <v>0</v>
      </c>
      <c r="AB36" s="106">
        <v>1199</v>
      </c>
      <c r="AC36" s="106">
        <f t="shared" si="6"/>
        <v>0</v>
      </c>
      <c r="AD36" s="106">
        <v>1199</v>
      </c>
      <c r="AE36" s="107">
        <f t="shared" si="7"/>
        <v>-794</v>
      </c>
    </row>
    <row r="37" spans="2:31" ht="15.6" customHeight="1" x14ac:dyDescent="0.3">
      <c r="N37" s="212"/>
      <c r="O37" s="94" t="s">
        <v>67</v>
      </c>
      <c r="P37" s="108"/>
      <c r="Q37" s="108">
        <v>3861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436.5</v>
      </c>
      <c r="V37" s="108">
        <v>1293</v>
      </c>
      <c r="W37" s="108">
        <f t="shared" si="3"/>
        <v>420</v>
      </c>
      <c r="X37" s="108">
        <v>2133</v>
      </c>
      <c r="Y37" s="108">
        <f t="shared" si="4"/>
        <v>762</v>
      </c>
      <c r="Z37" s="108">
        <v>3657</v>
      </c>
      <c r="AA37" s="108">
        <f t="shared" si="5"/>
        <v>115</v>
      </c>
      <c r="AB37" s="108">
        <v>3887</v>
      </c>
      <c r="AC37" s="108">
        <f t="shared" si="6"/>
        <v>0</v>
      </c>
      <c r="AD37" s="108">
        <v>3887</v>
      </c>
      <c r="AE37" s="109">
        <f t="shared" si="7"/>
        <v>26</v>
      </c>
    </row>
    <row r="38" spans="2:31" ht="15.6" customHeight="1" x14ac:dyDescent="0.3">
      <c r="N38" s="212"/>
      <c r="O38" s="95" t="s">
        <v>68</v>
      </c>
      <c r="P38" s="106"/>
      <c r="Q38" s="106">
        <v>3431</v>
      </c>
      <c r="R38" s="106">
        <v>743</v>
      </c>
      <c r="S38" s="106">
        <f t="shared" si="1"/>
        <v>247.5</v>
      </c>
      <c r="T38" s="106">
        <v>1238</v>
      </c>
      <c r="U38" s="106">
        <f t="shared" si="2"/>
        <v>493.5</v>
      </c>
      <c r="V38" s="106">
        <v>2225</v>
      </c>
      <c r="W38" s="106">
        <f t="shared" si="3"/>
        <v>451.5</v>
      </c>
      <c r="X38" s="106">
        <v>3128</v>
      </c>
      <c r="Y38" s="106">
        <f t="shared" si="4"/>
        <v>160</v>
      </c>
      <c r="Z38" s="106">
        <v>3448</v>
      </c>
      <c r="AA38" s="106">
        <f t="shared" si="5"/>
        <v>0</v>
      </c>
      <c r="AB38" s="106">
        <v>3448</v>
      </c>
      <c r="AC38" s="106">
        <f t="shared" si="6"/>
        <v>0</v>
      </c>
      <c r="AD38" s="106">
        <v>3448</v>
      </c>
      <c r="AE38" s="107">
        <f t="shared" si="7"/>
        <v>17</v>
      </c>
    </row>
    <row r="39" spans="2:31" ht="15.6" customHeight="1" x14ac:dyDescent="0.3">
      <c r="N39" s="212"/>
      <c r="O39" s="94" t="s">
        <v>69</v>
      </c>
      <c r="P39" s="108"/>
      <c r="Q39" s="108">
        <v>2805</v>
      </c>
      <c r="R39" s="108">
        <v>0</v>
      </c>
      <c r="S39" s="108">
        <f t="shared" si="1"/>
        <v>349</v>
      </c>
      <c r="T39" s="108">
        <v>698</v>
      </c>
      <c r="U39" s="108">
        <f t="shared" si="2"/>
        <v>465</v>
      </c>
      <c r="V39" s="108">
        <v>1628</v>
      </c>
      <c r="W39" s="108">
        <f t="shared" si="3"/>
        <v>468</v>
      </c>
      <c r="X39" s="108">
        <v>2564</v>
      </c>
      <c r="Y39" s="108">
        <f t="shared" si="4"/>
        <v>166.5</v>
      </c>
      <c r="Z39" s="108">
        <v>2897</v>
      </c>
      <c r="AA39" s="108">
        <f t="shared" si="5"/>
        <v>5</v>
      </c>
      <c r="AB39" s="108">
        <v>2907</v>
      </c>
      <c r="AC39" s="108">
        <f t="shared" si="6"/>
        <v>0</v>
      </c>
      <c r="AD39" s="108">
        <v>2907</v>
      </c>
      <c r="AE39" s="109">
        <f t="shared" si="7"/>
        <v>102</v>
      </c>
    </row>
    <row r="40" spans="2:31" ht="15.6" customHeight="1" x14ac:dyDescent="0.3">
      <c r="N40" s="212"/>
      <c r="O40" s="95" t="s">
        <v>70</v>
      </c>
      <c r="P40" s="106"/>
      <c r="Q40" s="106">
        <v>4054</v>
      </c>
      <c r="R40" s="106">
        <v>972</v>
      </c>
      <c r="S40" s="106">
        <f t="shared" si="1"/>
        <v>234.5</v>
      </c>
      <c r="T40" s="106">
        <v>1441</v>
      </c>
      <c r="U40" s="106">
        <f t="shared" si="2"/>
        <v>264.5</v>
      </c>
      <c r="V40" s="106">
        <v>1970</v>
      </c>
      <c r="W40" s="106">
        <f t="shared" si="3"/>
        <v>250</v>
      </c>
      <c r="X40" s="106">
        <v>2470</v>
      </c>
      <c r="Y40" s="106">
        <f t="shared" si="4"/>
        <v>778.5</v>
      </c>
      <c r="Z40" s="106">
        <v>4027</v>
      </c>
      <c r="AA40" s="106">
        <f t="shared" si="5"/>
        <v>30.5</v>
      </c>
      <c r="AB40" s="106">
        <v>4088</v>
      </c>
      <c r="AC40" s="106">
        <f t="shared" si="6"/>
        <v>0</v>
      </c>
      <c r="AD40" s="106">
        <v>4088</v>
      </c>
      <c r="AE40" s="107">
        <f t="shared" si="7"/>
        <v>34</v>
      </c>
    </row>
    <row r="41" spans="2:31" ht="15.6" customHeight="1" x14ac:dyDescent="0.3">
      <c r="N41" s="212"/>
      <c r="O41" s="94" t="s">
        <v>71</v>
      </c>
      <c r="P41" s="108"/>
      <c r="Q41" s="108">
        <v>651</v>
      </c>
      <c r="R41" s="108">
        <v>0</v>
      </c>
      <c r="S41" s="108">
        <f t="shared" si="1"/>
        <v>136.5</v>
      </c>
      <c r="T41" s="108">
        <v>273</v>
      </c>
      <c r="U41" s="108">
        <f t="shared" si="2"/>
        <v>189.5</v>
      </c>
      <c r="V41" s="108">
        <v>652</v>
      </c>
      <c r="W41" s="108">
        <f t="shared" si="3"/>
        <v>0</v>
      </c>
      <c r="X41" s="108">
        <v>652</v>
      </c>
      <c r="Y41" s="108">
        <f t="shared" si="4"/>
        <v>0</v>
      </c>
      <c r="Z41" s="108">
        <v>652</v>
      </c>
      <c r="AA41" s="108">
        <f t="shared" si="5"/>
        <v>0</v>
      </c>
      <c r="AB41" s="108">
        <v>652</v>
      </c>
      <c r="AC41" s="108">
        <f t="shared" si="6"/>
        <v>0</v>
      </c>
      <c r="AD41" s="108">
        <v>652</v>
      </c>
      <c r="AE41" s="109">
        <f t="shared" si="7"/>
        <v>1</v>
      </c>
    </row>
    <row r="42" spans="2:31" ht="15.6" customHeight="1" x14ac:dyDescent="0.3">
      <c r="N42" s="212"/>
      <c r="O42" s="95" t="s">
        <v>72</v>
      </c>
      <c r="P42" s="106"/>
      <c r="Q42" s="106">
        <v>1779</v>
      </c>
      <c r="R42" s="106">
        <v>701</v>
      </c>
      <c r="S42" s="106">
        <f t="shared" si="1"/>
        <v>226</v>
      </c>
      <c r="T42" s="106">
        <v>1153</v>
      </c>
      <c r="U42" s="106">
        <f t="shared" si="2"/>
        <v>258.5</v>
      </c>
      <c r="V42" s="106">
        <v>1670</v>
      </c>
      <c r="W42" s="106">
        <f t="shared" si="3"/>
        <v>0</v>
      </c>
      <c r="X42" s="106">
        <v>1670</v>
      </c>
      <c r="Y42" s="106">
        <f t="shared" si="4"/>
        <v>45</v>
      </c>
      <c r="Z42" s="106">
        <v>1760</v>
      </c>
      <c r="AA42" s="106">
        <f t="shared" si="5"/>
        <v>0</v>
      </c>
      <c r="AB42" s="106">
        <v>1760</v>
      </c>
      <c r="AC42" s="106">
        <f t="shared" si="6"/>
        <v>0</v>
      </c>
      <c r="AD42" s="106">
        <v>1760</v>
      </c>
      <c r="AE42" s="107">
        <f t="shared" si="7"/>
        <v>-19</v>
      </c>
    </row>
    <row r="43" spans="2:31" ht="15.6" customHeight="1" thickBot="1" x14ac:dyDescent="0.35">
      <c r="N43" s="213"/>
      <c r="O43" s="97" t="s">
        <v>73</v>
      </c>
      <c r="P43" s="110"/>
      <c r="Q43" s="110">
        <v>1737</v>
      </c>
      <c r="R43" s="110">
        <v>567</v>
      </c>
      <c r="S43" s="110">
        <f t="shared" si="1"/>
        <v>179.5</v>
      </c>
      <c r="T43" s="110">
        <v>926</v>
      </c>
      <c r="U43" s="110">
        <f t="shared" si="2"/>
        <v>0</v>
      </c>
      <c r="V43" s="110">
        <v>926</v>
      </c>
      <c r="W43" s="110">
        <f t="shared" si="3"/>
        <v>206.5</v>
      </c>
      <c r="X43" s="110">
        <v>1339</v>
      </c>
      <c r="Y43" s="110">
        <f t="shared" si="4"/>
        <v>199</v>
      </c>
      <c r="Z43" s="110">
        <v>1737</v>
      </c>
      <c r="AA43" s="110">
        <f t="shared" si="5"/>
        <v>0</v>
      </c>
      <c r="AB43" s="110">
        <v>1737</v>
      </c>
      <c r="AC43" s="110">
        <f t="shared" si="6"/>
        <v>0</v>
      </c>
      <c r="AD43" s="110">
        <v>1737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3000</v>
      </c>
      <c r="R44" s="112">
        <v>0</v>
      </c>
      <c r="S44" s="112">
        <f t="shared" si="1"/>
        <v>942.5</v>
      </c>
      <c r="T44" s="112">
        <v>1885</v>
      </c>
      <c r="U44" s="112">
        <f t="shared" si="2"/>
        <v>0</v>
      </c>
      <c r="V44" s="112">
        <v>1885</v>
      </c>
      <c r="W44" s="112">
        <f t="shared" si="3"/>
        <v>557.5</v>
      </c>
      <c r="X44" s="112">
        <v>3000</v>
      </c>
      <c r="Y44" s="112">
        <f t="shared" si="4"/>
        <v>0</v>
      </c>
      <c r="Z44" s="112">
        <v>3000</v>
      </c>
      <c r="AA44" s="112">
        <f t="shared" si="5"/>
        <v>0</v>
      </c>
      <c r="AB44" s="112">
        <v>3000</v>
      </c>
      <c r="AC44" s="112">
        <f t="shared" si="6"/>
        <v>0</v>
      </c>
      <c r="AD44" s="112">
        <v>3000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2510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575</v>
      </c>
      <c r="V45" s="108">
        <v>1150</v>
      </c>
      <c r="W45" s="108">
        <f t="shared" si="3"/>
        <v>680</v>
      </c>
      <c r="X45" s="108">
        <v>2510</v>
      </c>
      <c r="Y45" s="108">
        <f t="shared" si="4"/>
        <v>0</v>
      </c>
      <c r="Z45" s="108">
        <v>2510</v>
      </c>
      <c r="AA45" s="108">
        <f t="shared" si="5"/>
        <v>0</v>
      </c>
      <c r="AB45" s="108">
        <v>2510</v>
      </c>
      <c r="AC45" s="108">
        <f t="shared" si="6"/>
        <v>0</v>
      </c>
      <c r="AD45" s="108">
        <v>2510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2819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766.5</v>
      </c>
      <c r="V46" s="106">
        <v>1533</v>
      </c>
      <c r="W46" s="106">
        <f t="shared" si="3"/>
        <v>643</v>
      </c>
      <c r="X46" s="106">
        <v>2819</v>
      </c>
      <c r="Y46" s="106">
        <f t="shared" si="4"/>
        <v>0</v>
      </c>
      <c r="Z46" s="106">
        <v>2819</v>
      </c>
      <c r="AA46" s="106">
        <f t="shared" si="5"/>
        <v>0</v>
      </c>
      <c r="AB46" s="106">
        <v>2819</v>
      </c>
      <c r="AC46" s="106">
        <f t="shared" si="6"/>
        <v>0</v>
      </c>
      <c r="AD46" s="106">
        <v>2819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3041</v>
      </c>
      <c r="R47" s="110">
        <v>0</v>
      </c>
      <c r="S47" s="110">
        <f t="shared" si="1"/>
        <v>1275.5</v>
      </c>
      <c r="T47" s="110">
        <v>2551</v>
      </c>
      <c r="U47" s="110">
        <f t="shared" si="2"/>
        <v>245</v>
      </c>
      <c r="V47" s="110">
        <v>3041</v>
      </c>
      <c r="W47" s="110">
        <f t="shared" si="3"/>
        <v>0</v>
      </c>
      <c r="X47" s="110">
        <v>3041</v>
      </c>
      <c r="Y47" s="110">
        <f t="shared" si="4"/>
        <v>0</v>
      </c>
      <c r="Z47" s="110">
        <v>3041</v>
      </c>
      <c r="AA47" s="110">
        <f t="shared" si="5"/>
        <v>0</v>
      </c>
      <c r="AB47" s="110">
        <v>3041</v>
      </c>
      <c r="AC47" s="110">
        <f t="shared" si="6"/>
        <v>0</v>
      </c>
      <c r="AD47" s="110">
        <v>3041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1657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9</v>
      </c>
      <c r="V48" s="112">
        <v>18</v>
      </c>
      <c r="W48" s="112">
        <f t="shared" si="3"/>
        <v>500</v>
      </c>
      <c r="X48" s="112">
        <v>1018</v>
      </c>
      <c r="Y48" s="112">
        <f t="shared" si="4"/>
        <v>111.59000000000003</v>
      </c>
      <c r="Z48" s="112">
        <v>1241.18</v>
      </c>
      <c r="AA48" s="112">
        <f t="shared" si="5"/>
        <v>0</v>
      </c>
      <c r="AB48" s="112">
        <v>1241.18</v>
      </c>
      <c r="AC48" s="112">
        <f t="shared" si="6"/>
        <v>0</v>
      </c>
      <c r="AD48" s="112">
        <v>1241.18</v>
      </c>
      <c r="AE48" s="113">
        <f t="shared" si="7"/>
        <v>-415.81999999999994</v>
      </c>
    </row>
    <row r="49" spans="14:31" ht="15.6" customHeight="1" x14ac:dyDescent="0.3">
      <c r="N49" s="212"/>
      <c r="O49" s="94" t="s">
        <v>66</v>
      </c>
      <c r="P49" s="108"/>
      <c r="Q49" s="108">
        <v>4544</v>
      </c>
      <c r="R49" s="108">
        <v>2254</v>
      </c>
      <c r="S49" s="108">
        <f t="shared" si="1"/>
        <v>0</v>
      </c>
      <c r="T49" s="108">
        <v>2254</v>
      </c>
      <c r="U49" s="108">
        <f t="shared" si="2"/>
        <v>675</v>
      </c>
      <c r="V49" s="108">
        <v>3604</v>
      </c>
      <c r="W49" s="108">
        <f t="shared" si="3"/>
        <v>269</v>
      </c>
      <c r="X49" s="108">
        <v>4142</v>
      </c>
      <c r="Y49" s="108">
        <f t="shared" si="4"/>
        <v>201</v>
      </c>
      <c r="Z49" s="108">
        <v>4544</v>
      </c>
      <c r="AA49" s="108">
        <f t="shared" si="5"/>
        <v>0</v>
      </c>
      <c r="AB49" s="108">
        <v>4544</v>
      </c>
      <c r="AC49" s="108">
        <f t="shared" si="6"/>
        <v>0</v>
      </c>
      <c r="AD49" s="108">
        <v>4544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1804</v>
      </c>
      <c r="R50" s="106">
        <v>633</v>
      </c>
      <c r="S50" s="106">
        <f t="shared" si="1"/>
        <v>333.5</v>
      </c>
      <c r="T50" s="106">
        <v>1300</v>
      </c>
      <c r="U50" s="106">
        <f t="shared" si="2"/>
        <v>-31.5</v>
      </c>
      <c r="V50" s="106">
        <v>1237</v>
      </c>
      <c r="W50" s="106">
        <f t="shared" si="3"/>
        <v>0</v>
      </c>
      <c r="X50" s="106">
        <v>1237</v>
      </c>
      <c r="Y50" s="106">
        <f t="shared" si="4"/>
        <v>10</v>
      </c>
      <c r="Z50" s="106">
        <v>1257</v>
      </c>
      <c r="AA50" s="106">
        <f t="shared" si="5"/>
        <v>0</v>
      </c>
      <c r="AB50" s="106">
        <v>1257</v>
      </c>
      <c r="AC50" s="106">
        <f t="shared" si="6"/>
        <v>0</v>
      </c>
      <c r="AD50" s="106">
        <v>1257</v>
      </c>
      <c r="AE50" s="107">
        <f t="shared" si="7"/>
        <v>-547</v>
      </c>
    </row>
    <row r="51" spans="14:31" ht="15.6" customHeight="1" x14ac:dyDescent="0.3">
      <c r="N51" s="212"/>
      <c r="O51" s="94" t="s">
        <v>68</v>
      </c>
      <c r="P51" s="108"/>
      <c r="Q51" s="108">
        <v>3740</v>
      </c>
      <c r="R51" s="108">
        <v>454</v>
      </c>
      <c r="S51" s="108">
        <f t="shared" si="1"/>
        <v>0</v>
      </c>
      <c r="T51" s="108">
        <v>454</v>
      </c>
      <c r="U51" s="108">
        <f t="shared" si="2"/>
        <v>412</v>
      </c>
      <c r="V51" s="108">
        <v>1278</v>
      </c>
      <c r="W51" s="108">
        <f t="shared" si="3"/>
        <v>136</v>
      </c>
      <c r="X51" s="108">
        <v>1550</v>
      </c>
      <c r="Y51" s="108">
        <f t="shared" si="4"/>
        <v>73.5</v>
      </c>
      <c r="Z51" s="108">
        <v>1697</v>
      </c>
      <c r="AA51" s="108">
        <f t="shared" si="5"/>
        <v>0</v>
      </c>
      <c r="AB51" s="108">
        <v>1697</v>
      </c>
      <c r="AC51" s="108">
        <f t="shared" si="6"/>
        <v>0</v>
      </c>
      <c r="AD51" s="108">
        <v>1697</v>
      </c>
      <c r="AE51" s="109">
        <f t="shared" si="7"/>
        <v>-2043</v>
      </c>
    </row>
    <row r="52" spans="14:31" ht="15.6" customHeight="1" x14ac:dyDescent="0.3">
      <c r="N52" s="212"/>
      <c r="O52" s="95" t="s">
        <v>69</v>
      </c>
      <c r="P52" s="106"/>
      <c r="Q52" s="106">
        <v>2306</v>
      </c>
      <c r="R52" s="106">
        <v>273</v>
      </c>
      <c r="S52" s="106">
        <f t="shared" si="1"/>
        <v>346</v>
      </c>
      <c r="T52" s="106">
        <v>965</v>
      </c>
      <c r="U52" s="106">
        <f t="shared" si="2"/>
        <v>197</v>
      </c>
      <c r="V52" s="106">
        <v>1359</v>
      </c>
      <c r="W52" s="106">
        <f t="shared" si="3"/>
        <v>72</v>
      </c>
      <c r="X52" s="106">
        <v>1503</v>
      </c>
      <c r="Y52" s="106">
        <f t="shared" si="4"/>
        <v>198</v>
      </c>
      <c r="Z52" s="106">
        <v>1899</v>
      </c>
      <c r="AA52" s="106">
        <f t="shared" si="5"/>
        <v>0</v>
      </c>
      <c r="AB52" s="106">
        <v>1899</v>
      </c>
      <c r="AC52" s="106">
        <f t="shared" si="6"/>
        <v>0</v>
      </c>
      <c r="AD52" s="106">
        <v>1899</v>
      </c>
      <c r="AE52" s="107">
        <f t="shared" si="7"/>
        <v>-407</v>
      </c>
    </row>
    <row r="53" spans="14:31" ht="15.6" customHeight="1" x14ac:dyDescent="0.3">
      <c r="N53" s="212"/>
      <c r="O53" s="94" t="s">
        <v>70</v>
      </c>
      <c r="P53" s="108"/>
      <c r="Q53" s="108">
        <v>1358</v>
      </c>
      <c r="R53" s="108">
        <v>670</v>
      </c>
      <c r="S53" s="108">
        <f t="shared" si="1"/>
        <v>181</v>
      </c>
      <c r="T53" s="108">
        <v>1032</v>
      </c>
      <c r="U53" s="108">
        <f t="shared" si="2"/>
        <v>0</v>
      </c>
      <c r="V53" s="108">
        <v>1032</v>
      </c>
      <c r="W53" s="108">
        <f t="shared" si="3"/>
        <v>0</v>
      </c>
      <c r="X53" s="108">
        <v>1032</v>
      </c>
      <c r="Y53" s="108">
        <f t="shared" si="4"/>
        <v>57</v>
      </c>
      <c r="Z53" s="108">
        <v>1146</v>
      </c>
      <c r="AA53" s="108">
        <f t="shared" si="5"/>
        <v>0</v>
      </c>
      <c r="AB53" s="108">
        <v>1146</v>
      </c>
      <c r="AC53" s="108">
        <f t="shared" si="6"/>
        <v>0</v>
      </c>
      <c r="AD53" s="108">
        <v>1146</v>
      </c>
      <c r="AE53" s="109">
        <f t="shared" si="7"/>
        <v>-212</v>
      </c>
    </row>
    <row r="54" spans="14:31" ht="15.6" customHeight="1" x14ac:dyDescent="0.3">
      <c r="N54" s="212"/>
      <c r="O54" s="95" t="s">
        <v>71</v>
      </c>
      <c r="P54" s="106"/>
      <c r="Q54" s="106">
        <v>3884</v>
      </c>
      <c r="R54" s="106">
        <v>1000</v>
      </c>
      <c r="S54" s="106">
        <f t="shared" si="1"/>
        <v>398</v>
      </c>
      <c r="T54" s="106">
        <v>1796</v>
      </c>
      <c r="U54" s="106">
        <f t="shared" si="2"/>
        <v>0</v>
      </c>
      <c r="V54" s="106">
        <v>1796</v>
      </c>
      <c r="W54" s="106">
        <f t="shared" si="3"/>
        <v>698</v>
      </c>
      <c r="X54" s="106">
        <v>3192</v>
      </c>
      <c r="Y54" s="106">
        <f t="shared" si="4"/>
        <v>346</v>
      </c>
      <c r="Z54" s="106">
        <v>3884</v>
      </c>
      <c r="AA54" s="106">
        <f t="shared" si="5"/>
        <v>0</v>
      </c>
      <c r="AB54" s="106">
        <v>3884</v>
      </c>
      <c r="AC54" s="106">
        <f t="shared" si="6"/>
        <v>0</v>
      </c>
      <c r="AD54" s="106">
        <v>3884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3900</v>
      </c>
      <c r="R55" s="108">
        <v>900</v>
      </c>
      <c r="S55" s="108">
        <f t="shared" si="1"/>
        <v>450</v>
      </c>
      <c r="T55" s="108">
        <v>1800</v>
      </c>
      <c r="U55" s="108">
        <f t="shared" si="2"/>
        <v>0</v>
      </c>
      <c r="V55" s="108">
        <v>1800</v>
      </c>
      <c r="W55" s="108">
        <f t="shared" si="3"/>
        <v>405</v>
      </c>
      <c r="X55" s="108">
        <v>2610</v>
      </c>
      <c r="Y55" s="108">
        <f t="shared" si="4"/>
        <v>645</v>
      </c>
      <c r="Z55" s="108">
        <v>3900</v>
      </c>
      <c r="AA55" s="108">
        <f t="shared" si="5"/>
        <v>0</v>
      </c>
      <c r="AB55" s="108">
        <v>3900</v>
      </c>
      <c r="AC55" s="108">
        <f t="shared" si="6"/>
        <v>0</v>
      </c>
      <c r="AD55" s="108">
        <v>3900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1791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381.5</v>
      </c>
      <c r="V56" s="114">
        <v>763</v>
      </c>
      <c r="W56" s="114">
        <f t="shared" si="3"/>
        <v>171</v>
      </c>
      <c r="X56" s="114">
        <v>1105</v>
      </c>
      <c r="Y56" s="114">
        <f t="shared" si="4"/>
        <v>73.5</v>
      </c>
      <c r="Z56" s="114">
        <v>1252</v>
      </c>
      <c r="AA56" s="114">
        <f t="shared" si="5"/>
        <v>0</v>
      </c>
      <c r="AB56" s="114">
        <v>1252</v>
      </c>
      <c r="AC56" s="114">
        <f t="shared" si="6"/>
        <v>0</v>
      </c>
      <c r="AD56" s="114">
        <v>1252</v>
      </c>
      <c r="AE56" s="115">
        <f t="shared" si="7"/>
        <v>-539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3460</v>
      </c>
      <c r="R57" s="104">
        <v>191</v>
      </c>
      <c r="S57" s="104">
        <f t="shared" si="1"/>
        <v>66.5</v>
      </c>
      <c r="T57" s="104">
        <v>324</v>
      </c>
      <c r="U57" s="104">
        <f t="shared" si="2"/>
        <v>10.5</v>
      </c>
      <c r="V57" s="104">
        <v>345</v>
      </c>
      <c r="W57" s="104">
        <f t="shared" si="3"/>
        <v>257</v>
      </c>
      <c r="X57" s="104">
        <v>859</v>
      </c>
      <c r="Y57" s="104">
        <f t="shared" si="4"/>
        <v>171</v>
      </c>
      <c r="Z57" s="104">
        <v>1201</v>
      </c>
      <c r="AA57" s="104">
        <f t="shared" si="5"/>
        <v>0</v>
      </c>
      <c r="AB57" s="104">
        <v>1201</v>
      </c>
      <c r="AC57" s="104">
        <f t="shared" si="6"/>
        <v>0</v>
      </c>
      <c r="AD57" s="104">
        <v>1201</v>
      </c>
      <c r="AE57" s="105">
        <f t="shared" si="7"/>
        <v>-2259</v>
      </c>
    </row>
    <row r="58" spans="14:31" ht="15.6" customHeight="1" x14ac:dyDescent="0.3">
      <c r="N58" s="212"/>
      <c r="O58" s="95" t="s">
        <v>66</v>
      </c>
      <c r="P58" s="106"/>
      <c r="Q58" s="106">
        <v>2684</v>
      </c>
      <c r="R58" s="106">
        <v>1074</v>
      </c>
      <c r="S58" s="106">
        <f t="shared" si="1"/>
        <v>320</v>
      </c>
      <c r="T58" s="106">
        <v>1714</v>
      </c>
      <c r="U58" s="106">
        <f t="shared" si="2"/>
        <v>360</v>
      </c>
      <c r="V58" s="106">
        <v>2434</v>
      </c>
      <c r="W58" s="106">
        <f t="shared" si="3"/>
        <v>0</v>
      </c>
      <c r="X58" s="106">
        <v>2434</v>
      </c>
      <c r="Y58" s="106">
        <f t="shared" si="4"/>
        <v>0</v>
      </c>
      <c r="Z58" s="106">
        <v>2434</v>
      </c>
      <c r="AA58" s="106">
        <f t="shared" si="5"/>
        <v>0</v>
      </c>
      <c r="AB58" s="106">
        <v>2434</v>
      </c>
      <c r="AC58" s="106">
        <f t="shared" si="6"/>
        <v>0</v>
      </c>
      <c r="AD58" s="106">
        <v>2434</v>
      </c>
      <c r="AE58" s="107">
        <f t="shared" si="7"/>
        <v>-250</v>
      </c>
    </row>
    <row r="59" spans="14:31" ht="15.6" customHeight="1" x14ac:dyDescent="0.3">
      <c r="N59" s="212"/>
      <c r="O59" s="94" t="s">
        <v>67</v>
      </c>
      <c r="P59" s="108"/>
      <c r="Q59" s="108">
        <v>6838</v>
      </c>
      <c r="R59" s="108">
        <v>502</v>
      </c>
      <c r="S59" s="108">
        <f t="shared" si="1"/>
        <v>204.5</v>
      </c>
      <c r="T59" s="108">
        <v>911</v>
      </c>
      <c r="U59" s="108">
        <f t="shared" si="2"/>
        <v>403</v>
      </c>
      <c r="V59" s="108">
        <v>1717</v>
      </c>
      <c r="W59" s="108">
        <f t="shared" si="3"/>
        <v>881</v>
      </c>
      <c r="X59" s="108">
        <v>3479</v>
      </c>
      <c r="Y59" s="108">
        <f t="shared" si="4"/>
        <v>53.5</v>
      </c>
      <c r="Z59" s="108">
        <v>3586</v>
      </c>
      <c r="AA59" s="108">
        <f t="shared" si="5"/>
        <v>0</v>
      </c>
      <c r="AB59" s="108">
        <v>3586</v>
      </c>
      <c r="AC59" s="108">
        <f t="shared" si="6"/>
        <v>0</v>
      </c>
      <c r="AD59" s="108">
        <v>3586</v>
      </c>
      <c r="AE59" s="109">
        <f t="shared" si="7"/>
        <v>-3252</v>
      </c>
    </row>
    <row r="60" spans="14:31" ht="15.6" customHeight="1" thickBot="1" x14ac:dyDescent="0.35">
      <c r="N60" s="213"/>
      <c r="O60" s="99" t="s">
        <v>68</v>
      </c>
      <c r="P60" s="114"/>
      <c r="Q60" s="114">
        <v>3750</v>
      </c>
      <c r="R60" s="114">
        <v>1584</v>
      </c>
      <c r="S60" s="114">
        <f t="shared" si="1"/>
        <v>381.5</v>
      </c>
      <c r="T60" s="114">
        <v>2347</v>
      </c>
      <c r="U60" s="114">
        <f t="shared" si="2"/>
        <v>621</v>
      </c>
      <c r="V60" s="114">
        <v>3589</v>
      </c>
      <c r="W60" s="114">
        <f t="shared" si="3"/>
        <v>84.5</v>
      </c>
      <c r="X60" s="114">
        <v>3758</v>
      </c>
      <c r="Y60" s="114">
        <f t="shared" si="4"/>
        <v>0</v>
      </c>
      <c r="Z60" s="114">
        <v>3758</v>
      </c>
      <c r="AA60" s="114">
        <f t="shared" si="5"/>
        <v>0</v>
      </c>
      <c r="AB60" s="114">
        <v>3758</v>
      </c>
      <c r="AC60" s="114">
        <f t="shared" si="6"/>
        <v>0</v>
      </c>
      <c r="AD60" s="114">
        <v>3758</v>
      </c>
      <c r="AE60" s="115">
        <f t="shared" si="7"/>
        <v>8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2956</v>
      </c>
      <c r="R61" s="104">
        <v>270</v>
      </c>
      <c r="S61" s="104">
        <f t="shared" si="1"/>
        <v>243.5</v>
      </c>
      <c r="T61" s="104">
        <v>757</v>
      </c>
      <c r="U61" s="104">
        <f t="shared" si="2"/>
        <v>515</v>
      </c>
      <c r="V61" s="104">
        <v>1787</v>
      </c>
      <c r="W61" s="104">
        <f t="shared" si="3"/>
        <v>78.5</v>
      </c>
      <c r="X61" s="104">
        <v>1944</v>
      </c>
      <c r="Y61" s="104">
        <f t="shared" si="4"/>
        <v>0</v>
      </c>
      <c r="Z61" s="104">
        <v>1944</v>
      </c>
      <c r="AA61" s="104">
        <f t="shared" si="5"/>
        <v>0</v>
      </c>
      <c r="AB61" s="104">
        <v>1944</v>
      </c>
      <c r="AC61" s="104">
        <f t="shared" si="6"/>
        <v>0</v>
      </c>
      <c r="AD61" s="104">
        <v>1944</v>
      </c>
      <c r="AE61" s="105">
        <f t="shared" si="7"/>
        <v>-1012</v>
      </c>
    </row>
    <row r="62" spans="14:31" ht="15.6" customHeight="1" x14ac:dyDescent="0.3">
      <c r="N62" s="212"/>
      <c r="O62" s="95" t="s">
        <v>66</v>
      </c>
      <c r="P62" s="106"/>
      <c r="Q62" s="106">
        <v>2439</v>
      </c>
      <c r="R62" s="106">
        <v>906</v>
      </c>
      <c r="S62" s="106">
        <f t="shared" si="1"/>
        <v>0</v>
      </c>
      <c r="T62" s="106">
        <v>906</v>
      </c>
      <c r="U62" s="106">
        <f t="shared" si="2"/>
        <v>356</v>
      </c>
      <c r="V62" s="106">
        <v>1618</v>
      </c>
      <c r="W62" s="106">
        <f t="shared" si="3"/>
        <v>97</v>
      </c>
      <c r="X62" s="106">
        <v>1812</v>
      </c>
      <c r="Y62" s="106">
        <f t="shared" si="4"/>
        <v>0</v>
      </c>
      <c r="Z62" s="106">
        <v>1812</v>
      </c>
      <c r="AA62" s="106">
        <f t="shared" si="5"/>
        <v>0</v>
      </c>
      <c r="AB62" s="106">
        <v>1812</v>
      </c>
      <c r="AC62" s="106">
        <f t="shared" si="6"/>
        <v>0</v>
      </c>
      <c r="AD62" s="106">
        <v>1812</v>
      </c>
      <c r="AE62" s="107">
        <f t="shared" si="7"/>
        <v>-627</v>
      </c>
    </row>
    <row r="63" spans="14:31" ht="15.6" customHeight="1" x14ac:dyDescent="0.3">
      <c r="N63" s="212"/>
      <c r="O63" s="94" t="s">
        <v>67</v>
      </c>
      <c r="P63" s="108"/>
      <c r="Q63" s="108">
        <v>2550</v>
      </c>
      <c r="R63" s="108">
        <v>348</v>
      </c>
      <c r="S63" s="108">
        <f t="shared" si="1"/>
        <v>298</v>
      </c>
      <c r="T63" s="108">
        <v>944</v>
      </c>
      <c r="U63" s="108">
        <f t="shared" si="2"/>
        <v>116</v>
      </c>
      <c r="V63" s="108">
        <v>1176</v>
      </c>
      <c r="W63" s="108">
        <f t="shared" si="3"/>
        <v>67</v>
      </c>
      <c r="X63" s="108">
        <v>1310</v>
      </c>
      <c r="Y63" s="108">
        <f t="shared" si="4"/>
        <v>0</v>
      </c>
      <c r="Z63" s="108">
        <v>1310</v>
      </c>
      <c r="AA63" s="108">
        <f t="shared" si="5"/>
        <v>0</v>
      </c>
      <c r="AB63" s="108">
        <v>1310</v>
      </c>
      <c r="AC63" s="108">
        <f t="shared" si="6"/>
        <v>0</v>
      </c>
      <c r="AD63" s="108">
        <v>1310</v>
      </c>
      <c r="AE63" s="109">
        <f t="shared" si="7"/>
        <v>-1240</v>
      </c>
    </row>
    <row r="64" spans="14:31" ht="15.6" customHeight="1" thickBot="1" x14ac:dyDescent="0.35">
      <c r="N64" s="213"/>
      <c r="O64" s="99" t="s">
        <v>68</v>
      </c>
      <c r="P64" s="114"/>
      <c r="Q64" s="114">
        <v>2275</v>
      </c>
      <c r="R64" s="114">
        <v>932</v>
      </c>
      <c r="S64" s="114">
        <f t="shared" si="1"/>
        <v>148</v>
      </c>
      <c r="T64" s="114">
        <v>1228</v>
      </c>
      <c r="U64" s="114">
        <f t="shared" si="2"/>
        <v>46</v>
      </c>
      <c r="V64" s="114">
        <v>1320</v>
      </c>
      <c r="W64" s="114">
        <f t="shared" si="3"/>
        <v>85</v>
      </c>
      <c r="X64" s="114">
        <v>1490</v>
      </c>
      <c r="Y64" s="114">
        <f t="shared" si="4"/>
        <v>0</v>
      </c>
      <c r="Z64" s="114">
        <v>1490</v>
      </c>
      <c r="AA64" s="114">
        <f t="shared" si="5"/>
        <v>0</v>
      </c>
      <c r="AB64" s="114">
        <v>1490</v>
      </c>
      <c r="AC64" s="114">
        <f t="shared" si="6"/>
        <v>0</v>
      </c>
      <c r="AD64" s="114">
        <v>1490</v>
      </c>
      <c r="AE64" s="115">
        <f t="shared" si="7"/>
        <v>-785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91" priority="11" operator="lessThan">
      <formula>0</formula>
    </cfRule>
    <cfRule type="cellIs" dxfId="1090" priority="12" operator="greaterThan">
      <formula>0</formula>
    </cfRule>
  </conditionalFormatting>
  <conditionalFormatting sqref="R25:AC25">
    <cfRule type="cellIs" dxfId="1089" priority="9" operator="lessThan">
      <formula>0</formula>
    </cfRule>
    <cfRule type="cellIs" dxfId="1088" priority="10" operator="greaterThan">
      <formula>0</formula>
    </cfRule>
  </conditionalFormatting>
  <conditionalFormatting sqref="R26 T26 V26 X26 Z26 AB26">
    <cfRule type="cellIs" dxfId="1087" priority="7" operator="lessThan">
      <formula>0</formula>
    </cfRule>
    <cfRule type="cellIs" dxfId="1086" priority="8" operator="greaterThan">
      <formula>0</formula>
    </cfRule>
  </conditionalFormatting>
  <conditionalFormatting sqref="AD24:AE24">
    <cfRule type="cellIs" dxfId="1085" priority="5" operator="lessThan">
      <formula>0</formula>
    </cfRule>
    <cfRule type="cellIs" dxfId="1084" priority="6" operator="greaterThan">
      <formula>0</formula>
    </cfRule>
  </conditionalFormatting>
  <conditionalFormatting sqref="AD25:AE25">
    <cfRule type="cellIs" dxfId="1083" priority="3" operator="lessThan">
      <formula>0</formula>
    </cfRule>
    <cfRule type="cellIs" dxfId="1082" priority="4" operator="greaterThan">
      <formula>0</formula>
    </cfRule>
  </conditionalFormatting>
  <conditionalFormatting sqref="AD26">
    <cfRule type="cellIs" dxfId="1081" priority="1" operator="lessThan">
      <formula>0</formula>
    </cfRule>
    <cfRule type="cellIs" dxfId="10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44428</v>
      </c>
    </row>
    <row r="3" spans="2:42" ht="18.75" customHeight="1" thickBot="1" x14ac:dyDescent="0.35">
      <c r="B3" t="s">
        <v>1</v>
      </c>
      <c r="C3" s="3">
        <f>C2+1</f>
        <v>44429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18130</v>
      </c>
      <c r="G6" s="117">
        <v>15132.099874999991</v>
      </c>
      <c r="H6" s="117">
        <v>11806.52925456</v>
      </c>
      <c r="I6" s="19">
        <f>G6+H6</f>
        <v>26938.629129559991</v>
      </c>
      <c r="J6" s="119">
        <v>19844</v>
      </c>
      <c r="K6" s="117">
        <v>15927.836875000001</v>
      </c>
      <c r="L6" s="117">
        <v>13362.201264519999</v>
      </c>
      <c r="M6" s="19">
        <f>K6+L6</f>
        <v>29290.038139520002</v>
      </c>
      <c r="N6" s="85">
        <v>69</v>
      </c>
      <c r="O6" s="85" t="s">
        <v>74</v>
      </c>
      <c r="P6" s="92"/>
      <c r="Q6" s="20">
        <f>J6-P6</f>
        <v>19844</v>
      </c>
      <c r="R6" s="21">
        <v>5117</v>
      </c>
      <c r="S6" s="20">
        <f>IF(R6&gt;0,(R6-R7-$Q6),"")</f>
        <v>-15010</v>
      </c>
      <c r="T6" s="21">
        <v>7510</v>
      </c>
      <c r="U6" s="20">
        <f>IF(T6&gt;0,(T6-T7-$Q6),"")</f>
        <v>-12641</v>
      </c>
      <c r="V6" s="21">
        <v>12509</v>
      </c>
      <c r="W6" s="20">
        <f>IF(V6&gt;0,(V6-V7-$Q6),"")</f>
        <v>-7646</v>
      </c>
      <c r="X6" s="21">
        <v>16882</v>
      </c>
      <c r="Y6" s="20">
        <f>IF(X6&gt;0,(X6-X7-$Q6),"")</f>
        <v>-3332</v>
      </c>
      <c r="Z6" s="21">
        <v>19975</v>
      </c>
      <c r="AA6" s="20">
        <f>IF(Z6&gt;0,(Z6-Z7-$Q6),"")</f>
        <v>-245</v>
      </c>
      <c r="AB6" s="21">
        <v>19975</v>
      </c>
      <c r="AC6" s="22">
        <f>IF(AB6&gt;0,(AB6-AB7-$Q6),"")</f>
        <v>-245</v>
      </c>
      <c r="AD6" s="21">
        <v>19975</v>
      </c>
      <c r="AE6" s="22">
        <f>IF(AD6&gt;0,(AD6-AD7-$Q6),"")</f>
        <v>-245</v>
      </c>
    </row>
    <row r="7" spans="2:42" x14ac:dyDescent="0.3">
      <c r="B7" s="16" t="s">
        <v>23</v>
      </c>
      <c r="C7" s="17">
        <v>426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 t="e">
        <f>N6-O6</f>
        <v>#VALUE!</v>
      </c>
      <c r="P7" s="93" t="s">
        <v>24</v>
      </c>
      <c r="Q7" s="24"/>
      <c r="R7" s="25">
        <v>283</v>
      </c>
      <c r="S7" s="24"/>
      <c r="T7" s="25">
        <v>307</v>
      </c>
      <c r="U7" s="24"/>
      <c r="V7" s="25">
        <v>311</v>
      </c>
      <c r="W7" s="24"/>
      <c r="X7" s="25">
        <v>370</v>
      </c>
      <c r="Y7" s="24"/>
      <c r="Z7" s="25">
        <v>376</v>
      </c>
      <c r="AA7" s="24"/>
      <c r="AB7" s="25">
        <v>376</v>
      </c>
      <c r="AC7" s="26"/>
      <c r="AD7" s="25">
        <v>376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2942</v>
      </c>
      <c r="E8" s="29" t="s">
        <v>27</v>
      </c>
      <c r="F8" s="119">
        <v>9305</v>
      </c>
      <c r="G8" s="117">
        <v>3815.9099999999989</v>
      </c>
      <c r="H8" s="117">
        <v>1135.9474995</v>
      </c>
      <c r="I8" s="19">
        <f>G8+H8</f>
        <v>4951.857499499999</v>
      </c>
      <c r="J8" s="119">
        <v>10083</v>
      </c>
      <c r="K8" s="117">
        <v>4140.34</v>
      </c>
      <c r="L8" s="117">
        <v>1241.1222389</v>
      </c>
      <c r="M8" s="19">
        <f>K8+L8</f>
        <v>5381.4622388999996</v>
      </c>
      <c r="N8" s="87">
        <v>30</v>
      </c>
      <c r="O8" s="87">
        <v>24</v>
      </c>
      <c r="P8" s="92"/>
      <c r="Q8" s="20">
        <f>J8-P8</f>
        <v>10083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10083</v>
      </c>
      <c r="Y8" s="20">
        <f>IF(X8&gt;0,(X8-X9-$Q8),"")</f>
        <v>0</v>
      </c>
      <c r="Z8" s="21">
        <v>10083</v>
      </c>
      <c r="AA8" s="20">
        <f>IF(Z8&gt;0,(Z8-Z9-$Q8),"")</f>
        <v>0</v>
      </c>
      <c r="AB8" s="21">
        <v>10083</v>
      </c>
      <c r="AC8" s="22">
        <f>IF(AB8&gt;0,(AB8-AB9-$Q8),"")</f>
        <v>0</v>
      </c>
      <c r="AD8" s="21">
        <v>10083</v>
      </c>
      <c r="AE8" s="22">
        <f>IF(AD8&gt;0,(AD8-AD9-$Q8),"")</f>
        <v>0</v>
      </c>
    </row>
    <row r="9" spans="2:42" x14ac:dyDescent="0.3">
      <c r="B9" s="28" t="s">
        <v>28</v>
      </c>
      <c r="C9" s="17">
        <v>1686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3559</v>
      </c>
      <c r="E10" s="18" t="s">
        <v>31</v>
      </c>
      <c r="F10" s="119">
        <v>12217</v>
      </c>
      <c r="G10" s="117">
        <v>9316.9959374999999</v>
      </c>
      <c r="H10" s="117">
        <v>1820.3820874999999</v>
      </c>
      <c r="I10" s="19">
        <f>G10+H10</f>
        <v>11137.378025</v>
      </c>
      <c r="J10" s="119">
        <v>13217</v>
      </c>
      <c r="K10" s="117">
        <v>10276.9983125</v>
      </c>
      <c r="L10" s="117">
        <v>1823.5132424999999</v>
      </c>
      <c r="M10" s="19">
        <f>K10+L10</f>
        <v>12100.511554999999</v>
      </c>
      <c r="N10" s="88">
        <v>47</v>
      </c>
      <c r="O10" s="88">
        <v>40</v>
      </c>
      <c r="P10" s="92"/>
      <c r="Q10" s="20">
        <f>J10-P10</f>
        <v>13217</v>
      </c>
      <c r="R10" s="21">
        <v>2655</v>
      </c>
      <c r="S10" s="20">
        <f>IF(R10&gt;0,(R10-R11-$Q10),"")</f>
        <v>-11170</v>
      </c>
      <c r="T10" s="21">
        <v>5833</v>
      </c>
      <c r="U10" s="20">
        <f>IF(T10&gt;0,(T10-T11-$Q10),"")</f>
        <v>-8889</v>
      </c>
      <c r="V10" s="21">
        <v>7608</v>
      </c>
      <c r="W10" s="20">
        <f>IF(V10&gt;0,(V10-V11-$Q10),"")</f>
        <v>-7679</v>
      </c>
      <c r="X10" s="21">
        <v>11564</v>
      </c>
      <c r="Y10" s="20">
        <f>IF(X10&gt;0,(X10-X11-$Q10),"")</f>
        <v>-4807</v>
      </c>
      <c r="Z10" s="21">
        <v>11564</v>
      </c>
      <c r="AA10" s="20">
        <f>IF(Z10&gt;0,(Z10-Z11-$Q10),"")</f>
        <v>-4807</v>
      </c>
      <c r="AB10" s="21">
        <v>11564</v>
      </c>
      <c r="AC10" s="22">
        <f>IF(AB10&gt;0,(AB10-AB11-$Q10),"")</f>
        <v>-4807</v>
      </c>
      <c r="AD10" s="21">
        <v>11564</v>
      </c>
      <c r="AE10" s="22">
        <f>IF(AD10&gt;0,(AD10-AD11-$Q10),"")</f>
        <v>-4807</v>
      </c>
    </row>
    <row r="11" spans="2:42" x14ac:dyDescent="0.3">
      <c r="B11" s="16" t="s">
        <v>32</v>
      </c>
      <c r="C11" s="17">
        <v>1912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608</v>
      </c>
      <c r="S11" s="24"/>
      <c r="T11" s="30">
        <v>1505</v>
      </c>
      <c r="U11" s="24"/>
      <c r="V11" s="30">
        <v>2070</v>
      </c>
      <c r="W11" s="24"/>
      <c r="X11" s="30">
        <v>3154</v>
      </c>
      <c r="Y11" s="24"/>
      <c r="Z11" s="30">
        <v>3154</v>
      </c>
      <c r="AA11" s="24"/>
      <c r="AB11" s="30">
        <v>3154</v>
      </c>
      <c r="AC11" s="26"/>
      <c r="AD11" s="30">
        <v>3154</v>
      </c>
      <c r="AE11" s="26"/>
    </row>
    <row r="12" spans="2:42" x14ac:dyDescent="0.3">
      <c r="B12" s="16" t="s">
        <v>34</v>
      </c>
      <c r="C12" s="17">
        <v>1425</v>
      </c>
      <c r="E12" s="29" t="s">
        <v>35</v>
      </c>
      <c r="F12" s="119">
        <v>12939</v>
      </c>
      <c r="G12" s="117">
        <v>12220.7335</v>
      </c>
      <c r="H12" s="117">
        <v>17195.11046303999</v>
      </c>
      <c r="I12" s="19">
        <f>G12+H12</f>
        <v>29415.843963039988</v>
      </c>
      <c r="J12" s="119">
        <v>12968</v>
      </c>
      <c r="K12" s="117">
        <v>11709.30125</v>
      </c>
      <c r="L12" s="117">
        <v>15632.521902230001</v>
      </c>
      <c r="M12" s="19">
        <f>K12+L12</f>
        <v>27341.823152230001</v>
      </c>
      <c r="N12" s="88">
        <v>51</v>
      </c>
      <c r="O12" s="88">
        <v>45</v>
      </c>
      <c r="P12" s="92"/>
      <c r="Q12" s="20">
        <f>J12-P12</f>
        <v>12968</v>
      </c>
      <c r="R12" s="21">
        <v>3011</v>
      </c>
      <c r="S12" s="20">
        <f>IF(R12&gt;0,(R12-R13-$Q12),"")</f>
        <v>-11152</v>
      </c>
      <c r="T12" s="21">
        <v>5374</v>
      </c>
      <c r="U12" s="20">
        <f>IF(T12&gt;0,(T12-T13-$Q12),"")</f>
        <v>-9168</v>
      </c>
      <c r="V12" s="21">
        <v>7769</v>
      </c>
      <c r="W12" s="20">
        <f>IF(V12&gt;0,(V12-V13-$Q12),"")</f>
        <v>-7207</v>
      </c>
      <c r="X12" s="21">
        <v>12271</v>
      </c>
      <c r="Y12" s="20">
        <f>IF(X12&gt;0,(X12-X13-$Q12),"")</f>
        <v>-2734</v>
      </c>
      <c r="Z12" s="21">
        <v>12271</v>
      </c>
      <c r="AA12" s="20">
        <f>IF(Z12&gt;0,(Z12-Z13-$Q12),"")</f>
        <v>-2734</v>
      </c>
      <c r="AB12" s="21">
        <v>12271</v>
      </c>
      <c r="AC12" s="22">
        <f>IF(AB12&gt;0,(AB12-AB13-$Q12),"")</f>
        <v>-2734</v>
      </c>
      <c r="AD12" s="21">
        <v>12271</v>
      </c>
      <c r="AE12" s="22">
        <f>IF(AD12&gt;0,(AD12-AD13-$Q12),"")</f>
        <v>-2734</v>
      </c>
    </row>
    <row r="13" spans="2:42" x14ac:dyDescent="0.3">
      <c r="B13" s="16" t="s">
        <v>36</v>
      </c>
      <c r="C13" s="17">
        <v>4189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1195</v>
      </c>
      <c r="S13" s="24"/>
      <c r="T13" s="30">
        <v>1574</v>
      </c>
      <c r="U13" s="24"/>
      <c r="V13" s="30">
        <v>2008</v>
      </c>
      <c r="W13" s="24"/>
      <c r="X13" s="30">
        <v>2037</v>
      </c>
      <c r="Y13" s="24"/>
      <c r="Z13" s="30">
        <v>2037</v>
      </c>
      <c r="AA13" s="24"/>
      <c r="AB13" s="30">
        <v>2037</v>
      </c>
      <c r="AC13" s="26"/>
      <c r="AD13" s="30">
        <v>2037</v>
      </c>
      <c r="AE13" s="26"/>
    </row>
    <row r="14" spans="2:42" x14ac:dyDescent="0.3">
      <c r="B14" s="16" t="s">
        <v>38</v>
      </c>
      <c r="C14" s="17">
        <v>11916</v>
      </c>
      <c r="E14" s="18" t="s">
        <v>39</v>
      </c>
      <c r="F14" s="119">
        <v>19285</v>
      </c>
      <c r="G14" s="117">
        <v>18910.75</v>
      </c>
      <c r="H14" s="117">
        <v>21929.87458308502</v>
      </c>
      <c r="I14" s="19">
        <f>G14+H14</f>
        <v>40840.624583085024</v>
      </c>
      <c r="J14" s="119">
        <v>19448</v>
      </c>
      <c r="K14" s="117">
        <v>19135</v>
      </c>
      <c r="L14" s="117">
        <v>22027.982164835001</v>
      </c>
      <c r="M14" s="19">
        <f>K14+L14</f>
        <v>41162.982164835004</v>
      </c>
      <c r="N14" s="88">
        <v>56</v>
      </c>
      <c r="O14" s="88">
        <v>48</v>
      </c>
      <c r="P14" s="92"/>
      <c r="Q14" s="20">
        <f>J14-P14</f>
        <v>19448</v>
      </c>
      <c r="R14" s="21">
        <v>5305</v>
      </c>
      <c r="S14" s="20">
        <f>IF(R14&gt;0,(R14-R15-$Q14),"")</f>
        <v>-19026</v>
      </c>
      <c r="T14" s="21">
        <v>8350</v>
      </c>
      <c r="U14" s="20">
        <f>IF(T14&gt;0,(T14-T15-$Q14),"")</f>
        <v>-18313</v>
      </c>
      <c r="V14" s="21">
        <v>10373</v>
      </c>
      <c r="W14" s="20">
        <f>IF(V14&gt;0,(V14-V15-$Q14),"")</f>
        <v>-17417</v>
      </c>
      <c r="X14" s="21">
        <v>11860</v>
      </c>
      <c r="Y14" s="20">
        <f>IF(X14&gt;0,(X14-X15-$Q14),"")</f>
        <v>-16478</v>
      </c>
      <c r="Z14" s="21">
        <v>13340</v>
      </c>
      <c r="AA14" s="20">
        <f>IF(Z14&gt;0,(Z14-Z15-$Q14),"")</f>
        <v>-14998</v>
      </c>
      <c r="AB14" s="21">
        <v>13340</v>
      </c>
      <c r="AC14" s="22">
        <f>IF(AB14&gt;0,(AB14-AB15-$Q14),"")</f>
        <v>-14998</v>
      </c>
      <c r="AD14" s="21">
        <v>13340</v>
      </c>
      <c r="AE14" s="22">
        <f>IF(AD14&gt;0,(AD14-AD15-$Q14),"")</f>
        <v>-14998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8</v>
      </c>
      <c r="P15" s="93" t="s">
        <v>41</v>
      </c>
      <c r="Q15" s="24"/>
      <c r="R15" s="25">
        <v>4883</v>
      </c>
      <c r="S15" s="24"/>
      <c r="T15" s="25">
        <v>7215</v>
      </c>
      <c r="U15" s="24"/>
      <c r="V15" s="25">
        <v>8342</v>
      </c>
      <c r="W15" s="24"/>
      <c r="X15" s="25">
        <v>8890</v>
      </c>
      <c r="Y15" s="24"/>
      <c r="Z15" s="25">
        <v>8890</v>
      </c>
      <c r="AA15" s="24"/>
      <c r="AB15" s="25">
        <v>8890</v>
      </c>
      <c r="AC15" s="26"/>
      <c r="AD15" s="25">
        <v>8890</v>
      </c>
      <c r="AE15" s="26"/>
    </row>
    <row r="16" spans="2:42" ht="15" customHeight="1" thickBot="1" x14ac:dyDescent="0.35">
      <c r="B16" s="28" t="s">
        <v>42</v>
      </c>
      <c r="C16" s="17">
        <v>12256</v>
      </c>
      <c r="E16" s="84"/>
      <c r="F16" s="31">
        <f t="shared" ref="F16:M16" si="0">SUM(F6:F15)</f>
        <v>71876</v>
      </c>
      <c r="G16" s="31">
        <f t="shared" si="0"/>
        <v>59396.489312499987</v>
      </c>
      <c r="H16" s="31">
        <f t="shared" si="0"/>
        <v>53887.843887685012</v>
      </c>
      <c r="I16" s="32">
        <f t="shared" si="0"/>
        <v>113284.33320018499</v>
      </c>
      <c r="J16" s="33">
        <f t="shared" si="0"/>
        <v>75560</v>
      </c>
      <c r="K16" s="33">
        <f t="shared" si="0"/>
        <v>61189.476437500001</v>
      </c>
      <c r="L16" s="33">
        <f t="shared" si="0"/>
        <v>54087.340812985</v>
      </c>
      <c r="M16" s="33">
        <f t="shared" si="0"/>
        <v>115276.81725048501</v>
      </c>
      <c r="N16" s="31">
        <f>SUM(N14,N12,N10,N8,N6)</f>
        <v>253</v>
      </c>
      <c r="O16" s="31">
        <f>SUM(O14,O12,O10,O8,O6)</f>
        <v>157</v>
      </c>
      <c r="P16" s="34">
        <f>SUM(P6:P15)</f>
        <v>0</v>
      </c>
      <c r="Q16" s="34">
        <f>SUM(Q6:Q15)</f>
        <v>75560</v>
      </c>
      <c r="R16" s="35">
        <f>R6+R8+R10+R12+R14-R7-R9-R11-R13-R15</f>
        <v>9119</v>
      </c>
      <c r="S16" s="36">
        <f>IF(R16&gt;1,(R16-$Q16),"")</f>
        <v>-66441</v>
      </c>
      <c r="T16" s="35">
        <f>T6+T8+T10+T12+T14-T7-T9-T11-T13-T15</f>
        <v>16466</v>
      </c>
      <c r="U16" s="36">
        <f>IF(T16&gt;1,(T16-$Q16),"")</f>
        <v>-59094</v>
      </c>
      <c r="V16" s="35">
        <f>V6+V8+V10+V12+V14-V7-V9-V11-V13-V15</f>
        <v>25528</v>
      </c>
      <c r="W16" s="36">
        <f>IF(V16&gt;1,(V16-$Q16),"")</f>
        <v>-50032</v>
      </c>
      <c r="X16" s="35">
        <f>X6+X8+X10+X12+X14-X7-X9-X11-X13-X15</f>
        <v>48209</v>
      </c>
      <c r="Y16" s="36">
        <f>IF(X16&gt;1,(X16-$Q16),"")</f>
        <v>-27351</v>
      </c>
      <c r="Z16" s="35">
        <f>Z6+Z8+Z10+Z12+Z14-Z7-Z9-Z11-Z13-Z15</f>
        <v>52776</v>
      </c>
      <c r="AA16" s="36">
        <f>IF(Z16&gt;1,(Z16-$Q16),"")</f>
        <v>-22784</v>
      </c>
      <c r="AB16" s="35">
        <f>AB6+AB8+AB10+AB12+AB14-AB7-AB9-AB11-AB13-AB15</f>
        <v>52776</v>
      </c>
      <c r="AC16" s="37">
        <f>IF(AB16&gt;1,(AB16-$Q16),"")</f>
        <v>-22784</v>
      </c>
      <c r="AD16" s="35">
        <f>AD6+AD8+AD10+AD12+AD14-AD7-AD9-AD11-AD13-AD15</f>
        <v>52776</v>
      </c>
      <c r="AE16" s="37">
        <f>IF(AD16&gt;1,(AD16-$Q16),"")</f>
        <v>-22784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 t="e">
        <f>SUM(O15,O13,O11,O9,O7)</f>
        <v>#VALUE!</v>
      </c>
      <c r="P17" s="38" t="s">
        <v>44</v>
      </c>
      <c r="Q17" s="39"/>
      <c r="R17" s="40">
        <f>R15+R13+R11+R9+R7</f>
        <v>6969</v>
      </c>
      <c r="S17" s="41"/>
      <c r="T17" s="40">
        <f>T15+T13+T11+T9+T7</f>
        <v>10601</v>
      </c>
      <c r="U17" s="41"/>
      <c r="V17" s="40">
        <f>V15+V13+V11+V9+V7</f>
        <v>12731</v>
      </c>
      <c r="W17" s="41"/>
      <c r="X17" s="40">
        <f>X15+X13+X11+X9+X7</f>
        <v>14451</v>
      </c>
      <c r="Y17" s="41"/>
      <c r="Z17" s="40">
        <f>Z15+Z13+Z11+Z9+Z7</f>
        <v>14457</v>
      </c>
      <c r="AA17" s="41"/>
      <c r="AB17" s="40">
        <f>AB15+AB13+AB11+AB9+AB7</f>
        <v>14457</v>
      </c>
      <c r="AC17" s="42"/>
      <c r="AD17" s="40">
        <f>AD15+AD13+AD11+AD9+AD7</f>
        <v>14457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4559.5</v>
      </c>
      <c r="S18" s="46"/>
      <c r="T18" s="47">
        <f>IF(T16&gt;0,(T16-R16)/2,"")</f>
        <v>3673.5</v>
      </c>
      <c r="U18" s="46"/>
      <c r="V18" s="47">
        <f>IF(V16&gt;0,(V16-T16)/2,"")</f>
        <v>4531</v>
      </c>
      <c r="W18" s="46"/>
      <c r="X18" s="47">
        <f>IF(X16&gt;0,(X16-V16)/2,"")</f>
        <v>11340.5</v>
      </c>
      <c r="Y18" s="46"/>
      <c r="Z18" s="47">
        <f>IF(Z16&gt;0,(Z16-X16)/2,"")</f>
        <v>2283.5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8070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985</v>
      </c>
      <c r="L20" s="4"/>
      <c r="M20" s="4"/>
      <c r="Q20" s="51" t="s">
        <v>49</v>
      </c>
      <c r="R20" s="35">
        <v>12914</v>
      </c>
      <c r="S20" s="36">
        <v>-79489</v>
      </c>
      <c r="T20" s="35">
        <v>25079</v>
      </c>
      <c r="U20" s="36">
        <v>-67324</v>
      </c>
      <c r="V20" s="35">
        <v>40490</v>
      </c>
      <c r="W20" s="36">
        <v>-51913</v>
      </c>
      <c r="X20" s="35">
        <v>55040</v>
      </c>
      <c r="Y20" s="36">
        <v>-37363</v>
      </c>
      <c r="Z20" s="35">
        <v>62731.179999999993</v>
      </c>
      <c r="AA20" s="36">
        <v>-29671.820000000011</v>
      </c>
      <c r="AB20" s="35">
        <v>63032.179999999993</v>
      </c>
      <c r="AC20" s="37">
        <v>-29370.820000000011</v>
      </c>
      <c r="AD20" s="35">
        <v>63032.179999999993</v>
      </c>
      <c r="AE20" s="37">
        <v>-29370.820000000011</v>
      </c>
    </row>
    <row r="21" spans="2:43" ht="15" customHeight="1" thickBot="1" x14ac:dyDescent="0.35">
      <c r="B21" s="57" t="s">
        <v>52</v>
      </c>
      <c r="C21" s="58">
        <v>4171</v>
      </c>
      <c r="M21" s="4"/>
      <c r="Q21" s="52"/>
      <c r="R21" s="40">
        <v>5621</v>
      </c>
      <c r="S21" s="41"/>
      <c r="T21" s="40">
        <v>9912</v>
      </c>
      <c r="U21" s="41"/>
      <c r="V21" s="40">
        <v>11641</v>
      </c>
      <c r="W21" s="41"/>
      <c r="X21" s="40">
        <v>13064</v>
      </c>
      <c r="Y21" s="41"/>
      <c r="Z21" s="40">
        <v>13511</v>
      </c>
      <c r="AA21" s="41"/>
      <c r="AB21" s="40">
        <v>13511</v>
      </c>
      <c r="AC21" s="42"/>
      <c r="AD21" s="40">
        <v>13511</v>
      </c>
      <c r="AE21" s="42"/>
    </row>
    <row r="22" spans="2:43" ht="15" customHeight="1" thickBot="1" x14ac:dyDescent="0.35">
      <c r="M22" s="4"/>
      <c r="Q22" s="54"/>
      <c r="R22" s="55">
        <v>6457</v>
      </c>
      <c r="S22" s="55"/>
      <c r="T22" s="55">
        <v>6082.5</v>
      </c>
      <c r="U22" s="55"/>
      <c r="V22" s="55">
        <v>7705.5</v>
      </c>
      <c r="W22" s="55"/>
      <c r="X22" s="55">
        <v>7275</v>
      </c>
      <c r="Y22" s="55"/>
      <c r="Z22" s="55">
        <v>3845.589999999997</v>
      </c>
      <c r="AA22" s="55"/>
      <c r="AB22" s="55">
        <v>150.5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-3795</v>
      </c>
      <c r="S24" s="60"/>
      <c r="T24" s="60">
        <f>IF(T16&gt;0,T16-T20,"")</f>
        <v>-8613</v>
      </c>
      <c r="U24" s="60"/>
      <c r="V24" s="60">
        <f>IF(V16&gt;0,V16-V20,"")</f>
        <v>-14962</v>
      </c>
      <c r="W24" s="60"/>
      <c r="X24" s="60">
        <f>IF(X16&gt;0,X16-X20,"")</f>
        <v>-6831</v>
      </c>
      <c r="Y24" s="60"/>
      <c r="Z24" s="60">
        <f>IF(Z16&gt;0,Z16-Z20,"")</f>
        <v>-9955.179999999993</v>
      </c>
      <c r="AA24" s="60"/>
      <c r="AB24" s="60">
        <f>IF(AB16&gt;0,AB16-AB20,"")</f>
        <v>-10256.179999999993</v>
      </c>
      <c r="AC24" s="61"/>
      <c r="AD24" s="60">
        <f>IF(AD16&gt;0,AD16-AD20,"")</f>
        <v>-10256.179999999993</v>
      </c>
      <c r="AE24" s="61"/>
    </row>
    <row r="25" spans="2:43" x14ac:dyDescent="0.3">
      <c r="M25" s="4"/>
      <c r="Q25" s="62"/>
      <c r="R25" s="63">
        <f>IF(R17&gt;=0,R17-R21,"")</f>
        <v>1348</v>
      </c>
      <c r="S25" s="64"/>
      <c r="T25" s="63">
        <f>IF(T17&gt;=0,T17-T21,"")</f>
        <v>689</v>
      </c>
      <c r="U25" s="64"/>
      <c r="V25" s="63">
        <f>IF(V17&gt;=0,V17-V21,"")</f>
        <v>1090</v>
      </c>
      <c r="W25" s="64"/>
      <c r="X25" s="63">
        <f>IF(X17&gt;=0,X17-X21,"")</f>
        <v>1387</v>
      </c>
      <c r="Y25" s="64"/>
      <c r="Z25" s="63">
        <f>IF(Z17&gt;=0,Z17-Z21,"")</f>
        <v>946</v>
      </c>
      <c r="AA25" s="64"/>
      <c r="AB25" s="63">
        <f>IF(AB17&gt;=0,AB17-AB21,"")</f>
        <v>946</v>
      </c>
      <c r="AC25" s="65"/>
      <c r="AD25" s="63">
        <f>IF(AD17&gt;=0,AD17-AD21,"")</f>
        <v>946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-1897.5</v>
      </c>
      <c r="S26" s="55"/>
      <c r="T26" s="67">
        <f>IFERROR(IF(T18&gt;0,T18-T22,""),"")</f>
        <v>-2409</v>
      </c>
      <c r="U26" s="55"/>
      <c r="V26" s="67">
        <f>IFERROR(IF(V18&gt;0,V18-V22,""),"")</f>
        <v>-3174.5</v>
      </c>
      <c r="W26" s="55"/>
      <c r="X26" s="67">
        <f>IFERROR(IF(X18&gt;0,X18-X22,""),"")</f>
        <v>4065.5</v>
      </c>
      <c r="Y26" s="55"/>
      <c r="Z26" s="67">
        <f>IFERROR(IF(Z18&gt;0,Z18-Z22,""),"")</f>
        <v>-1562.089999999997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9446</v>
      </c>
      <c r="D29" s="76">
        <f>C14</f>
        <v>11916</v>
      </c>
      <c r="E29" s="77">
        <f>D29-C29</f>
        <v>2470</v>
      </c>
      <c r="O29" s="4"/>
    </row>
    <row r="30" spans="2:43" x14ac:dyDescent="0.3">
      <c r="B30" s="74" t="s">
        <v>56</v>
      </c>
      <c r="C30" s="122">
        <v>29378</v>
      </c>
      <c r="D30" s="76">
        <f>C7+C15+C16+C17+C18</f>
        <v>12682</v>
      </c>
      <c r="E30" s="77">
        <f>D30-C30</f>
        <v>-16696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11085</v>
      </c>
      <c r="D32" s="76">
        <f>C10+C11+C12+C13</f>
        <v>11085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12225</v>
      </c>
      <c r="D33" s="76">
        <f>C19+C20+C21</f>
        <v>13226</v>
      </c>
      <c r="E33" s="77">
        <f>D33-C33</f>
        <v>1001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4628</v>
      </c>
      <c r="D34" s="80">
        <f>SUM(C8+C9)</f>
        <v>4628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1063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275</v>
      </c>
      <c r="V35" s="104">
        <v>550</v>
      </c>
      <c r="W35" s="104">
        <f t="shared" ref="W35:W64" si="3">IF(X35&gt;0,(X35-V35)/2,"")</f>
        <v>256.5</v>
      </c>
      <c r="X35" s="104">
        <v>1063</v>
      </c>
      <c r="Y35" s="104">
        <f t="shared" ref="Y35:Y64" si="4">IF(Z35&gt;0,(Z35-X35)/2,"")</f>
        <v>0</v>
      </c>
      <c r="Z35" s="104">
        <v>1063</v>
      </c>
      <c r="AA35" s="104">
        <f t="shared" ref="AA35:AA64" si="5">IF(AB35&gt;0,(AB35-Z35)/2,"")</f>
        <v>0</v>
      </c>
      <c r="AB35" s="104">
        <v>1063</v>
      </c>
      <c r="AC35" s="104">
        <f t="shared" ref="AC35:AC64" si="6">IF(AD35&gt;0,(AD35-AB35)/2,"")</f>
        <v>0</v>
      </c>
      <c r="AD35" s="104">
        <v>1063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1172</v>
      </c>
      <c r="R36" s="106">
        <v>617</v>
      </c>
      <c r="S36" s="106">
        <f t="shared" si="1"/>
        <v>276</v>
      </c>
      <c r="T36" s="106">
        <v>1169</v>
      </c>
      <c r="U36" s="106">
        <f t="shared" si="2"/>
        <v>1.5</v>
      </c>
      <c r="V36" s="106">
        <v>1172</v>
      </c>
      <c r="W36" s="106">
        <f t="shared" si="3"/>
        <v>0</v>
      </c>
      <c r="X36" s="106">
        <v>1172</v>
      </c>
      <c r="Y36" s="106">
        <f t="shared" si="4"/>
        <v>0</v>
      </c>
      <c r="Z36" s="106">
        <v>1172</v>
      </c>
      <c r="AA36" s="106">
        <f t="shared" si="5"/>
        <v>0</v>
      </c>
      <c r="AB36" s="106">
        <v>1172</v>
      </c>
      <c r="AC36" s="106">
        <f t="shared" si="6"/>
        <v>0</v>
      </c>
      <c r="AD36" s="106">
        <v>1172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3761</v>
      </c>
      <c r="R37" s="108">
        <v>762</v>
      </c>
      <c r="S37" s="108">
        <f t="shared" si="1"/>
        <v>0</v>
      </c>
      <c r="T37" s="108">
        <v>762</v>
      </c>
      <c r="U37" s="108">
        <f t="shared" si="2"/>
        <v>448.5</v>
      </c>
      <c r="V37" s="108">
        <v>1659</v>
      </c>
      <c r="W37" s="108">
        <f t="shared" si="3"/>
        <v>429.5</v>
      </c>
      <c r="X37" s="108">
        <v>2518</v>
      </c>
      <c r="Y37" s="108">
        <f t="shared" si="4"/>
        <v>623</v>
      </c>
      <c r="Z37" s="108">
        <v>3764</v>
      </c>
      <c r="AA37" s="108">
        <f t="shared" si="5"/>
        <v>0</v>
      </c>
      <c r="AB37" s="108">
        <v>3764</v>
      </c>
      <c r="AC37" s="108">
        <f t="shared" si="6"/>
        <v>0</v>
      </c>
      <c r="AD37" s="108">
        <v>3764</v>
      </c>
      <c r="AE37" s="109">
        <f t="shared" si="7"/>
        <v>3</v>
      </c>
    </row>
    <row r="38" spans="2:31" ht="15.6" customHeight="1" x14ac:dyDescent="0.3">
      <c r="N38" s="212"/>
      <c r="O38" s="95" t="s">
        <v>68</v>
      </c>
      <c r="P38" s="106"/>
      <c r="Q38" s="106">
        <v>3463</v>
      </c>
      <c r="R38" s="106">
        <v>751</v>
      </c>
      <c r="S38" s="106">
        <f t="shared" si="1"/>
        <v>2</v>
      </c>
      <c r="T38" s="106">
        <v>755</v>
      </c>
      <c r="U38" s="106">
        <f t="shared" si="2"/>
        <v>655.5</v>
      </c>
      <c r="V38" s="106">
        <v>2066</v>
      </c>
      <c r="W38" s="106">
        <f t="shared" si="3"/>
        <v>536.5</v>
      </c>
      <c r="X38" s="106">
        <v>3139</v>
      </c>
      <c r="Y38" s="106">
        <f t="shared" si="4"/>
        <v>162.5</v>
      </c>
      <c r="Z38" s="106">
        <v>3464</v>
      </c>
      <c r="AA38" s="106">
        <f t="shared" si="5"/>
        <v>0</v>
      </c>
      <c r="AB38" s="106">
        <v>3464</v>
      </c>
      <c r="AC38" s="106">
        <f t="shared" si="6"/>
        <v>0</v>
      </c>
      <c r="AD38" s="106">
        <v>3464</v>
      </c>
      <c r="AE38" s="107">
        <f t="shared" si="7"/>
        <v>1</v>
      </c>
    </row>
    <row r="39" spans="2:31" ht="15.6" customHeight="1" x14ac:dyDescent="0.3">
      <c r="N39" s="212"/>
      <c r="O39" s="94" t="s">
        <v>69</v>
      </c>
      <c r="P39" s="108"/>
      <c r="Q39" s="108">
        <v>2722</v>
      </c>
      <c r="R39" s="108">
        <v>815</v>
      </c>
      <c r="S39" s="108">
        <f t="shared" si="1"/>
        <v>0</v>
      </c>
      <c r="T39" s="108">
        <v>815</v>
      </c>
      <c r="U39" s="108">
        <f t="shared" si="2"/>
        <v>279</v>
      </c>
      <c r="V39" s="108">
        <v>1373</v>
      </c>
      <c r="W39" s="108">
        <f t="shared" si="3"/>
        <v>432.5</v>
      </c>
      <c r="X39" s="108">
        <v>2238</v>
      </c>
      <c r="Y39" s="108">
        <f t="shared" si="4"/>
        <v>206</v>
      </c>
      <c r="Z39" s="108">
        <v>2650</v>
      </c>
      <c r="AA39" s="108">
        <f t="shared" si="5"/>
        <v>0</v>
      </c>
      <c r="AB39" s="108">
        <v>2650</v>
      </c>
      <c r="AC39" s="108">
        <f t="shared" si="6"/>
        <v>0</v>
      </c>
      <c r="AD39" s="108">
        <v>2650</v>
      </c>
      <c r="AE39" s="109">
        <f t="shared" si="7"/>
        <v>-72</v>
      </c>
    </row>
    <row r="40" spans="2:31" ht="15.6" customHeight="1" x14ac:dyDescent="0.3">
      <c r="N40" s="212"/>
      <c r="O40" s="95" t="s">
        <v>70</v>
      </c>
      <c r="P40" s="106"/>
      <c r="Q40" s="106">
        <v>3608</v>
      </c>
      <c r="R40" s="106">
        <v>965</v>
      </c>
      <c r="S40" s="106">
        <f t="shared" si="1"/>
        <v>356.5</v>
      </c>
      <c r="T40" s="106">
        <v>1678</v>
      </c>
      <c r="U40" s="106">
        <f t="shared" si="2"/>
        <v>344</v>
      </c>
      <c r="V40" s="106">
        <v>2366</v>
      </c>
      <c r="W40" s="106">
        <f t="shared" si="3"/>
        <v>283.5</v>
      </c>
      <c r="X40" s="106">
        <v>2933</v>
      </c>
      <c r="Y40" s="106">
        <f t="shared" si="4"/>
        <v>444.5</v>
      </c>
      <c r="Z40" s="106">
        <v>3822</v>
      </c>
      <c r="AA40" s="106">
        <f t="shared" si="5"/>
        <v>0</v>
      </c>
      <c r="AB40" s="106">
        <v>3822</v>
      </c>
      <c r="AC40" s="106">
        <f t="shared" si="6"/>
        <v>0</v>
      </c>
      <c r="AD40" s="106">
        <v>3822</v>
      </c>
      <c r="AE40" s="107">
        <f t="shared" si="7"/>
        <v>214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1848</v>
      </c>
      <c r="R42" s="106">
        <v>716</v>
      </c>
      <c r="S42" s="106">
        <f t="shared" si="1"/>
        <v>246.5</v>
      </c>
      <c r="T42" s="106">
        <v>1209</v>
      </c>
      <c r="U42" s="106">
        <f t="shared" si="2"/>
        <v>235</v>
      </c>
      <c r="V42" s="106">
        <v>1679</v>
      </c>
      <c r="W42" s="106">
        <f t="shared" si="3"/>
        <v>0</v>
      </c>
      <c r="X42" s="106">
        <v>1679</v>
      </c>
      <c r="Y42" s="106">
        <f t="shared" si="4"/>
        <v>69</v>
      </c>
      <c r="Z42" s="106">
        <v>1817</v>
      </c>
      <c r="AA42" s="106">
        <f t="shared" si="5"/>
        <v>0</v>
      </c>
      <c r="AB42" s="106">
        <v>1817</v>
      </c>
      <c r="AC42" s="106">
        <f t="shared" si="6"/>
        <v>0</v>
      </c>
      <c r="AD42" s="106">
        <v>1817</v>
      </c>
      <c r="AE42" s="107">
        <f t="shared" si="7"/>
        <v>-31</v>
      </c>
    </row>
    <row r="43" spans="2:31" ht="15.6" customHeight="1" thickBot="1" x14ac:dyDescent="0.35">
      <c r="N43" s="213"/>
      <c r="O43" s="97" t="s">
        <v>73</v>
      </c>
      <c r="P43" s="110"/>
      <c r="Q43" s="110">
        <v>1732</v>
      </c>
      <c r="R43" s="110">
        <v>351</v>
      </c>
      <c r="S43" s="110">
        <f t="shared" si="1"/>
        <v>289.5</v>
      </c>
      <c r="T43" s="110">
        <v>930</v>
      </c>
      <c r="U43" s="110">
        <f t="shared" si="2"/>
        <v>194.5</v>
      </c>
      <c r="V43" s="110">
        <v>1319</v>
      </c>
      <c r="W43" s="110">
        <f t="shared" si="3"/>
        <v>198.5</v>
      </c>
      <c r="X43" s="110">
        <v>1716</v>
      </c>
      <c r="Y43" s="110">
        <f t="shared" si="4"/>
        <v>0</v>
      </c>
      <c r="Z43" s="110">
        <v>1716</v>
      </c>
      <c r="AA43" s="110">
        <f t="shared" si="5"/>
        <v>0</v>
      </c>
      <c r="AB43" s="110">
        <v>1716</v>
      </c>
      <c r="AC43" s="110">
        <f t="shared" si="6"/>
        <v>0</v>
      </c>
      <c r="AD43" s="110">
        <v>1716</v>
      </c>
      <c r="AE43" s="111">
        <f t="shared" si="7"/>
        <v>-16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2699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1349.5</v>
      </c>
      <c r="X44" s="112">
        <v>2699</v>
      </c>
      <c r="Y44" s="112">
        <f t="shared" si="4"/>
        <v>0</v>
      </c>
      <c r="Z44" s="112">
        <v>2699</v>
      </c>
      <c r="AA44" s="112">
        <f t="shared" si="5"/>
        <v>0</v>
      </c>
      <c r="AB44" s="112">
        <v>2699</v>
      </c>
      <c r="AC44" s="112">
        <f t="shared" si="6"/>
        <v>0</v>
      </c>
      <c r="AD44" s="112">
        <v>2699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2196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1098</v>
      </c>
      <c r="X45" s="108">
        <v>2196</v>
      </c>
      <c r="Y45" s="108">
        <f t="shared" si="4"/>
        <v>0</v>
      </c>
      <c r="Z45" s="108">
        <v>2196</v>
      </c>
      <c r="AA45" s="108">
        <f t="shared" si="5"/>
        <v>0</v>
      </c>
      <c r="AB45" s="108">
        <v>2196</v>
      </c>
      <c r="AC45" s="108">
        <f t="shared" si="6"/>
        <v>0</v>
      </c>
      <c r="AD45" s="108">
        <v>2196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2472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1236</v>
      </c>
      <c r="X46" s="106">
        <v>2472</v>
      </c>
      <c r="Y46" s="106">
        <f t="shared" si="4"/>
        <v>0</v>
      </c>
      <c r="Z46" s="106">
        <v>2472</v>
      </c>
      <c r="AA46" s="106">
        <f t="shared" si="5"/>
        <v>0</v>
      </c>
      <c r="AB46" s="106">
        <v>2472</v>
      </c>
      <c r="AC46" s="106">
        <f t="shared" si="6"/>
        <v>0</v>
      </c>
      <c r="AD46" s="106">
        <v>2472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2716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1358</v>
      </c>
      <c r="X47" s="110">
        <v>2716</v>
      </c>
      <c r="Y47" s="110">
        <f t="shared" si="4"/>
        <v>0</v>
      </c>
      <c r="Z47" s="110">
        <v>2716</v>
      </c>
      <c r="AA47" s="110">
        <f t="shared" si="5"/>
        <v>0</v>
      </c>
      <c r="AB47" s="110">
        <v>2716</v>
      </c>
      <c r="AC47" s="110">
        <f t="shared" si="6"/>
        <v>0</v>
      </c>
      <c r="AD47" s="110">
        <v>2716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384</v>
      </c>
      <c r="R48" s="112">
        <v>18</v>
      </c>
      <c r="S48" s="112">
        <f t="shared" si="1"/>
        <v>0</v>
      </c>
      <c r="T48" s="112">
        <v>18</v>
      </c>
      <c r="U48" s="112">
        <f t="shared" si="2"/>
        <v>2.5</v>
      </c>
      <c r="V48" s="112">
        <v>23</v>
      </c>
      <c r="W48" s="112">
        <f t="shared" si="3"/>
        <v>140</v>
      </c>
      <c r="X48" s="112">
        <v>303</v>
      </c>
      <c r="Y48" s="112">
        <f t="shared" si="4"/>
        <v>0</v>
      </c>
      <c r="Z48" s="112">
        <v>303</v>
      </c>
      <c r="AA48" s="112">
        <f t="shared" si="5"/>
        <v>0</v>
      </c>
      <c r="AB48" s="112">
        <v>303</v>
      </c>
      <c r="AC48" s="112">
        <f t="shared" si="6"/>
        <v>0</v>
      </c>
      <c r="AD48" s="112">
        <v>303</v>
      </c>
      <c r="AE48" s="113">
        <f t="shared" si="7"/>
        <v>-81</v>
      </c>
    </row>
    <row r="49" spans="14:31" ht="15.6" customHeight="1" x14ac:dyDescent="0.3">
      <c r="N49" s="212"/>
      <c r="O49" s="94" t="s">
        <v>66</v>
      </c>
      <c r="P49" s="108"/>
      <c r="Q49" s="108">
        <v>401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159.5</v>
      </c>
      <c r="V49" s="108">
        <v>319</v>
      </c>
      <c r="W49" s="108">
        <f t="shared" si="3"/>
        <v>41</v>
      </c>
      <c r="X49" s="108">
        <v>401</v>
      </c>
      <c r="Y49" s="108">
        <f t="shared" si="4"/>
        <v>0</v>
      </c>
      <c r="Z49" s="108">
        <v>401</v>
      </c>
      <c r="AA49" s="108">
        <f t="shared" si="5"/>
        <v>0</v>
      </c>
      <c r="AB49" s="108">
        <v>401</v>
      </c>
      <c r="AC49" s="108">
        <f t="shared" si="6"/>
        <v>0</v>
      </c>
      <c r="AD49" s="108">
        <v>401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1688</v>
      </c>
      <c r="R50" s="106">
        <v>633</v>
      </c>
      <c r="S50" s="106">
        <f t="shared" si="1"/>
        <v>49.5</v>
      </c>
      <c r="T50" s="106">
        <v>732</v>
      </c>
      <c r="U50" s="106">
        <f t="shared" si="2"/>
        <v>80</v>
      </c>
      <c r="V50" s="106">
        <v>892</v>
      </c>
      <c r="W50" s="106">
        <f t="shared" si="3"/>
        <v>264.5</v>
      </c>
      <c r="X50" s="106">
        <v>1421</v>
      </c>
      <c r="Y50" s="106">
        <f t="shared" si="4"/>
        <v>0</v>
      </c>
      <c r="Z50" s="106">
        <v>1421</v>
      </c>
      <c r="AA50" s="106">
        <f t="shared" si="5"/>
        <v>0</v>
      </c>
      <c r="AB50" s="106">
        <v>1421</v>
      </c>
      <c r="AC50" s="106">
        <f t="shared" si="6"/>
        <v>0</v>
      </c>
      <c r="AD50" s="106">
        <v>1421</v>
      </c>
      <c r="AE50" s="107">
        <f t="shared" si="7"/>
        <v>-267</v>
      </c>
    </row>
    <row r="51" spans="14:31" ht="15.6" customHeight="1" x14ac:dyDescent="0.3">
      <c r="N51" s="212"/>
      <c r="O51" s="94" t="s">
        <v>68</v>
      </c>
      <c r="P51" s="108"/>
      <c r="Q51" s="108">
        <v>1833</v>
      </c>
      <c r="R51" s="108">
        <v>338</v>
      </c>
      <c r="S51" s="108">
        <f t="shared" si="1"/>
        <v>390</v>
      </c>
      <c r="T51" s="108">
        <v>1118</v>
      </c>
      <c r="U51" s="108">
        <f t="shared" si="2"/>
        <v>3</v>
      </c>
      <c r="V51" s="108">
        <v>1124</v>
      </c>
      <c r="W51" s="108">
        <f t="shared" si="3"/>
        <v>288.5</v>
      </c>
      <c r="X51" s="108">
        <v>1701</v>
      </c>
      <c r="Y51" s="108">
        <f t="shared" si="4"/>
        <v>0</v>
      </c>
      <c r="Z51" s="108">
        <v>1701</v>
      </c>
      <c r="AA51" s="108">
        <f t="shared" si="5"/>
        <v>0</v>
      </c>
      <c r="AB51" s="108">
        <v>1701</v>
      </c>
      <c r="AC51" s="108">
        <f t="shared" si="6"/>
        <v>0</v>
      </c>
      <c r="AD51" s="108">
        <v>1701</v>
      </c>
      <c r="AE51" s="109">
        <f t="shared" si="7"/>
        <v>-132</v>
      </c>
    </row>
    <row r="52" spans="14:31" ht="15.6" customHeight="1" x14ac:dyDescent="0.3">
      <c r="N52" s="212"/>
      <c r="O52" s="95" t="s">
        <v>69</v>
      </c>
      <c r="P52" s="106"/>
      <c r="Q52" s="106">
        <v>2435</v>
      </c>
      <c r="R52" s="106">
        <v>0</v>
      </c>
      <c r="S52" s="106">
        <f t="shared" si="1"/>
        <v>671.5</v>
      </c>
      <c r="T52" s="106">
        <v>1343</v>
      </c>
      <c r="U52" s="106">
        <f t="shared" si="2"/>
        <v>99</v>
      </c>
      <c r="V52" s="106">
        <v>1541</v>
      </c>
      <c r="W52" s="106">
        <f t="shared" si="3"/>
        <v>270.5</v>
      </c>
      <c r="X52" s="106">
        <v>2082</v>
      </c>
      <c r="Y52" s="106">
        <f t="shared" si="4"/>
        <v>0</v>
      </c>
      <c r="Z52" s="106">
        <v>2082</v>
      </c>
      <c r="AA52" s="106">
        <f t="shared" si="5"/>
        <v>0</v>
      </c>
      <c r="AB52" s="106">
        <v>2082</v>
      </c>
      <c r="AC52" s="106">
        <f t="shared" si="6"/>
        <v>0</v>
      </c>
      <c r="AD52" s="106">
        <v>2082</v>
      </c>
      <c r="AE52" s="107">
        <f t="shared" si="7"/>
        <v>-353</v>
      </c>
    </row>
    <row r="53" spans="14:31" ht="15.6" customHeight="1" x14ac:dyDescent="0.3">
      <c r="N53" s="212"/>
      <c r="O53" s="94" t="s">
        <v>70</v>
      </c>
      <c r="P53" s="108"/>
      <c r="Q53" s="108">
        <v>1349</v>
      </c>
      <c r="R53" s="108">
        <v>666</v>
      </c>
      <c r="S53" s="108">
        <f t="shared" si="1"/>
        <v>179.5</v>
      </c>
      <c r="T53" s="108">
        <v>1025</v>
      </c>
      <c r="U53" s="108">
        <f t="shared" si="2"/>
        <v>53</v>
      </c>
      <c r="V53" s="108">
        <v>1131</v>
      </c>
      <c r="W53" s="108">
        <f t="shared" si="3"/>
        <v>3.5</v>
      </c>
      <c r="X53" s="108">
        <v>1138</v>
      </c>
      <c r="Y53" s="108">
        <f t="shared" si="4"/>
        <v>0</v>
      </c>
      <c r="Z53" s="108">
        <v>1138</v>
      </c>
      <c r="AA53" s="108">
        <f t="shared" si="5"/>
        <v>0</v>
      </c>
      <c r="AB53" s="108">
        <v>1138</v>
      </c>
      <c r="AC53" s="108">
        <f t="shared" si="6"/>
        <v>0</v>
      </c>
      <c r="AD53" s="108">
        <v>1138</v>
      </c>
      <c r="AE53" s="109">
        <f t="shared" si="7"/>
        <v>-211</v>
      </c>
    </row>
    <row r="54" spans="14:31" ht="15.6" customHeight="1" x14ac:dyDescent="0.3">
      <c r="N54" s="212"/>
      <c r="O54" s="95" t="s">
        <v>71</v>
      </c>
      <c r="P54" s="106"/>
      <c r="Q54" s="106">
        <v>3626</v>
      </c>
      <c r="R54" s="106">
        <v>1000</v>
      </c>
      <c r="S54" s="106">
        <f t="shared" si="1"/>
        <v>298.5</v>
      </c>
      <c r="T54" s="106">
        <v>1597</v>
      </c>
      <c r="U54" s="106">
        <f t="shared" si="2"/>
        <v>155</v>
      </c>
      <c r="V54" s="106">
        <v>1907</v>
      </c>
      <c r="W54" s="106">
        <f t="shared" si="3"/>
        <v>859.5</v>
      </c>
      <c r="X54" s="106">
        <v>3626</v>
      </c>
      <c r="Y54" s="106">
        <f t="shared" si="4"/>
        <v>0</v>
      </c>
      <c r="Z54" s="106">
        <v>3626</v>
      </c>
      <c r="AA54" s="106">
        <f t="shared" si="5"/>
        <v>0</v>
      </c>
      <c r="AB54" s="106">
        <v>3626</v>
      </c>
      <c r="AC54" s="106">
        <f t="shared" si="6"/>
        <v>0</v>
      </c>
      <c r="AD54" s="106">
        <v>3626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208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104</v>
      </c>
      <c r="X55" s="108">
        <v>208</v>
      </c>
      <c r="Y55" s="108">
        <f t="shared" si="4"/>
        <v>0</v>
      </c>
      <c r="Z55" s="108">
        <v>208</v>
      </c>
      <c r="AA55" s="108">
        <f t="shared" si="5"/>
        <v>0</v>
      </c>
      <c r="AB55" s="108">
        <v>208</v>
      </c>
      <c r="AC55" s="108">
        <f t="shared" si="6"/>
        <v>0</v>
      </c>
      <c r="AD55" s="108">
        <v>208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1293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335.5</v>
      </c>
      <c r="V56" s="114">
        <v>671</v>
      </c>
      <c r="W56" s="114">
        <f t="shared" si="3"/>
        <v>6.5</v>
      </c>
      <c r="X56" s="114">
        <v>684</v>
      </c>
      <c r="Y56" s="114">
        <f t="shared" si="4"/>
        <v>0</v>
      </c>
      <c r="Z56" s="114">
        <v>684</v>
      </c>
      <c r="AA56" s="114">
        <f t="shared" si="5"/>
        <v>0</v>
      </c>
      <c r="AB56" s="114">
        <v>684</v>
      </c>
      <c r="AC56" s="114">
        <f t="shared" si="6"/>
        <v>0</v>
      </c>
      <c r="AD56" s="114">
        <v>684</v>
      </c>
      <c r="AE56" s="115">
        <f t="shared" si="7"/>
        <v>-609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2586</v>
      </c>
      <c r="R57" s="104">
        <v>674</v>
      </c>
      <c r="S57" s="104">
        <f t="shared" si="1"/>
        <v>126</v>
      </c>
      <c r="T57" s="104">
        <v>926</v>
      </c>
      <c r="U57" s="104">
        <f t="shared" si="2"/>
        <v>207.5</v>
      </c>
      <c r="V57" s="104">
        <v>1341</v>
      </c>
      <c r="W57" s="104">
        <f t="shared" si="3"/>
        <v>207</v>
      </c>
      <c r="X57" s="104">
        <v>1755</v>
      </c>
      <c r="Y57" s="104">
        <f t="shared" si="4"/>
        <v>0</v>
      </c>
      <c r="Z57" s="104">
        <v>1755</v>
      </c>
      <c r="AA57" s="104">
        <f t="shared" si="5"/>
        <v>0</v>
      </c>
      <c r="AB57" s="104">
        <v>1755</v>
      </c>
      <c r="AC57" s="104">
        <f t="shared" si="6"/>
        <v>0</v>
      </c>
      <c r="AD57" s="104">
        <v>1755</v>
      </c>
      <c r="AE57" s="105">
        <f t="shared" si="7"/>
        <v>-831</v>
      </c>
    </row>
    <row r="58" spans="14:31" ht="15.6" customHeight="1" x14ac:dyDescent="0.3">
      <c r="N58" s="212"/>
      <c r="O58" s="95" t="s">
        <v>66</v>
      </c>
      <c r="P58" s="106"/>
      <c r="Q58" s="106">
        <v>3134</v>
      </c>
      <c r="R58" s="106">
        <v>589</v>
      </c>
      <c r="S58" s="106">
        <f t="shared" si="1"/>
        <v>280.5</v>
      </c>
      <c r="T58" s="106">
        <v>1150</v>
      </c>
      <c r="U58" s="106">
        <f t="shared" si="2"/>
        <v>303</v>
      </c>
      <c r="V58" s="106">
        <v>1756</v>
      </c>
      <c r="W58" s="106">
        <f t="shared" si="3"/>
        <v>700</v>
      </c>
      <c r="X58" s="106">
        <v>3156</v>
      </c>
      <c r="Y58" s="106">
        <f t="shared" si="4"/>
        <v>0</v>
      </c>
      <c r="Z58" s="106">
        <v>3156</v>
      </c>
      <c r="AA58" s="106">
        <f t="shared" si="5"/>
        <v>0</v>
      </c>
      <c r="AB58" s="106">
        <v>3156</v>
      </c>
      <c r="AC58" s="106">
        <f t="shared" si="6"/>
        <v>0</v>
      </c>
      <c r="AD58" s="106">
        <v>3156</v>
      </c>
      <c r="AE58" s="107">
        <f t="shared" si="7"/>
        <v>22</v>
      </c>
    </row>
    <row r="59" spans="14:31" ht="15.6" customHeight="1" x14ac:dyDescent="0.3">
      <c r="N59" s="212"/>
      <c r="O59" s="94" t="s">
        <v>67</v>
      </c>
      <c r="P59" s="108"/>
      <c r="Q59" s="108">
        <v>3027</v>
      </c>
      <c r="R59" s="108">
        <v>891</v>
      </c>
      <c r="S59" s="108">
        <f t="shared" si="1"/>
        <v>331</v>
      </c>
      <c r="T59" s="108">
        <v>1553</v>
      </c>
      <c r="U59" s="108">
        <f t="shared" si="2"/>
        <v>247.5</v>
      </c>
      <c r="V59" s="108">
        <v>2048</v>
      </c>
      <c r="W59" s="108">
        <f t="shared" si="3"/>
        <v>541</v>
      </c>
      <c r="X59" s="108">
        <v>3130</v>
      </c>
      <c r="Y59" s="108">
        <f t="shared" si="4"/>
        <v>0</v>
      </c>
      <c r="Z59" s="108">
        <v>3130</v>
      </c>
      <c r="AA59" s="108">
        <f t="shared" si="5"/>
        <v>0</v>
      </c>
      <c r="AB59" s="108">
        <v>3130</v>
      </c>
      <c r="AC59" s="108">
        <f t="shared" si="6"/>
        <v>0</v>
      </c>
      <c r="AD59" s="108">
        <v>3130</v>
      </c>
      <c r="AE59" s="109">
        <f t="shared" si="7"/>
        <v>103</v>
      </c>
    </row>
    <row r="60" spans="14:31" ht="15.6" customHeight="1" thickBot="1" x14ac:dyDescent="0.35">
      <c r="N60" s="213"/>
      <c r="O60" s="99" t="s">
        <v>68</v>
      </c>
      <c r="P60" s="114"/>
      <c r="Q60" s="114">
        <v>4221</v>
      </c>
      <c r="R60" s="114">
        <v>857</v>
      </c>
      <c r="S60" s="114">
        <f t="shared" si="1"/>
        <v>444</v>
      </c>
      <c r="T60" s="114">
        <v>1745</v>
      </c>
      <c r="U60" s="114">
        <f t="shared" si="2"/>
        <v>439.5</v>
      </c>
      <c r="V60" s="114">
        <v>2624</v>
      </c>
      <c r="W60" s="114">
        <f t="shared" si="3"/>
        <v>803</v>
      </c>
      <c r="X60" s="114">
        <v>4230</v>
      </c>
      <c r="Y60" s="114">
        <f t="shared" si="4"/>
        <v>0</v>
      </c>
      <c r="Z60" s="114">
        <v>4230</v>
      </c>
      <c r="AA60" s="114">
        <f t="shared" si="5"/>
        <v>0</v>
      </c>
      <c r="AB60" s="114">
        <v>4230</v>
      </c>
      <c r="AC60" s="114">
        <f t="shared" si="6"/>
        <v>0</v>
      </c>
      <c r="AD60" s="114">
        <v>4230</v>
      </c>
      <c r="AE60" s="115">
        <f t="shared" si="7"/>
        <v>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3172</v>
      </c>
      <c r="R61" s="104">
        <v>935</v>
      </c>
      <c r="S61" s="104">
        <f t="shared" si="1"/>
        <v>109.5</v>
      </c>
      <c r="T61" s="104">
        <v>1154</v>
      </c>
      <c r="U61" s="104">
        <f t="shared" si="2"/>
        <v>346.5</v>
      </c>
      <c r="V61" s="104">
        <v>1847</v>
      </c>
      <c r="W61" s="104">
        <f t="shared" si="3"/>
        <v>75.5</v>
      </c>
      <c r="X61" s="104">
        <v>1998</v>
      </c>
      <c r="Y61" s="104">
        <f t="shared" si="4"/>
        <v>122.5</v>
      </c>
      <c r="Z61" s="104">
        <v>2243</v>
      </c>
      <c r="AA61" s="104">
        <f t="shared" si="5"/>
        <v>0</v>
      </c>
      <c r="AB61" s="104">
        <v>2243</v>
      </c>
      <c r="AC61" s="104">
        <f t="shared" si="6"/>
        <v>0</v>
      </c>
      <c r="AD61" s="104">
        <v>2243</v>
      </c>
      <c r="AE61" s="105">
        <f t="shared" si="7"/>
        <v>-929</v>
      </c>
    </row>
    <row r="62" spans="14:31" ht="15.6" customHeight="1" x14ac:dyDescent="0.3">
      <c r="N62" s="212"/>
      <c r="O62" s="95" t="s">
        <v>66</v>
      </c>
      <c r="P62" s="106"/>
      <c r="Q62" s="106">
        <v>2842</v>
      </c>
      <c r="R62" s="106">
        <v>132</v>
      </c>
      <c r="S62" s="106">
        <f t="shared" si="1"/>
        <v>201</v>
      </c>
      <c r="T62" s="106">
        <v>534</v>
      </c>
      <c r="U62" s="106">
        <f t="shared" si="2"/>
        <v>413.5</v>
      </c>
      <c r="V62" s="106">
        <v>1361</v>
      </c>
      <c r="W62" s="106">
        <f t="shared" si="3"/>
        <v>68.5</v>
      </c>
      <c r="X62" s="106">
        <v>1498</v>
      </c>
      <c r="Y62" s="106">
        <f t="shared" si="4"/>
        <v>72</v>
      </c>
      <c r="Z62" s="106">
        <v>1642</v>
      </c>
      <c r="AA62" s="106">
        <f t="shared" si="5"/>
        <v>0</v>
      </c>
      <c r="AB62" s="106">
        <v>1642</v>
      </c>
      <c r="AC62" s="106">
        <f t="shared" si="6"/>
        <v>0</v>
      </c>
      <c r="AD62" s="106">
        <v>1642</v>
      </c>
      <c r="AE62" s="107">
        <f t="shared" si="7"/>
        <v>-1200</v>
      </c>
    </row>
    <row r="63" spans="14:31" ht="15.6" customHeight="1" x14ac:dyDescent="0.3">
      <c r="N63" s="212"/>
      <c r="O63" s="94" t="s">
        <v>67</v>
      </c>
      <c r="P63" s="108"/>
      <c r="Q63" s="108">
        <v>1927</v>
      </c>
      <c r="R63" s="108">
        <v>138</v>
      </c>
      <c r="S63" s="108">
        <f t="shared" si="1"/>
        <v>362.5</v>
      </c>
      <c r="T63" s="108">
        <v>863</v>
      </c>
      <c r="U63" s="108">
        <f t="shared" si="2"/>
        <v>50</v>
      </c>
      <c r="V63" s="108">
        <v>963</v>
      </c>
      <c r="W63" s="108">
        <f t="shared" si="3"/>
        <v>146</v>
      </c>
      <c r="X63" s="108">
        <v>1255</v>
      </c>
      <c r="Y63" s="108">
        <f t="shared" si="4"/>
        <v>56.5</v>
      </c>
      <c r="Z63" s="108">
        <v>1368</v>
      </c>
      <c r="AA63" s="108">
        <f t="shared" si="5"/>
        <v>0</v>
      </c>
      <c r="AB63" s="108">
        <v>1368</v>
      </c>
      <c r="AC63" s="108">
        <f t="shared" si="6"/>
        <v>0</v>
      </c>
      <c r="AD63" s="108">
        <v>1368</v>
      </c>
      <c r="AE63" s="109">
        <f t="shared" si="7"/>
        <v>-559</v>
      </c>
    </row>
    <row r="64" spans="14:31" ht="15.6" customHeight="1" thickBot="1" x14ac:dyDescent="0.35">
      <c r="N64" s="213"/>
      <c r="O64" s="99" t="s">
        <v>68</v>
      </c>
      <c r="P64" s="114"/>
      <c r="Q64" s="114">
        <v>2334</v>
      </c>
      <c r="R64" s="114">
        <v>867</v>
      </c>
      <c r="S64" s="114">
        <f t="shared" si="1"/>
        <v>130</v>
      </c>
      <c r="T64" s="114">
        <v>1127</v>
      </c>
      <c r="U64" s="114">
        <f t="shared" si="2"/>
        <v>76.5</v>
      </c>
      <c r="V64" s="114">
        <v>1280</v>
      </c>
      <c r="W64" s="114">
        <f t="shared" si="3"/>
        <v>200</v>
      </c>
      <c r="X64" s="114">
        <v>1680</v>
      </c>
      <c r="Y64" s="114">
        <f t="shared" si="4"/>
        <v>0</v>
      </c>
      <c r="Z64" s="114">
        <v>1680</v>
      </c>
      <c r="AA64" s="114">
        <f t="shared" si="5"/>
        <v>0</v>
      </c>
      <c r="AB64" s="114">
        <v>1680</v>
      </c>
      <c r="AC64" s="114">
        <f t="shared" si="6"/>
        <v>0</v>
      </c>
      <c r="AD64" s="114">
        <v>1680</v>
      </c>
      <c r="AE64" s="115">
        <f t="shared" si="7"/>
        <v>-654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79" priority="11" operator="lessThan">
      <formula>0</formula>
    </cfRule>
    <cfRule type="cellIs" dxfId="1078" priority="12" operator="greaterThan">
      <formula>0</formula>
    </cfRule>
  </conditionalFormatting>
  <conditionalFormatting sqref="R25:AC25">
    <cfRule type="cellIs" dxfId="1077" priority="9" operator="lessThan">
      <formula>0</formula>
    </cfRule>
    <cfRule type="cellIs" dxfId="1076" priority="10" operator="greaterThan">
      <formula>0</formula>
    </cfRule>
  </conditionalFormatting>
  <conditionalFormatting sqref="R26 T26 V26 X26 Z26 AB26">
    <cfRule type="cellIs" dxfId="1075" priority="7" operator="lessThan">
      <formula>0</formula>
    </cfRule>
    <cfRule type="cellIs" dxfId="1074" priority="8" operator="greaterThan">
      <formula>0</formula>
    </cfRule>
  </conditionalFormatting>
  <conditionalFormatting sqref="AD24:AE24">
    <cfRule type="cellIs" dxfId="1073" priority="5" operator="lessThan">
      <formula>0</formula>
    </cfRule>
    <cfRule type="cellIs" dxfId="1072" priority="6" operator="greaterThan">
      <formula>0</formula>
    </cfRule>
  </conditionalFormatting>
  <conditionalFormatting sqref="AD25:AE25">
    <cfRule type="cellIs" dxfId="1071" priority="3" operator="lessThan">
      <formula>0</formula>
    </cfRule>
    <cfRule type="cellIs" dxfId="1070" priority="4" operator="greaterThan">
      <formula>0</formula>
    </cfRule>
  </conditionalFormatting>
  <conditionalFormatting sqref="AD26">
    <cfRule type="cellIs" dxfId="1069" priority="1" operator="lessThan">
      <formula>0</formula>
    </cfRule>
    <cfRule type="cellIs" dxfId="10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44429</v>
      </c>
    </row>
    <row r="3" spans="2:42" ht="18.75" customHeight="1" thickBot="1" x14ac:dyDescent="0.35">
      <c r="B3" t="s">
        <v>1</v>
      </c>
      <c r="C3" s="3">
        <f>C2+1</f>
        <v>44430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17406</v>
      </c>
      <c r="G6" s="117">
        <v>14463.938</v>
      </c>
      <c r="H6" s="117">
        <v>11324.62929874001</v>
      </c>
      <c r="I6" s="19">
        <f>G6+H6</f>
        <v>25788.56729874001</v>
      </c>
      <c r="J6" s="119">
        <v>16800</v>
      </c>
      <c r="K6" s="117">
        <v>14086.114750000001</v>
      </c>
      <c r="L6" s="117">
        <v>10901.037891020011</v>
      </c>
      <c r="M6" s="19">
        <f>K6+L6</f>
        <v>24987.152641020009</v>
      </c>
      <c r="N6" s="85">
        <v>86</v>
      </c>
      <c r="O6" s="85">
        <v>66</v>
      </c>
      <c r="P6" s="92"/>
      <c r="Q6" s="20">
        <f>J6-P6</f>
        <v>16800</v>
      </c>
      <c r="R6" s="21">
        <v>4905</v>
      </c>
      <c r="S6" s="20">
        <f>IF(R6&gt;0,(R6-R7-$Q6),"")</f>
        <v>-12110</v>
      </c>
      <c r="T6" s="21">
        <v>8433</v>
      </c>
      <c r="U6" s="20">
        <f>IF(T6&gt;0,(T6-T7-$Q6),"")</f>
        <v>-9031</v>
      </c>
      <c r="V6" s="21">
        <v>11341</v>
      </c>
      <c r="W6" s="20">
        <f>IF(V6&gt;0,(V6-V7-$Q6),"")</f>
        <v>-6149</v>
      </c>
      <c r="X6" s="21">
        <v>16352</v>
      </c>
      <c r="Y6" s="20">
        <f>IF(X6&gt;0,(X6-X7-$Q6),"")</f>
        <v>-1605</v>
      </c>
      <c r="Z6" s="21">
        <v>16169</v>
      </c>
      <c r="AA6" s="20">
        <f>IF(Z6&gt;0,(Z6-Z7-$Q6),"")</f>
        <v>-1816</v>
      </c>
      <c r="AB6" s="21">
        <v>16169</v>
      </c>
      <c r="AC6" s="22">
        <f>IF(AB6&gt;0,(AB6-AB7-$Q6),"")</f>
        <v>-1816</v>
      </c>
      <c r="AD6" s="21">
        <v>16169</v>
      </c>
      <c r="AE6" s="22">
        <f>IF(AD6&gt;0,(AD6-AD7-$Q6),"")</f>
        <v>-1816</v>
      </c>
    </row>
    <row r="7" spans="2:42" x14ac:dyDescent="0.3">
      <c r="B7" s="16" t="s">
        <v>23</v>
      </c>
      <c r="C7" s="17">
        <v>2238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215</v>
      </c>
      <c r="S7" s="24"/>
      <c r="T7" s="25">
        <v>664</v>
      </c>
      <c r="U7" s="24"/>
      <c r="V7" s="25">
        <v>690</v>
      </c>
      <c r="W7" s="24"/>
      <c r="X7" s="25">
        <v>1157</v>
      </c>
      <c r="Y7" s="24"/>
      <c r="Z7" s="25">
        <v>1185</v>
      </c>
      <c r="AA7" s="24"/>
      <c r="AB7" s="25">
        <v>1185</v>
      </c>
      <c r="AC7" s="26"/>
      <c r="AD7" s="25">
        <v>1185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2963</v>
      </c>
      <c r="E8" s="29" t="s">
        <v>27</v>
      </c>
      <c r="F8" s="119">
        <v>11525</v>
      </c>
      <c r="G8" s="117">
        <v>4756.0499999999993</v>
      </c>
      <c r="H8" s="117">
        <v>1457.5483775</v>
      </c>
      <c r="I8" s="19">
        <f>G8+H8</f>
        <v>6213.5983774999995</v>
      </c>
      <c r="J8" s="119">
        <v>11746</v>
      </c>
      <c r="K8" s="117">
        <v>4823.3649999999989</v>
      </c>
      <c r="L8" s="117">
        <v>1473.3584295000001</v>
      </c>
      <c r="M8" s="19">
        <f>K8+L8</f>
        <v>6296.7234294999989</v>
      </c>
      <c r="N8" s="87">
        <v>31</v>
      </c>
      <c r="O8" s="87">
        <v>27</v>
      </c>
      <c r="P8" s="92"/>
      <c r="Q8" s="20">
        <f>J8-P8</f>
        <v>11746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6262</v>
      </c>
      <c r="W8" s="20">
        <f>IF(V8&gt;0,(V8-V9-$Q8),"")</f>
        <v>-5484</v>
      </c>
      <c r="X8" s="21">
        <v>9227</v>
      </c>
      <c r="Y8" s="20">
        <f>IF(X8&gt;0,(X8-X9-$Q8),"")</f>
        <v>-2536</v>
      </c>
      <c r="Z8" s="21">
        <v>11746</v>
      </c>
      <c r="AA8" s="20">
        <f>IF(Z8&gt;0,(Z8-Z9-$Q8),"")</f>
        <v>0</v>
      </c>
      <c r="AB8" s="21">
        <v>11746</v>
      </c>
      <c r="AC8" s="22">
        <f>IF(AB8&gt;0,(AB8-AB9-$Q8),"")</f>
        <v>0</v>
      </c>
      <c r="AD8" s="21">
        <v>11746</v>
      </c>
      <c r="AE8" s="22">
        <f>IF(AD8&gt;0,(AD8-AD9-$Q8),"")</f>
        <v>0</v>
      </c>
    </row>
    <row r="9" spans="2:42" x14ac:dyDescent="0.3">
      <c r="B9" s="28" t="s">
        <v>28</v>
      </c>
      <c r="C9" s="17">
        <v>1471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17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4122</v>
      </c>
      <c r="E10" s="18" t="s">
        <v>31</v>
      </c>
      <c r="F10" s="119">
        <v>21051</v>
      </c>
      <c r="G10" s="117">
        <v>16435.331312499991</v>
      </c>
      <c r="H10" s="117">
        <v>1656.6367</v>
      </c>
      <c r="I10" s="19">
        <f>G10+H10</f>
        <v>18091.96801249999</v>
      </c>
      <c r="J10" s="119">
        <v>20797</v>
      </c>
      <c r="K10" s="117">
        <v>16342.369812499999</v>
      </c>
      <c r="L10" s="117">
        <v>1642.3868275</v>
      </c>
      <c r="M10" s="19">
        <f>K10+L10</f>
        <v>17984.75664</v>
      </c>
      <c r="N10" s="88">
        <v>60</v>
      </c>
      <c r="O10" s="88">
        <v>52</v>
      </c>
      <c r="P10" s="92"/>
      <c r="Q10" s="20">
        <f>J10-P10</f>
        <v>20797</v>
      </c>
      <c r="R10" s="21">
        <v>5847</v>
      </c>
      <c r="S10" s="20">
        <f>IF(R10&gt;0,(R10-R11-$Q10),"")</f>
        <v>-15145</v>
      </c>
      <c r="T10" s="21">
        <v>10860</v>
      </c>
      <c r="U10" s="20">
        <f>IF(T10&gt;0,(T10-T11-$Q10),"")</f>
        <v>-10199</v>
      </c>
      <c r="V10" s="21">
        <v>12767</v>
      </c>
      <c r="W10" s="20">
        <f>IF(V10&gt;0,(V10-V11-$Q10),"")</f>
        <v>-8336</v>
      </c>
      <c r="X10" s="21">
        <v>18578</v>
      </c>
      <c r="Y10" s="20">
        <f>IF(X10&gt;0,(X10-X11-$Q10),"")</f>
        <v>-2550</v>
      </c>
      <c r="Z10" s="21">
        <v>19497</v>
      </c>
      <c r="AA10" s="20">
        <f>IF(Z10&gt;0,(Z10-Z11-$Q10),"")</f>
        <v>-1631</v>
      </c>
      <c r="AB10" s="21">
        <v>19497</v>
      </c>
      <c r="AC10" s="22">
        <f>IF(AB10&gt;0,(AB10-AB11-$Q10),"")</f>
        <v>-1631</v>
      </c>
      <c r="AD10" s="21">
        <v>19497</v>
      </c>
      <c r="AE10" s="22">
        <f>IF(AD10&gt;0,(AD10-AD11-$Q10),"")</f>
        <v>-1631</v>
      </c>
    </row>
    <row r="11" spans="2:42" x14ac:dyDescent="0.3">
      <c r="B11" s="16" t="s">
        <v>32</v>
      </c>
      <c r="C11" s="17">
        <v>1907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195</v>
      </c>
      <c r="S11" s="24"/>
      <c r="T11" s="30">
        <v>262</v>
      </c>
      <c r="U11" s="24"/>
      <c r="V11" s="30">
        <v>306</v>
      </c>
      <c r="W11" s="24"/>
      <c r="X11" s="30">
        <v>331</v>
      </c>
      <c r="Y11" s="24"/>
      <c r="Z11" s="30">
        <v>331</v>
      </c>
      <c r="AA11" s="24"/>
      <c r="AB11" s="30">
        <v>331</v>
      </c>
      <c r="AC11" s="26"/>
      <c r="AD11" s="30">
        <v>331</v>
      </c>
      <c r="AE11" s="26"/>
    </row>
    <row r="12" spans="2:42" x14ac:dyDescent="0.3">
      <c r="B12" s="16" t="s">
        <v>34</v>
      </c>
      <c r="C12" s="17">
        <v>1461</v>
      </c>
      <c r="E12" s="29" t="s">
        <v>35</v>
      </c>
      <c r="F12" s="119">
        <v>12713</v>
      </c>
      <c r="G12" s="117">
        <v>10181.040999999999</v>
      </c>
      <c r="H12" s="117">
        <v>18987.401000319991</v>
      </c>
      <c r="I12" s="19">
        <f>G12+H12</f>
        <v>29168.442000319992</v>
      </c>
      <c r="J12" s="119">
        <v>12124</v>
      </c>
      <c r="K12" s="117">
        <v>9586.9359999999997</v>
      </c>
      <c r="L12" s="117">
        <v>17536.544753760001</v>
      </c>
      <c r="M12" s="19">
        <f>K12+L12</f>
        <v>27123.480753759999</v>
      </c>
      <c r="N12" s="88">
        <v>62</v>
      </c>
      <c r="O12" s="88">
        <v>51</v>
      </c>
      <c r="P12" s="92"/>
      <c r="Q12" s="20">
        <f>J12-P12</f>
        <v>12124</v>
      </c>
      <c r="R12" s="21">
        <v>3934</v>
      </c>
      <c r="S12" s="20">
        <f>IF(R12&gt;0,(R12-R13-$Q12),"")</f>
        <v>-8375</v>
      </c>
      <c r="T12" s="21">
        <v>5779</v>
      </c>
      <c r="U12" s="20">
        <f>IF(T12&gt;0,(T12-T13-$Q12),"")</f>
        <v>-6604</v>
      </c>
      <c r="V12" s="21">
        <v>8958</v>
      </c>
      <c r="W12" s="20">
        <f>IF(V12&gt;0,(V12-V13-$Q12),"")</f>
        <v>-3750</v>
      </c>
      <c r="X12" s="21">
        <v>10004</v>
      </c>
      <c r="Y12" s="20">
        <f>IF(X12&gt;0,(X12-X13-$Q12),"")</f>
        <v>-2711</v>
      </c>
      <c r="Z12" s="21">
        <v>10004</v>
      </c>
      <c r="AA12" s="20">
        <f>IF(Z12&gt;0,(Z12-Z13-$Q12),"")</f>
        <v>-2711</v>
      </c>
      <c r="AB12" s="21">
        <v>10004</v>
      </c>
      <c r="AC12" s="22">
        <f>IF(AB12&gt;0,(AB12-AB13-$Q12),"")</f>
        <v>-2711</v>
      </c>
      <c r="AD12" s="21">
        <v>10004</v>
      </c>
      <c r="AE12" s="22">
        <f>IF(AD12&gt;0,(AD12-AD13-$Q12),"")</f>
        <v>-2711</v>
      </c>
    </row>
    <row r="13" spans="2:42" x14ac:dyDescent="0.3">
      <c r="B13" s="16" t="s">
        <v>36</v>
      </c>
      <c r="C13" s="17">
        <v>3999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185</v>
      </c>
      <c r="S13" s="24"/>
      <c r="T13" s="30">
        <v>259</v>
      </c>
      <c r="U13" s="24"/>
      <c r="V13" s="30">
        <v>584</v>
      </c>
      <c r="W13" s="24"/>
      <c r="X13" s="30">
        <v>591</v>
      </c>
      <c r="Y13" s="24"/>
      <c r="Z13" s="30">
        <v>591</v>
      </c>
      <c r="AA13" s="24"/>
      <c r="AB13" s="30">
        <v>591</v>
      </c>
      <c r="AC13" s="26"/>
      <c r="AD13" s="30">
        <v>591</v>
      </c>
      <c r="AE13" s="26"/>
    </row>
    <row r="14" spans="2:42" x14ac:dyDescent="0.3">
      <c r="B14" s="16" t="s">
        <v>38</v>
      </c>
      <c r="C14" s="17">
        <v>7861</v>
      </c>
      <c r="E14" s="18" t="s">
        <v>39</v>
      </c>
      <c r="F14" s="119">
        <v>19061</v>
      </c>
      <c r="G14" s="117">
        <v>17368.40625</v>
      </c>
      <c r="H14" s="117">
        <v>20505.48187123999</v>
      </c>
      <c r="I14" s="19">
        <f>G14+H14</f>
        <v>37873.888121239987</v>
      </c>
      <c r="J14" s="119">
        <v>19061</v>
      </c>
      <c r="K14" s="117">
        <v>17368.40625</v>
      </c>
      <c r="L14" s="117">
        <v>20378.74487124</v>
      </c>
      <c r="M14" s="19">
        <f>K14+L14</f>
        <v>37747.15112124</v>
      </c>
      <c r="N14" s="88">
        <v>74</v>
      </c>
      <c r="O14" s="88">
        <v>58</v>
      </c>
      <c r="P14" s="92"/>
      <c r="Q14" s="20">
        <f>J14-P14</f>
        <v>19061</v>
      </c>
      <c r="R14" s="21">
        <v>5222</v>
      </c>
      <c r="S14" s="20">
        <f>IF(R14&gt;0,(R14-R15-$Q14),"")</f>
        <v>-13873</v>
      </c>
      <c r="T14" s="21">
        <v>8107</v>
      </c>
      <c r="U14" s="20">
        <f>IF(T14&gt;0,(T14-T15-$Q14),"")</f>
        <v>-11081</v>
      </c>
      <c r="V14" s="21">
        <v>11198</v>
      </c>
      <c r="W14" s="20">
        <f>IF(V14&gt;0,(V14-V15-$Q14),"")</f>
        <v>-8004</v>
      </c>
      <c r="X14" s="21">
        <v>13145</v>
      </c>
      <c r="Y14" s="20">
        <f>IF(X14&gt;0,(X14-X15-$Q14),"")</f>
        <v>-6151</v>
      </c>
      <c r="Z14" s="21">
        <v>14491</v>
      </c>
      <c r="AA14" s="20">
        <f>IF(Z14&gt;0,(Z14-Z15-$Q14),"")</f>
        <v>-4808</v>
      </c>
      <c r="AB14" s="21">
        <v>14491</v>
      </c>
      <c r="AC14" s="22">
        <f>IF(AB14&gt;0,(AB14-AB15-$Q14),"")</f>
        <v>-4808</v>
      </c>
      <c r="AD14" s="21">
        <v>14491</v>
      </c>
      <c r="AE14" s="22">
        <f>IF(AD14&gt;0,(AD14-AD15-$Q14),"")</f>
        <v>-4808</v>
      </c>
    </row>
    <row r="15" spans="2:42" ht="15" customHeight="1" thickBot="1" x14ac:dyDescent="0.35">
      <c r="B15" s="16" t="s">
        <v>40</v>
      </c>
      <c r="C15" s="17">
        <v>2939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34</v>
      </c>
      <c r="S15" s="24"/>
      <c r="T15" s="25">
        <v>127</v>
      </c>
      <c r="U15" s="24"/>
      <c r="V15" s="25">
        <v>141</v>
      </c>
      <c r="W15" s="24"/>
      <c r="X15" s="25">
        <v>235</v>
      </c>
      <c r="Y15" s="24"/>
      <c r="Z15" s="25">
        <v>238</v>
      </c>
      <c r="AA15" s="24"/>
      <c r="AB15" s="25">
        <v>238</v>
      </c>
      <c r="AC15" s="26"/>
      <c r="AD15" s="25">
        <v>238</v>
      </c>
      <c r="AE15" s="26"/>
    </row>
    <row r="16" spans="2:42" ht="15" customHeight="1" thickBot="1" x14ac:dyDescent="0.35">
      <c r="B16" s="28" t="s">
        <v>42</v>
      </c>
      <c r="C16" s="17">
        <v>11963</v>
      </c>
      <c r="E16" s="84"/>
      <c r="F16" s="31">
        <f t="shared" ref="F16:M16" si="0">SUM(F6:F15)</f>
        <v>81756</v>
      </c>
      <c r="G16" s="31">
        <f t="shared" si="0"/>
        <v>63204.766562499986</v>
      </c>
      <c r="H16" s="31">
        <f t="shared" si="0"/>
        <v>53931.697247799995</v>
      </c>
      <c r="I16" s="32">
        <f t="shared" si="0"/>
        <v>117136.46381029997</v>
      </c>
      <c r="J16" s="33">
        <f t="shared" si="0"/>
        <v>80528</v>
      </c>
      <c r="K16" s="33">
        <f t="shared" si="0"/>
        <v>62207.191812500001</v>
      </c>
      <c r="L16" s="33">
        <f t="shared" si="0"/>
        <v>51932.072773020016</v>
      </c>
      <c r="M16" s="33">
        <f t="shared" si="0"/>
        <v>114139.26458552</v>
      </c>
      <c r="N16" s="31">
        <f>SUM(N14,N12,N10,N8,N6)</f>
        <v>313</v>
      </c>
      <c r="O16" s="31">
        <f>SUM(O14,O12,O10,O8,O6)</f>
        <v>254</v>
      </c>
      <c r="P16" s="34">
        <f>SUM(P6:P15)</f>
        <v>0</v>
      </c>
      <c r="Q16" s="34">
        <f>SUM(Q6:Q15)</f>
        <v>80528</v>
      </c>
      <c r="R16" s="35">
        <f>R6+R8+R10+R12+R14-R7-R9-R11-R13-R15</f>
        <v>19279</v>
      </c>
      <c r="S16" s="36">
        <f>IF(R16&gt;1,(R16-$Q16),"")</f>
        <v>-61249</v>
      </c>
      <c r="T16" s="35">
        <f>T6+T8+T10+T12+T14-T7-T9-T11-T13-T15</f>
        <v>31867</v>
      </c>
      <c r="U16" s="36">
        <f>IF(T16&gt;1,(T16-$Q16),"")</f>
        <v>-48661</v>
      </c>
      <c r="V16" s="35">
        <f>V6+V8+V10+V12+V14-V7-V9-V11-V13-V15</f>
        <v>48805</v>
      </c>
      <c r="W16" s="36">
        <f>IF(V16&gt;1,(V16-$Q16),"")</f>
        <v>-31723</v>
      </c>
      <c r="X16" s="35">
        <f>X6+X8+X10+X12+X14-X7-X9-X11-X13-X15</f>
        <v>64975</v>
      </c>
      <c r="Y16" s="36">
        <f>IF(X16&gt;1,(X16-$Q16),"")</f>
        <v>-15553</v>
      </c>
      <c r="Z16" s="35">
        <f>Z6+Z8+Z10+Z12+Z14-Z7-Z9-Z11-Z13-Z15</f>
        <v>69562</v>
      </c>
      <c r="AA16" s="36">
        <f>IF(Z16&gt;1,(Z16-$Q16),"")</f>
        <v>-10966</v>
      </c>
      <c r="AB16" s="35">
        <f>AB6+AB8+AB10+AB12+AB14-AB7-AB9-AB11-AB13-AB15</f>
        <v>69562</v>
      </c>
      <c r="AC16" s="37">
        <f>IF(AB16&gt;1,(AB16-$Q16),"")</f>
        <v>-10966</v>
      </c>
      <c r="AD16" s="35">
        <f>AD6+AD8+AD10+AD12+AD14-AD7-AD9-AD11-AD13-AD15</f>
        <v>69562</v>
      </c>
      <c r="AE16" s="37">
        <f>IF(AD16&gt;1,(AD16-$Q16),"")</f>
        <v>-10966</v>
      </c>
    </row>
    <row r="17" spans="2:43" s="4" customFormat="1" ht="15" customHeight="1" thickBot="1" x14ac:dyDescent="0.35">
      <c r="B17" s="43" t="s">
        <v>47</v>
      </c>
      <c r="C17" s="17">
        <v>1653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59</v>
      </c>
      <c r="P17" s="38" t="s">
        <v>44</v>
      </c>
      <c r="Q17" s="39"/>
      <c r="R17" s="40">
        <f>R15+R13+R11+R9+R7</f>
        <v>629</v>
      </c>
      <c r="S17" s="41"/>
      <c r="T17" s="40">
        <f>T15+T13+T11+T9+T7</f>
        <v>1312</v>
      </c>
      <c r="U17" s="41"/>
      <c r="V17" s="40">
        <f>V15+V13+V11+V9+V7</f>
        <v>1721</v>
      </c>
      <c r="W17" s="41"/>
      <c r="X17" s="40">
        <f>X15+X13+X11+X9+X7</f>
        <v>2331</v>
      </c>
      <c r="Y17" s="41"/>
      <c r="Z17" s="40">
        <f>Z15+Z13+Z11+Z9+Z7</f>
        <v>2345</v>
      </c>
      <c r="AA17" s="41"/>
      <c r="AB17" s="40">
        <f>AB15+AB13+AB11+AB9+AB7</f>
        <v>2345</v>
      </c>
      <c r="AC17" s="42"/>
      <c r="AD17" s="40">
        <f>AD15+AD13+AD11+AD9+AD7</f>
        <v>2345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558</v>
      </c>
      <c r="P18" s="45" t="s">
        <v>46</v>
      </c>
      <c r="Q18" s="46"/>
      <c r="R18" s="47">
        <f>IF(R16&gt;0,(R16)/2,"")</f>
        <v>9639.5</v>
      </c>
      <c r="S18" s="46"/>
      <c r="T18" s="47">
        <f>IF(T16&gt;0,(T16-R16)/2,"")</f>
        <v>6294</v>
      </c>
      <c r="U18" s="46"/>
      <c r="V18" s="47">
        <f>IF(V16&gt;0,(V16-T16)/2,"")</f>
        <v>8469</v>
      </c>
      <c r="W18" s="46"/>
      <c r="X18" s="47">
        <f>IF(X16&gt;0,(X16-V16)/2,"")</f>
        <v>8085</v>
      </c>
      <c r="Y18" s="46"/>
      <c r="Z18" s="47">
        <f>IF(Z16&gt;0,(Z16-X16)/2,"")</f>
        <v>2293.5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8799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2093</v>
      </c>
      <c r="L20" s="4"/>
      <c r="M20" s="4"/>
      <c r="Q20" s="51" t="s">
        <v>49</v>
      </c>
      <c r="R20" s="35">
        <v>9119</v>
      </c>
      <c r="S20" s="36">
        <v>-66441</v>
      </c>
      <c r="T20" s="35">
        <v>16466</v>
      </c>
      <c r="U20" s="36">
        <v>-59094</v>
      </c>
      <c r="V20" s="35">
        <v>25528</v>
      </c>
      <c r="W20" s="36">
        <v>-50032</v>
      </c>
      <c r="X20" s="35">
        <v>48209</v>
      </c>
      <c r="Y20" s="36">
        <v>-27351</v>
      </c>
      <c r="Z20" s="35">
        <v>52776</v>
      </c>
      <c r="AA20" s="36">
        <v>-22784</v>
      </c>
      <c r="AB20" s="35">
        <v>52776</v>
      </c>
      <c r="AC20" s="37">
        <v>-22784</v>
      </c>
      <c r="AD20" s="35">
        <v>52776</v>
      </c>
      <c r="AE20" s="37">
        <v>-22784</v>
      </c>
    </row>
    <row r="21" spans="2:43" ht="15" customHeight="1" thickBot="1" x14ac:dyDescent="0.35">
      <c r="B21" s="57" t="s">
        <v>52</v>
      </c>
      <c r="C21" s="58">
        <v>4410</v>
      </c>
      <c r="M21" s="4"/>
      <c r="Q21" s="52"/>
      <c r="R21" s="40">
        <v>6969</v>
      </c>
      <c r="S21" s="41"/>
      <c r="T21" s="40">
        <v>10601</v>
      </c>
      <c r="U21" s="41"/>
      <c r="V21" s="40">
        <v>12731</v>
      </c>
      <c r="W21" s="41"/>
      <c r="X21" s="40">
        <v>14451</v>
      </c>
      <c r="Y21" s="41"/>
      <c r="Z21" s="40">
        <v>14457</v>
      </c>
      <c r="AA21" s="41"/>
      <c r="AB21" s="40">
        <v>14457</v>
      </c>
      <c r="AC21" s="42"/>
      <c r="AD21" s="40">
        <v>14457</v>
      </c>
      <c r="AE21" s="42"/>
    </row>
    <row r="22" spans="2:43" ht="15" customHeight="1" thickBot="1" x14ac:dyDescent="0.35">
      <c r="M22" s="4"/>
      <c r="Q22" s="54"/>
      <c r="R22" s="55">
        <v>4559.5</v>
      </c>
      <c r="S22" s="55"/>
      <c r="T22" s="55">
        <v>3673.5</v>
      </c>
      <c r="U22" s="55"/>
      <c r="V22" s="55">
        <v>4531</v>
      </c>
      <c r="W22" s="55"/>
      <c r="X22" s="55">
        <v>11340.5</v>
      </c>
      <c r="Y22" s="55"/>
      <c r="Z22" s="55">
        <v>2283.5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10160</v>
      </c>
      <c r="S24" s="60"/>
      <c r="T24" s="60">
        <f>IF(T16&gt;0,T16-T20,"")</f>
        <v>15401</v>
      </c>
      <c r="U24" s="60"/>
      <c r="V24" s="60">
        <f>IF(V16&gt;0,V16-V20,"")</f>
        <v>23277</v>
      </c>
      <c r="W24" s="60"/>
      <c r="X24" s="60">
        <f>IF(X16&gt;0,X16-X20,"")</f>
        <v>16766</v>
      </c>
      <c r="Y24" s="60"/>
      <c r="Z24" s="60">
        <f>IF(Z16&gt;0,Z16-Z20,"")</f>
        <v>16786</v>
      </c>
      <c r="AA24" s="60"/>
      <c r="AB24" s="60">
        <f>IF(AB16&gt;0,AB16-AB20,"")</f>
        <v>16786</v>
      </c>
      <c r="AC24" s="61"/>
      <c r="AD24" s="60">
        <f>IF(AD16&gt;0,AD16-AD20,"")</f>
        <v>16786</v>
      </c>
      <c r="AE24" s="61"/>
    </row>
    <row r="25" spans="2:43" x14ac:dyDescent="0.3">
      <c r="M25" s="4"/>
      <c r="Q25" s="62"/>
      <c r="R25" s="63">
        <f>IF(R17&gt;=0,R17-R21,"")</f>
        <v>-6340</v>
      </c>
      <c r="S25" s="64"/>
      <c r="T25" s="63">
        <f>IF(T17&gt;=0,T17-T21,"")</f>
        <v>-9289</v>
      </c>
      <c r="U25" s="64"/>
      <c r="V25" s="63">
        <f>IF(V17&gt;=0,V17-V21,"")</f>
        <v>-11010</v>
      </c>
      <c r="W25" s="64"/>
      <c r="X25" s="63">
        <f>IF(X17&gt;=0,X17-X21,"")</f>
        <v>-12120</v>
      </c>
      <c r="Y25" s="64"/>
      <c r="Z25" s="63">
        <f>IF(Z17&gt;=0,Z17-Z21,"")</f>
        <v>-12112</v>
      </c>
      <c r="AA25" s="64"/>
      <c r="AB25" s="63">
        <f>IF(AB17&gt;=0,AB17-AB21,"")</f>
        <v>-12112</v>
      </c>
      <c r="AC25" s="65"/>
      <c r="AD25" s="63">
        <f>IF(AD17&gt;=0,AD17-AD21,"")</f>
        <v>-12112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5080</v>
      </c>
      <c r="S26" s="55"/>
      <c r="T26" s="67">
        <f>IFERROR(IF(T18&gt;0,T18-T22,""),"")</f>
        <v>2620.5</v>
      </c>
      <c r="U26" s="55"/>
      <c r="V26" s="67">
        <f>IFERROR(IF(V18&gt;0,V18-V22,""),"")</f>
        <v>3938</v>
      </c>
      <c r="W26" s="55"/>
      <c r="X26" s="67">
        <f>IFERROR(IF(X18&gt;0,X18-X22,""),"")</f>
        <v>-3255.5</v>
      </c>
      <c r="Y26" s="55"/>
      <c r="Z26" s="67">
        <f>IFERROR(IF(Z18&gt;0,Z18-Z22,""),"")</f>
        <v>10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8363</v>
      </c>
      <c r="D29" s="76">
        <f>C14</f>
        <v>7861</v>
      </c>
      <c r="E29" s="77">
        <f>D29-C29</f>
        <v>-502</v>
      </c>
      <c r="O29" s="4"/>
    </row>
    <row r="30" spans="2:43" x14ac:dyDescent="0.3">
      <c r="B30" s="74" t="s">
        <v>56</v>
      </c>
      <c r="C30" s="122">
        <v>35233</v>
      </c>
      <c r="D30" s="76">
        <f>C7+C15+C16+C17+C18</f>
        <v>19351</v>
      </c>
      <c r="E30" s="77">
        <f>D30-C30</f>
        <v>-15882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11489</v>
      </c>
      <c r="D32" s="76">
        <f>C10+C11+C12+C13</f>
        <v>11489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15205</v>
      </c>
      <c r="D33" s="76">
        <f>C19+C20+C21</f>
        <v>15302</v>
      </c>
      <c r="E33" s="77">
        <f>D33-C33</f>
        <v>97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4434</v>
      </c>
      <c r="D34" s="80">
        <f>SUM(C8+C9)</f>
        <v>4434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1017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269.5</v>
      </c>
      <c r="V35" s="104">
        <v>539</v>
      </c>
      <c r="W35" s="104">
        <f t="shared" ref="W35:W64" si="3">IF(X35&gt;0,(X35-V35)/2,"")</f>
        <v>237.5</v>
      </c>
      <c r="X35" s="104">
        <v>1014</v>
      </c>
      <c r="Y35" s="104">
        <f t="shared" ref="Y35:Y64" si="4">IF(Z35&gt;0,(Z35-X35)/2,"")</f>
        <v>0</v>
      </c>
      <c r="Z35" s="104">
        <v>1014</v>
      </c>
      <c r="AA35" s="104">
        <f t="shared" ref="AA35:AA64" si="5">IF(AB35&gt;0,(AB35-Z35)/2,"")</f>
        <v>0</v>
      </c>
      <c r="AB35" s="104">
        <v>1014</v>
      </c>
      <c r="AC35" s="104">
        <f t="shared" ref="AC35:AC64" si="6">IF(AD35&gt;0,(AD35-AB35)/2,"")</f>
        <v>0</v>
      </c>
      <c r="AD35" s="104">
        <v>1014</v>
      </c>
      <c r="AE35" s="105">
        <f t="shared" ref="AE35:AE64" si="7">AD35-Q35</f>
        <v>-3</v>
      </c>
    </row>
    <row r="36" spans="2:31" ht="15.6" customHeight="1" x14ac:dyDescent="0.3">
      <c r="N36" s="212"/>
      <c r="O36" s="95" t="s">
        <v>66</v>
      </c>
      <c r="P36" s="106"/>
      <c r="Q36" s="106">
        <v>1101</v>
      </c>
      <c r="R36" s="106">
        <v>582</v>
      </c>
      <c r="S36" s="106">
        <f t="shared" si="1"/>
        <v>0</v>
      </c>
      <c r="T36" s="106">
        <v>582</v>
      </c>
      <c r="U36" s="106">
        <f t="shared" si="2"/>
        <v>260</v>
      </c>
      <c r="V36" s="106">
        <v>1102</v>
      </c>
      <c r="W36" s="106">
        <f t="shared" si="3"/>
        <v>0</v>
      </c>
      <c r="X36" s="106">
        <v>1102</v>
      </c>
      <c r="Y36" s="106">
        <f t="shared" si="4"/>
        <v>0</v>
      </c>
      <c r="Z36" s="106">
        <v>1102</v>
      </c>
      <c r="AA36" s="106">
        <f t="shared" si="5"/>
        <v>0</v>
      </c>
      <c r="AB36" s="106">
        <v>1102</v>
      </c>
      <c r="AC36" s="106">
        <f t="shared" si="6"/>
        <v>0</v>
      </c>
      <c r="AD36" s="106">
        <v>1102</v>
      </c>
      <c r="AE36" s="107">
        <f t="shared" si="7"/>
        <v>1</v>
      </c>
    </row>
    <row r="37" spans="2:31" ht="15.6" customHeight="1" x14ac:dyDescent="0.3">
      <c r="N37" s="212"/>
      <c r="O37" s="94" t="s">
        <v>67</v>
      </c>
      <c r="P37" s="108"/>
      <c r="Q37" s="108">
        <v>3561</v>
      </c>
      <c r="R37" s="108">
        <v>1274</v>
      </c>
      <c r="S37" s="108">
        <f t="shared" si="1"/>
        <v>401.5</v>
      </c>
      <c r="T37" s="108">
        <v>2077</v>
      </c>
      <c r="U37" s="108">
        <f t="shared" si="2"/>
        <v>349.5</v>
      </c>
      <c r="V37" s="108">
        <v>2776</v>
      </c>
      <c r="W37" s="108">
        <f t="shared" si="3"/>
        <v>636</v>
      </c>
      <c r="X37" s="108">
        <v>4048</v>
      </c>
      <c r="Y37" s="108">
        <f t="shared" si="4"/>
        <v>0</v>
      </c>
      <c r="Z37" s="108">
        <v>4048</v>
      </c>
      <c r="AA37" s="108">
        <f t="shared" si="5"/>
        <v>0</v>
      </c>
      <c r="AB37" s="108">
        <v>4048</v>
      </c>
      <c r="AC37" s="108">
        <f t="shared" si="6"/>
        <v>0</v>
      </c>
      <c r="AD37" s="108">
        <v>4048</v>
      </c>
      <c r="AE37" s="109">
        <f t="shared" si="7"/>
        <v>487</v>
      </c>
    </row>
    <row r="38" spans="2:31" ht="15.6" customHeight="1" x14ac:dyDescent="0.3">
      <c r="N38" s="212"/>
      <c r="O38" s="95" t="s">
        <v>68</v>
      </c>
      <c r="P38" s="106"/>
      <c r="Q38" s="106">
        <v>3109</v>
      </c>
      <c r="R38" s="106">
        <v>733</v>
      </c>
      <c r="S38" s="106">
        <f t="shared" si="1"/>
        <v>258.5</v>
      </c>
      <c r="T38" s="106">
        <v>1250</v>
      </c>
      <c r="U38" s="106">
        <f t="shared" si="2"/>
        <v>225</v>
      </c>
      <c r="V38" s="106">
        <v>1700</v>
      </c>
      <c r="W38" s="106">
        <f t="shared" si="3"/>
        <v>614</v>
      </c>
      <c r="X38" s="106">
        <v>2928</v>
      </c>
      <c r="Y38" s="106">
        <f t="shared" si="4"/>
        <v>-91.5</v>
      </c>
      <c r="Z38" s="106">
        <v>2745</v>
      </c>
      <c r="AA38" s="106">
        <f t="shared" si="5"/>
        <v>0</v>
      </c>
      <c r="AB38" s="106">
        <v>2745</v>
      </c>
      <c r="AC38" s="106">
        <f t="shared" si="6"/>
        <v>0</v>
      </c>
      <c r="AD38" s="106">
        <v>2745</v>
      </c>
      <c r="AE38" s="107">
        <f t="shared" si="7"/>
        <v>-364</v>
      </c>
    </row>
    <row r="39" spans="2:31" ht="15.6" customHeight="1" x14ac:dyDescent="0.3">
      <c r="N39" s="212"/>
      <c r="O39" s="94" t="s">
        <v>69</v>
      </c>
      <c r="P39" s="108"/>
      <c r="Q39" s="108">
        <v>1944</v>
      </c>
      <c r="R39" s="108">
        <v>98</v>
      </c>
      <c r="S39" s="108">
        <f t="shared" si="1"/>
        <v>402</v>
      </c>
      <c r="T39" s="108">
        <v>902</v>
      </c>
      <c r="U39" s="108">
        <f t="shared" si="2"/>
        <v>0</v>
      </c>
      <c r="V39" s="108">
        <v>902</v>
      </c>
      <c r="W39" s="108">
        <f t="shared" si="3"/>
        <v>509.5</v>
      </c>
      <c r="X39" s="108">
        <v>1921</v>
      </c>
      <c r="Y39" s="108">
        <f t="shared" si="4"/>
        <v>0</v>
      </c>
      <c r="Z39" s="108">
        <v>1921</v>
      </c>
      <c r="AA39" s="108">
        <f t="shared" si="5"/>
        <v>0</v>
      </c>
      <c r="AB39" s="108">
        <v>1921</v>
      </c>
      <c r="AC39" s="108">
        <f t="shared" si="6"/>
        <v>0</v>
      </c>
      <c r="AD39" s="108">
        <v>1921</v>
      </c>
      <c r="AE39" s="109">
        <f t="shared" si="7"/>
        <v>-23</v>
      </c>
    </row>
    <row r="40" spans="2:31" ht="15.6" customHeight="1" x14ac:dyDescent="0.3">
      <c r="N40" s="212"/>
      <c r="O40" s="95" t="s">
        <v>70</v>
      </c>
      <c r="P40" s="106"/>
      <c r="Q40" s="106">
        <v>2447</v>
      </c>
      <c r="R40" s="106">
        <v>378</v>
      </c>
      <c r="S40" s="106">
        <f t="shared" si="1"/>
        <v>208</v>
      </c>
      <c r="T40" s="106">
        <v>794</v>
      </c>
      <c r="U40" s="106">
        <f t="shared" si="2"/>
        <v>100</v>
      </c>
      <c r="V40" s="106">
        <v>994</v>
      </c>
      <c r="W40" s="106">
        <f t="shared" si="3"/>
        <v>334</v>
      </c>
      <c r="X40" s="106">
        <v>1662</v>
      </c>
      <c r="Y40" s="106">
        <f t="shared" si="4"/>
        <v>0</v>
      </c>
      <c r="Z40" s="106">
        <v>1662</v>
      </c>
      <c r="AA40" s="106">
        <f t="shared" si="5"/>
        <v>0</v>
      </c>
      <c r="AB40" s="106">
        <v>1662</v>
      </c>
      <c r="AC40" s="106">
        <f t="shared" si="6"/>
        <v>0</v>
      </c>
      <c r="AD40" s="106">
        <v>1662</v>
      </c>
      <c r="AE40" s="107">
        <f t="shared" si="7"/>
        <v>-785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1489</v>
      </c>
      <c r="R42" s="106">
        <v>776</v>
      </c>
      <c r="S42" s="106">
        <f t="shared" si="1"/>
        <v>302</v>
      </c>
      <c r="T42" s="106">
        <v>1380</v>
      </c>
      <c r="U42" s="106">
        <f t="shared" si="2"/>
        <v>3.5</v>
      </c>
      <c r="V42" s="106">
        <v>1387</v>
      </c>
      <c r="W42" s="106">
        <f t="shared" si="3"/>
        <v>73</v>
      </c>
      <c r="X42" s="106">
        <v>1533</v>
      </c>
      <c r="Y42" s="106">
        <f t="shared" si="4"/>
        <v>0</v>
      </c>
      <c r="Z42" s="106">
        <v>1533</v>
      </c>
      <c r="AA42" s="106">
        <f t="shared" si="5"/>
        <v>0</v>
      </c>
      <c r="AB42" s="106">
        <v>1533</v>
      </c>
      <c r="AC42" s="106">
        <f t="shared" si="6"/>
        <v>0</v>
      </c>
      <c r="AD42" s="106">
        <v>1533</v>
      </c>
      <c r="AE42" s="107">
        <f t="shared" si="7"/>
        <v>44</v>
      </c>
    </row>
    <row r="43" spans="2:31" ht="15.6" customHeight="1" thickBot="1" x14ac:dyDescent="0.35">
      <c r="N43" s="213"/>
      <c r="O43" s="97" t="s">
        <v>73</v>
      </c>
      <c r="P43" s="110"/>
      <c r="Q43" s="110">
        <v>1680</v>
      </c>
      <c r="R43" s="110">
        <v>922</v>
      </c>
      <c r="S43" s="110">
        <f t="shared" si="1"/>
        <v>189.5</v>
      </c>
      <c r="T43" s="110">
        <v>1301</v>
      </c>
      <c r="U43" s="110">
        <f t="shared" si="2"/>
        <v>185.5</v>
      </c>
      <c r="V43" s="110">
        <v>1672</v>
      </c>
      <c r="W43" s="110">
        <f t="shared" si="3"/>
        <v>12.5</v>
      </c>
      <c r="X43" s="110">
        <v>1697</v>
      </c>
      <c r="Y43" s="110">
        <f t="shared" si="4"/>
        <v>0</v>
      </c>
      <c r="Z43" s="110">
        <v>1697</v>
      </c>
      <c r="AA43" s="110">
        <f t="shared" si="5"/>
        <v>0</v>
      </c>
      <c r="AB43" s="110">
        <v>1697</v>
      </c>
      <c r="AC43" s="110">
        <f t="shared" si="6"/>
        <v>0</v>
      </c>
      <c r="AD43" s="110">
        <v>1697</v>
      </c>
      <c r="AE43" s="111">
        <f t="shared" si="7"/>
        <v>17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3069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962.5</v>
      </c>
      <c r="V44" s="112">
        <v>1925</v>
      </c>
      <c r="W44" s="112">
        <f t="shared" si="3"/>
        <v>0</v>
      </c>
      <c r="X44" s="112">
        <v>1925</v>
      </c>
      <c r="Y44" s="112">
        <f t="shared" si="4"/>
        <v>572</v>
      </c>
      <c r="Z44" s="112">
        <v>3069</v>
      </c>
      <c r="AA44" s="112">
        <f t="shared" si="5"/>
        <v>0</v>
      </c>
      <c r="AB44" s="112">
        <v>3069</v>
      </c>
      <c r="AC44" s="112">
        <f t="shared" si="6"/>
        <v>0</v>
      </c>
      <c r="AD44" s="112">
        <v>3069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2555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581.5</v>
      </c>
      <c r="V45" s="108">
        <v>1163</v>
      </c>
      <c r="W45" s="108">
        <f t="shared" si="3"/>
        <v>0</v>
      </c>
      <c r="X45" s="108">
        <v>1163</v>
      </c>
      <c r="Y45" s="108">
        <f t="shared" si="4"/>
        <v>696</v>
      </c>
      <c r="Z45" s="108">
        <v>2555</v>
      </c>
      <c r="AA45" s="108">
        <f t="shared" si="5"/>
        <v>0</v>
      </c>
      <c r="AB45" s="108">
        <v>2555</v>
      </c>
      <c r="AC45" s="108">
        <f t="shared" si="6"/>
        <v>0</v>
      </c>
      <c r="AD45" s="108">
        <v>2555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2871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772</v>
      </c>
      <c r="V46" s="106">
        <v>1544</v>
      </c>
      <c r="W46" s="106">
        <f t="shared" si="3"/>
        <v>672</v>
      </c>
      <c r="X46" s="106">
        <v>2888</v>
      </c>
      <c r="Y46" s="106">
        <f t="shared" si="4"/>
        <v>-8.5</v>
      </c>
      <c r="Z46" s="106">
        <v>2871</v>
      </c>
      <c r="AA46" s="106">
        <f t="shared" si="5"/>
        <v>0</v>
      </c>
      <c r="AB46" s="106">
        <v>2871</v>
      </c>
      <c r="AC46" s="106">
        <f t="shared" si="6"/>
        <v>0</v>
      </c>
      <c r="AD46" s="106">
        <v>2871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3251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815</v>
      </c>
      <c r="V47" s="110">
        <v>1630</v>
      </c>
      <c r="W47" s="110">
        <f t="shared" si="3"/>
        <v>810.5</v>
      </c>
      <c r="X47" s="110">
        <v>3251</v>
      </c>
      <c r="Y47" s="110">
        <f t="shared" si="4"/>
        <v>0</v>
      </c>
      <c r="Z47" s="110">
        <v>3251</v>
      </c>
      <c r="AA47" s="110">
        <f t="shared" si="5"/>
        <v>0</v>
      </c>
      <c r="AB47" s="110">
        <v>3251</v>
      </c>
      <c r="AC47" s="110">
        <f t="shared" si="6"/>
        <v>0</v>
      </c>
      <c r="AD47" s="110">
        <v>3251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1624</v>
      </c>
      <c r="R48" s="112">
        <v>0</v>
      </c>
      <c r="S48" s="112">
        <f t="shared" si="1"/>
        <v>525.5</v>
      </c>
      <c r="T48" s="112">
        <v>1051</v>
      </c>
      <c r="U48" s="112">
        <f t="shared" si="2"/>
        <v>0</v>
      </c>
      <c r="V48" s="112">
        <v>1051</v>
      </c>
      <c r="W48" s="112">
        <f t="shared" si="3"/>
        <v>85.5</v>
      </c>
      <c r="X48" s="112">
        <v>1222</v>
      </c>
      <c r="Y48" s="112">
        <f t="shared" si="4"/>
        <v>71.5</v>
      </c>
      <c r="Z48" s="112">
        <v>1365</v>
      </c>
      <c r="AA48" s="112">
        <f t="shared" si="5"/>
        <v>0</v>
      </c>
      <c r="AB48" s="112">
        <v>1365</v>
      </c>
      <c r="AC48" s="112">
        <f t="shared" si="6"/>
        <v>0</v>
      </c>
      <c r="AD48" s="112">
        <v>1365</v>
      </c>
      <c r="AE48" s="113">
        <f t="shared" si="7"/>
        <v>-259</v>
      </c>
    </row>
    <row r="49" spans="14:31" ht="15.6" customHeight="1" x14ac:dyDescent="0.3">
      <c r="N49" s="212"/>
      <c r="O49" s="94" t="s">
        <v>66</v>
      </c>
      <c r="P49" s="108"/>
      <c r="Q49" s="108">
        <v>2960</v>
      </c>
      <c r="R49" s="108">
        <v>1230</v>
      </c>
      <c r="S49" s="108">
        <f t="shared" si="1"/>
        <v>161</v>
      </c>
      <c r="T49" s="108">
        <v>1552</v>
      </c>
      <c r="U49" s="108">
        <f t="shared" si="2"/>
        <v>0</v>
      </c>
      <c r="V49" s="108">
        <v>1552</v>
      </c>
      <c r="W49" s="108">
        <f t="shared" si="3"/>
        <v>643.5</v>
      </c>
      <c r="X49" s="108">
        <v>2839</v>
      </c>
      <c r="Y49" s="108">
        <f t="shared" si="4"/>
        <v>60.5</v>
      </c>
      <c r="Z49" s="108">
        <v>2960</v>
      </c>
      <c r="AA49" s="108">
        <f t="shared" si="5"/>
        <v>0</v>
      </c>
      <c r="AB49" s="108">
        <v>2960</v>
      </c>
      <c r="AC49" s="108">
        <f t="shared" si="6"/>
        <v>0</v>
      </c>
      <c r="AD49" s="108">
        <v>2960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2899</v>
      </c>
      <c r="R50" s="106">
        <v>450</v>
      </c>
      <c r="S50" s="106">
        <f t="shared" si="1"/>
        <v>98.5</v>
      </c>
      <c r="T50" s="106">
        <v>647</v>
      </c>
      <c r="U50" s="106">
        <f t="shared" si="2"/>
        <v>150</v>
      </c>
      <c r="V50" s="106">
        <v>947</v>
      </c>
      <c r="W50" s="106">
        <f t="shared" si="3"/>
        <v>132.5</v>
      </c>
      <c r="X50" s="106">
        <v>1212</v>
      </c>
      <c r="Y50" s="106">
        <f t="shared" si="4"/>
        <v>0</v>
      </c>
      <c r="Z50" s="106">
        <v>1212</v>
      </c>
      <c r="AA50" s="106">
        <f t="shared" si="5"/>
        <v>0</v>
      </c>
      <c r="AB50" s="106">
        <v>1212</v>
      </c>
      <c r="AC50" s="106">
        <f t="shared" si="6"/>
        <v>0</v>
      </c>
      <c r="AD50" s="106">
        <v>1212</v>
      </c>
      <c r="AE50" s="107">
        <f t="shared" si="7"/>
        <v>-1687</v>
      </c>
    </row>
    <row r="51" spans="14:31" ht="15.6" customHeight="1" x14ac:dyDescent="0.3">
      <c r="N51" s="212"/>
      <c r="O51" s="94" t="s">
        <v>68</v>
      </c>
      <c r="P51" s="108"/>
      <c r="Q51" s="108">
        <v>1889</v>
      </c>
      <c r="R51" s="108">
        <v>1282</v>
      </c>
      <c r="S51" s="108">
        <f t="shared" si="1"/>
        <v>0</v>
      </c>
      <c r="T51" s="108">
        <v>1282</v>
      </c>
      <c r="U51" s="108">
        <f t="shared" si="2"/>
        <v>45.5</v>
      </c>
      <c r="V51" s="108">
        <v>1373</v>
      </c>
      <c r="W51" s="108">
        <f t="shared" si="3"/>
        <v>116.5</v>
      </c>
      <c r="X51" s="108">
        <v>1606</v>
      </c>
      <c r="Y51" s="108">
        <f t="shared" si="4"/>
        <v>0</v>
      </c>
      <c r="Z51" s="108">
        <v>1606</v>
      </c>
      <c r="AA51" s="108">
        <f t="shared" si="5"/>
        <v>0</v>
      </c>
      <c r="AB51" s="108">
        <v>1606</v>
      </c>
      <c r="AC51" s="108">
        <f t="shared" si="6"/>
        <v>0</v>
      </c>
      <c r="AD51" s="108">
        <v>1606</v>
      </c>
      <c r="AE51" s="109">
        <f t="shared" si="7"/>
        <v>-283</v>
      </c>
    </row>
    <row r="52" spans="14:31" ht="15.6" customHeight="1" x14ac:dyDescent="0.3">
      <c r="N52" s="212"/>
      <c r="O52" s="95" t="s">
        <v>69</v>
      </c>
      <c r="P52" s="106"/>
      <c r="Q52" s="106">
        <v>3680</v>
      </c>
      <c r="R52" s="106">
        <v>4</v>
      </c>
      <c r="S52" s="106">
        <f t="shared" si="1"/>
        <v>433</v>
      </c>
      <c r="T52" s="106">
        <v>870</v>
      </c>
      <c r="U52" s="106">
        <f t="shared" si="2"/>
        <v>319</v>
      </c>
      <c r="V52" s="106">
        <v>1508</v>
      </c>
      <c r="W52" s="106">
        <f t="shared" si="3"/>
        <v>7.5</v>
      </c>
      <c r="X52" s="106">
        <v>1523</v>
      </c>
      <c r="Y52" s="106">
        <f t="shared" si="4"/>
        <v>0</v>
      </c>
      <c r="Z52" s="106">
        <v>1523</v>
      </c>
      <c r="AA52" s="106">
        <f t="shared" si="5"/>
        <v>0</v>
      </c>
      <c r="AB52" s="106">
        <v>1523</v>
      </c>
      <c r="AC52" s="106">
        <f t="shared" si="6"/>
        <v>0</v>
      </c>
      <c r="AD52" s="106">
        <v>1523</v>
      </c>
      <c r="AE52" s="107">
        <f t="shared" si="7"/>
        <v>-2157</v>
      </c>
    </row>
    <row r="53" spans="14:31" ht="15.6" customHeight="1" x14ac:dyDescent="0.3">
      <c r="N53" s="212"/>
      <c r="O53" s="94" t="s">
        <v>70</v>
      </c>
      <c r="P53" s="108"/>
      <c r="Q53" s="108">
        <v>1335</v>
      </c>
      <c r="R53" s="108">
        <v>681</v>
      </c>
      <c r="S53" s="108">
        <f t="shared" si="1"/>
        <v>0</v>
      </c>
      <c r="T53" s="108">
        <v>681</v>
      </c>
      <c r="U53" s="108">
        <f t="shared" si="2"/>
        <v>94</v>
      </c>
      <c r="V53" s="108">
        <v>869</v>
      </c>
      <c r="W53" s="108">
        <f t="shared" si="3"/>
        <v>58.5</v>
      </c>
      <c r="X53" s="108">
        <v>986</v>
      </c>
      <c r="Y53" s="108">
        <f t="shared" si="4"/>
        <v>0</v>
      </c>
      <c r="Z53" s="108">
        <v>986</v>
      </c>
      <c r="AA53" s="108">
        <f t="shared" si="5"/>
        <v>0</v>
      </c>
      <c r="AB53" s="108">
        <v>986</v>
      </c>
      <c r="AC53" s="108">
        <f t="shared" si="6"/>
        <v>0</v>
      </c>
      <c r="AD53" s="108">
        <v>986</v>
      </c>
      <c r="AE53" s="109">
        <f t="shared" si="7"/>
        <v>-349</v>
      </c>
    </row>
    <row r="54" spans="14:31" ht="15.6" customHeight="1" x14ac:dyDescent="0.3">
      <c r="N54" s="212"/>
      <c r="O54" s="95" t="s">
        <v>71</v>
      </c>
      <c r="P54" s="106"/>
      <c r="Q54" s="106">
        <v>3333</v>
      </c>
      <c r="R54" s="106">
        <v>1000</v>
      </c>
      <c r="S54" s="106">
        <f t="shared" si="1"/>
        <v>438.5</v>
      </c>
      <c r="T54" s="106">
        <v>1877</v>
      </c>
      <c r="U54" s="106">
        <f t="shared" si="2"/>
        <v>0</v>
      </c>
      <c r="V54" s="106">
        <v>1877</v>
      </c>
      <c r="W54" s="106">
        <f t="shared" si="3"/>
        <v>666</v>
      </c>
      <c r="X54" s="106">
        <v>3209</v>
      </c>
      <c r="Y54" s="106">
        <f t="shared" si="4"/>
        <v>62</v>
      </c>
      <c r="Z54" s="106">
        <v>3333</v>
      </c>
      <c r="AA54" s="106">
        <f t="shared" si="5"/>
        <v>0</v>
      </c>
      <c r="AB54" s="106">
        <v>3333</v>
      </c>
      <c r="AC54" s="106">
        <f t="shared" si="6"/>
        <v>0</v>
      </c>
      <c r="AD54" s="106">
        <v>3333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5762</v>
      </c>
      <c r="R55" s="108">
        <v>1200</v>
      </c>
      <c r="S55" s="108">
        <f t="shared" si="1"/>
        <v>600</v>
      </c>
      <c r="T55" s="108">
        <v>2400</v>
      </c>
      <c r="U55" s="108">
        <f t="shared" si="2"/>
        <v>213</v>
      </c>
      <c r="V55" s="108">
        <v>2826</v>
      </c>
      <c r="W55" s="108">
        <f t="shared" si="3"/>
        <v>1195.5</v>
      </c>
      <c r="X55" s="108">
        <v>5217</v>
      </c>
      <c r="Y55" s="108">
        <f t="shared" si="4"/>
        <v>265.5</v>
      </c>
      <c r="Z55" s="108">
        <v>5748</v>
      </c>
      <c r="AA55" s="108">
        <f t="shared" si="5"/>
        <v>0</v>
      </c>
      <c r="AB55" s="108">
        <v>5748</v>
      </c>
      <c r="AC55" s="108">
        <f t="shared" si="6"/>
        <v>0</v>
      </c>
      <c r="AD55" s="108">
        <v>5748</v>
      </c>
      <c r="AE55" s="109">
        <f t="shared" si="7"/>
        <v>-14</v>
      </c>
    </row>
    <row r="56" spans="14:31" ht="15.6" customHeight="1" thickBot="1" x14ac:dyDescent="0.35">
      <c r="N56" s="213"/>
      <c r="O56" s="99" t="s">
        <v>73</v>
      </c>
      <c r="P56" s="114"/>
      <c r="Q56" s="114">
        <v>2038</v>
      </c>
      <c r="R56" s="114">
        <v>0</v>
      </c>
      <c r="S56" s="114">
        <f t="shared" si="1"/>
        <v>250</v>
      </c>
      <c r="T56" s="114">
        <v>500</v>
      </c>
      <c r="U56" s="114">
        <f t="shared" si="2"/>
        <v>132</v>
      </c>
      <c r="V56" s="114">
        <v>764</v>
      </c>
      <c r="W56" s="114">
        <f t="shared" si="3"/>
        <v>0</v>
      </c>
      <c r="X56" s="114">
        <v>764</v>
      </c>
      <c r="Y56" s="114">
        <f t="shared" si="4"/>
        <v>0</v>
      </c>
      <c r="Z56" s="114">
        <v>764</v>
      </c>
      <c r="AA56" s="114">
        <f t="shared" si="5"/>
        <v>0</v>
      </c>
      <c r="AB56" s="114">
        <v>764</v>
      </c>
      <c r="AC56" s="114">
        <f t="shared" si="6"/>
        <v>0</v>
      </c>
      <c r="AD56" s="114">
        <v>764</v>
      </c>
      <c r="AE56" s="115">
        <f t="shared" si="7"/>
        <v>-1274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2700</v>
      </c>
      <c r="R57" s="104">
        <v>427</v>
      </c>
      <c r="S57" s="104">
        <f t="shared" si="1"/>
        <v>63.5</v>
      </c>
      <c r="T57" s="104">
        <v>554</v>
      </c>
      <c r="U57" s="104">
        <f t="shared" si="2"/>
        <v>0</v>
      </c>
      <c r="V57" s="104">
        <v>554</v>
      </c>
      <c r="W57" s="104">
        <f t="shared" si="3"/>
        <v>164</v>
      </c>
      <c r="X57" s="104">
        <v>882</v>
      </c>
      <c r="Y57" s="104">
        <f t="shared" si="4"/>
        <v>0</v>
      </c>
      <c r="Z57" s="104">
        <v>882</v>
      </c>
      <c r="AA57" s="104">
        <f t="shared" si="5"/>
        <v>0</v>
      </c>
      <c r="AB57" s="104">
        <v>882</v>
      </c>
      <c r="AC57" s="104">
        <f t="shared" si="6"/>
        <v>0</v>
      </c>
      <c r="AD57" s="104">
        <v>882</v>
      </c>
      <c r="AE57" s="105">
        <f t="shared" si="7"/>
        <v>-1818</v>
      </c>
    </row>
    <row r="58" spans="14:31" ht="15.6" customHeight="1" x14ac:dyDescent="0.3">
      <c r="N58" s="212"/>
      <c r="O58" s="95" t="s">
        <v>66</v>
      </c>
      <c r="P58" s="106"/>
      <c r="Q58" s="106">
        <v>2734</v>
      </c>
      <c r="R58" s="106">
        <v>1475</v>
      </c>
      <c r="S58" s="106">
        <f t="shared" si="1"/>
        <v>283</v>
      </c>
      <c r="T58" s="106">
        <v>2041</v>
      </c>
      <c r="U58" s="106">
        <f t="shared" si="2"/>
        <v>193.5</v>
      </c>
      <c r="V58" s="106">
        <v>2428</v>
      </c>
      <c r="W58" s="106">
        <f t="shared" si="3"/>
        <v>0</v>
      </c>
      <c r="X58" s="106">
        <v>2428</v>
      </c>
      <c r="Y58" s="106">
        <f t="shared" si="4"/>
        <v>0</v>
      </c>
      <c r="Z58" s="106">
        <v>2428</v>
      </c>
      <c r="AA58" s="106">
        <f t="shared" si="5"/>
        <v>0</v>
      </c>
      <c r="AB58" s="106">
        <v>2428</v>
      </c>
      <c r="AC58" s="106">
        <f t="shared" si="6"/>
        <v>0</v>
      </c>
      <c r="AD58" s="106">
        <v>2428</v>
      </c>
      <c r="AE58" s="107">
        <f t="shared" si="7"/>
        <v>-306</v>
      </c>
    </row>
    <row r="59" spans="14:31" ht="15.6" customHeight="1" x14ac:dyDescent="0.3">
      <c r="N59" s="212"/>
      <c r="O59" s="94" t="s">
        <v>67</v>
      </c>
      <c r="P59" s="108"/>
      <c r="Q59" s="108">
        <v>5538</v>
      </c>
      <c r="R59" s="108">
        <v>650</v>
      </c>
      <c r="S59" s="108">
        <f t="shared" si="1"/>
        <v>333.5</v>
      </c>
      <c r="T59" s="108">
        <v>1317</v>
      </c>
      <c r="U59" s="108">
        <f t="shared" si="2"/>
        <v>728.5</v>
      </c>
      <c r="V59" s="108">
        <v>2774</v>
      </c>
      <c r="W59" s="108">
        <f t="shared" si="3"/>
        <v>342</v>
      </c>
      <c r="X59" s="108">
        <v>3458</v>
      </c>
      <c r="Y59" s="108">
        <f t="shared" si="4"/>
        <v>0</v>
      </c>
      <c r="Z59" s="108">
        <v>3458</v>
      </c>
      <c r="AA59" s="108">
        <f t="shared" si="5"/>
        <v>0</v>
      </c>
      <c r="AB59" s="108">
        <v>3458</v>
      </c>
      <c r="AC59" s="108">
        <f t="shared" si="6"/>
        <v>0</v>
      </c>
      <c r="AD59" s="108">
        <v>3458</v>
      </c>
      <c r="AE59" s="109">
        <f t="shared" si="7"/>
        <v>-2080</v>
      </c>
    </row>
    <row r="60" spans="14:31" ht="15.6" customHeight="1" thickBot="1" x14ac:dyDescent="0.35">
      <c r="N60" s="213"/>
      <c r="O60" s="99" t="s">
        <v>68</v>
      </c>
      <c r="P60" s="114"/>
      <c r="Q60" s="114">
        <v>3114</v>
      </c>
      <c r="R60" s="114">
        <v>1382</v>
      </c>
      <c r="S60" s="114">
        <f t="shared" si="1"/>
        <v>242.5</v>
      </c>
      <c r="T60" s="114">
        <v>1867</v>
      </c>
      <c r="U60" s="114">
        <f t="shared" si="2"/>
        <v>667.5</v>
      </c>
      <c r="V60" s="114">
        <v>3202</v>
      </c>
      <c r="W60" s="114">
        <f t="shared" si="3"/>
        <v>17</v>
      </c>
      <c r="X60" s="114">
        <v>3236</v>
      </c>
      <c r="Y60" s="114">
        <f t="shared" si="4"/>
        <v>0</v>
      </c>
      <c r="Z60" s="114">
        <v>3236</v>
      </c>
      <c r="AA60" s="114">
        <f t="shared" si="5"/>
        <v>0</v>
      </c>
      <c r="AB60" s="114">
        <v>3236</v>
      </c>
      <c r="AC60" s="114">
        <f t="shared" si="6"/>
        <v>0</v>
      </c>
      <c r="AD60" s="114">
        <v>3236</v>
      </c>
      <c r="AE60" s="115">
        <f t="shared" si="7"/>
        <v>122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4891</v>
      </c>
      <c r="R61" s="104">
        <v>1162</v>
      </c>
      <c r="S61" s="104">
        <f t="shared" si="1"/>
        <v>273.5</v>
      </c>
      <c r="T61" s="104">
        <v>1709</v>
      </c>
      <c r="U61" s="104">
        <f t="shared" si="2"/>
        <v>154</v>
      </c>
      <c r="V61" s="104">
        <v>2017</v>
      </c>
      <c r="W61" s="104">
        <f t="shared" si="3"/>
        <v>69</v>
      </c>
      <c r="X61" s="104">
        <v>2155</v>
      </c>
      <c r="Y61" s="104">
        <f t="shared" si="4"/>
        <v>171.5</v>
      </c>
      <c r="Z61" s="104">
        <v>2498</v>
      </c>
      <c r="AA61" s="104">
        <f t="shared" si="5"/>
        <v>0</v>
      </c>
      <c r="AB61" s="104">
        <v>2498</v>
      </c>
      <c r="AC61" s="104">
        <f t="shared" si="6"/>
        <v>0</v>
      </c>
      <c r="AD61" s="104">
        <v>2498</v>
      </c>
      <c r="AE61" s="105">
        <f t="shared" si="7"/>
        <v>-2393</v>
      </c>
    </row>
    <row r="62" spans="14:31" ht="15.6" customHeight="1" x14ac:dyDescent="0.3">
      <c r="N62" s="212"/>
      <c r="O62" s="95" t="s">
        <v>66</v>
      </c>
      <c r="P62" s="106"/>
      <c r="Q62" s="106">
        <v>4451</v>
      </c>
      <c r="R62" s="106">
        <v>55</v>
      </c>
      <c r="S62" s="106">
        <f t="shared" si="1"/>
        <v>77.5</v>
      </c>
      <c r="T62" s="106">
        <v>210</v>
      </c>
      <c r="U62" s="106">
        <f t="shared" si="2"/>
        <v>709.5</v>
      </c>
      <c r="V62" s="106">
        <v>1629</v>
      </c>
      <c r="W62" s="106">
        <f t="shared" si="3"/>
        <v>280</v>
      </c>
      <c r="X62" s="106">
        <v>2189</v>
      </c>
      <c r="Y62" s="106">
        <f t="shared" si="4"/>
        <v>1.5</v>
      </c>
      <c r="Z62" s="106">
        <v>2192</v>
      </c>
      <c r="AA62" s="106">
        <f t="shared" si="5"/>
        <v>0</v>
      </c>
      <c r="AB62" s="106">
        <v>2192</v>
      </c>
      <c r="AC62" s="106">
        <f t="shared" si="6"/>
        <v>0</v>
      </c>
      <c r="AD62" s="106">
        <v>2192</v>
      </c>
      <c r="AE62" s="107">
        <f t="shared" si="7"/>
        <v>-2259</v>
      </c>
    </row>
    <row r="63" spans="14:31" ht="15.6" customHeight="1" x14ac:dyDescent="0.3">
      <c r="N63" s="212"/>
      <c r="O63" s="94" t="s">
        <v>67</v>
      </c>
      <c r="P63" s="108"/>
      <c r="Q63" s="108">
        <v>3652</v>
      </c>
      <c r="R63" s="108">
        <v>257</v>
      </c>
      <c r="S63" s="108">
        <f t="shared" si="1"/>
        <v>277</v>
      </c>
      <c r="T63" s="108">
        <v>811</v>
      </c>
      <c r="U63" s="108">
        <f t="shared" si="2"/>
        <v>78</v>
      </c>
      <c r="V63" s="108">
        <v>967</v>
      </c>
      <c r="W63" s="108">
        <f t="shared" si="3"/>
        <v>185</v>
      </c>
      <c r="X63" s="108">
        <v>1337</v>
      </c>
      <c r="Y63" s="108">
        <f t="shared" si="4"/>
        <v>73.5</v>
      </c>
      <c r="Z63" s="108">
        <v>1484</v>
      </c>
      <c r="AA63" s="108">
        <f t="shared" si="5"/>
        <v>0</v>
      </c>
      <c r="AB63" s="108">
        <v>1484</v>
      </c>
      <c r="AC63" s="108">
        <f t="shared" si="6"/>
        <v>0</v>
      </c>
      <c r="AD63" s="108">
        <v>1484</v>
      </c>
      <c r="AE63" s="109">
        <f t="shared" si="7"/>
        <v>-2168</v>
      </c>
    </row>
    <row r="64" spans="14:31" ht="15.6" customHeight="1" thickBot="1" x14ac:dyDescent="0.35">
      <c r="N64" s="213"/>
      <c r="O64" s="99" t="s">
        <v>68</v>
      </c>
      <c r="P64" s="114"/>
      <c r="Q64" s="114">
        <v>3707</v>
      </c>
      <c r="R64" s="114">
        <v>929</v>
      </c>
      <c r="S64" s="114">
        <f t="shared" si="1"/>
        <v>109</v>
      </c>
      <c r="T64" s="114">
        <v>1147</v>
      </c>
      <c r="U64" s="114">
        <f t="shared" si="2"/>
        <v>86</v>
      </c>
      <c r="V64" s="114">
        <v>1319</v>
      </c>
      <c r="W64" s="114">
        <f t="shared" si="3"/>
        <v>20.5</v>
      </c>
      <c r="X64" s="114">
        <v>1360</v>
      </c>
      <c r="Y64" s="114">
        <f t="shared" si="4"/>
        <v>227</v>
      </c>
      <c r="Z64" s="114">
        <v>1814</v>
      </c>
      <c r="AA64" s="114">
        <f t="shared" si="5"/>
        <v>0</v>
      </c>
      <c r="AB64" s="114">
        <v>1814</v>
      </c>
      <c r="AC64" s="114">
        <f t="shared" si="6"/>
        <v>0</v>
      </c>
      <c r="AD64" s="114">
        <v>1814</v>
      </c>
      <c r="AE64" s="115">
        <f t="shared" si="7"/>
        <v>-1893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67" priority="11" operator="lessThan">
      <formula>0</formula>
    </cfRule>
    <cfRule type="cellIs" dxfId="1066" priority="12" operator="greaterThan">
      <formula>0</formula>
    </cfRule>
  </conditionalFormatting>
  <conditionalFormatting sqref="R25:AC25">
    <cfRule type="cellIs" dxfId="1065" priority="9" operator="lessThan">
      <formula>0</formula>
    </cfRule>
    <cfRule type="cellIs" dxfId="1064" priority="10" operator="greaterThan">
      <formula>0</formula>
    </cfRule>
  </conditionalFormatting>
  <conditionalFormatting sqref="R26 T26 V26 X26 Z26 AB26">
    <cfRule type="cellIs" dxfId="1063" priority="7" operator="lessThan">
      <formula>0</formula>
    </cfRule>
    <cfRule type="cellIs" dxfId="1062" priority="8" operator="greaterThan">
      <formula>0</formula>
    </cfRule>
  </conditionalFormatting>
  <conditionalFormatting sqref="AD24:AE24">
    <cfRule type="cellIs" dxfId="1061" priority="5" operator="lessThan">
      <formula>0</formula>
    </cfRule>
    <cfRule type="cellIs" dxfId="1060" priority="6" operator="greaterThan">
      <formula>0</formula>
    </cfRule>
  </conditionalFormatting>
  <conditionalFormatting sqref="AD25:AE25">
    <cfRule type="cellIs" dxfId="1059" priority="3" operator="lessThan">
      <formula>0</formula>
    </cfRule>
    <cfRule type="cellIs" dxfId="1058" priority="4" operator="greaterThan">
      <formula>0</formula>
    </cfRule>
  </conditionalFormatting>
  <conditionalFormatting sqref="AD26">
    <cfRule type="cellIs" dxfId="1057" priority="1" operator="lessThan">
      <formula>0</formula>
    </cfRule>
    <cfRule type="cellIs" dxfId="10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44430</v>
      </c>
    </row>
    <row r="3" spans="2:42" ht="18.75" customHeight="1" thickBot="1" x14ac:dyDescent="0.35">
      <c r="B3" t="s">
        <v>1</v>
      </c>
      <c r="C3" s="3">
        <f>C2+1</f>
        <v>44431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2886</v>
      </c>
      <c r="E6" s="18" t="s">
        <v>22</v>
      </c>
      <c r="F6" s="119">
        <v>20053</v>
      </c>
      <c r="G6" s="117">
        <v>16129.43525</v>
      </c>
      <c r="H6" s="117">
        <v>14109.237137000009</v>
      </c>
      <c r="I6" s="19">
        <f>G6+H6</f>
        <v>30238.67238700001</v>
      </c>
      <c r="J6" s="119">
        <v>19611</v>
      </c>
      <c r="K6" s="117">
        <v>15895</v>
      </c>
      <c r="L6" s="117">
        <v>13531</v>
      </c>
      <c r="M6" s="19">
        <f>K6+L6</f>
        <v>29426</v>
      </c>
      <c r="N6" s="85">
        <v>81</v>
      </c>
      <c r="O6" s="85">
        <v>61</v>
      </c>
      <c r="P6" s="92"/>
      <c r="Q6" s="20">
        <f>J6-P6</f>
        <v>19611</v>
      </c>
      <c r="R6" s="21">
        <v>4900</v>
      </c>
      <c r="S6" s="20">
        <f>IF(R6&gt;0,(R6-R7-$Q6),"")</f>
        <v>-14854</v>
      </c>
      <c r="T6" s="21">
        <v>8300</v>
      </c>
      <c r="U6" s="20">
        <f>IF(T6&gt;0,(T6-T7-$Q6),"")</f>
        <v>-11467</v>
      </c>
      <c r="V6" s="21">
        <v>12369</v>
      </c>
      <c r="W6" s="20">
        <f>IF(V6&gt;0,(V6-V7-$Q6),"")</f>
        <v>-7575</v>
      </c>
      <c r="X6" s="21">
        <v>16370</v>
      </c>
      <c r="Y6" s="20">
        <f>IF(X6&gt;0,(X6-X7-$Q6),"")</f>
        <v>-3612</v>
      </c>
      <c r="Z6" s="21">
        <v>19818</v>
      </c>
      <c r="AA6" s="20">
        <f>IF(Z6&gt;0,(Z6-Z7-$Q6),"")</f>
        <v>-524</v>
      </c>
      <c r="AB6" s="21">
        <v>19825</v>
      </c>
      <c r="AC6" s="22">
        <f>IF(AB6&gt;0,(AB6-AB7-$Q6),"")</f>
        <v>-517</v>
      </c>
      <c r="AD6" s="21">
        <v>19825</v>
      </c>
      <c r="AE6" s="22">
        <f>IF(AD6&gt;0,(AD6-AD7-$Q6),"")</f>
        <v>-517</v>
      </c>
    </row>
    <row r="7" spans="2:42" x14ac:dyDescent="0.3">
      <c r="B7" s="16" t="s">
        <v>23</v>
      </c>
      <c r="C7" s="17">
        <v>379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143</v>
      </c>
      <c r="S7" s="24"/>
      <c r="T7" s="25">
        <v>156</v>
      </c>
      <c r="U7" s="24"/>
      <c r="V7" s="25">
        <v>333</v>
      </c>
      <c r="W7" s="24"/>
      <c r="X7" s="25">
        <v>371</v>
      </c>
      <c r="Y7" s="24"/>
      <c r="Z7" s="25">
        <v>731</v>
      </c>
      <c r="AA7" s="24"/>
      <c r="AB7" s="25">
        <v>731</v>
      </c>
      <c r="AC7" s="26"/>
      <c r="AD7" s="25">
        <v>731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2356</v>
      </c>
      <c r="E8" s="29" t="s">
        <v>27</v>
      </c>
      <c r="F8" s="119">
        <v>10620</v>
      </c>
      <c r="G8" s="117">
        <v>4361.7349999999997</v>
      </c>
      <c r="H8" s="117">
        <v>1335.438883</v>
      </c>
      <c r="I8" s="19">
        <f>G8+H8</f>
        <v>5697.1738829999995</v>
      </c>
      <c r="J8" s="119">
        <v>11624</v>
      </c>
      <c r="K8" s="117">
        <v>4770</v>
      </c>
      <c r="L8" s="117">
        <v>1452</v>
      </c>
      <c r="M8" s="19">
        <f>K8+L8</f>
        <v>6222</v>
      </c>
      <c r="N8" s="87">
        <v>31</v>
      </c>
      <c r="O8" s="87">
        <v>24</v>
      </c>
      <c r="P8" s="92"/>
      <c r="Q8" s="20">
        <f>J8-P8</f>
        <v>11624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8114</v>
      </c>
      <c r="Y8" s="20">
        <f>IF(X8&gt;0,(X8-X9-$Q8),"")</f>
        <v>-3510</v>
      </c>
      <c r="Z8" s="21">
        <v>11619</v>
      </c>
      <c r="AA8" s="20">
        <f>IF(Z8&gt;0,(Z8-Z9-$Q8),"")</f>
        <v>-5</v>
      </c>
      <c r="AB8" s="21">
        <v>11619</v>
      </c>
      <c r="AC8" s="22">
        <f>IF(AB8&gt;0,(AB8-AB9-$Q8),"")</f>
        <v>-5</v>
      </c>
      <c r="AD8" s="21">
        <v>11619</v>
      </c>
      <c r="AE8" s="22">
        <f>IF(AD8&gt;0,(AD8-AD9-$Q8),"")</f>
        <v>-5</v>
      </c>
    </row>
    <row r="9" spans="2:42" x14ac:dyDescent="0.3">
      <c r="B9" s="28" t="s">
        <v>28</v>
      </c>
      <c r="C9" s="17">
        <v>1452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5590</v>
      </c>
      <c r="E10" s="18" t="s">
        <v>31</v>
      </c>
      <c r="F10" s="119">
        <v>13290</v>
      </c>
      <c r="G10" s="117">
        <v>10075.471374999999</v>
      </c>
      <c r="H10" s="117">
        <v>1861.7223524999999</v>
      </c>
      <c r="I10" s="19">
        <f>G10+H10</f>
        <v>11937.193727499998</v>
      </c>
      <c r="J10" s="119">
        <v>13247</v>
      </c>
      <c r="K10" s="117">
        <v>10079</v>
      </c>
      <c r="L10" s="117">
        <v>1798</v>
      </c>
      <c r="M10" s="19">
        <f>K10+L10</f>
        <v>11877</v>
      </c>
      <c r="N10" s="88">
        <v>44</v>
      </c>
      <c r="O10" s="88">
        <v>39</v>
      </c>
      <c r="P10" s="92"/>
      <c r="Q10" s="20">
        <f>J10-P10</f>
        <v>13247</v>
      </c>
      <c r="R10" s="21">
        <v>3322</v>
      </c>
      <c r="S10" s="20">
        <f>IF(R10&gt;0,(R10-R11-$Q10),"")</f>
        <v>-10069</v>
      </c>
      <c r="T10" s="21">
        <v>5754</v>
      </c>
      <c r="U10" s="20">
        <f>IF(T10&gt;0,(T10-T11-$Q10),"")</f>
        <v>-7707</v>
      </c>
      <c r="V10" s="21">
        <v>7531</v>
      </c>
      <c r="W10" s="20">
        <f>IF(V10&gt;0,(V10-V11-$Q10),"")</f>
        <v>-5940</v>
      </c>
      <c r="X10" s="21">
        <v>11527</v>
      </c>
      <c r="Y10" s="20">
        <f>IF(X10&gt;0,(X10-X11-$Q10),"")</f>
        <v>-1991</v>
      </c>
      <c r="Z10" s="21">
        <v>11538</v>
      </c>
      <c r="AA10" s="20">
        <f>IF(Z10&gt;0,(Z10-Z11-$Q10),"")</f>
        <v>-1980</v>
      </c>
      <c r="AB10" s="21">
        <v>11538</v>
      </c>
      <c r="AC10" s="22">
        <f>IF(AB10&gt;0,(AB10-AB11-$Q10),"")</f>
        <v>-1980</v>
      </c>
      <c r="AD10" s="21">
        <v>11538</v>
      </c>
      <c r="AE10" s="22">
        <f>IF(AD10&gt;0,(AD10-AD11-$Q10),"")</f>
        <v>-1980</v>
      </c>
    </row>
    <row r="11" spans="2:42" x14ac:dyDescent="0.3">
      <c r="B11" s="16" t="s">
        <v>32</v>
      </c>
      <c r="C11" s="17">
        <v>1888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144</v>
      </c>
      <c r="S11" s="24"/>
      <c r="T11" s="30">
        <v>214</v>
      </c>
      <c r="U11" s="24"/>
      <c r="V11" s="30">
        <v>224</v>
      </c>
      <c r="W11" s="24"/>
      <c r="X11" s="30">
        <v>271</v>
      </c>
      <c r="Y11" s="24"/>
      <c r="Z11" s="30">
        <v>271</v>
      </c>
      <c r="AA11" s="24"/>
      <c r="AB11" s="30">
        <v>271</v>
      </c>
      <c r="AC11" s="26"/>
      <c r="AD11" s="30">
        <v>271</v>
      </c>
      <c r="AE11" s="26"/>
    </row>
    <row r="12" spans="2:42" x14ac:dyDescent="0.3">
      <c r="B12" s="16" t="s">
        <v>34</v>
      </c>
      <c r="C12" s="17">
        <v>4157</v>
      </c>
      <c r="E12" s="29" t="s">
        <v>35</v>
      </c>
      <c r="F12" s="119">
        <v>15742</v>
      </c>
      <c r="G12" s="117">
        <v>11003.016</v>
      </c>
      <c r="H12" s="117">
        <v>14986.688259500001</v>
      </c>
      <c r="I12" s="19">
        <f>G12+H12</f>
        <v>25989.704259500002</v>
      </c>
      <c r="J12" s="119">
        <v>14902</v>
      </c>
      <c r="K12" s="117">
        <v>10810</v>
      </c>
      <c r="L12" s="117">
        <v>14098</v>
      </c>
      <c r="M12" s="19">
        <f>K12+L12</f>
        <v>24908</v>
      </c>
      <c r="N12" s="88">
        <v>57</v>
      </c>
      <c r="O12" s="88">
        <v>46</v>
      </c>
      <c r="P12" s="92"/>
      <c r="Q12" s="20">
        <f>J12-P12</f>
        <v>14902</v>
      </c>
      <c r="R12" s="21">
        <v>3464</v>
      </c>
      <c r="S12" s="20">
        <f>IF(R12&gt;0,(R12-R13-$Q12),"")</f>
        <v>-11474</v>
      </c>
      <c r="T12" s="21">
        <v>5008</v>
      </c>
      <c r="U12" s="20">
        <f>IF(T12&gt;0,(T12-T13-$Q12),"")</f>
        <v>-9944</v>
      </c>
      <c r="V12" s="21">
        <v>6915</v>
      </c>
      <c r="W12" s="20">
        <f>IF(V12&gt;0,(V12-V13-$Q12),"")</f>
        <v>-8152</v>
      </c>
      <c r="X12" s="21">
        <v>10508</v>
      </c>
      <c r="Y12" s="20">
        <f>IF(X12&gt;0,(X12-X13-$Q12),"")</f>
        <v>-4789</v>
      </c>
      <c r="Z12" s="21">
        <v>10615</v>
      </c>
      <c r="AA12" s="20">
        <f>IF(Z12&gt;0,(Z12-Z13-$Q12),"")</f>
        <v>-4698</v>
      </c>
      <c r="AB12" s="21">
        <v>10615</v>
      </c>
      <c r="AC12" s="22">
        <f>IF(AB12&gt;0,(AB12-AB13-$Q12),"")</f>
        <v>-4698</v>
      </c>
      <c r="AD12" s="21">
        <v>10615</v>
      </c>
      <c r="AE12" s="22">
        <f>IF(AD12&gt;0,(AD12-AD13-$Q12),"")</f>
        <v>-4698</v>
      </c>
    </row>
    <row r="13" spans="2:42" x14ac:dyDescent="0.3">
      <c r="B13" s="16" t="s">
        <v>36</v>
      </c>
      <c r="C13" s="17">
        <v>1449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36</v>
      </c>
      <c r="S13" s="24"/>
      <c r="T13" s="30">
        <v>50</v>
      </c>
      <c r="U13" s="24"/>
      <c r="V13" s="30">
        <v>165</v>
      </c>
      <c r="W13" s="24"/>
      <c r="X13" s="30">
        <v>395</v>
      </c>
      <c r="Y13" s="24"/>
      <c r="Z13" s="30">
        <v>411</v>
      </c>
      <c r="AA13" s="24"/>
      <c r="AB13" s="30">
        <v>411</v>
      </c>
      <c r="AC13" s="26"/>
      <c r="AD13" s="30">
        <v>411</v>
      </c>
      <c r="AE13" s="26"/>
    </row>
    <row r="14" spans="2:42" x14ac:dyDescent="0.3">
      <c r="B14" s="16" t="s">
        <v>38</v>
      </c>
      <c r="C14" s="17">
        <v>11760</v>
      </c>
      <c r="E14" s="18" t="s">
        <v>39</v>
      </c>
      <c r="F14" s="119">
        <v>23715</v>
      </c>
      <c r="G14" s="117">
        <v>17364.375</v>
      </c>
      <c r="H14" s="117">
        <v>21642.829817150021</v>
      </c>
      <c r="I14" s="19">
        <f>G14+H14</f>
        <v>39007.204817150021</v>
      </c>
      <c r="J14" s="119">
        <v>23410</v>
      </c>
      <c r="K14" s="117">
        <v>17524</v>
      </c>
      <c r="L14" s="117">
        <v>21691</v>
      </c>
      <c r="M14" s="19">
        <f>K14+L14</f>
        <v>39215</v>
      </c>
      <c r="N14" s="88">
        <v>70</v>
      </c>
      <c r="O14" s="88">
        <v>57</v>
      </c>
      <c r="P14" s="92"/>
      <c r="Q14" s="20">
        <f>J14-P14</f>
        <v>23410</v>
      </c>
      <c r="R14" s="21">
        <v>4903</v>
      </c>
      <c r="S14" s="20">
        <f>IF(R14&gt;0,(R14-R15-$Q14),"")</f>
        <v>-18629</v>
      </c>
      <c r="T14" s="21">
        <v>8281</v>
      </c>
      <c r="U14" s="20">
        <f>IF(T14&gt;0,(T14-T15-$Q14),"")</f>
        <v>-15634</v>
      </c>
      <c r="V14" s="21">
        <v>9170</v>
      </c>
      <c r="W14" s="20">
        <f>IF(V14&gt;0,(V14-V15-$Q14),"")</f>
        <v>-14745</v>
      </c>
      <c r="X14" s="21">
        <v>12015</v>
      </c>
      <c r="Y14" s="20">
        <f>IF(X14&gt;0,(X14-X15-$Q14),"")</f>
        <v>-12042</v>
      </c>
      <c r="Z14" s="21">
        <v>15270</v>
      </c>
      <c r="AA14" s="20">
        <f>IF(Z14&gt;0,(Z14-Z15-$Q14),"")</f>
        <v>-9362</v>
      </c>
      <c r="AB14" s="21">
        <v>15610</v>
      </c>
      <c r="AC14" s="22">
        <f>IF(AB14&gt;0,(AB14-AB15-$Q14),"")</f>
        <v>-9022</v>
      </c>
      <c r="AD14" s="21">
        <v>15610</v>
      </c>
      <c r="AE14" s="22">
        <f>IF(AD14&gt;0,(AD14-AD15-$Q14),"")</f>
        <v>-9022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122</v>
      </c>
      <c r="S15" s="24"/>
      <c r="T15" s="25">
        <v>505</v>
      </c>
      <c r="U15" s="24"/>
      <c r="V15" s="25">
        <v>505</v>
      </c>
      <c r="W15" s="24"/>
      <c r="X15" s="25">
        <v>647</v>
      </c>
      <c r="Y15" s="24"/>
      <c r="Z15" s="25">
        <v>1222</v>
      </c>
      <c r="AA15" s="24"/>
      <c r="AB15" s="25">
        <v>1222</v>
      </c>
      <c r="AC15" s="26"/>
      <c r="AD15" s="25">
        <v>1222</v>
      </c>
      <c r="AE15" s="26"/>
    </row>
    <row r="16" spans="2:42" ht="15" customHeight="1" thickBot="1" x14ac:dyDescent="0.35">
      <c r="B16" s="28" t="s">
        <v>42</v>
      </c>
      <c r="C16" s="17">
        <v>9614</v>
      </c>
      <c r="E16" s="84"/>
      <c r="F16" s="31">
        <f t="shared" ref="F16:M16" si="0">SUM(F6:F15)</f>
        <v>83420</v>
      </c>
      <c r="G16" s="31">
        <f t="shared" si="0"/>
        <v>58934.032624999993</v>
      </c>
      <c r="H16" s="31">
        <f t="shared" si="0"/>
        <v>53935.916449150034</v>
      </c>
      <c r="I16" s="32">
        <f t="shared" si="0"/>
        <v>112869.94907415003</v>
      </c>
      <c r="J16" s="33">
        <f t="shared" si="0"/>
        <v>82794</v>
      </c>
      <c r="K16" s="33">
        <f t="shared" si="0"/>
        <v>59078</v>
      </c>
      <c r="L16" s="33">
        <f t="shared" si="0"/>
        <v>52570</v>
      </c>
      <c r="M16" s="33">
        <f t="shared" si="0"/>
        <v>111648</v>
      </c>
      <c r="N16" s="31">
        <f>SUM(N14,N12,N10,N8,N6)</f>
        <v>283</v>
      </c>
      <c r="O16" s="31">
        <f>SUM(O14,O12,O10,O8,O6)</f>
        <v>227</v>
      </c>
      <c r="P16" s="34">
        <f>SUM(P6:P15)</f>
        <v>0</v>
      </c>
      <c r="Q16" s="34">
        <f>SUM(Q6:Q15)</f>
        <v>82794</v>
      </c>
      <c r="R16" s="35">
        <f>R6+R8+R10+R12+R14-R7-R9-R11-R13-R15</f>
        <v>16144</v>
      </c>
      <c r="S16" s="36">
        <f>IF(R16&gt;1,(R16-$Q16),"")</f>
        <v>-66650</v>
      </c>
      <c r="T16" s="35">
        <f>T6+T8+T10+T12+T14-T7-T9-T11-T13-T15</f>
        <v>26418</v>
      </c>
      <c r="U16" s="36">
        <f>IF(T16&gt;1,(T16-$Q16),"")</f>
        <v>-56376</v>
      </c>
      <c r="V16" s="35">
        <f>V6+V8+V10+V12+V14-V7-V9-V11-V13-V15</f>
        <v>34758</v>
      </c>
      <c r="W16" s="36">
        <f>IF(V16&gt;1,(V16-$Q16),"")</f>
        <v>-48036</v>
      </c>
      <c r="X16" s="35">
        <f>X6+X8+X10+X12+X14-X7-X9-X11-X13-X15</f>
        <v>56850</v>
      </c>
      <c r="Y16" s="36">
        <f>IF(X16&gt;1,(X16-$Q16),"")</f>
        <v>-25944</v>
      </c>
      <c r="Z16" s="35">
        <f>Z6+Z8+Z10+Z12+Z14-Z7-Z9-Z11-Z13-Z15</f>
        <v>66225</v>
      </c>
      <c r="AA16" s="36">
        <f>IF(Z16&gt;1,(Z16-$Q16),"")</f>
        <v>-16569</v>
      </c>
      <c r="AB16" s="35">
        <f>AB6+AB8+AB10+AB12+AB14-AB7-AB9-AB11-AB13-AB15</f>
        <v>66572</v>
      </c>
      <c r="AC16" s="37">
        <f>IF(AB16&gt;1,(AB16-$Q16),"")</f>
        <v>-16222</v>
      </c>
      <c r="AD16" s="35">
        <f>AD6+AD8+AD10+AD12+AD14-AD7-AD9-AD11-AD13-AD15</f>
        <v>66572</v>
      </c>
      <c r="AE16" s="37">
        <f>IF(AD16&gt;1,(AD16-$Q16),"")</f>
        <v>-16222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56</v>
      </c>
      <c r="P17" s="38" t="s">
        <v>44</v>
      </c>
      <c r="Q17" s="39"/>
      <c r="R17" s="40">
        <f>R15+R13+R11+R9+R7</f>
        <v>445</v>
      </c>
      <c r="S17" s="41"/>
      <c r="T17" s="40">
        <f>T15+T13+T11+T9+T7</f>
        <v>925</v>
      </c>
      <c r="U17" s="41"/>
      <c r="V17" s="40">
        <f>V15+V13+V11+V9+V7</f>
        <v>1227</v>
      </c>
      <c r="W17" s="41"/>
      <c r="X17" s="40">
        <f>X15+X13+X11+X9+X7</f>
        <v>1684</v>
      </c>
      <c r="Y17" s="41"/>
      <c r="Z17" s="40">
        <f>Z15+Z13+Z11+Z9+Z7</f>
        <v>2635</v>
      </c>
      <c r="AA17" s="41"/>
      <c r="AB17" s="40">
        <f>AB15+AB13+AB11+AB9+AB7</f>
        <v>2635</v>
      </c>
      <c r="AC17" s="42"/>
      <c r="AD17" s="40">
        <f>AD15+AD13+AD11+AD9+AD7</f>
        <v>2635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8072</v>
      </c>
      <c r="S18" s="46"/>
      <c r="T18" s="47">
        <f>IF(T16&gt;0,(T16-R16)/2,"")</f>
        <v>5137</v>
      </c>
      <c r="U18" s="46"/>
      <c r="V18" s="47">
        <f>IF(V16&gt;0,(V16-T16)/2,"")</f>
        <v>4170</v>
      </c>
      <c r="W18" s="46"/>
      <c r="X18" s="47">
        <f>IF(X16&gt;0,(X16-V16)/2,"")</f>
        <v>11046</v>
      </c>
      <c r="Y18" s="46"/>
      <c r="Z18" s="47">
        <f>IF(Z16&gt;0,(Z16-X16)/2,"")</f>
        <v>4687.5</v>
      </c>
      <c r="AA18" s="46"/>
      <c r="AB18" s="47">
        <f>IF(AB16&gt;0,(AB16-Z16)/2,"")</f>
        <v>173.5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9671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965</v>
      </c>
      <c r="L20" s="4"/>
      <c r="M20" s="4"/>
      <c r="Q20" s="51" t="s">
        <v>49</v>
      </c>
      <c r="R20" s="35">
        <v>19279</v>
      </c>
      <c r="S20" s="36">
        <v>-61249</v>
      </c>
      <c r="T20" s="35">
        <v>31867</v>
      </c>
      <c r="U20" s="36">
        <v>-48661</v>
      </c>
      <c r="V20" s="35">
        <v>48805</v>
      </c>
      <c r="W20" s="36">
        <v>-31723</v>
      </c>
      <c r="X20" s="35">
        <v>64975</v>
      </c>
      <c r="Y20" s="36">
        <v>-15553</v>
      </c>
      <c r="Z20" s="35">
        <v>69562</v>
      </c>
      <c r="AA20" s="36">
        <v>-10966</v>
      </c>
      <c r="AB20" s="35">
        <v>69562</v>
      </c>
      <c r="AC20" s="37">
        <v>-10966</v>
      </c>
      <c r="AD20" s="35">
        <v>69562</v>
      </c>
      <c r="AE20" s="37">
        <v>-10966</v>
      </c>
    </row>
    <row r="21" spans="2:43" ht="15" customHeight="1" thickBot="1" x14ac:dyDescent="0.35">
      <c r="B21" s="57" t="s">
        <v>52</v>
      </c>
      <c r="C21" s="58">
        <v>4438</v>
      </c>
      <c r="M21" s="4"/>
      <c r="Q21" s="52"/>
      <c r="R21" s="40">
        <v>629</v>
      </c>
      <c r="S21" s="41"/>
      <c r="T21" s="40">
        <v>1312</v>
      </c>
      <c r="U21" s="41"/>
      <c r="V21" s="40">
        <v>1721</v>
      </c>
      <c r="W21" s="41"/>
      <c r="X21" s="40">
        <v>2331</v>
      </c>
      <c r="Y21" s="41"/>
      <c r="Z21" s="40">
        <v>2345</v>
      </c>
      <c r="AA21" s="41"/>
      <c r="AB21" s="40">
        <v>2345</v>
      </c>
      <c r="AC21" s="42"/>
      <c r="AD21" s="40">
        <v>2345</v>
      </c>
      <c r="AE21" s="42"/>
    </row>
    <row r="22" spans="2:43" ht="15" customHeight="1" thickBot="1" x14ac:dyDescent="0.35">
      <c r="M22" s="4"/>
      <c r="Q22" s="54"/>
      <c r="R22" s="55">
        <v>4559.5</v>
      </c>
      <c r="S22" s="55"/>
      <c r="T22" s="55">
        <v>3673.5</v>
      </c>
      <c r="U22" s="55"/>
      <c r="V22" s="55">
        <v>4531</v>
      </c>
      <c r="W22" s="55"/>
      <c r="X22" s="55">
        <v>11340.5</v>
      </c>
      <c r="Y22" s="55"/>
      <c r="Z22" s="55">
        <v>2283.5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-3135</v>
      </c>
      <c r="S24" s="60"/>
      <c r="T24" s="60">
        <f>IF(T16&gt;0,T16-T20,"")</f>
        <v>-5449</v>
      </c>
      <c r="U24" s="60"/>
      <c r="V24" s="60">
        <f>IF(V16&gt;0,V16-V20,"")</f>
        <v>-14047</v>
      </c>
      <c r="W24" s="60"/>
      <c r="X24" s="60">
        <f>IF(X16&gt;0,X16-X20,"")</f>
        <v>-8125</v>
      </c>
      <c r="Y24" s="60"/>
      <c r="Z24" s="60">
        <f>IF(Z16&gt;0,Z16-Z20,"")</f>
        <v>-3337</v>
      </c>
      <c r="AA24" s="60"/>
      <c r="AB24" s="60">
        <f>IF(AB16&gt;0,AB16-AB20,"")</f>
        <v>-2990</v>
      </c>
      <c r="AC24" s="61"/>
      <c r="AD24" s="60">
        <f>IF(AD16&gt;0,AD16-AD20,"")</f>
        <v>-2990</v>
      </c>
      <c r="AE24" s="61"/>
    </row>
    <row r="25" spans="2:43" x14ac:dyDescent="0.3">
      <c r="M25" s="4"/>
      <c r="Q25" s="62"/>
      <c r="R25" s="63">
        <f>IF(R17&gt;=0,R17-R21,"")</f>
        <v>-184</v>
      </c>
      <c r="S25" s="64"/>
      <c r="T25" s="63">
        <f>IF(T17&gt;=0,T17-T21,"")</f>
        <v>-387</v>
      </c>
      <c r="U25" s="64"/>
      <c r="V25" s="63">
        <f>IF(V17&gt;=0,V17-V21,"")</f>
        <v>-494</v>
      </c>
      <c r="W25" s="64"/>
      <c r="X25" s="63">
        <f>IF(X17&gt;=0,X17-X21,"")</f>
        <v>-647</v>
      </c>
      <c r="Y25" s="64"/>
      <c r="Z25" s="63">
        <f>IF(Z17&gt;=0,Z17-Z21,"")</f>
        <v>290</v>
      </c>
      <c r="AA25" s="64"/>
      <c r="AB25" s="63">
        <f>IF(AB17&gt;=0,AB17-AB21,"")</f>
        <v>290</v>
      </c>
      <c r="AC25" s="65"/>
      <c r="AD25" s="63">
        <f>IF(AD17&gt;=0,AD17-AD21,"")</f>
        <v>290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3512.5</v>
      </c>
      <c r="S26" s="55"/>
      <c r="T26" s="67">
        <f>IFERROR(IF(T18&gt;0,T18-T22,""),"")</f>
        <v>1463.5</v>
      </c>
      <c r="U26" s="55"/>
      <c r="V26" s="67">
        <f>IFERROR(IF(V18&gt;0,V18-V22,""),"")</f>
        <v>-361</v>
      </c>
      <c r="W26" s="55"/>
      <c r="X26" s="67">
        <f>IFERROR(IF(X18&gt;0,X18-X22,""),"")</f>
        <v>-294.5</v>
      </c>
      <c r="Y26" s="55"/>
      <c r="Z26" s="67">
        <f>IFERROR(IF(Z18&gt;0,Z18-Z22,""),"")</f>
        <v>2404</v>
      </c>
      <c r="AA26" s="55"/>
      <c r="AB26" s="67">
        <f>IFERROR(IF(AB18&gt;0,AB18-AB22,""),"")</f>
        <v>173.5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12517</v>
      </c>
      <c r="D29" s="76">
        <f>C14</f>
        <v>11760</v>
      </c>
      <c r="E29" s="77">
        <f>D29-C29</f>
        <v>-757</v>
      </c>
      <c r="O29" s="4"/>
    </row>
    <row r="30" spans="2:43" x14ac:dyDescent="0.3">
      <c r="B30" s="74" t="s">
        <v>56</v>
      </c>
      <c r="C30" s="122">
        <v>24916</v>
      </c>
      <c r="D30" s="76">
        <f>C7+C15+C16+C17+C18</f>
        <v>9993</v>
      </c>
      <c r="E30" s="77">
        <f>D30-C30</f>
        <v>-14923</v>
      </c>
      <c r="J30" s="53"/>
      <c r="O30" s="4"/>
    </row>
    <row r="31" spans="2:43" x14ac:dyDescent="0.3">
      <c r="B31" s="74" t="s">
        <v>21</v>
      </c>
      <c r="C31" s="122">
        <v>2886</v>
      </c>
      <c r="D31" s="76">
        <f>C6</f>
        <v>2886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13192</v>
      </c>
      <c r="D32" s="76">
        <f>C10+C11+C12+C13</f>
        <v>13084</v>
      </c>
      <c r="E32" s="77">
        <f>D32-C32</f>
        <v>-108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14285</v>
      </c>
      <c r="D33" s="76">
        <f>C19+C20+C21</f>
        <v>15074</v>
      </c>
      <c r="E33" s="77">
        <f>D33-C33</f>
        <v>789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3808</v>
      </c>
      <c r="D34" s="80">
        <f>SUM(C8+C9)</f>
        <v>3808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1053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274.5</v>
      </c>
      <c r="X35" s="104">
        <v>549</v>
      </c>
      <c r="Y35" s="104">
        <f t="shared" ref="Y35:Y64" si="4">IF(Z35&gt;0,(Z35-X35)/2,"")</f>
        <v>241.5</v>
      </c>
      <c r="Z35" s="104">
        <v>1032</v>
      </c>
      <c r="AA35" s="104">
        <f t="shared" ref="AA35:AA64" si="5">IF(AB35&gt;0,(AB35-Z35)/2,"")</f>
        <v>3.5</v>
      </c>
      <c r="AB35" s="104">
        <v>1039</v>
      </c>
      <c r="AC35" s="104">
        <f t="shared" ref="AC35:AC64" si="6">IF(AD35&gt;0,(AD35-AB35)/2,"")</f>
        <v>0</v>
      </c>
      <c r="AD35" s="104">
        <v>1039</v>
      </c>
      <c r="AE35" s="105">
        <f t="shared" ref="AE35:AE64" si="7">AD35-Q35</f>
        <v>-14</v>
      </c>
    </row>
    <row r="36" spans="2:31" ht="15.6" customHeight="1" x14ac:dyDescent="0.3">
      <c r="N36" s="212"/>
      <c r="O36" s="95" t="s">
        <v>66</v>
      </c>
      <c r="P36" s="106"/>
      <c r="Q36" s="106">
        <v>1637</v>
      </c>
      <c r="R36" s="106">
        <v>0</v>
      </c>
      <c r="S36" s="106">
        <f t="shared" si="1"/>
        <v>299.5</v>
      </c>
      <c r="T36" s="106">
        <v>599</v>
      </c>
      <c r="U36" s="106">
        <f t="shared" si="2"/>
        <v>264</v>
      </c>
      <c r="V36" s="106">
        <v>1127</v>
      </c>
      <c r="W36" s="106">
        <f t="shared" si="3"/>
        <v>0</v>
      </c>
      <c r="X36" s="106">
        <v>1127</v>
      </c>
      <c r="Y36" s="106">
        <f t="shared" si="4"/>
        <v>8</v>
      </c>
      <c r="Z36" s="106">
        <v>1143</v>
      </c>
      <c r="AA36" s="106">
        <f t="shared" si="5"/>
        <v>0</v>
      </c>
      <c r="AB36" s="106">
        <v>1143</v>
      </c>
      <c r="AC36" s="106">
        <f t="shared" si="6"/>
        <v>0</v>
      </c>
      <c r="AD36" s="106">
        <v>1143</v>
      </c>
      <c r="AE36" s="107">
        <f t="shared" si="7"/>
        <v>-494</v>
      </c>
    </row>
    <row r="37" spans="2:31" ht="15.6" customHeight="1" x14ac:dyDescent="0.3">
      <c r="N37" s="212"/>
      <c r="O37" s="94" t="s">
        <v>67</v>
      </c>
      <c r="P37" s="108"/>
      <c r="Q37" s="108">
        <v>3599</v>
      </c>
      <c r="R37" s="108">
        <v>784</v>
      </c>
      <c r="S37" s="108">
        <f t="shared" si="1"/>
        <v>210</v>
      </c>
      <c r="T37" s="108">
        <v>1204</v>
      </c>
      <c r="U37" s="108">
        <f t="shared" si="2"/>
        <v>285.5</v>
      </c>
      <c r="V37" s="108">
        <v>1775</v>
      </c>
      <c r="W37" s="108">
        <f t="shared" si="3"/>
        <v>526</v>
      </c>
      <c r="X37" s="108">
        <v>2827</v>
      </c>
      <c r="Y37" s="108">
        <f t="shared" si="4"/>
        <v>456.5</v>
      </c>
      <c r="Z37" s="108">
        <v>3740</v>
      </c>
      <c r="AA37" s="108">
        <f t="shared" si="5"/>
        <v>0</v>
      </c>
      <c r="AB37" s="108">
        <v>3740</v>
      </c>
      <c r="AC37" s="108">
        <f t="shared" si="6"/>
        <v>0</v>
      </c>
      <c r="AD37" s="108">
        <v>3740</v>
      </c>
      <c r="AE37" s="109">
        <f t="shared" si="7"/>
        <v>141</v>
      </c>
    </row>
    <row r="38" spans="2:31" ht="15.6" customHeight="1" x14ac:dyDescent="0.3">
      <c r="N38" s="212"/>
      <c r="O38" s="95" t="s">
        <v>68</v>
      </c>
      <c r="P38" s="106"/>
      <c r="Q38" s="106">
        <v>3266</v>
      </c>
      <c r="R38" s="106">
        <v>770</v>
      </c>
      <c r="S38" s="106">
        <f t="shared" si="1"/>
        <v>447.5</v>
      </c>
      <c r="T38" s="106">
        <v>1665</v>
      </c>
      <c r="U38" s="106">
        <f t="shared" si="2"/>
        <v>392</v>
      </c>
      <c r="V38" s="106">
        <v>2449</v>
      </c>
      <c r="W38" s="106">
        <f t="shared" si="3"/>
        <v>285.5</v>
      </c>
      <c r="X38" s="106">
        <v>3020</v>
      </c>
      <c r="Y38" s="106">
        <f t="shared" si="4"/>
        <v>154.5</v>
      </c>
      <c r="Z38" s="106">
        <v>3329</v>
      </c>
      <c r="AA38" s="106">
        <f t="shared" si="5"/>
        <v>0</v>
      </c>
      <c r="AB38" s="106">
        <v>3329</v>
      </c>
      <c r="AC38" s="106">
        <f t="shared" si="6"/>
        <v>0</v>
      </c>
      <c r="AD38" s="106">
        <v>3329</v>
      </c>
      <c r="AE38" s="107">
        <f t="shared" si="7"/>
        <v>63</v>
      </c>
    </row>
    <row r="39" spans="2:31" ht="15.6" customHeight="1" x14ac:dyDescent="0.3">
      <c r="N39" s="212"/>
      <c r="O39" s="94" t="s">
        <v>69</v>
      </c>
      <c r="P39" s="108"/>
      <c r="Q39" s="108">
        <v>2640</v>
      </c>
      <c r="R39" s="108">
        <v>998</v>
      </c>
      <c r="S39" s="108">
        <f t="shared" si="1"/>
        <v>0</v>
      </c>
      <c r="T39" s="108">
        <v>998</v>
      </c>
      <c r="U39" s="108">
        <f t="shared" si="2"/>
        <v>270</v>
      </c>
      <c r="V39" s="108">
        <v>1538</v>
      </c>
      <c r="W39" s="108">
        <f t="shared" si="3"/>
        <v>396.5</v>
      </c>
      <c r="X39" s="108">
        <v>2331</v>
      </c>
      <c r="Y39" s="108">
        <f t="shared" si="4"/>
        <v>243.5</v>
      </c>
      <c r="Z39" s="108">
        <v>2818</v>
      </c>
      <c r="AA39" s="108">
        <f t="shared" si="5"/>
        <v>0</v>
      </c>
      <c r="AB39" s="108">
        <v>2818</v>
      </c>
      <c r="AC39" s="108">
        <f t="shared" si="6"/>
        <v>0</v>
      </c>
      <c r="AD39" s="108">
        <v>2818</v>
      </c>
      <c r="AE39" s="109">
        <f t="shared" si="7"/>
        <v>178</v>
      </c>
    </row>
    <row r="40" spans="2:31" ht="15.6" customHeight="1" x14ac:dyDescent="0.3">
      <c r="N40" s="212"/>
      <c r="O40" s="95" t="s">
        <v>70</v>
      </c>
      <c r="P40" s="106"/>
      <c r="Q40" s="106">
        <v>3409</v>
      </c>
      <c r="R40" s="106">
        <v>989</v>
      </c>
      <c r="S40" s="106">
        <f t="shared" si="1"/>
        <v>214.5</v>
      </c>
      <c r="T40" s="106">
        <v>1418</v>
      </c>
      <c r="U40" s="106">
        <f t="shared" si="2"/>
        <v>323</v>
      </c>
      <c r="V40" s="106">
        <v>2064</v>
      </c>
      <c r="W40" s="106">
        <f t="shared" si="3"/>
        <v>283.5</v>
      </c>
      <c r="X40" s="106">
        <v>2631</v>
      </c>
      <c r="Y40" s="106">
        <f t="shared" si="4"/>
        <v>543</v>
      </c>
      <c r="Z40" s="106">
        <v>3717</v>
      </c>
      <c r="AA40" s="106">
        <f t="shared" si="5"/>
        <v>0</v>
      </c>
      <c r="AB40" s="106">
        <v>3717</v>
      </c>
      <c r="AC40" s="106">
        <f t="shared" si="6"/>
        <v>0</v>
      </c>
      <c r="AD40" s="106">
        <v>3717</v>
      </c>
      <c r="AE40" s="107">
        <f t="shared" si="7"/>
        <v>308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1779</v>
      </c>
      <c r="R42" s="106">
        <v>639</v>
      </c>
      <c r="S42" s="106">
        <f t="shared" si="1"/>
        <v>255.5</v>
      </c>
      <c r="T42" s="106">
        <v>1150</v>
      </c>
      <c r="U42" s="106">
        <f t="shared" si="2"/>
        <v>257.5</v>
      </c>
      <c r="V42" s="106">
        <v>1665</v>
      </c>
      <c r="W42" s="106">
        <f t="shared" si="3"/>
        <v>0</v>
      </c>
      <c r="X42" s="106">
        <v>1665</v>
      </c>
      <c r="Y42" s="106">
        <f t="shared" si="4"/>
        <v>72</v>
      </c>
      <c r="Z42" s="106">
        <v>1809</v>
      </c>
      <c r="AA42" s="106">
        <f t="shared" si="5"/>
        <v>0</v>
      </c>
      <c r="AB42" s="106">
        <v>1809</v>
      </c>
      <c r="AC42" s="106">
        <f t="shared" si="6"/>
        <v>0</v>
      </c>
      <c r="AD42" s="106">
        <v>1809</v>
      </c>
      <c r="AE42" s="107">
        <f t="shared" si="7"/>
        <v>30</v>
      </c>
    </row>
    <row r="43" spans="2:31" ht="15.6" customHeight="1" thickBot="1" x14ac:dyDescent="0.35">
      <c r="N43" s="213"/>
      <c r="O43" s="97" t="s">
        <v>73</v>
      </c>
      <c r="P43" s="110"/>
      <c r="Q43" s="110">
        <v>1743</v>
      </c>
      <c r="R43" s="110">
        <v>575</v>
      </c>
      <c r="S43" s="110">
        <f t="shared" si="1"/>
        <v>180</v>
      </c>
      <c r="T43" s="110">
        <v>935</v>
      </c>
      <c r="U43" s="110">
        <f t="shared" si="2"/>
        <v>207</v>
      </c>
      <c r="V43" s="110">
        <v>1349</v>
      </c>
      <c r="W43" s="110">
        <f t="shared" si="3"/>
        <v>198</v>
      </c>
      <c r="X43" s="110">
        <v>1745</v>
      </c>
      <c r="Y43" s="110">
        <f t="shared" si="4"/>
        <v>0</v>
      </c>
      <c r="Z43" s="110">
        <v>1745</v>
      </c>
      <c r="AA43" s="110">
        <f t="shared" si="5"/>
        <v>0</v>
      </c>
      <c r="AB43" s="110">
        <v>1745</v>
      </c>
      <c r="AC43" s="110">
        <f t="shared" si="6"/>
        <v>0</v>
      </c>
      <c r="AD43" s="110">
        <v>1745</v>
      </c>
      <c r="AE43" s="111">
        <f t="shared" si="7"/>
        <v>2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3071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985</v>
      </c>
      <c r="X44" s="112">
        <v>1970</v>
      </c>
      <c r="Y44" s="112">
        <f t="shared" si="4"/>
        <v>550.5</v>
      </c>
      <c r="Z44" s="112">
        <v>3071</v>
      </c>
      <c r="AA44" s="112">
        <f t="shared" si="5"/>
        <v>0</v>
      </c>
      <c r="AB44" s="112">
        <v>3071</v>
      </c>
      <c r="AC44" s="112">
        <f t="shared" si="6"/>
        <v>0</v>
      </c>
      <c r="AD44" s="112">
        <v>3071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2518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544.5</v>
      </c>
      <c r="X45" s="108">
        <v>1089</v>
      </c>
      <c r="Y45" s="108">
        <f t="shared" si="4"/>
        <v>714.5</v>
      </c>
      <c r="Z45" s="108">
        <v>2518</v>
      </c>
      <c r="AA45" s="108">
        <f t="shared" si="5"/>
        <v>0</v>
      </c>
      <c r="AB45" s="108">
        <v>2518</v>
      </c>
      <c r="AC45" s="108">
        <f t="shared" si="6"/>
        <v>0</v>
      </c>
      <c r="AD45" s="108">
        <v>2518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2829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924.5</v>
      </c>
      <c r="X46" s="106">
        <v>1849</v>
      </c>
      <c r="Y46" s="106">
        <f t="shared" si="4"/>
        <v>487.5</v>
      </c>
      <c r="Z46" s="106">
        <v>2824</v>
      </c>
      <c r="AA46" s="106">
        <f t="shared" si="5"/>
        <v>0</v>
      </c>
      <c r="AB46" s="106">
        <v>2824</v>
      </c>
      <c r="AC46" s="106">
        <f t="shared" si="6"/>
        <v>0</v>
      </c>
      <c r="AD46" s="106">
        <v>2824</v>
      </c>
      <c r="AE46" s="107">
        <f t="shared" si="7"/>
        <v>-5</v>
      </c>
    </row>
    <row r="47" spans="2:31" ht="15.6" customHeight="1" thickBot="1" x14ac:dyDescent="0.35">
      <c r="N47" s="213"/>
      <c r="O47" s="97" t="s">
        <v>68</v>
      </c>
      <c r="P47" s="110"/>
      <c r="Q47" s="110">
        <v>3206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1603</v>
      </c>
      <c r="X47" s="110">
        <v>3206</v>
      </c>
      <c r="Y47" s="110">
        <f t="shared" si="4"/>
        <v>0</v>
      </c>
      <c r="Z47" s="110">
        <v>3206</v>
      </c>
      <c r="AA47" s="110">
        <f t="shared" si="5"/>
        <v>0</v>
      </c>
      <c r="AB47" s="110">
        <v>3206</v>
      </c>
      <c r="AC47" s="110">
        <f t="shared" si="6"/>
        <v>0</v>
      </c>
      <c r="AD47" s="110">
        <v>3206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554</v>
      </c>
      <c r="R48" s="112">
        <v>0</v>
      </c>
      <c r="S48" s="112">
        <f t="shared" si="1"/>
        <v>1.5</v>
      </c>
      <c r="T48" s="112">
        <v>3</v>
      </c>
      <c r="U48" s="112">
        <f t="shared" si="2"/>
        <v>24</v>
      </c>
      <c r="V48" s="112">
        <v>51</v>
      </c>
      <c r="W48" s="112">
        <f t="shared" si="3"/>
        <v>67.5</v>
      </c>
      <c r="X48" s="112">
        <v>186</v>
      </c>
      <c r="Y48" s="112">
        <f t="shared" si="4"/>
        <v>0</v>
      </c>
      <c r="Z48" s="112">
        <v>186</v>
      </c>
      <c r="AA48" s="112">
        <f t="shared" si="5"/>
        <v>0</v>
      </c>
      <c r="AB48" s="112">
        <v>186</v>
      </c>
      <c r="AC48" s="112">
        <f t="shared" si="6"/>
        <v>0</v>
      </c>
      <c r="AD48" s="112">
        <v>186</v>
      </c>
      <c r="AE48" s="113">
        <f t="shared" si="7"/>
        <v>-368</v>
      </c>
    </row>
    <row r="49" spans="14:31" ht="15.6" customHeight="1" x14ac:dyDescent="0.3">
      <c r="N49" s="212"/>
      <c r="O49" s="94" t="s">
        <v>66</v>
      </c>
      <c r="P49" s="108"/>
      <c r="Q49" s="108">
        <v>420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35.5</v>
      </c>
      <c r="V49" s="108">
        <v>71</v>
      </c>
      <c r="W49" s="108">
        <f t="shared" si="3"/>
        <v>177</v>
      </c>
      <c r="X49" s="108">
        <v>425</v>
      </c>
      <c r="Y49" s="108">
        <f t="shared" si="4"/>
        <v>0</v>
      </c>
      <c r="Z49" s="108">
        <v>425</v>
      </c>
      <c r="AA49" s="108">
        <f t="shared" si="5"/>
        <v>0</v>
      </c>
      <c r="AB49" s="108">
        <v>425</v>
      </c>
      <c r="AC49" s="108">
        <f t="shared" si="6"/>
        <v>0</v>
      </c>
      <c r="AD49" s="108">
        <v>425</v>
      </c>
      <c r="AE49" s="109">
        <f t="shared" si="7"/>
        <v>5</v>
      </c>
    </row>
    <row r="50" spans="14:31" ht="15.6" customHeight="1" x14ac:dyDescent="0.3">
      <c r="N50" s="212"/>
      <c r="O50" s="95" t="s">
        <v>67</v>
      </c>
      <c r="P50" s="106"/>
      <c r="Q50" s="106">
        <v>3190</v>
      </c>
      <c r="R50" s="106">
        <v>484</v>
      </c>
      <c r="S50" s="106">
        <f t="shared" si="1"/>
        <v>453.5</v>
      </c>
      <c r="T50" s="106">
        <v>1391</v>
      </c>
      <c r="U50" s="106">
        <f t="shared" si="2"/>
        <v>69</v>
      </c>
      <c r="V50" s="106">
        <v>1529</v>
      </c>
      <c r="W50" s="106">
        <f t="shared" si="3"/>
        <v>72.5</v>
      </c>
      <c r="X50" s="106">
        <v>1674</v>
      </c>
      <c r="Y50" s="106">
        <f t="shared" si="4"/>
        <v>0</v>
      </c>
      <c r="Z50" s="106">
        <v>1674</v>
      </c>
      <c r="AA50" s="106">
        <f t="shared" si="5"/>
        <v>0</v>
      </c>
      <c r="AB50" s="106">
        <v>1674</v>
      </c>
      <c r="AC50" s="106">
        <f t="shared" si="6"/>
        <v>0</v>
      </c>
      <c r="AD50" s="106">
        <v>1674</v>
      </c>
      <c r="AE50" s="107">
        <f t="shared" si="7"/>
        <v>-1516</v>
      </c>
    </row>
    <row r="51" spans="14:31" ht="15.6" customHeight="1" x14ac:dyDescent="0.3">
      <c r="N51" s="212"/>
      <c r="O51" s="94" t="s">
        <v>68</v>
      </c>
      <c r="P51" s="108"/>
      <c r="Q51" s="108">
        <v>2856</v>
      </c>
      <c r="R51" s="108">
        <v>384</v>
      </c>
      <c r="S51" s="108">
        <f t="shared" si="1"/>
        <v>167</v>
      </c>
      <c r="T51" s="108">
        <v>718</v>
      </c>
      <c r="U51" s="108">
        <f t="shared" si="2"/>
        <v>414</v>
      </c>
      <c r="V51" s="108">
        <v>1546</v>
      </c>
      <c r="W51" s="108">
        <f t="shared" si="3"/>
        <v>171</v>
      </c>
      <c r="X51" s="108">
        <v>1888</v>
      </c>
      <c r="Y51" s="108">
        <f t="shared" si="4"/>
        <v>0</v>
      </c>
      <c r="Z51" s="108">
        <v>1888</v>
      </c>
      <c r="AA51" s="108">
        <f t="shared" si="5"/>
        <v>0</v>
      </c>
      <c r="AB51" s="108">
        <v>1888</v>
      </c>
      <c r="AC51" s="108">
        <f t="shared" si="6"/>
        <v>0</v>
      </c>
      <c r="AD51" s="108">
        <v>1888</v>
      </c>
      <c r="AE51" s="109">
        <f t="shared" si="7"/>
        <v>-968</v>
      </c>
    </row>
    <row r="52" spans="14:31" ht="15.6" customHeight="1" x14ac:dyDescent="0.3">
      <c r="N52" s="212"/>
      <c r="O52" s="95" t="s">
        <v>69</v>
      </c>
      <c r="P52" s="106"/>
      <c r="Q52" s="106">
        <v>3325</v>
      </c>
      <c r="R52" s="106">
        <v>0</v>
      </c>
      <c r="S52" s="106">
        <f t="shared" si="1"/>
        <v>445.5</v>
      </c>
      <c r="T52" s="106">
        <v>891</v>
      </c>
      <c r="U52" s="106">
        <f t="shared" si="2"/>
        <v>13</v>
      </c>
      <c r="V52" s="106">
        <v>917</v>
      </c>
      <c r="W52" s="106">
        <f t="shared" si="3"/>
        <v>226</v>
      </c>
      <c r="X52" s="106">
        <v>1369</v>
      </c>
      <c r="Y52" s="106">
        <f t="shared" si="4"/>
        <v>5.5</v>
      </c>
      <c r="Z52" s="106">
        <v>1380</v>
      </c>
      <c r="AA52" s="106">
        <f t="shared" si="5"/>
        <v>0</v>
      </c>
      <c r="AB52" s="106">
        <v>1380</v>
      </c>
      <c r="AC52" s="106">
        <f t="shared" si="6"/>
        <v>0</v>
      </c>
      <c r="AD52" s="106">
        <v>1380</v>
      </c>
      <c r="AE52" s="107">
        <f t="shared" si="7"/>
        <v>-1945</v>
      </c>
    </row>
    <row r="53" spans="14:31" ht="15.6" customHeight="1" x14ac:dyDescent="0.3">
      <c r="N53" s="212"/>
      <c r="O53" s="94" t="s">
        <v>70</v>
      </c>
      <c r="P53" s="108"/>
      <c r="Q53" s="108">
        <v>1283</v>
      </c>
      <c r="R53" s="108">
        <v>654</v>
      </c>
      <c r="S53" s="108">
        <f t="shared" si="1"/>
        <v>78</v>
      </c>
      <c r="T53" s="108">
        <v>810</v>
      </c>
      <c r="U53" s="108">
        <f t="shared" si="2"/>
        <v>0</v>
      </c>
      <c r="V53" s="108">
        <v>810</v>
      </c>
      <c r="W53" s="108">
        <f t="shared" si="3"/>
        <v>54</v>
      </c>
      <c r="X53" s="108">
        <v>918</v>
      </c>
      <c r="Y53" s="108">
        <f t="shared" si="4"/>
        <v>0</v>
      </c>
      <c r="Z53" s="108">
        <v>918</v>
      </c>
      <c r="AA53" s="108">
        <f t="shared" si="5"/>
        <v>0</v>
      </c>
      <c r="AB53" s="108">
        <v>918</v>
      </c>
      <c r="AC53" s="108">
        <f t="shared" si="6"/>
        <v>0</v>
      </c>
      <c r="AD53" s="108">
        <v>918</v>
      </c>
      <c r="AE53" s="109">
        <f t="shared" si="7"/>
        <v>-365</v>
      </c>
    </row>
    <row r="54" spans="14:31" ht="15.6" customHeight="1" x14ac:dyDescent="0.3">
      <c r="N54" s="212"/>
      <c r="O54" s="95" t="s">
        <v>71</v>
      </c>
      <c r="P54" s="106"/>
      <c r="Q54" s="106">
        <v>3880</v>
      </c>
      <c r="R54" s="106">
        <v>1800</v>
      </c>
      <c r="S54" s="106">
        <f t="shared" si="1"/>
        <v>0</v>
      </c>
      <c r="T54" s="106">
        <v>1800</v>
      </c>
      <c r="U54" s="106">
        <f t="shared" si="2"/>
        <v>0</v>
      </c>
      <c r="V54" s="106">
        <v>1800</v>
      </c>
      <c r="W54" s="106">
        <f t="shared" si="3"/>
        <v>1040</v>
      </c>
      <c r="X54" s="106">
        <v>3880</v>
      </c>
      <c r="Y54" s="106">
        <f t="shared" si="4"/>
        <v>0</v>
      </c>
      <c r="Z54" s="106">
        <v>3880</v>
      </c>
      <c r="AA54" s="106">
        <f t="shared" si="5"/>
        <v>0</v>
      </c>
      <c r="AB54" s="106">
        <v>3880</v>
      </c>
      <c r="AC54" s="106">
        <f t="shared" si="6"/>
        <v>0</v>
      </c>
      <c r="AD54" s="106">
        <v>3880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210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105</v>
      </c>
      <c r="V55" s="108">
        <v>210</v>
      </c>
      <c r="W55" s="108">
        <f t="shared" si="3"/>
        <v>7</v>
      </c>
      <c r="X55" s="108">
        <v>224</v>
      </c>
      <c r="Y55" s="108">
        <f t="shared" si="4"/>
        <v>0</v>
      </c>
      <c r="Z55" s="108">
        <v>224</v>
      </c>
      <c r="AA55" s="108">
        <f t="shared" si="5"/>
        <v>0</v>
      </c>
      <c r="AB55" s="108">
        <v>224</v>
      </c>
      <c r="AC55" s="108">
        <f t="shared" si="6"/>
        <v>0</v>
      </c>
      <c r="AD55" s="108">
        <v>224</v>
      </c>
      <c r="AE55" s="109">
        <f t="shared" si="7"/>
        <v>14</v>
      </c>
    </row>
    <row r="56" spans="14:31" ht="15.6" customHeight="1" thickBot="1" x14ac:dyDescent="0.35">
      <c r="N56" s="213"/>
      <c r="O56" s="99" t="s">
        <v>73</v>
      </c>
      <c r="P56" s="114"/>
      <c r="Q56" s="114">
        <v>1687</v>
      </c>
      <c r="R56" s="114">
        <v>0</v>
      </c>
      <c r="S56" s="114">
        <f t="shared" si="1"/>
        <v>70.5</v>
      </c>
      <c r="T56" s="114">
        <v>141</v>
      </c>
      <c r="U56" s="114">
        <f t="shared" si="2"/>
        <v>228</v>
      </c>
      <c r="V56" s="114">
        <v>597</v>
      </c>
      <c r="W56" s="114">
        <f t="shared" si="3"/>
        <v>183</v>
      </c>
      <c r="X56" s="114">
        <v>963</v>
      </c>
      <c r="Y56" s="114">
        <f t="shared" si="4"/>
        <v>0</v>
      </c>
      <c r="Z56" s="114">
        <v>963</v>
      </c>
      <c r="AA56" s="114">
        <f t="shared" si="5"/>
        <v>0</v>
      </c>
      <c r="AB56" s="114">
        <v>963</v>
      </c>
      <c r="AC56" s="114">
        <f t="shared" si="6"/>
        <v>0</v>
      </c>
      <c r="AD56" s="114">
        <v>963</v>
      </c>
      <c r="AE56" s="115">
        <f t="shared" si="7"/>
        <v>-724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3588</v>
      </c>
      <c r="R57" s="104">
        <v>453</v>
      </c>
      <c r="S57" s="104">
        <f t="shared" si="1"/>
        <v>70.5</v>
      </c>
      <c r="T57" s="104">
        <v>594</v>
      </c>
      <c r="U57" s="104">
        <f t="shared" si="2"/>
        <v>11</v>
      </c>
      <c r="V57" s="104">
        <v>616</v>
      </c>
      <c r="W57" s="104">
        <f t="shared" si="3"/>
        <v>362.5</v>
      </c>
      <c r="X57" s="104">
        <v>1341</v>
      </c>
      <c r="Y57" s="104">
        <f t="shared" si="4"/>
        <v>0</v>
      </c>
      <c r="Z57" s="104">
        <v>1341</v>
      </c>
      <c r="AA57" s="104">
        <f t="shared" si="5"/>
        <v>0</v>
      </c>
      <c r="AB57" s="104">
        <v>1341</v>
      </c>
      <c r="AC57" s="104">
        <f t="shared" si="6"/>
        <v>0</v>
      </c>
      <c r="AD57" s="104">
        <v>1341</v>
      </c>
      <c r="AE57" s="105">
        <f t="shared" si="7"/>
        <v>-2247</v>
      </c>
    </row>
    <row r="58" spans="14:31" ht="15.6" customHeight="1" x14ac:dyDescent="0.3">
      <c r="N58" s="212"/>
      <c r="O58" s="95" t="s">
        <v>66</v>
      </c>
      <c r="P58" s="106"/>
      <c r="Q58" s="106">
        <v>2738</v>
      </c>
      <c r="R58" s="106">
        <v>1013</v>
      </c>
      <c r="S58" s="106">
        <f t="shared" si="1"/>
        <v>234.5</v>
      </c>
      <c r="T58" s="106">
        <v>1482</v>
      </c>
      <c r="U58" s="106">
        <f t="shared" si="2"/>
        <v>306.5</v>
      </c>
      <c r="V58" s="106">
        <v>2095</v>
      </c>
      <c r="W58" s="106">
        <f t="shared" si="3"/>
        <v>197</v>
      </c>
      <c r="X58" s="106">
        <v>2489</v>
      </c>
      <c r="Y58" s="106">
        <f t="shared" si="4"/>
        <v>0</v>
      </c>
      <c r="Z58" s="106">
        <v>2489</v>
      </c>
      <c r="AA58" s="106">
        <f t="shared" si="5"/>
        <v>0</v>
      </c>
      <c r="AB58" s="106">
        <v>2489</v>
      </c>
      <c r="AC58" s="106">
        <f t="shared" si="6"/>
        <v>0</v>
      </c>
      <c r="AD58" s="106">
        <v>2489</v>
      </c>
      <c r="AE58" s="107">
        <f t="shared" si="7"/>
        <v>-249</v>
      </c>
    </row>
    <row r="59" spans="14:31" ht="15.6" customHeight="1" x14ac:dyDescent="0.3">
      <c r="N59" s="212"/>
      <c r="O59" s="94" t="s">
        <v>67</v>
      </c>
      <c r="P59" s="108"/>
      <c r="Q59" s="108">
        <v>6639</v>
      </c>
      <c r="R59" s="108">
        <v>248</v>
      </c>
      <c r="S59" s="108">
        <f t="shared" si="1"/>
        <v>245.5</v>
      </c>
      <c r="T59" s="108">
        <v>739</v>
      </c>
      <c r="U59" s="108">
        <f t="shared" si="2"/>
        <v>252</v>
      </c>
      <c r="V59" s="108">
        <v>1243</v>
      </c>
      <c r="W59" s="108">
        <f t="shared" si="3"/>
        <v>1055</v>
      </c>
      <c r="X59" s="108">
        <v>3353</v>
      </c>
      <c r="Y59" s="108">
        <f t="shared" si="4"/>
        <v>45.5</v>
      </c>
      <c r="Z59" s="108">
        <v>3444</v>
      </c>
      <c r="AA59" s="108">
        <f t="shared" si="5"/>
        <v>0</v>
      </c>
      <c r="AB59" s="108">
        <v>3444</v>
      </c>
      <c r="AC59" s="108">
        <f t="shared" si="6"/>
        <v>0</v>
      </c>
      <c r="AD59" s="108">
        <v>3444</v>
      </c>
      <c r="AE59" s="109">
        <f t="shared" si="7"/>
        <v>-3195</v>
      </c>
    </row>
    <row r="60" spans="14:31" ht="15.6" customHeight="1" thickBot="1" x14ac:dyDescent="0.35">
      <c r="N60" s="213"/>
      <c r="O60" s="99" t="s">
        <v>68</v>
      </c>
      <c r="P60" s="114"/>
      <c r="Q60" s="114">
        <v>3575</v>
      </c>
      <c r="R60" s="114">
        <v>1750</v>
      </c>
      <c r="S60" s="114">
        <f t="shared" si="1"/>
        <v>221.5</v>
      </c>
      <c r="T60" s="114">
        <v>2193</v>
      </c>
      <c r="U60" s="114">
        <f t="shared" si="2"/>
        <v>384</v>
      </c>
      <c r="V60" s="114">
        <v>2961</v>
      </c>
      <c r="W60" s="114">
        <f t="shared" si="3"/>
        <v>182</v>
      </c>
      <c r="X60" s="114">
        <v>3325</v>
      </c>
      <c r="Y60" s="114">
        <f t="shared" si="4"/>
        <v>8</v>
      </c>
      <c r="Z60" s="114">
        <v>3341</v>
      </c>
      <c r="AA60" s="114">
        <f t="shared" si="5"/>
        <v>0</v>
      </c>
      <c r="AB60" s="114">
        <v>3341</v>
      </c>
      <c r="AC60" s="114">
        <f t="shared" si="6"/>
        <v>0</v>
      </c>
      <c r="AD60" s="114">
        <v>3341</v>
      </c>
      <c r="AE60" s="115">
        <f t="shared" si="7"/>
        <v>-234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4863</v>
      </c>
      <c r="R61" s="104">
        <v>228</v>
      </c>
      <c r="S61" s="104">
        <f t="shared" si="1"/>
        <v>222.5</v>
      </c>
      <c r="T61" s="104">
        <v>673</v>
      </c>
      <c r="U61" s="104">
        <f t="shared" si="2"/>
        <v>91</v>
      </c>
      <c r="V61" s="104">
        <v>855</v>
      </c>
      <c r="W61" s="104">
        <f t="shared" si="3"/>
        <v>740</v>
      </c>
      <c r="X61" s="104">
        <v>2335</v>
      </c>
      <c r="Y61" s="104">
        <f t="shared" si="4"/>
        <v>66.5</v>
      </c>
      <c r="Z61" s="104">
        <v>2468</v>
      </c>
      <c r="AA61" s="104">
        <f t="shared" si="5"/>
        <v>0</v>
      </c>
      <c r="AB61" s="104">
        <v>2468</v>
      </c>
      <c r="AC61" s="104">
        <f t="shared" si="6"/>
        <v>0</v>
      </c>
      <c r="AD61" s="104">
        <v>2468</v>
      </c>
      <c r="AE61" s="105">
        <f t="shared" si="7"/>
        <v>-2395</v>
      </c>
    </row>
    <row r="62" spans="14:31" ht="15.6" customHeight="1" x14ac:dyDescent="0.3">
      <c r="N62" s="212"/>
      <c r="O62" s="95" t="s">
        <v>66</v>
      </c>
      <c r="P62" s="106"/>
      <c r="Q62" s="106">
        <v>4138</v>
      </c>
      <c r="R62" s="106">
        <v>909</v>
      </c>
      <c r="S62" s="106">
        <f t="shared" si="1"/>
        <v>211.5</v>
      </c>
      <c r="T62" s="106">
        <v>1332</v>
      </c>
      <c r="U62" s="106">
        <f t="shared" si="2"/>
        <v>0</v>
      </c>
      <c r="V62" s="106">
        <v>1332</v>
      </c>
      <c r="W62" s="106">
        <f t="shared" si="3"/>
        <v>111.5</v>
      </c>
      <c r="X62" s="106">
        <v>1555</v>
      </c>
      <c r="Y62" s="106">
        <f t="shared" si="4"/>
        <v>98.5</v>
      </c>
      <c r="Z62" s="106">
        <v>1752</v>
      </c>
      <c r="AA62" s="106">
        <f t="shared" si="5"/>
        <v>60</v>
      </c>
      <c r="AB62" s="106">
        <v>1872</v>
      </c>
      <c r="AC62" s="106">
        <f t="shared" si="6"/>
        <v>0</v>
      </c>
      <c r="AD62" s="106">
        <v>1872</v>
      </c>
      <c r="AE62" s="107">
        <f t="shared" si="7"/>
        <v>-2266</v>
      </c>
    </row>
    <row r="63" spans="14:31" ht="15.6" customHeight="1" x14ac:dyDescent="0.3">
      <c r="N63" s="212"/>
      <c r="O63" s="94" t="s">
        <v>67</v>
      </c>
      <c r="P63" s="108"/>
      <c r="Q63" s="108">
        <v>3486</v>
      </c>
      <c r="R63" s="108">
        <v>117</v>
      </c>
      <c r="S63" s="108">
        <f t="shared" si="1"/>
        <v>192</v>
      </c>
      <c r="T63" s="108">
        <v>501</v>
      </c>
      <c r="U63" s="108">
        <f t="shared" si="2"/>
        <v>48</v>
      </c>
      <c r="V63" s="108">
        <v>597</v>
      </c>
      <c r="W63" s="108">
        <f t="shared" si="3"/>
        <v>160</v>
      </c>
      <c r="X63" s="108">
        <v>917</v>
      </c>
      <c r="Y63" s="108">
        <f t="shared" si="4"/>
        <v>186.5</v>
      </c>
      <c r="Z63" s="108">
        <v>1290</v>
      </c>
      <c r="AA63" s="108">
        <f t="shared" si="5"/>
        <v>14</v>
      </c>
      <c r="AB63" s="108">
        <v>1318</v>
      </c>
      <c r="AC63" s="108">
        <f t="shared" si="6"/>
        <v>0</v>
      </c>
      <c r="AD63" s="108">
        <v>1318</v>
      </c>
      <c r="AE63" s="109">
        <f t="shared" si="7"/>
        <v>-2168</v>
      </c>
    </row>
    <row r="64" spans="14:31" ht="15.6" customHeight="1" thickBot="1" x14ac:dyDescent="0.35">
      <c r="N64" s="213"/>
      <c r="O64" s="99" t="s">
        <v>68</v>
      </c>
      <c r="P64" s="114"/>
      <c r="Q64" s="114">
        <v>3657</v>
      </c>
      <c r="R64" s="114">
        <v>960</v>
      </c>
      <c r="S64" s="114">
        <f t="shared" si="1"/>
        <v>18</v>
      </c>
      <c r="T64" s="114">
        <v>996</v>
      </c>
      <c r="U64" s="114">
        <f t="shared" si="2"/>
        <v>164.5</v>
      </c>
      <c r="V64" s="114">
        <v>1325</v>
      </c>
      <c r="W64" s="114">
        <f t="shared" si="3"/>
        <v>0</v>
      </c>
      <c r="X64" s="114">
        <v>1325</v>
      </c>
      <c r="Y64" s="114">
        <f t="shared" si="4"/>
        <v>318</v>
      </c>
      <c r="Z64" s="114">
        <v>1961</v>
      </c>
      <c r="AA64" s="114">
        <f t="shared" si="5"/>
        <v>0</v>
      </c>
      <c r="AB64" s="114">
        <v>1961</v>
      </c>
      <c r="AC64" s="114">
        <f t="shared" si="6"/>
        <v>0</v>
      </c>
      <c r="AD64" s="114">
        <v>1961</v>
      </c>
      <c r="AE64" s="115">
        <f t="shared" si="7"/>
        <v>-1696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55" priority="11" operator="lessThan">
      <formula>0</formula>
    </cfRule>
    <cfRule type="cellIs" dxfId="1054" priority="12" operator="greaterThan">
      <formula>0</formula>
    </cfRule>
  </conditionalFormatting>
  <conditionalFormatting sqref="R25:AC25">
    <cfRule type="cellIs" dxfId="1053" priority="9" operator="lessThan">
      <formula>0</formula>
    </cfRule>
    <cfRule type="cellIs" dxfId="1052" priority="10" operator="greaterThan">
      <formula>0</formula>
    </cfRule>
  </conditionalFormatting>
  <conditionalFormatting sqref="R26 T26 V26 X26 Z26 AB26">
    <cfRule type="cellIs" dxfId="1051" priority="7" operator="lessThan">
      <formula>0</formula>
    </cfRule>
    <cfRule type="cellIs" dxfId="1050" priority="8" operator="greaterThan">
      <formula>0</formula>
    </cfRule>
  </conditionalFormatting>
  <conditionalFormatting sqref="AD24:AE24">
    <cfRule type="cellIs" dxfId="1049" priority="5" operator="lessThan">
      <formula>0</formula>
    </cfRule>
    <cfRule type="cellIs" dxfId="1048" priority="6" operator="greaterThan">
      <formula>0</formula>
    </cfRule>
  </conditionalFormatting>
  <conditionalFormatting sqref="AD25:AE25">
    <cfRule type="cellIs" dxfId="1047" priority="3" operator="lessThan">
      <formula>0</formula>
    </cfRule>
    <cfRule type="cellIs" dxfId="1046" priority="4" operator="greaterThan">
      <formula>0</formula>
    </cfRule>
  </conditionalFormatting>
  <conditionalFormatting sqref="AD26">
    <cfRule type="cellIs" dxfId="1045" priority="1" operator="lessThan">
      <formula>0</formula>
    </cfRule>
    <cfRule type="cellIs" dxfId="10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>
    <tabColor theme="1"/>
    <pageSetUpPr fitToPage="1"/>
  </sheetPr>
  <dimension ref="B1:AQ64"/>
  <sheetViews>
    <sheetView topLeftCell="K1"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44431</v>
      </c>
    </row>
    <row r="3" spans="2:42" ht="18.75" customHeight="1" thickBot="1" x14ac:dyDescent="0.35">
      <c r="B3" t="s">
        <v>1</v>
      </c>
      <c r="C3" s="3">
        <f>C2+1</f>
        <v>44432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3">
      <c r="B6" s="16" t="s">
        <v>21</v>
      </c>
      <c r="C6" s="17">
        <v>2388</v>
      </c>
      <c r="E6" s="18" t="s">
        <v>22</v>
      </c>
      <c r="F6" s="119">
        <v>18615</v>
      </c>
      <c r="G6" s="117">
        <v>15044.84575</v>
      </c>
      <c r="H6" s="117">
        <v>12859.71088594002</v>
      </c>
      <c r="I6" s="19">
        <f>G6+H6</f>
        <v>27904.556635940018</v>
      </c>
      <c r="J6" s="119">
        <v>18547</v>
      </c>
      <c r="K6" s="117">
        <v>15161.685874999999</v>
      </c>
      <c r="L6" s="117">
        <v>12665.943463379999</v>
      </c>
      <c r="M6" s="19">
        <f>K6+L6</f>
        <v>27827.62933838</v>
      </c>
      <c r="N6" s="85">
        <v>66</v>
      </c>
      <c r="O6" s="85">
        <v>48</v>
      </c>
      <c r="P6" s="92"/>
      <c r="Q6" s="20">
        <f>J6-P6</f>
        <v>18547</v>
      </c>
      <c r="R6" s="21">
        <v>4692</v>
      </c>
      <c r="S6" s="20">
        <f>IF(R6&gt;0,(R6-R7-$Q6),"")</f>
        <v>-15787</v>
      </c>
      <c r="T6" s="21">
        <v>7203</v>
      </c>
      <c r="U6" s="20">
        <f>IF(T6&gt;0,(T6-T7-$Q6),"")</f>
        <v>-14501</v>
      </c>
      <c r="V6" s="21">
        <v>10100</v>
      </c>
      <c r="W6" s="20">
        <f>IF(V6&gt;0,(V6-V7-$Q6),"")</f>
        <v>-12704</v>
      </c>
      <c r="X6" s="21">
        <v>15841</v>
      </c>
      <c r="Y6" s="20">
        <f>IF(X6&gt;0,(X6-X7-$Q6),"")</f>
        <v>-10467</v>
      </c>
      <c r="Z6" s="21">
        <v>17363</v>
      </c>
      <c r="AA6" s="20">
        <f>IF(Z6&gt;0,(Z6-Z7-$Q6),"")</f>
        <v>-10295</v>
      </c>
      <c r="AB6" s="21">
        <v>17363</v>
      </c>
      <c r="AC6" s="22">
        <f>IF(AB6&gt;0,(AB6-AB7-$Q6),"")</f>
        <v>-10295</v>
      </c>
      <c r="AD6" s="21">
        <v>17363</v>
      </c>
      <c r="AE6" s="22">
        <f>IF(AD6&gt;0,(AD6-AD7-$Q6),"")</f>
        <v>-10295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1932</v>
      </c>
      <c r="S7" s="24"/>
      <c r="T7" s="25">
        <v>3157</v>
      </c>
      <c r="U7" s="24"/>
      <c r="V7" s="25">
        <v>4257</v>
      </c>
      <c r="W7" s="24"/>
      <c r="X7" s="25">
        <v>7761</v>
      </c>
      <c r="Y7" s="24"/>
      <c r="Z7" s="25">
        <v>9111</v>
      </c>
      <c r="AA7" s="24"/>
      <c r="AB7" s="25">
        <v>9111</v>
      </c>
      <c r="AC7" s="26"/>
      <c r="AD7" s="25">
        <v>9111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2884</v>
      </c>
      <c r="E8" s="29" t="s">
        <v>27</v>
      </c>
      <c r="F8" s="119">
        <v>11760</v>
      </c>
      <c r="G8" s="117">
        <v>4839.0599999999986</v>
      </c>
      <c r="H8" s="117">
        <v>1468.7585675</v>
      </c>
      <c r="I8" s="19">
        <f>G8+H8</f>
        <v>6307.8185674999986</v>
      </c>
      <c r="J8" s="119">
        <v>11805</v>
      </c>
      <c r="K8" s="117">
        <v>4841.6739999999991</v>
      </c>
      <c r="L8" s="117">
        <v>1434.3348633999999</v>
      </c>
      <c r="M8" s="19">
        <f>K8+L8</f>
        <v>6276.0088633999985</v>
      </c>
      <c r="N8" s="87">
        <v>29</v>
      </c>
      <c r="O8" s="87">
        <v>23</v>
      </c>
      <c r="P8" s="92"/>
      <c r="Q8" s="20">
        <f>J8-P8</f>
        <v>11805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5175</v>
      </c>
      <c r="W8" s="20">
        <f>IF(V8&gt;0,(V8-V9-$Q8),"")</f>
        <v>-11805</v>
      </c>
      <c r="X8" s="21">
        <v>6806</v>
      </c>
      <c r="Y8" s="20">
        <f>IF(X8&gt;0,(X8-X9-$Q8),"")</f>
        <v>-11805</v>
      </c>
      <c r="Z8" s="21">
        <v>11805</v>
      </c>
      <c r="AA8" s="20">
        <f>IF(Z8&gt;0,(Z8-Z9-$Q8),"")</f>
        <v>-11805</v>
      </c>
      <c r="AB8" s="21">
        <v>11805</v>
      </c>
      <c r="AC8" s="22">
        <f>IF(AB8&gt;0,(AB8-AB9-$Q8),"")</f>
        <v>-11805</v>
      </c>
      <c r="AD8" s="21">
        <v>11805</v>
      </c>
      <c r="AE8" s="22">
        <f>IF(AD8&gt;0,(AD8-AD9-$Q8),"")</f>
        <v>-11805</v>
      </c>
    </row>
    <row r="9" spans="2:42" x14ac:dyDescent="0.3">
      <c r="B9" s="28" t="s">
        <v>28</v>
      </c>
      <c r="C9" s="17">
        <v>1729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5175</v>
      </c>
      <c r="W9" s="24"/>
      <c r="X9" s="30">
        <v>6806</v>
      </c>
      <c r="Y9" s="24"/>
      <c r="Z9" s="30">
        <v>11805</v>
      </c>
      <c r="AA9" s="24"/>
      <c r="AB9" s="30">
        <v>11805</v>
      </c>
      <c r="AC9" s="26"/>
      <c r="AD9" s="30">
        <v>11805</v>
      </c>
      <c r="AE9" s="26"/>
    </row>
    <row r="10" spans="2:42" x14ac:dyDescent="0.3">
      <c r="B10" s="16" t="s">
        <v>30</v>
      </c>
      <c r="C10" s="17">
        <v>5557</v>
      </c>
      <c r="E10" s="18" t="s">
        <v>31</v>
      </c>
      <c r="F10" s="119">
        <v>12791</v>
      </c>
      <c r="G10" s="117">
        <v>9390.8710937500036</v>
      </c>
      <c r="H10" s="117">
        <v>1751.3702800000001</v>
      </c>
      <c r="I10" s="19">
        <f>G10+H10</f>
        <v>11142.241373750003</v>
      </c>
      <c r="J10" s="119">
        <v>12932</v>
      </c>
      <c r="K10" s="117">
        <v>9565.9740937499992</v>
      </c>
      <c r="L10" s="117">
        <v>1806.6850099999999</v>
      </c>
      <c r="M10" s="19">
        <f>K10+L10</f>
        <v>11372.659103749998</v>
      </c>
      <c r="N10" s="88">
        <v>46</v>
      </c>
      <c r="O10" s="88">
        <v>39</v>
      </c>
      <c r="P10" s="92"/>
      <c r="Q10" s="20">
        <f>J10-P10</f>
        <v>12932</v>
      </c>
      <c r="R10" s="21">
        <v>2031</v>
      </c>
      <c r="S10" s="20">
        <f>IF(R10&gt;0,(R10-R11-$Q10),"")</f>
        <v>-12266</v>
      </c>
      <c r="T10" s="21">
        <v>4890</v>
      </c>
      <c r="U10" s="20">
        <f>IF(T10&gt;0,(T10-T11-$Q10),"")</f>
        <v>-11573</v>
      </c>
      <c r="V10" s="21">
        <v>7906</v>
      </c>
      <c r="W10" s="20">
        <f>IF(V10&gt;0,(V10-V11-$Q10),"")</f>
        <v>-11567</v>
      </c>
      <c r="X10" s="21">
        <v>9986</v>
      </c>
      <c r="Y10" s="20">
        <f>IF(X10&gt;0,(X10-X11-$Q10),"")</f>
        <v>-11078</v>
      </c>
      <c r="Z10" s="21">
        <v>9986</v>
      </c>
      <c r="AA10" s="20">
        <f>IF(Z10&gt;0,(Z10-Z11-$Q10),"")</f>
        <v>-11078</v>
      </c>
      <c r="AB10" s="21">
        <v>9986</v>
      </c>
      <c r="AC10" s="22">
        <f>IF(AB10&gt;0,(AB10-AB11-$Q10),"")</f>
        <v>-11078</v>
      </c>
      <c r="AD10" s="21">
        <v>9986</v>
      </c>
      <c r="AE10" s="22">
        <f>IF(AD10&gt;0,(AD10-AD11-$Q10),"")</f>
        <v>-11078</v>
      </c>
    </row>
    <row r="11" spans="2:42" x14ac:dyDescent="0.3">
      <c r="B11" s="16" t="s">
        <v>32</v>
      </c>
      <c r="C11" s="17">
        <v>2017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1365</v>
      </c>
      <c r="S11" s="24"/>
      <c r="T11" s="30">
        <v>3531</v>
      </c>
      <c r="U11" s="24"/>
      <c r="V11" s="30">
        <v>6541</v>
      </c>
      <c r="W11" s="24"/>
      <c r="X11" s="30">
        <v>8132</v>
      </c>
      <c r="Y11" s="24"/>
      <c r="Z11" s="30">
        <v>8132</v>
      </c>
      <c r="AA11" s="24"/>
      <c r="AB11" s="30">
        <v>8132</v>
      </c>
      <c r="AC11" s="26"/>
      <c r="AD11" s="30">
        <v>8132</v>
      </c>
      <c r="AE11" s="26"/>
    </row>
    <row r="12" spans="2:42" x14ac:dyDescent="0.3">
      <c r="B12" s="16" t="s">
        <v>34</v>
      </c>
      <c r="C12" s="17">
        <v>1419</v>
      </c>
      <c r="E12" s="29" t="s">
        <v>35</v>
      </c>
      <c r="F12" s="119">
        <v>16165</v>
      </c>
      <c r="G12" s="117">
        <v>11516.482</v>
      </c>
      <c r="H12" s="117">
        <v>14889.240122110001</v>
      </c>
      <c r="I12" s="19">
        <f>G12+H12</f>
        <v>26405.722122110001</v>
      </c>
      <c r="J12" s="119">
        <v>14691</v>
      </c>
      <c r="K12" s="117">
        <v>11871.32425</v>
      </c>
      <c r="L12" s="117">
        <v>14503.682388889991</v>
      </c>
      <c r="M12" s="19">
        <f>K12+L12</f>
        <v>26375.00663888999</v>
      </c>
      <c r="N12" s="88">
        <v>48</v>
      </c>
      <c r="O12" s="88">
        <v>39</v>
      </c>
      <c r="P12" s="92"/>
      <c r="Q12" s="20">
        <f>J12-P12</f>
        <v>14691</v>
      </c>
      <c r="R12" s="21">
        <v>1725</v>
      </c>
      <c r="S12" s="20">
        <f>IF(R12&gt;0,(R12-R13-$Q12),"")</f>
        <v>-13869</v>
      </c>
      <c r="T12" s="21">
        <v>3159</v>
      </c>
      <c r="U12" s="20">
        <f>IF(T12&gt;0,(T12-T13-$Q12),"")</f>
        <v>-13813</v>
      </c>
      <c r="V12" s="21">
        <v>6009</v>
      </c>
      <c r="W12" s="20">
        <f>IF(V12&gt;0,(V12-V13-$Q12),"")</f>
        <v>-13793</v>
      </c>
      <c r="X12" s="21">
        <v>9671</v>
      </c>
      <c r="Y12" s="20">
        <f>IF(X12&gt;0,(X12-X13-$Q12),"")</f>
        <v>-13603</v>
      </c>
      <c r="Z12" s="21">
        <v>11684</v>
      </c>
      <c r="AA12" s="20">
        <f>IF(Z12&gt;0,(Z12-Z13-$Q12),"")</f>
        <v>-13575</v>
      </c>
      <c r="AB12" s="21">
        <v>11684</v>
      </c>
      <c r="AC12" s="22">
        <f>IF(AB12&gt;0,(AB12-AB13-$Q12),"")</f>
        <v>-13575</v>
      </c>
      <c r="AD12" s="21">
        <v>11684</v>
      </c>
      <c r="AE12" s="22">
        <f>IF(AD12&gt;0,(AD12-AD13-$Q12),"")</f>
        <v>-13575</v>
      </c>
    </row>
    <row r="13" spans="2:42" x14ac:dyDescent="0.3">
      <c r="B13" s="16" t="s">
        <v>36</v>
      </c>
      <c r="C13" s="17">
        <v>4077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903</v>
      </c>
      <c r="S13" s="24"/>
      <c r="T13" s="30">
        <v>2281</v>
      </c>
      <c r="U13" s="24"/>
      <c r="V13" s="30">
        <v>5111</v>
      </c>
      <c r="W13" s="24"/>
      <c r="X13" s="30">
        <v>8583</v>
      </c>
      <c r="Y13" s="24"/>
      <c r="Z13" s="30">
        <v>10568</v>
      </c>
      <c r="AA13" s="24"/>
      <c r="AB13" s="30">
        <v>10568</v>
      </c>
      <c r="AC13" s="26"/>
      <c r="AD13" s="30">
        <v>10568</v>
      </c>
      <c r="AE13" s="26"/>
    </row>
    <row r="14" spans="2:42" x14ac:dyDescent="0.3">
      <c r="B14" s="16" t="s">
        <v>38</v>
      </c>
      <c r="C14" s="17">
        <v>9992</v>
      </c>
      <c r="E14" s="18" t="s">
        <v>39</v>
      </c>
      <c r="F14" s="119">
        <v>25249</v>
      </c>
      <c r="G14" s="117">
        <v>16692.8125</v>
      </c>
      <c r="H14" s="117">
        <v>21440.918614049991</v>
      </c>
      <c r="I14" s="19">
        <f>G14+H14</f>
        <v>38133.731114049995</v>
      </c>
      <c r="J14" s="119">
        <v>23413</v>
      </c>
      <c r="K14" s="117">
        <v>16671.71875</v>
      </c>
      <c r="L14" s="117">
        <v>21326.587017174999</v>
      </c>
      <c r="M14" s="19">
        <f>K14+L14</f>
        <v>37998.305767174999</v>
      </c>
      <c r="N14" s="88">
        <v>61</v>
      </c>
      <c r="O14" s="88">
        <v>49</v>
      </c>
      <c r="P14" s="92"/>
      <c r="Q14" s="20">
        <f>J14-P14</f>
        <v>23413</v>
      </c>
      <c r="R14" s="21">
        <v>4313</v>
      </c>
      <c r="S14" s="20">
        <f>IF(R14&gt;0,(R14-R15-$Q14),"")</f>
        <v>-22887</v>
      </c>
      <c r="T14" s="21">
        <v>7099</v>
      </c>
      <c r="U14" s="20">
        <f>IF(T14&gt;0,(T14-T15-$Q14),"")</f>
        <v>-21904</v>
      </c>
      <c r="V14" s="21">
        <v>8043</v>
      </c>
      <c r="W14" s="20">
        <f>IF(V14&gt;0,(V14-V15-$Q14),"")</f>
        <v>-21639</v>
      </c>
      <c r="X14" s="21">
        <v>11322</v>
      </c>
      <c r="Y14" s="20">
        <f>IF(X14&gt;0,(X14-X15-$Q14),"")</f>
        <v>-20359</v>
      </c>
      <c r="Z14" s="21">
        <v>14660</v>
      </c>
      <c r="AA14" s="20">
        <f>IF(Z14&gt;0,(Z14-Z15-$Q14),"")</f>
        <v>-18025</v>
      </c>
      <c r="AB14" s="21">
        <v>14672</v>
      </c>
      <c r="AC14" s="22">
        <f>IF(AB14&gt;0,(AB14-AB15-$Q14),"")</f>
        <v>-18013</v>
      </c>
      <c r="AD14" s="21">
        <v>14672</v>
      </c>
      <c r="AE14" s="22">
        <f>IF(AD14&gt;0,(AD14-AD15-$Q14),"")</f>
        <v>-18013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3787</v>
      </c>
      <c r="S15" s="24"/>
      <c r="T15" s="25">
        <v>5590</v>
      </c>
      <c r="U15" s="24"/>
      <c r="V15" s="25">
        <v>6269</v>
      </c>
      <c r="W15" s="24"/>
      <c r="X15" s="25">
        <v>8268</v>
      </c>
      <c r="Y15" s="24"/>
      <c r="Z15" s="25">
        <v>9272</v>
      </c>
      <c r="AA15" s="24"/>
      <c r="AB15" s="25">
        <v>9272</v>
      </c>
      <c r="AC15" s="26"/>
      <c r="AD15" s="25">
        <v>9272</v>
      </c>
      <c r="AE15" s="26"/>
    </row>
    <row r="16" spans="2:42" ht="15" customHeight="1" thickBot="1" x14ac:dyDescent="0.35">
      <c r="B16" s="28" t="s">
        <v>42</v>
      </c>
      <c r="C16" s="17">
        <v>11681</v>
      </c>
      <c r="E16" s="84"/>
      <c r="F16" s="31">
        <f t="shared" ref="F16:M16" si="0">SUM(F6:F15)</f>
        <v>84580</v>
      </c>
      <c r="G16" s="31">
        <f t="shared" si="0"/>
        <v>57484.071343750002</v>
      </c>
      <c r="H16" s="31">
        <f t="shared" si="0"/>
        <v>52409.99846960001</v>
      </c>
      <c r="I16" s="32">
        <f t="shared" si="0"/>
        <v>109894.06981335001</v>
      </c>
      <c r="J16" s="33">
        <f t="shared" si="0"/>
        <v>81388</v>
      </c>
      <c r="K16" s="33">
        <f t="shared" si="0"/>
        <v>58112.376968749995</v>
      </c>
      <c r="L16" s="33">
        <f t="shared" si="0"/>
        <v>51737.232742844986</v>
      </c>
      <c r="M16" s="33">
        <f t="shared" si="0"/>
        <v>109849.60971159498</v>
      </c>
      <c r="N16" s="31">
        <f>SUM(N14,N12,N10,N8,N6)</f>
        <v>250</v>
      </c>
      <c r="O16" s="31">
        <f>SUM(O14,O12,O10,O8,O6)</f>
        <v>198</v>
      </c>
      <c r="P16" s="34">
        <f>SUM(P6:P15)</f>
        <v>0</v>
      </c>
      <c r="Q16" s="34">
        <f>SUM(Q6:Q15)</f>
        <v>81388</v>
      </c>
      <c r="R16" s="35">
        <f>R6+R8+R10+R12+R14-R7-R9-R11-R13-R15</f>
        <v>4774</v>
      </c>
      <c r="S16" s="36">
        <f>IF(R16&gt;1,(R16-$Q16),"")</f>
        <v>-76614</v>
      </c>
      <c r="T16" s="35">
        <f>T6+T8+T10+T12+T14-T7-T9-T11-T13-T15</f>
        <v>7792</v>
      </c>
      <c r="U16" s="36">
        <f>IF(T16&gt;1,(T16-$Q16),"")</f>
        <v>-73596</v>
      </c>
      <c r="V16" s="35">
        <f>V6+V8+V10+V12+V14-V7-V9-V11-V13-V15</f>
        <v>9880</v>
      </c>
      <c r="W16" s="36">
        <f>IF(V16&gt;1,(V16-$Q16),"")</f>
        <v>-71508</v>
      </c>
      <c r="X16" s="35">
        <f>X6+X8+X10+X12+X14-X7-X9-X11-X13-X15</f>
        <v>14076</v>
      </c>
      <c r="Y16" s="36">
        <f>IF(X16&gt;1,(X16-$Q16),"")</f>
        <v>-67312</v>
      </c>
      <c r="Z16" s="35">
        <f>Z6+Z8+Z10+Z12+Z14-Z7-Z9-Z11-Z13-Z15</f>
        <v>16610</v>
      </c>
      <c r="AA16" s="36">
        <f>IF(Z16&gt;1,(Z16-$Q16),"")</f>
        <v>-64778</v>
      </c>
      <c r="AB16" s="35">
        <f>AB6+AB8+AB10+AB12+AB14-AB7-AB9-AB11-AB13-AB15</f>
        <v>16622</v>
      </c>
      <c r="AC16" s="37">
        <f>IF(AB16&gt;1,(AB16-$Q16),"")</f>
        <v>-64766</v>
      </c>
      <c r="AD16" s="35">
        <f>AD6+AD8+AD10+AD12+AD14-AD7-AD9-AD11-AD13-AD15</f>
        <v>16622</v>
      </c>
      <c r="AE16" s="37">
        <f>IF(AD16&gt;1,(AD16-$Q16),"")</f>
        <v>-64766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7987</v>
      </c>
      <c r="S17" s="41"/>
      <c r="T17" s="40">
        <f>T15+T13+T11+T9+T7</f>
        <v>14559</v>
      </c>
      <c r="U17" s="41"/>
      <c r="V17" s="40">
        <f>V15+V13+V11+V9+V7</f>
        <v>27353</v>
      </c>
      <c r="W17" s="41"/>
      <c r="X17" s="40">
        <f>X15+X13+X11+X9+X7</f>
        <v>39550</v>
      </c>
      <c r="Y17" s="41"/>
      <c r="Z17" s="40">
        <f>Z15+Z13+Z11+Z9+Z7</f>
        <v>48888</v>
      </c>
      <c r="AA17" s="41"/>
      <c r="AB17" s="40">
        <f>AB15+AB13+AB11+AB9+AB7</f>
        <v>48888</v>
      </c>
      <c r="AC17" s="42"/>
      <c r="AD17" s="40">
        <f>AD15+AD13+AD11+AD9+AD7</f>
        <v>48888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2387</v>
      </c>
      <c r="S18" s="46"/>
      <c r="T18" s="47">
        <f>IF(T16&gt;0,(T16-R16)/2,"")</f>
        <v>1509</v>
      </c>
      <c r="U18" s="46"/>
      <c r="V18" s="47">
        <f>IF(V16&gt;0,(V16-T16)/2,"")</f>
        <v>1044</v>
      </c>
      <c r="W18" s="46"/>
      <c r="X18" s="47">
        <f>IF(X16&gt;0,(X16-V16)/2,"")</f>
        <v>2098</v>
      </c>
      <c r="Y18" s="46"/>
      <c r="Z18" s="47">
        <f>IF(Z16&gt;0,(Z16-X16)/2,"")</f>
        <v>1267</v>
      </c>
      <c r="AA18" s="46"/>
      <c r="AB18" s="47">
        <f>IF(AB16&gt;0,(AB16-Z16)/2,"")</f>
        <v>6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9041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1991</v>
      </c>
      <c r="L20" s="4"/>
      <c r="M20" s="4"/>
      <c r="Q20" s="51" t="s">
        <v>49</v>
      </c>
      <c r="R20" s="35">
        <v>19279</v>
      </c>
      <c r="S20" s="36">
        <v>-61249</v>
      </c>
      <c r="T20" s="35">
        <v>31867</v>
      </c>
      <c r="U20" s="36">
        <v>-48661</v>
      </c>
      <c r="V20" s="35">
        <v>48805</v>
      </c>
      <c r="W20" s="36">
        <v>-31723</v>
      </c>
      <c r="X20" s="35">
        <v>64975</v>
      </c>
      <c r="Y20" s="36">
        <v>-15553</v>
      </c>
      <c r="Z20" s="35">
        <v>69562</v>
      </c>
      <c r="AA20" s="36">
        <v>-10966</v>
      </c>
      <c r="AB20" s="35">
        <v>69562</v>
      </c>
      <c r="AC20" s="37">
        <v>-10966</v>
      </c>
      <c r="AD20" s="35">
        <v>69562</v>
      </c>
      <c r="AE20" s="37">
        <v>-10966</v>
      </c>
    </row>
    <row r="21" spans="2:43" ht="15" customHeight="1" thickBot="1" x14ac:dyDescent="0.35">
      <c r="B21" s="57" t="s">
        <v>52</v>
      </c>
      <c r="C21" s="58">
        <v>4447</v>
      </c>
      <c r="M21" s="4"/>
      <c r="Q21" s="52"/>
      <c r="R21" s="40">
        <v>629</v>
      </c>
      <c r="S21" s="41"/>
      <c r="T21" s="40">
        <v>1312</v>
      </c>
      <c r="U21" s="41"/>
      <c r="V21" s="40">
        <v>1721</v>
      </c>
      <c r="W21" s="41"/>
      <c r="X21" s="40">
        <v>2331</v>
      </c>
      <c r="Y21" s="41"/>
      <c r="Z21" s="40">
        <v>2345</v>
      </c>
      <c r="AA21" s="41"/>
      <c r="AB21" s="40">
        <v>2345</v>
      </c>
      <c r="AC21" s="42"/>
      <c r="AD21" s="40">
        <v>2345</v>
      </c>
      <c r="AE21" s="42"/>
    </row>
    <row r="22" spans="2:43" ht="15" customHeight="1" thickBot="1" x14ac:dyDescent="0.35">
      <c r="M22" s="4"/>
      <c r="Q22" s="54"/>
      <c r="R22" s="55">
        <v>4559.5</v>
      </c>
      <c r="S22" s="55"/>
      <c r="T22" s="55">
        <v>3673.5</v>
      </c>
      <c r="U22" s="55"/>
      <c r="V22" s="55">
        <v>4531</v>
      </c>
      <c r="W22" s="55"/>
      <c r="X22" s="55">
        <v>11340.5</v>
      </c>
      <c r="Y22" s="55"/>
      <c r="Z22" s="55">
        <v>2283.5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-14505</v>
      </c>
      <c r="S24" s="60"/>
      <c r="T24" s="60">
        <f>IF(T16&gt;0,T16-T20,"")</f>
        <v>-24075</v>
      </c>
      <c r="U24" s="60"/>
      <c r="V24" s="60">
        <f>IF(V16&gt;0,V16-V20,"")</f>
        <v>-38925</v>
      </c>
      <c r="W24" s="60"/>
      <c r="X24" s="60">
        <f>IF(X16&gt;0,X16-X20,"")</f>
        <v>-50899</v>
      </c>
      <c r="Y24" s="60"/>
      <c r="Z24" s="60">
        <f>IF(Z16&gt;0,Z16-Z20,"")</f>
        <v>-52952</v>
      </c>
      <c r="AA24" s="60"/>
      <c r="AB24" s="60">
        <f>IF(AB16&gt;0,AB16-AB20,"")</f>
        <v>-52940</v>
      </c>
      <c r="AC24" s="61"/>
      <c r="AD24" s="60">
        <f>IF(AD16&gt;0,AD16-AD20,"")</f>
        <v>-52940</v>
      </c>
      <c r="AE24" s="61"/>
    </row>
    <row r="25" spans="2:43" x14ac:dyDescent="0.3">
      <c r="M25" s="4"/>
      <c r="Q25" s="62"/>
      <c r="R25" s="63">
        <f>IF(R17&gt;=0,R17-R21,"")</f>
        <v>7358</v>
      </c>
      <c r="S25" s="64"/>
      <c r="T25" s="63">
        <f>IF(T17&gt;=0,T17-T21,"")</f>
        <v>13247</v>
      </c>
      <c r="U25" s="64"/>
      <c r="V25" s="63">
        <f>IF(V17&gt;=0,V17-V21,"")</f>
        <v>25632</v>
      </c>
      <c r="W25" s="64"/>
      <c r="X25" s="63">
        <f>IF(X17&gt;=0,X17-X21,"")</f>
        <v>37219</v>
      </c>
      <c r="Y25" s="64"/>
      <c r="Z25" s="63">
        <f>IF(Z17&gt;=0,Z17-Z21,"")</f>
        <v>46543</v>
      </c>
      <c r="AA25" s="64"/>
      <c r="AB25" s="63">
        <f>IF(AB17&gt;=0,AB17-AB21,"")</f>
        <v>46543</v>
      </c>
      <c r="AC25" s="65"/>
      <c r="AD25" s="63">
        <f>IF(AD17&gt;=0,AD17-AD21,"")</f>
        <v>46543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-2172.5</v>
      </c>
      <c r="S26" s="55"/>
      <c r="T26" s="67">
        <f>IFERROR(IF(T18&gt;0,T18-T22,""),"")</f>
        <v>-2164.5</v>
      </c>
      <c r="U26" s="55"/>
      <c r="V26" s="67">
        <f>IFERROR(IF(V18&gt;0,V18-V22,""),"")</f>
        <v>-3487</v>
      </c>
      <c r="W26" s="55"/>
      <c r="X26" s="67">
        <f>IFERROR(IF(X18&gt;0,X18-X22,""),"")</f>
        <v>-9242.5</v>
      </c>
      <c r="Y26" s="55"/>
      <c r="Z26" s="67">
        <f>IFERROR(IF(Z18&gt;0,Z18-Z22,""),"")</f>
        <v>-1016.5</v>
      </c>
      <c r="AA26" s="55"/>
      <c r="AB26" s="67">
        <f>IFERROR(IF(AB18&gt;0,AB18-AB22,""),"")</f>
        <v>6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10717</v>
      </c>
      <c r="D29" s="76">
        <f>C14</f>
        <v>9992</v>
      </c>
      <c r="E29" s="77">
        <f>D29-C29</f>
        <v>-725</v>
      </c>
      <c r="O29" s="4"/>
    </row>
    <row r="30" spans="2:43" x14ac:dyDescent="0.3">
      <c r="B30" s="74" t="s">
        <v>56</v>
      </c>
      <c r="C30" s="122">
        <v>24247</v>
      </c>
      <c r="D30" s="76">
        <f>C7+C15+C16+C17+C18</f>
        <v>11681</v>
      </c>
      <c r="E30" s="77">
        <f>D30-C30</f>
        <v>-12566</v>
      </c>
      <c r="J30" s="53"/>
      <c r="O30" s="4"/>
    </row>
    <row r="31" spans="2:43" x14ac:dyDescent="0.3">
      <c r="B31" s="74" t="s">
        <v>21</v>
      </c>
      <c r="C31" s="122">
        <v>2388</v>
      </c>
      <c r="D31" s="76">
        <f>C6</f>
        <v>2388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13070</v>
      </c>
      <c r="D32" s="76">
        <f>C10+C11+C12+C13</f>
        <v>13070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15910</v>
      </c>
      <c r="D33" s="76">
        <f>C19+C20+C21</f>
        <v>15479</v>
      </c>
      <c r="E33" s="77">
        <f>D33-C33</f>
        <v>-431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4613</v>
      </c>
      <c r="D34" s="80">
        <f>SUM(C8+C9)</f>
        <v>4613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1026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531.5</v>
      </c>
      <c r="X35" s="104">
        <v>1063</v>
      </c>
      <c r="Y35" s="104">
        <f t="shared" ref="Y35:Y64" si="4">IF(Z35&gt;0,(Z35-X35)/2,"")</f>
        <v>0</v>
      </c>
      <c r="Z35" s="104">
        <v>1063</v>
      </c>
      <c r="AA35" s="104">
        <f t="shared" ref="AA35:AA64" si="5">IF(AB35&gt;0,(AB35-Z35)/2,"")</f>
        <v>0</v>
      </c>
      <c r="AB35" s="104">
        <v>1063</v>
      </c>
      <c r="AC35" s="104">
        <f t="shared" ref="AC35:AC64" si="6">IF(AD35&gt;0,(AD35-AB35)/2,"")</f>
        <v>0</v>
      </c>
      <c r="AD35" s="104">
        <v>1063</v>
      </c>
      <c r="AE35" s="105">
        <f t="shared" ref="AE35:AE64" si="7">AD35-Q35</f>
        <v>37</v>
      </c>
    </row>
    <row r="36" spans="2:31" ht="15.6" customHeight="1" x14ac:dyDescent="0.3">
      <c r="N36" s="212"/>
      <c r="O36" s="95" t="s">
        <v>66</v>
      </c>
      <c r="P36" s="106"/>
      <c r="Q36" s="106">
        <v>2094</v>
      </c>
      <c r="R36" s="106">
        <v>640</v>
      </c>
      <c r="S36" s="106">
        <f t="shared" si="1"/>
        <v>0</v>
      </c>
      <c r="T36" s="106">
        <v>640</v>
      </c>
      <c r="U36" s="106">
        <f t="shared" si="2"/>
        <v>272</v>
      </c>
      <c r="V36" s="106">
        <v>1184</v>
      </c>
      <c r="W36" s="106">
        <f t="shared" si="3"/>
        <v>0</v>
      </c>
      <c r="X36" s="106">
        <v>1184</v>
      </c>
      <c r="Y36" s="106">
        <f t="shared" si="4"/>
        <v>5.5</v>
      </c>
      <c r="Z36" s="106">
        <v>1195</v>
      </c>
      <c r="AA36" s="106">
        <f t="shared" si="5"/>
        <v>0</v>
      </c>
      <c r="AB36" s="106">
        <v>1195</v>
      </c>
      <c r="AC36" s="106">
        <f t="shared" si="6"/>
        <v>0</v>
      </c>
      <c r="AD36" s="106">
        <v>1195</v>
      </c>
      <c r="AE36" s="107">
        <f t="shared" si="7"/>
        <v>-899</v>
      </c>
    </row>
    <row r="37" spans="2:31" ht="15.6" customHeight="1" x14ac:dyDescent="0.3">
      <c r="N37" s="212"/>
      <c r="O37" s="94" t="s">
        <v>67</v>
      </c>
      <c r="P37" s="108"/>
      <c r="Q37" s="108">
        <v>2737</v>
      </c>
      <c r="R37" s="108">
        <v>1197</v>
      </c>
      <c r="S37" s="108">
        <f t="shared" si="1"/>
        <v>420</v>
      </c>
      <c r="T37" s="108">
        <v>2037</v>
      </c>
      <c r="U37" s="108">
        <f t="shared" si="2"/>
        <v>217</v>
      </c>
      <c r="V37" s="108">
        <v>2471</v>
      </c>
      <c r="W37" s="108">
        <f t="shared" si="3"/>
        <v>210</v>
      </c>
      <c r="X37" s="108">
        <v>2891</v>
      </c>
      <c r="Y37" s="108">
        <f t="shared" si="4"/>
        <v>399</v>
      </c>
      <c r="Z37" s="108">
        <v>3689</v>
      </c>
      <c r="AA37" s="108">
        <f t="shared" si="5"/>
        <v>0</v>
      </c>
      <c r="AB37" s="108">
        <v>3689</v>
      </c>
      <c r="AC37" s="108">
        <f t="shared" si="6"/>
        <v>0</v>
      </c>
      <c r="AD37" s="108">
        <v>3689</v>
      </c>
      <c r="AE37" s="109">
        <f t="shared" si="7"/>
        <v>952</v>
      </c>
    </row>
    <row r="38" spans="2:31" ht="15.6" customHeight="1" x14ac:dyDescent="0.3">
      <c r="N38" s="212"/>
      <c r="O38" s="95" t="s">
        <v>68</v>
      </c>
      <c r="P38" s="106"/>
      <c r="Q38" s="106">
        <v>1777</v>
      </c>
      <c r="R38" s="106">
        <v>1161</v>
      </c>
      <c r="S38" s="106">
        <f t="shared" si="1"/>
        <v>223</v>
      </c>
      <c r="T38" s="106">
        <v>1607</v>
      </c>
      <c r="U38" s="106">
        <f t="shared" si="2"/>
        <v>520</v>
      </c>
      <c r="V38" s="106">
        <v>2647</v>
      </c>
      <c r="W38" s="106">
        <f t="shared" si="3"/>
        <v>300.5</v>
      </c>
      <c r="X38" s="106">
        <v>3248</v>
      </c>
      <c r="Y38" s="106">
        <f t="shared" si="4"/>
        <v>1</v>
      </c>
      <c r="Z38" s="106">
        <v>3250</v>
      </c>
      <c r="AA38" s="106">
        <f t="shared" si="5"/>
        <v>0</v>
      </c>
      <c r="AB38" s="106">
        <v>3250</v>
      </c>
      <c r="AC38" s="106">
        <f t="shared" si="6"/>
        <v>0</v>
      </c>
      <c r="AD38" s="106">
        <v>3250</v>
      </c>
      <c r="AE38" s="107">
        <f t="shared" si="7"/>
        <v>1473</v>
      </c>
    </row>
    <row r="39" spans="2:31" ht="15.6" customHeight="1" x14ac:dyDescent="0.3">
      <c r="N39" s="212"/>
      <c r="O39" s="94" t="s">
        <v>69</v>
      </c>
      <c r="P39" s="108"/>
      <c r="Q39" s="108">
        <v>24</v>
      </c>
      <c r="R39" s="108">
        <v>0</v>
      </c>
      <c r="S39" s="108">
        <f t="shared" si="1"/>
        <v>377</v>
      </c>
      <c r="T39" s="108">
        <v>754</v>
      </c>
      <c r="U39" s="108">
        <f t="shared" si="2"/>
        <v>0</v>
      </c>
      <c r="V39" s="108">
        <v>754</v>
      </c>
      <c r="W39" s="108">
        <f t="shared" si="3"/>
        <v>548</v>
      </c>
      <c r="X39" s="108">
        <v>1850</v>
      </c>
      <c r="Y39" s="108">
        <f t="shared" si="4"/>
        <v>167.5</v>
      </c>
      <c r="Z39" s="108">
        <v>2185</v>
      </c>
      <c r="AA39" s="108">
        <f t="shared" si="5"/>
        <v>0</v>
      </c>
      <c r="AB39" s="108">
        <v>2185</v>
      </c>
      <c r="AC39" s="108">
        <f t="shared" si="6"/>
        <v>0</v>
      </c>
      <c r="AD39" s="108">
        <v>2185</v>
      </c>
      <c r="AE39" s="109">
        <f t="shared" si="7"/>
        <v>2161</v>
      </c>
    </row>
    <row r="40" spans="2:31" ht="15.6" customHeight="1" x14ac:dyDescent="0.3">
      <c r="N40" s="212"/>
      <c r="O40" s="95" t="s">
        <v>70</v>
      </c>
      <c r="P40" s="106"/>
      <c r="Q40" s="106">
        <v>0</v>
      </c>
      <c r="R40" s="106">
        <v>502</v>
      </c>
      <c r="S40" s="106">
        <f t="shared" si="1"/>
        <v>235.5</v>
      </c>
      <c r="T40" s="106">
        <v>973</v>
      </c>
      <c r="U40" s="106">
        <f t="shared" si="2"/>
        <v>440.5</v>
      </c>
      <c r="V40" s="106">
        <v>1854</v>
      </c>
      <c r="W40" s="106">
        <f t="shared" si="3"/>
        <v>389.5</v>
      </c>
      <c r="X40" s="106">
        <v>2633</v>
      </c>
      <c r="Y40" s="106">
        <f t="shared" si="4"/>
        <v>257.5</v>
      </c>
      <c r="Z40" s="106">
        <v>3148</v>
      </c>
      <c r="AA40" s="106">
        <f t="shared" si="5"/>
        <v>0</v>
      </c>
      <c r="AB40" s="106">
        <v>3148</v>
      </c>
      <c r="AC40" s="106">
        <f t="shared" si="6"/>
        <v>0</v>
      </c>
      <c r="AD40" s="106">
        <v>3148</v>
      </c>
      <c r="AE40" s="107">
        <f t="shared" si="7"/>
        <v>3148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42</v>
      </c>
      <c r="R42" s="106">
        <v>618</v>
      </c>
      <c r="S42" s="106">
        <f t="shared" si="1"/>
        <v>0</v>
      </c>
      <c r="T42" s="106">
        <v>618</v>
      </c>
      <c r="U42" s="106">
        <f t="shared" si="2"/>
        <v>-182.5</v>
      </c>
      <c r="V42" s="106">
        <v>253</v>
      </c>
      <c r="W42" s="106">
        <f t="shared" si="3"/>
        <v>367.5</v>
      </c>
      <c r="X42" s="106">
        <v>988</v>
      </c>
      <c r="Y42" s="106">
        <f t="shared" si="4"/>
        <v>-175</v>
      </c>
      <c r="Z42" s="106">
        <v>638</v>
      </c>
      <c r="AA42" s="106">
        <f t="shared" si="5"/>
        <v>0</v>
      </c>
      <c r="AB42" s="106">
        <v>638</v>
      </c>
      <c r="AC42" s="106">
        <f t="shared" si="6"/>
        <v>0</v>
      </c>
      <c r="AD42" s="106">
        <v>638</v>
      </c>
      <c r="AE42" s="107">
        <f t="shared" si="7"/>
        <v>596</v>
      </c>
    </row>
    <row r="43" spans="2:31" ht="15.6" customHeight="1" thickBot="1" x14ac:dyDescent="0.35">
      <c r="N43" s="213"/>
      <c r="O43" s="97" t="s">
        <v>73</v>
      </c>
      <c r="P43" s="110"/>
      <c r="Q43" s="110">
        <v>1710</v>
      </c>
      <c r="R43" s="110">
        <v>574</v>
      </c>
      <c r="S43" s="110">
        <f t="shared" si="1"/>
        <v>0</v>
      </c>
      <c r="T43" s="110">
        <v>574</v>
      </c>
      <c r="U43" s="110">
        <f t="shared" si="2"/>
        <v>181.5</v>
      </c>
      <c r="V43" s="110">
        <v>937</v>
      </c>
      <c r="W43" s="110">
        <f t="shared" si="3"/>
        <v>404.5</v>
      </c>
      <c r="X43" s="110">
        <v>1746</v>
      </c>
      <c r="Y43" s="110">
        <f t="shared" si="4"/>
        <v>0</v>
      </c>
      <c r="Z43" s="110">
        <v>1746</v>
      </c>
      <c r="AA43" s="110">
        <f t="shared" si="5"/>
        <v>0</v>
      </c>
      <c r="AB43" s="110">
        <v>1746</v>
      </c>
      <c r="AC43" s="110">
        <f t="shared" si="6"/>
        <v>0</v>
      </c>
      <c r="AD43" s="110">
        <v>1746</v>
      </c>
      <c r="AE43" s="111">
        <f t="shared" si="7"/>
        <v>36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985</v>
      </c>
      <c r="V44" s="112">
        <v>1970</v>
      </c>
      <c r="W44" s="112">
        <f t="shared" si="3"/>
        <v>0</v>
      </c>
      <c r="X44" s="112">
        <v>1970</v>
      </c>
      <c r="Y44" s="112">
        <f t="shared" si="4"/>
        <v>564.5</v>
      </c>
      <c r="Z44" s="112">
        <v>3099</v>
      </c>
      <c r="AA44" s="112">
        <f t="shared" si="5"/>
        <v>0</v>
      </c>
      <c r="AB44" s="112">
        <v>3099</v>
      </c>
      <c r="AC44" s="112">
        <f t="shared" si="6"/>
        <v>0</v>
      </c>
      <c r="AD44" s="112">
        <v>3099</v>
      </c>
      <c r="AE44" s="113">
        <f t="shared" si="7"/>
        <v>3099</v>
      </c>
    </row>
    <row r="45" spans="2:31" ht="15.6" customHeight="1" x14ac:dyDescent="0.3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1290</v>
      </c>
      <c r="Z45" s="108">
        <v>2580</v>
      </c>
      <c r="AA45" s="108">
        <f t="shared" si="5"/>
        <v>0</v>
      </c>
      <c r="AB45" s="108">
        <v>2580</v>
      </c>
      <c r="AC45" s="108">
        <f t="shared" si="6"/>
        <v>0</v>
      </c>
      <c r="AD45" s="108">
        <v>2580</v>
      </c>
      <c r="AE45" s="109">
        <f t="shared" si="7"/>
        <v>2580</v>
      </c>
    </row>
    <row r="46" spans="2:31" ht="15.6" customHeight="1" x14ac:dyDescent="0.3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785</v>
      </c>
      <c r="V46" s="106">
        <v>1570</v>
      </c>
      <c r="W46" s="106">
        <f t="shared" si="3"/>
        <v>0</v>
      </c>
      <c r="X46" s="106">
        <v>1570</v>
      </c>
      <c r="Y46" s="106">
        <f t="shared" si="4"/>
        <v>645</v>
      </c>
      <c r="Z46" s="106">
        <v>2860</v>
      </c>
      <c r="AA46" s="106">
        <f t="shared" si="5"/>
        <v>0</v>
      </c>
      <c r="AB46" s="106">
        <v>2860</v>
      </c>
      <c r="AC46" s="106">
        <f t="shared" si="6"/>
        <v>0</v>
      </c>
      <c r="AD46" s="106">
        <v>2860</v>
      </c>
      <c r="AE46" s="107">
        <f t="shared" si="7"/>
        <v>2860</v>
      </c>
    </row>
    <row r="47" spans="2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817.5</v>
      </c>
      <c r="V47" s="110">
        <v>1635</v>
      </c>
      <c r="W47" s="110">
        <f t="shared" si="3"/>
        <v>815.5</v>
      </c>
      <c r="X47" s="110">
        <v>3266</v>
      </c>
      <c r="Y47" s="110">
        <f t="shared" si="4"/>
        <v>0</v>
      </c>
      <c r="Z47" s="110">
        <v>3266</v>
      </c>
      <c r="AA47" s="110">
        <f t="shared" si="5"/>
        <v>0</v>
      </c>
      <c r="AB47" s="110">
        <v>3266</v>
      </c>
      <c r="AC47" s="110">
        <f t="shared" si="6"/>
        <v>0</v>
      </c>
      <c r="AD47" s="110">
        <v>3266</v>
      </c>
      <c r="AE47" s="111">
        <f t="shared" si="7"/>
        <v>3266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1129</v>
      </c>
      <c r="R48" s="112">
        <v>0</v>
      </c>
      <c r="S48" s="112">
        <f t="shared" si="1"/>
        <v>16.5</v>
      </c>
      <c r="T48" s="112">
        <v>33</v>
      </c>
      <c r="U48" s="112">
        <f t="shared" si="2"/>
        <v>12</v>
      </c>
      <c r="V48" s="112">
        <v>57</v>
      </c>
      <c r="W48" s="112">
        <f t="shared" si="3"/>
        <v>52</v>
      </c>
      <c r="X48" s="112">
        <v>161</v>
      </c>
      <c r="Y48" s="112">
        <f t="shared" si="4"/>
        <v>0</v>
      </c>
      <c r="Z48" s="112">
        <v>161</v>
      </c>
      <c r="AA48" s="112">
        <f t="shared" si="5"/>
        <v>0</v>
      </c>
      <c r="AB48" s="112">
        <v>161</v>
      </c>
      <c r="AC48" s="112">
        <f t="shared" si="6"/>
        <v>0</v>
      </c>
      <c r="AD48" s="112">
        <v>161</v>
      </c>
      <c r="AE48" s="113">
        <f t="shared" si="7"/>
        <v>-968</v>
      </c>
    </row>
    <row r="49" spans="14:31" ht="15.6" customHeight="1" x14ac:dyDescent="0.3">
      <c r="N49" s="212"/>
      <c r="O49" s="94" t="s">
        <v>66</v>
      </c>
      <c r="P49" s="108"/>
      <c r="Q49" s="108">
        <v>2490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161.5</v>
      </c>
      <c r="V49" s="108">
        <v>323</v>
      </c>
      <c r="W49" s="108">
        <f t="shared" si="3"/>
        <v>25.5</v>
      </c>
      <c r="X49" s="108">
        <v>374</v>
      </c>
      <c r="Y49" s="108">
        <f t="shared" si="4"/>
        <v>0</v>
      </c>
      <c r="Z49" s="108">
        <v>374</v>
      </c>
      <c r="AA49" s="108">
        <f t="shared" si="5"/>
        <v>0</v>
      </c>
      <c r="AB49" s="108">
        <v>374</v>
      </c>
      <c r="AC49" s="108">
        <f t="shared" si="6"/>
        <v>0</v>
      </c>
      <c r="AD49" s="108">
        <v>374</v>
      </c>
      <c r="AE49" s="109">
        <f t="shared" si="7"/>
        <v>-2116</v>
      </c>
    </row>
    <row r="50" spans="14:31" ht="15.6" customHeight="1" x14ac:dyDescent="0.3">
      <c r="N50" s="212"/>
      <c r="O50" s="95" t="s">
        <v>67</v>
      </c>
      <c r="P50" s="106"/>
      <c r="Q50" s="106">
        <v>1662</v>
      </c>
      <c r="R50" s="106">
        <v>18</v>
      </c>
      <c r="S50" s="106">
        <f t="shared" si="1"/>
        <v>411.5</v>
      </c>
      <c r="T50" s="106">
        <v>841</v>
      </c>
      <c r="U50" s="106">
        <f t="shared" si="2"/>
        <v>135.5</v>
      </c>
      <c r="V50" s="106">
        <v>1112</v>
      </c>
      <c r="W50" s="106">
        <f t="shared" si="3"/>
        <v>-42</v>
      </c>
      <c r="X50" s="106">
        <v>1028</v>
      </c>
      <c r="Y50" s="106">
        <f t="shared" si="4"/>
        <v>0</v>
      </c>
      <c r="Z50" s="106">
        <v>1028</v>
      </c>
      <c r="AA50" s="106">
        <f t="shared" si="5"/>
        <v>0</v>
      </c>
      <c r="AB50" s="106">
        <v>1028</v>
      </c>
      <c r="AC50" s="106">
        <f t="shared" si="6"/>
        <v>0</v>
      </c>
      <c r="AD50" s="106">
        <v>1028</v>
      </c>
      <c r="AE50" s="107">
        <f t="shared" si="7"/>
        <v>-634</v>
      </c>
    </row>
    <row r="51" spans="14:31" ht="15.6" customHeight="1" x14ac:dyDescent="0.3">
      <c r="N51" s="212"/>
      <c r="O51" s="94" t="s">
        <v>68</v>
      </c>
      <c r="P51" s="108"/>
      <c r="Q51" s="108">
        <v>2134</v>
      </c>
      <c r="R51" s="108">
        <v>350</v>
      </c>
      <c r="S51" s="108">
        <f t="shared" si="1"/>
        <v>64</v>
      </c>
      <c r="T51" s="108">
        <v>478</v>
      </c>
      <c r="U51" s="108">
        <f t="shared" si="2"/>
        <v>501</v>
      </c>
      <c r="V51" s="108">
        <v>1480</v>
      </c>
      <c r="W51" s="108">
        <f t="shared" si="3"/>
        <v>43.5</v>
      </c>
      <c r="X51" s="108">
        <v>1567</v>
      </c>
      <c r="Y51" s="108">
        <f t="shared" si="4"/>
        <v>0</v>
      </c>
      <c r="Z51" s="108">
        <v>1567</v>
      </c>
      <c r="AA51" s="108">
        <f t="shared" si="5"/>
        <v>0</v>
      </c>
      <c r="AB51" s="108">
        <v>1567</v>
      </c>
      <c r="AC51" s="108">
        <f t="shared" si="6"/>
        <v>0</v>
      </c>
      <c r="AD51" s="108">
        <v>1567</v>
      </c>
      <c r="AE51" s="109">
        <f t="shared" si="7"/>
        <v>-567</v>
      </c>
    </row>
    <row r="52" spans="14:31" ht="15.6" customHeight="1" x14ac:dyDescent="0.3">
      <c r="N52" s="212"/>
      <c r="O52" s="95" t="s">
        <v>69</v>
      </c>
      <c r="P52" s="106"/>
      <c r="Q52" s="106">
        <v>2024</v>
      </c>
      <c r="R52" s="106">
        <v>0</v>
      </c>
      <c r="S52" s="106">
        <f t="shared" si="1"/>
        <v>484.5</v>
      </c>
      <c r="T52" s="106">
        <v>969</v>
      </c>
      <c r="U52" s="106">
        <f t="shared" si="2"/>
        <v>127</v>
      </c>
      <c r="V52" s="106">
        <v>1223</v>
      </c>
      <c r="W52" s="106">
        <f t="shared" si="3"/>
        <v>20</v>
      </c>
      <c r="X52" s="106">
        <v>1263</v>
      </c>
      <c r="Y52" s="106">
        <f t="shared" si="4"/>
        <v>0</v>
      </c>
      <c r="Z52" s="106">
        <v>1263</v>
      </c>
      <c r="AA52" s="106">
        <f t="shared" si="5"/>
        <v>0</v>
      </c>
      <c r="AB52" s="106">
        <v>1263</v>
      </c>
      <c r="AC52" s="106">
        <f t="shared" si="6"/>
        <v>0</v>
      </c>
      <c r="AD52" s="106">
        <v>1263</v>
      </c>
      <c r="AE52" s="107">
        <f t="shared" si="7"/>
        <v>-761</v>
      </c>
    </row>
    <row r="53" spans="14:31" ht="15.6" customHeight="1" x14ac:dyDescent="0.3">
      <c r="N53" s="212"/>
      <c r="O53" s="94" t="s">
        <v>70</v>
      </c>
      <c r="P53" s="108"/>
      <c r="Q53" s="108">
        <v>652</v>
      </c>
      <c r="R53" s="108">
        <v>663</v>
      </c>
      <c r="S53" s="108">
        <f t="shared" si="1"/>
        <v>0</v>
      </c>
      <c r="T53" s="108">
        <v>663</v>
      </c>
      <c r="U53" s="108">
        <f t="shared" si="2"/>
        <v>80.5</v>
      </c>
      <c r="V53" s="108">
        <v>824</v>
      </c>
      <c r="W53" s="108">
        <f t="shared" si="3"/>
        <v>52</v>
      </c>
      <c r="X53" s="108">
        <v>928</v>
      </c>
      <c r="Y53" s="108">
        <f t="shared" si="4"/>
        <v>0</v>
      </c>
      <c r="Z53" s="108">
        <v>928</v>
      </c>
      <c r="AA53" s="108">
        <f t="shared" si="5"/>
        <v>0</v>
      </c>
      <c r="AB53" s="108">
        <v>928</v>
      </c>
      <c r="AC53" s="108">
        <f t="shared" si="6"/>
        <v>0</v>
      </c>
      <c r="AD53" s="108">
        <v>928</v>
      </c>
      <c r="AE53" s="109">
        <f t="shared" si="7"/>
        <v>276</v>
      </c>
    </row>
    <row r="54" spans="14:31" ht="15.6" customHeight="1" x14ac:dyDescent="0.3">
      <c r="N54" s="212"/>
      <c r="O54" s="95" t="s">
        <v>71</v>
      </c>
      <c r="P54" s="106"/>
      <c r="Q54" s="106">
        <v>24</v>
      </c>
      <c r="R54" s="106">
        <v>1000</v>
      </c>
      <c r="S54" s="106">
        <f t="shared" si="1"/>
        <v>420</v>
      </c>
      <c r="T54" s="106">
        <v>1840</v>
      </c>
      <c r="U54" s="106">
        <f t="shared" si="2"/>
        <v>260</v>
      </c>
      <c r="V54" s="106">
        <v>2360</v>
      </c>
      <c r="W54" s="106">
        <f t="shared" si="3"/>
        <v>638.5</v>
      </c>
      <c r="X54" s="106">
        <v>3637</v>
      </c>
      <c r="Y54" s="106">
        <f t="shared" si="4"/>
        <v>0</v>
      </c>
      <c r="Z54" s="106">
        <v>3637</v>
      </c>
      <c r="AA54" s="106">
        <f t="shared" si="5"/>
        <v>0</v>
      </c>
      <c r="AB54" s="106">
        <v>3637</v>
      </c>
      <c r="AC54" s="106">
        <f t="shared" si="6"/>
        <v>0</v>
      </c>
      <c r="AD54" s="106">
        <v>3637</v>
      </c>
      <c r="AE54" s="107">
        <f t="shared" si="7"/>
        <v>3613</v>
      </c>
    </row>
    <row r="55" spans="14:31" ht="15.6" customHeight="1" x14ac:dyDescent="0.3">
      <c r="N55" s="212"/>
      <c r="O55" s="94" t="s">
        <v>72</v>
      </c>
      <c r="P55" s="108"/>
      <c r="Q55" s="108">
        <v>5346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101.5</v>
      </c>
      <c r="X55" s="108">
        <v>203</v>
      </c>
      <c r="Y55" s="108">
        <f t="shared" si="4"/>
        <v>0</v>
      </c>
      <c r="Z55" s="108">
        <v>203</v>
      </c>
      <c r="AA55" s="108">
        <f t="shared" si="5"/>
        <v>0</v>
      </c>
      <c r="AB55" s="108">
        <v>203</v>
      </c>
      <c r="AC55" s="108">
        <f t="shared" si="6"/>
        <v>0</v>
      </c>
      <c r="AD55" s="108">
        <v>203</v>
      </c>
      <c r="AE55" s="109">
        <f t="shared" si="7"/>
        <v>-5143</v>
      </c>
    </row>
    <row r="56" spans="14:31" ht="15.6" customHeight="1" thickBot="1" x14ac:dyDescent="0.35">
      <c r="N56" s="213"/>
      <c r="O56" s="99" t="s">
        <v>73</v>
      </c>
      <c r="P56" s="114"/>
      <c r="Q56" s="114">
        <v>1119</v>
      </c>
      <c r="R56" s="114">
        <v>0</v>
      </c>
      <c r="S56" s="114">
        <f t="shared" si="1"/>
        <v>33</v>
      </c>
      <c r="T56" s="114">
        <v>66</v>
      </c>
      <c r="U56" s="114">
        <f t="shared" si="2"/>
        <v>230.5</v>
      </c>
      <c r="V56" s="114">
        <v>527</v>
      </c>
      <c r="W56" s="114">
        <f t="shared" si="3"/>
        <v>149</v>
      </c>
      <c r="X56" s="114">
        <v>825</v>
      </c>
      <c r="Y56" s="114">
        <f t="shared" si="4"/>
        <v>0</v>
      </c>
      <c r="Z56" s="114">
        <v>825</v>
      </c>
      <c r="AA56" s="114">
        <f t="shared" si="5"/>
        <v>0</v>
      </c>
      <c r="AB56" s="114">
        <v>825</v>
      </c>
      <c r="AC56" s="114">
        <f t="shared" si="6"/>
        <v>0</v>
      </c>
      <c r="AD56" s="114">
        <v>825</v>
      </c>
      <c r="AE56" s="115">
        <f t="shared" si="7"/>
        <v>-294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3662</v>
      </c>
      <c r="R57" s="104">
        <v>514</v>
      </c>
      <c r="S57" s="104">
        <f t="shared" si="1"/>
        <v>7.5</v>
      </c>
      <c r="T57" s="104">
        <v>529</v>
      </c>
      <c r="U57" s="104">
        <f t="shared" si="2"/>
        <v>0</v>
      </c>
      <c r="V57" s="104">
        <v>529</v>
      </c>
      <c r="W57" s="104">
        <f t="shared" si="3"/>
        <v>387.5</v>
      </c>
      <c r="X57" s="104">
        <v>1304</v>
      </c>
      <c r="Y57" s="104">
        <f t="shared" si="4"/>
        <v>397</v>
      </c>
      <c r="Z57" s="104">
        <v>2098</v>
      </c>
      <c r="AA57" s="104">
        <f t="shared" si="5"/>
        <v>0</v>
      </c>
      <c r="AB57" s="104">
        <v>2098</v>
      </c>
      <c r="AC57" s="104">
        <f t="shared" si="6"/>
        <v>0</v>
      </c>
      <c r="AD57" s="104">
        <v>2098</v>
      </c>
      <c r="AE57" s="105">
        <f t="shared" si="7"/>
        <v>-1564</v>
      </c>
    </row>
    <row r="58" spans="14:31" ht="15.6" customHeight="1" x14ac:dyDescent="0.3">
      <c r="N58" s="212"/>
      <c r="O58" s="95" t="s">
        <v>66</v>
      </c>
      <c r="P58" s="106"/>
      <c r="Q58" s="106">
        <v>378</v>
      </c>
      <c r="R58" s="106">
        <v>304</v>
      </c>
      <c r="S58" s="106">
        <f t="shared" si="1"/>
        <v>252</v>
      </c>
      <c r="T58" s="106">
        <v>808</v>
      </c>
      <c r="U58" s="106">
        <f t="shared" si="2"/>
        <v>600.5</v>
      </c>
      <c r="V58" s="106">
        <v>2009</v>
      </c>
      <c r="W58" s="106">
        <f t="shared" si="3"/>
        <v>439</v>
      </c>
      <c r="X58" s="106">
        <v>2887</v>
      </c>
      <c r="Y58" s="106">
        <f t="shared" si="4"/>
        <v>30.5</v>
      </c>
      <c r="Z58" s="106">
        <v>2948</v>
      </c>
      <c r="AA58" s="106">
        <f t="shared" si="5"/>
        <v>0</v>
      </c>
      <c r="AB58" s="106">
        <v>2948</v>
      </c>
      <c r="AC58" s="106">
        <f t="shared" si="6"/>
        <v>0</v>
      </c>
      <c r="AD58" s="106">
        <v>2948</v>
      </c>
      <c r="AE58" s="107">
        <f t="shared" si="7"/>
        <v>2570</v>
      </c>
    </row>
    <row r="59" spans="14:31" ht="15.6" customHeight="1" x14ac:dyDescent="0.3">
      <c r="N59" s="212"/>
      <c r="O59" s="94" t="s">
        <v>67</v>
      </c>
      <c r="P59" s="108"/>
      <c r="Q59" s="108">
        <v>4928</v>
      </c>
      <c r="R59" s="108">
        <v>52</v>
      </c>
      <c r="S59" s="108">
        <f t="shared" si="1"/>
        <v>225</v>
      </c>
      <c r="T59" s="108">
        <v>502</v>
      </c>
      <c r="U59" s="108">
        <f t="shared" si="2"/>
        <v>203.5</v>
      </c>
      <c r="V59" s="108">
        <v>909</v>
      </c>
      <c r="W59" s="108">
        <f t="shared" si="3"/>
        <v>397</v>
      </c>
      <c r="X59" s="108">
        <v>1703</v>
      </c>
      <c r="Y59" s="108">
        <f t="shared" si="4"/>
        <v>563.5</v>
      </c>
      <c r="Z59" s="108">
        <v>2830</v>
      </c>
      <c r="AA59" s="108">
        <f t="shared" si="5"/>
        <v>0</v>
      </c>
      <c r="AB59" s="108">
        <v>2830</v>
      </c>
      <c r="AC59" s="108">
        <f t="shared" si="6"/>
        <v>0</v>
      </c>
      <c r="AD59" s="108">
        <v>2830</v>
      </c>
      <c r="AE59" s="109">
        <f t="shared" si="7"/>
        <v>-2098</v>
      </c>
    </row>
    <row r="60" spans="14:31" ht="15.6" customHeight="1" thickBot="1" x14ac:dyDescent="0.35">
      <c r="N60" s="213"/>
      <c r="O60" s="99" t="s">
        <v>68</v>
      </c>
      <c r="P60" s="114"/>
      <c r="Q60" s="114">
        <v>435</v>
      </c>
      <c r="R60" s="114">
        <v>855</v>
      </c>
      <c r="S60" s="114">
        <f t="shared" si="1"/>
        <v>232.5</v>
      </c>
      <c r="T60" s="114">
        <v>1320</v>
      </c>
      <c r="U60" s="114">
        <f t="shared" si="2"/>
        <v>621</v>
      </c>
      <c r="V60" s="114">
        <v>2562</v>
      </c>
      <c r="W60" s="114">
        <f t="shared" si="3"/>
        <v>607.5</v>
      </c>
      <c r="X60" s="114">
        <v>3777</v>
      </c>
      <c r="Y60" s="114">
        <f t="shared" si="4"/>
        <v>15.5</v>
      </c>
      <c r="Z60" s="114">
        <v>3808</v>
      </c>
      <c r="AA60" s="114">
        <f t="shared" si="5"/>
        <v>0</v>
      </c>
      <c r="AB60" s="114">
        <v>3808</v>
      </c>
      <c r="AC60" s="114">
        <f t="shared" si="6"/>
        <v>0</v>
      </c>
      <c r="AD60" s="114">
        <v>3808</v>
      </c>
      <c r="AE60" s="115">
        <f t="shared" si="7"/>
        <v>3373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4242</v>
      </c>
      <c r="R61" s="104">
        <v>369</v>
      </c>
      <c r="S61" s="104">
        <f t="shared" si="1"/>
        <v>0</v>
      </c>
      <c r="T61" s="104">
        <v>369</v>
      </c>
      <c r="U61" s="104">
        <f t="shared" si="2"/>
        <v>66</v>
      </c>
      <c r="V61" s="104">
        <v>501</v>
      </c>
      <c r="W61" s="104">
        <f t="shared" si="3"/>
        <v>391.5</v>
      </c>
      <c r="X61" s="104">
        <v>1284</v>
      </c>
      <c r="Y61" s="104">
        <f t="shared" si="4"/>
        <v>458</v>
      </c>
      <c r="Z61" s="104">
        <v>2200</v>
      </c>
      <c r="AA61" s="104">
        <f t="shared" si="5"/>
        <v>6</v>
      </c>
      <c r="AB61" s="104">
        <v>2212</v>
      </c>
      <c r="AC61" s="104">
        <f t="shared" si="6"/>
        <v>0</v>
      </c>
      <c r="AD61" s="104">
        <v>2212</v>
      </c>
      <c r="AE61" s="105">
        <f t="shared" si="7"/>
        <v>-2030</v>
      </c>
    </row>
    <row r="62" spans="14:31" ht="15.6" customHeight="1" x14ac:dyDescent="0.3">
      <c r="N62" s="212"/>
      <c r="O62" s="95" t="s">
        <v>66</v>
      </c>
      <c r="P62" s="106"/>
      <c r="Q62" s="106">
        <v>3617</v>
      </c>
      <c r="R62" s="106">
        <v>42</v>
      </c>
      <c r="S62" s="106">
        <f t="shared" si="1"/>
        <v>372</v>
      </c>
      <c r="T62" s="106">
        <v>786</v>
      </c>
      <c r="U62" s="106">
        <f t="shared" si="2"/>
        <v>129.5</v>
      </c>
      <c r="V62" s="106">
        <v>1045</v>
      </c>
      <c r="W62" s="106">
        <f t="shared" si="3"/>
        <v>698.5</v>
      </c>
      <c r="X62" s="106">
        <v>2442</v>
      </c>
      <c r="Y62" s="106">
        <f t="shared" si="4"/>
        <v>23.5</v>
      </c>
      <c r="Z62" s="106">
        <v>2489</v>
      </c>
      <c r="AA62" s="106">
        <f t="shared" si="5"/>
        <v>0</v>
      </c>
      <c r="AB62" s="106">
        <v>2489</v>
      </c>
      <c r="AC62" s="106">
        <f t="shared" si="6"/>
        <v>0</v>
      </c>
      <c r="AD62" s="106">
        <v>2489</v>
      </c>
      <c r="AE62" s="107">
        <f t="shared" si="7"/>
        <v>-1128</v>
      </c>
    </row>
    <row r="63" spans="14:31" ht="15.6" customHeight="1" x14ac:dyDescent="0.3">
      <c r="N63" s="212"/>
      <c r="O63" s="94" t="s">
        <v>67</v>
      </c>
      <c r="P63" s="108"/>
      <c r="Q63" s="108">
        <v>2609</v>
      </c>
      <c r="R63" s="108">
        <v>99</v>
      </c>
      <c r="S63" s="108">
        <f t="shared" si="1"/>
        <v>356.5</v>
      </c>
      <c r="T63" s="108">
        <v>812</v>
      </c>
      <c r="U63" s="108">
        <f t="shared" si="2"/>
        <v>129.5</v>
      </c>
      <c r="V63" s="108">
        <v>1071</v>
      </c>
      <c r="W63" s="108">
        <f t="shared" si="3"/>
        <v>100.5</v>
      </c>
      <c r="X63" s="108">
        <v>1272</v>
      </c>
      <c r="Y63" s="108">
        <f t="shared" si="4"/>
        <v>140</v>
      </c>
      <c r="Z63" s="108">
        <v>1552</v>
      </c>
      <c r="AA63" s="108">
        <f t="shared" si="5"/>
        <v>0</v>
      </c>
      <c r="AB63" s="108">
        <v>1552</v>
      </c>
      <c r="AC63" s="108">
        <f t="shared" si="6"/>
        <v>0</v>
      </c>
      <c r="AD63" s="108">
        <v>1552</v>
      </c>
      <c r="AE63" s="109">
        <f t="shared" si="7"/>
        <v>-1057</v>
      </c>
    </row>
    <row r="64" spans="14:31" ht="15.6" customHeight="1" thickBot="1" x14ac:dyDescent="0.35">
      <c r="N64" s="213"/>
      <c r="O64" s="99" t="s">
        <v>68</v>
      </c>
      <c r="P64" s="114"/>
      <c r="Q64" s="114">
        <v>2969</v>
      </c>
      <c r="R64" s="114">
        <v>829</v>
      </c>
      <c r="S64" s="114">
        <f t="shared" si="1"/>
        <v>130</v>
      </c>
      <c r="T64" s="114">
        <v>1089</v>
      </c>
      <c r="U64" s="114">
        <f t="shared" si="2"/>
        <v>1</v>
      </c>
      <c r="V64" s="114">
        <v>1091</v>
      </c>
      <c r="W64" s="114">
        <f t="shared" si="3"/>
        <v>77.5</v>
      </c>
      <c r="X64" s="114">
        <v>1246</v>
      </c>
      <c r="Y64" s="114">
        <f t="shared" si="4"/>
        <v>158</v>
      </c>
      <c r="Z64" s="114">
        <v>1562</v>
      </c>
      <c r="AA64" s="114">
        <f t="shared" si="5"/>
        <v>0</v>
      </c>
      <c r="AB64" s="114">
        <v>1562</v>
      </c>
      <c r="AC64" s="114">
        <f t="shared" si="6"/>
        <v>0</v>
      </c>
      <c r="AD64" s="114">
        <v>1562</v>
      </c>
      <c r="AE64" s="115">
        <f t="shared" si="7"/>
        <v>-1407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43" priority="11" operator="lessThan">
      <formula>0</formula>
    </cfRule>
    <cfRule type="cellIs" dxfId="1042" priority="12" operator="greaterThan">
      <formula>0</formula>
    </cfRule>
  </conditionalFormatting>
  <conditionalFormatting sqref="R25:AC25">
    <cfRule type="cellIs" dxfId="1041" priority="9" operator="lessThan">
      <formula>0</formula>
    </cfRule>
    <cfRule type="cellIs" dxfId="1040" priority="10" operator="greaterThan">
      <formula>0</formula>
    </cfRule>
  </conditionalFormatting>
  <conditionalFormatting sqref="R26 T26 V26 X26 Z26 AB26">
    <cfRule type="cellIs" dxfId="1039" priority="7" operator="lessThan">
      <formula>0</formula>
    </cfRule>
    <cfRule type="cellIs" dxfId="1038" priority="8" operator="greaterThan">
      <formula>0</formula>
    </cfRule>
  </conditionalFormatting>
  <conditionalFormatting sqref="AD24:AE24">
    <cfRule type="cellIs" dxfId="1037" priority="5" operator="lessThan">
      <formula>0</formula>
    </cfRule>
    <cfRule type="cellIs" dxfId="1036" priority="6" operator="greaterThan">
      <formula>0</formula>
    </cfRule>
  </conditionalFormatting>
  <conditionalFormatting sqref="AD25:AE25">
    <cfRule type="cellIs" dxfId="1035" priority="3" operator="lessThan">
      <formula>0</formula>
    </cfRule>
    <cfRule type="cellIs" dxfId="1034" priority="4" operator="greaterThan">
      <formula>0</formula>
    </cfRule>
  </conditionalFormatting>
  <conditionalFormatting sqref="AD26">
    <cfRule type="cellIs" dxfId="1033" priority="1" operator="lessThan">
      <formula>0</formula>
    </cfRule>
    <cfRule type="cellIs" dxfId="103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>
    <tabColor theme="1"/>
    <pageSetUpPr fitToPage="1"/>
  </sheetPr>
  <dimension ref="B1:AQ64"/>
  <sheetViews>
    <sheetView topLeftCell="I1"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44432</v>
      </c>
    </row>
    <row r="3" spans="2:42" ht="18.75" customHeight="1" thickBot="1" x14ac:dyDescent="0.35">
      <c r="B3" t="s">
        <v>1</v>
      </c>
      <c r="C3" s="3">
        <f>C2+1</f>
        <v>44433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6378</v>
      </c>
      <c r="E6" s="18" t="s">
        <v>22</v>
      </c>
      <c r="F6" s="119">
        <v>20421</v>
      </c>
      <c r="G6" s="117">
        <v>16416.743750000001</v>
      </c>
      <c r="H6" s="117">
        <v>14877.10386672001</v>
      </c>
      <c r="I6" s="19">
        <f>G6+H6</f>
        <v>31293.847616720013</v>
      </c>
      <c r="J6" s="119">
        <v>20024</v>
      </c>
      <c r="K6" s="117">
        <v>16284.630624999991</v>
      </c>
      <c r="L6" s="117">
        <v>14668.31707268</v>
      </c>
      <c r="M6" s="19">
        <f>K6+L6</f>
        <v>30952.947697679992</v>
      </c>
      <c r="N6" s="85">
        <v>65</v>
      </c>
      <c r="O6" s="85">
        <v>53</v>
      </c>
      <c r="P6" s="92"/>
      <c r="Q6" s="20">
        <f>J6-P6</f>
        <v>20024</v>
      </c>
      <c r="R6" s="21">
        <v>5266</v>
      </c>
      <c r="S6" s="20">
        <f>IF(R6&gt;0,(R6-R7-$Q6),"")</f>
        <v>-14951</v>
      </c>
      <c r="T6" s="21">
        <v>8479</v>
      </c>
      <c r="U6" s="20">
        <f>IF(T6&gt;0,(T6-T7-$Q6),"")</f>
        <v>-11749</v>
      </c>
      <c r="V6" s="21">
        <v>12983</v>
      </c>
      <c r="W6" s="20">
        <f>IF(V6&gt;0,(V6-V7-$Q6),"")</f>
        <v>-7592</v>
      </c>
      <c r="X6" s="21">
        <v>16639</v>
      </c>
      <c r="Y6" s="20">
        <f>IF(X6&gt;0,(X6-X7-$Q6),"")</f>
        <v>-3997</v>
      </c>
      <c r="Z6" s="21">
        <v>19146</v>
      </c>
      <c r="AA6" s="20">
        <f>IF(Z6&gt;0,(Z6-Z7-$Q6),"")</f>
        <v>-1550</v>
      </c>
      <c r="AB6" s="21">
        <v>19146</v>
      </c>
      <c r="AC6" s="22">
        <f>IF(AB6&gt;0,(AB6-AB7-$Q6),"")</f>
        <v>-1550</v>
      </c>
      <c r="AD6" s="21">
        <v>19146</v>
      </c>
      <c r="AE6" s="22">
        <f>IF(AD6&gt;0,(AD6-AD7-$Q6),"")</f>
        <v>-1550</v>
      </c>
    </row>
    <row r="7" spans="2:42" x14ac:dyDescent="0.3">
      <c r="B7" s="16" t="s">
        <v>23</v>
      </c>
      <c r="C7" s="17">
        <v>2485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193</v>
      </c>
      <c r="S7" s="24"/>
      <c r="T7" s="25">
        <v>204</v>
      </c>
      <c r="U7" s="24"/>
      <c r="V7" s="25">
        <v>551</v>
      </c>
      <c r="W7" s="24"/>
      <c r="X7" s="25">
        <v>612</v>
      </c>
      <c r="Y7" s="24"/>
      <c r="Z7" s="25">
        <v>672</v>
      </c>
      <c r="AA7" s="24"/>
      <c r="AB7" s="25">
        <v>672</v>
      </c>
      <c r="AC7" s="26"/>
      <c r="AD7" s="25">
        <v>672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2730</v>
      </c>
      <c r="E8" s="29" t="s">
        <v>27</v>
      </c>
      <c r="F8" s="119">
        <v>11220</v>
      </c>
      <c r="G8" s="117">
        <v>4604.93</v>
      </c>
      <c r="H8" s="117">
        <v>1415.7470000000001</v>
      </c>
      <c r="I8" s="19">
        <f>G8+H8</f>
        <v>6020.6770000000006</v>
      </c>
      <c r="J8" s="119">
        <v>12154</v>
      </c>
      <c r="K8" s="117">
        <v>4982.0810000000001</v>
      </c>
      <c r="L8" s="117">
        <v>1513.8072159999999</v>
      </c>
      <c r="M8" s="19">
        <f>K8+L8</f>
        <v>6495.8882160000003</v>
      </c>
      <c r="N8" s="87">
        <v>30</v>
      </c>
      <c r="O8" s="87">
        <v>24</v>
      </c>
      <c r="P8" s="92"/>
      <c r="Q8" s="20">
        <f>J8-P8</f>
        <v>12154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4927</v>
      </c>
      <c r="W8" s="20">
        <f>IF(V8&gt;0,(V8-V9-$Q8),"")</f>
        <v>-12154</v>
      </c>
      <c r="X8" s="21">
        <v>8430</v>
      </c>
      <c r="Y8" s="20">
        <f>IF(X8&gt;0,(X8-X9-$Q8),"")</f>
        <v>-12154</v>
      </c>
      <c r="Z8" s="21">
        <v>12154</v>
      </c>
      <c r="AA8" s="20">
        <f>IF(Z8&gt;0,(Z8-Z9-$Q8),"")</f>
        <v>-12154</v>
      </c>
      <c r="AB8" s="21">
        <v>12154</v>
      </c>
      <c r="AC8" s="22">
        <f>IF(AB8&gt;0,(AB8-AB9-$Q8),"")</f>
        <v>-12154</v>
      </c>
      <c r="AD8" s="21">
        <v>12154</v>
      </c>
      <c r="AE8" s="22">
        <f>IF(AD8&gt;0,(AD8-AD9-$Q8),"")</f>
        <v>-12154</v>
      </c>
    </row>
    <row r="9" spans="2:42" x14ac:dyDescent="0.3">
      <c r="B9" s="28" t="s">
        <v>28</v>
      </c>
      <c r="C9" s="17">
        <v>1913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4927</v>
      </c>
      <c r="W9" s="24"/>
      <c r="X9" s="30">
        <v>8430</v>
      </c>
      <c r="Y9" s="24"/>
      <c r="Z9" s="30">
        <v>12154</v>
      </c>
      <c r="AA9" s="24"/>
      <c r="AB9" s="30">
        <v>12154</v>
      </c>
      <c r="AC9" s="26"/>
      <c r="AD9" s="30">
        <v>12154</v>
      </c>
      <c r="AE9" s="26"/>
    </row>
    <row r="10" spans="2:42" x14ac:dyDescent="0.3">
      <c r="B10" s="16" t="s">
        <v>30</v>
      </c>
      <c r="C10" s="17">
        <v>5733</v>
      </c>
      <c r="E10" s="18" t="s">
        <v>31</v>
      </c>
      <c r="F10" s="119">
        <v>23487</v>
      </c>
      <c r="G10" s="117">
        <v>17146.754625000001</v>
      </c>
      <c r="H10" s="117">
        <v>1804.8033674999999</v>
      </c>
      <c r="I10" s="19">
        <f>G10+H10</f>
        <v>18951.557992500002</v>
      </c>
      <c r="J10" s="119">
        <v>23588</v>
      </c>
      <c r="K10" s="117">
        <v>17471.143625000001</v>
      </c>
      <c r="L10" s="117">
        <v>1768.9495400000001</v>
      </c>
      <c r="M10" s="19">
        <f>K10+L10</f>
        <v>19240.093165000002</v>
      </c>
      <c r="N10" s="88">
        <v>45</v>
      </c>
      <c r="O10" s="88">
        <v>41</v>
      </c>
      <c r="P10" s="92"/>
      <c r="Q10" s="20">
        <f>J10-P10</f>
        <v>23588</v>
      </c>
      <c r="R10" s="21">
        <v>3411</v>
      </c>
      <c r="S10" s="20">
        <f>IF(R10&gt;0,(R10-R11-$Q10),"")</f>
        <v>-21177</v>
      </c>
      <c r="T10" s="21">
        <v>7139</v>
      </c>
      <c r="U10" s="20">
        <f>IF(T10&gt;0,(T10-T11-$Q10),"")</f>
        <v>-18305</v>
      </c>
      <c r="V10" s="21">
        <v>10048</v>
      </c>
      <c r="W10" s="20">
        <f>IF(V10&gt;0,(V10-V11-$Q10),"")</f>
        <v>-15348</v>
      </c>
      <c r="X10" s="21">
        <v>15330</v>
      </c>
      <c r="Y10" s="20">
        <f>IF(X10&gt;0,(X10-X11-$Q10),"")</f>
        <v>-12332</v>
      </c>
      <c r="Z10" s="21">
        <v>18344</v>
      </c>
      <c r="AA10" s="20">
        <f>IF(Z10&gt;0,(Z10-Z11-$Q10),"")</f>
        <v>-8474</v>
      </c>
      <c r="AB10" s="21">
        <v>18348</v>
      </c>
      <c r="AC10" s="22">
        <f>IF(AB10&gt;0,(AB10-AB11-$Q10),"")</f>
        <v>-8470</v>
      </c>
      <c r="AD10" s="21">
        <v>18348</v>
      </c>
      <c r="AE10" s="22">
        <f>IF(AD10&gt;0,(AD10-AD11-$Q10),"")</f>
        <v>-8470</v>
      </c>
    </row>
    <row r="11" spans="2:42" x14ac:dyDescent="0.3">
      <c r="B11" s="16" t="s">
        <v>32</v>
      </c>
      <c r="C11" s="17">
        <v>1865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1000</v>
      </c>
      <c r="S11" s="24"/>
      <c r="T11" s="30">
        <v>1856</v>
      </c>
      <c r="U11" s="24"/>
      <c r="V11" s="30">
        <v>1808</v>
      </c>
      <c r="W11" s="24"/>
      <c r="X11" s="30">
        <v>4074</v>
      </c>
      <c r="Y11" s="24"/>
      <c r="Z11" s="30">
        <v>3230</v>
      </c>
      <c r="AA11" s="24"/>
      <c r="AB11" s="30">
        <v>3230</v>
      </c>
      <c r="AC11" s="26"/>
      <c r="AD11" s="30">
        <v>3230</v>
      </c>
      <c r="AE11" s="26"/>
    </row>
    <row r="12" spans="2:42" x14ac:dyDescent="0.3">
      <c r="B12" s="16" t="s">
        <v>34</v>
      </c>
      <c r="C12" s="17">
        <v>1392</v>
      </c>
      <c r="E12" s="29" t="s">
        <v>35</v>
      </c>
      <c r="F12" s="119">
        <v>17905</v>
      </c>
      <c r="G12" s="117">
        <v>11995.75675</v>
      </c>
      <c r="H12" s="117">
        <v>19046.211987930012</v>
      </c>
      <c r="I12" s="19">
        <f>G12+H12</f>
        <v>31041.968737930012</v>
      </c>
      <c r="J12" s="119">
        <v>17168</v>
      </c>
      <c r="K12" s="117">
        <v>12192.582249999999</v>
      </c>
      <c r="L12" s="117">
        <v>18746.990292160001</v>
      </c>
      <c r="M12" s="19">
        <f>K12+L12</f>
        <v>30939.57254216</v>
      </c>
      <c r="N12" s="88">
        <v>51</v>
      </c>
      <c r="O12" s="88">
        <v>42</v>
      </c>
      <c r="P12" s="92"/>
      <c r="Q12" s="20">
        <f>J12-P12</f>
        <v>17168</v>
      </c>
      <c r="R12" s="21">
        <v>3279</v>
      </c>
      <c r="S12" s="20">
        <f>IF(R12&gt;0,(R12-R13-$Q12),"")</f>
        <v>-13890</v>
      </c>
      <c r="T12" s="21">
        <v>5862</v>
      </c>
      <c r="U12" s="20">
        <f>IF(T12&gt;0,(T12-T13-$Q12),"")</f>
        <v>-11310</v>
      </c>
      <c r="V12" s="21">
        <v>7521</v>
      </c>
      <c r="W12" s="20">
        <f>IF(V12&gt;0,(V12-V13-$Q12),"")</f>
        <v>-9703</v>
      </c>
      <c r="X12" s="21">
        <v>9736</v>
      </c>
      <c r="Y12" s="20">
        <f>IF(X12&gt;0,(X12-X13-$Q12),"")</f>
        <v>-7555</v>
      </c>
      <c r="Z12" s="21">
        <v>11579</v>
      </c>
      <c r="AA12" s="20">
        <f>IF(Z12&gt;0,(Z12-Z13-$Q12),"")</f>
        <v>-6847</v>
      </c>
      <c r="AB12" s="21">
        <v>11579</v>
      </c>
      <c r="AC12" s="22">
        <f>IF(AB12&gt;0,(AB12-AB13-$Q12),"")</f>
        <v>-6847</v>
      </c>
      <c r="AD12" s="21">
        <v>11579</v>
      </c>
      <c r="AE12" s="22">
        <f>IF(AD12&gt;0,(AD12-AD13-$Q12),"")</f>
        <v>-6847</v>
      </c>
    </row>
    <row r="13" spans="2:42" x14ac:dyDescent="0.3">
      <c r="B13" s="16" t="s">
        <v>36</v>
      </c>
      <c r="C13" s="17">
        <v>4134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1</v>
      </c>
      <c r="S13" s="24"/>
      <c r="T13" s="30">
        <v>4</v>
      </c>
      <c r="U13" s="24"/>
      <c r="V13" s="30">
        <v>56</v>
      </c>
      <c r="W13" s="24"/>
      <c r="X13" s="30">
        <v>123</v>
      </c>
      <c r="Y13" s="24"/>
      <c r="Z13" s="30">
        <v>1258</v>
      </c>
      <c r="AA13" s="24"/>
      <c r="AB13" s="30">
        <v>1258</v>
      </c>
      <c r="AC13" s="26"/>
      <c r="AD13" s="30">
        <v>1258</v>
      </c>
      <c r="AE13" s="26"/>
    </row>
    <row r="14" spans="2:42" x14ac:dyDescent="0.3">
      <c r="B14" s="16" t="s">
        <v>38</v>
      </c>
      <c r="C14" s="17">
        <v>10669</v>
      </c>
      <c r="E14" s="18" t="s">
        <v>39</v>
      </c>
      <c r="F14" s="119">
        <v>23503</v>
      </c>
      <c r="G14" s="117">
        <v>16147.40625</v>
      </c>
      <c r="H14" s="117">
        <v>20825.46866683499</v>
      </c>
      <c r="I14" s="19">
        <f>G14+H14</f>
        <v>36972.87491683499</v>
      </c>
      <c r="J14" s="119">
        <v>23607</v>
      </c>
      <c r="K14" s="117">
        <v>16277.4375</v>
      </c>
      <c r="L14" s="117">
        <v>20846.281252615001</v>
      </c>
      <c r="M14" s="19">
        <f>K14+L14</f>
        <v>37123.718752615001</v>
      </c>
      <c r="N14" s="88">
        <v>60</v>
      </c>
      <c r="O14" s="88">
        <v>50</v>
      </c>
      <c r="P14" s="92"/>
      <c r="Q14" s="20">
        <f>J14-P14</f>
        <v>23607</v>
      </c>
      <c r="R14" s="21">
        <v>4119</v>
      </c>
      <c r="S14" s="20">
        <f>IF(R14&gt;0,(R14-R15-$Q14),"")</f>
        <v>-19509</v>
      </c>
      <c r="T14" s="21">
        <v>7060</v>
      </c>
      <c r="U14" s="20">
        <f>IF(T14&gt;0,(T14-T15-$Q14),"")</f>
        <v>-16648</v>
      </c>
      <c r="V14" s="21">
        <v>9141</v>
      </c>
      <c r="W14" s="20">
        <f>IF(V14&gt;0,(V14-V15-$Q14),"")</f>
        <v>-14692</v>
      </c>
      <c r="X14" s="21">
        <v>11442</v>
      </c>
      <c r="Y14" s="20">
        <f>IF(X14&gt;0,(X14-X15-$Q14),"")</f>
        <v>-12391</v>
      </c>
      <c r="Z14" s="21">
        <v>13716</v>
      </c>
      <c r="AA14" s="20">
        <f>IF(Z14&gt;0,(Z14-Z15-$Q14),"")</f>
        <v>-10117</v>
      </c>
      <c r="AB14" s="21">
        <v>13716</v>
      </c>
      <c r="AC14" s="22">
        <f>IF(AB14&gt;0,(AB14-AB15-$Q14),"")</f>
        <v>-10117</v>
      </c>
      <c r="AD14" s="21">
        <v>13716</v>
      </c>
      <c r="AE14" s="22">
        <f>IF(AD14&gt;0,(AD14-AD15-$Q14),"")</f>
        <v>-10117</v>
      </c>
    </row>
    <row r="15" spans="2:42" ht="15" customHeight="1" thickBot="1" x14ac:dyDescent="0.35">
      <c r="B15" s="16" t="s">
        <v>40</v>
      </c>
      <c r="C15" s="17">
        <v>2929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21</v>
      </c>
      <c r="S15" s="24"/>
      <c r="T15" s="25">
        <v>101</v>
      </c>
      <c r="U15" s="24"/>
      <c r="V15" s="25">
        <v>226</v>
      </c>
      <c r="W15" s="24"/>
      <c r="X15" s="25">
        <v>226</v>
      </c>
      <c r="Y15" s="24"/>
      <c r="Z15" s="25">
        <v>226</v>
      </c>
      <c r="AA15" s="24"/>
      <c r="AB15" s="25">
        <v>226</v>
      </c>
      <c r="AC15" s="26"/>
      <c r="AD15" s="25">
        <v>226</v>
      </c>
      <c r="AE15" s="26"/>
    </row>
    <row r="16" spans="2:42" ht="15" customHeight="1" thickBot="1" x14ac:dyDescent="0.35">
      <c r="B16" s="28" t="s">
        <v>42</v>
      </c>
      <c r="C16" s="17">
        <v>12663</v>
      </c>
      <c r="E16" s="84"/>
      <c r="F16" s="31">
        <f t="shared" ref="F16:M16" si="0">SUM(F6:F15)</f>
        <v>96536</v>
      </c>
      <c r="G16" s="31">
        <f t="shared" si="0"/>
        <v>66311.591375000004</v>
      </c>
      <c r="H16" s="31">
        <f t="shared" si="0"/>
        <v>57969.334888985009</v>
      </c>
      <c r="I16" s="32">
        <f t="shared" si="0"/>
        <v>124280.92626398502</v>
      </c>
      <c r="J16" s="33">
        <f t="shared" si="0"/>
        <v>96541</v>
      </c>
      <c r="K16" s="33">
        <f t="shared" si="0"/>
        <v>67207.875</v>
      </c>
      <c r="L16" s="33">
        <f t="shared" si="0"/>
        <v>57544.345373455006</v>
      </c>
      <c r="M16" s="33">
        <f t="shared" si="0"/>
        <v>124752.220373455</v>
      </c>
      <c r="N16" s="31">
        <f>SUM(N14,N12,N10,N8,N6)</f>
        <v>251</v>
      </c>
      <c r="O16" s="31">
        <f>SUM(O14,O12,O10,O8,O6)</f>
        <v>210</v>
      </c>
      <c r="P16" s="34">
        <f>SUM(P6:P15)</f>
        <v>0</v>
      </c>
      <c r="Q16" s="34">
        <f>SUM(Q6:Q15)</f>
        <v>96541</v>
      </c>
      <c r="R16" s="35">
        <f>R6+R8+R10+R12+R14-R7-R9-R11-R13-R15</f>
        <v>14860</v>
      </c>
      <c r="S16" s="36">
        <f>IF(R16&gt;1,(R16-$Q16),"")</f>
        <v>-81681</v>
      </c>
      <c r="T16" s="35">
        <f>T6+T8+T10+T12+T14-T7-T9-T11-T13-T15</f>
        <v>26375</v>
      </c>
      <c r="U16" s="36">
        <f>IF(T16&gt;1,(T16-$Q16),"")</f>
        <v>-70166</v>
      </c>
      <c r="V16" s="35">
        <f>V6+V8+V10+V12+V14-V7-V9-V11-V13-V15</f>
        <v>37052</v>
      </c>
      <c r="W16" s="36">
        <f>IF(V16&gt;1,(V16-$Q16),"")</f>
        <v>-59489</v>
      </c>
      <c r="X16" s="35">
        <f>X6+X8+X10+X12+X14-X7-X9-X11-X13-X15</f>
        <v>48112</v>
      </c>
      <c r="Y16" s="36">
        <f>IF(X16&gt;1,(X16-$Q16),"")</f>
        <v>-48429</v>
      </c>
      <c r="Z16" s="35">
        <f>Z6+Z8+Z10+Z12+Z14-Z7-Z9-Z11-Z13-Z15</f>
        <v>57399</v>
      </c>
      <c r="AA16" s="36">
        <f>IF(Z16&gt;1,(Z16-$Q16),"")</f>
        <v>-39142</v>
      </c>
      <c r="AB16" s="35">
        <f>AB6+AB8+AB10+AB12+AB14-AB7-AB9-AB11-AB13-AB15</f>
        <v>57403</v>
      </c>
      <c r="AC16" s="37">
        <f>IF(AB16&gt;1,(AB16-$Q16),"")</f>
        <v>-39138</v>
      </c>
      <c r="AD16" s="35">
        <f>AD6+AD8+AD10+AD12+AD14-AD7-AD9-AD11-AD13-AD15</f>
        <v>57403</v>
      </c>
      <c r="AE16" s="37">
        <f>IF(AD16&gt;1,(AD16-$Q16),"")</f>
        <v>-39138</v>
      </c>
    </row>
    <row r="17" spans="2:43" s="4" customFormat="1" ht="15" customHeight="1" thickBot="1" x14ac:dyDescent="0.35">
      <c r="B17" s="43" t="s">
        <v>47</v>
      </c>
      <c r="C17" s="17">
        <v>1140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1215</v>
      </c>
      <c r="S17" s="41"/>
      <c r="T17" s="40">
        <f>T15+T13+T11+T9+T7</f>
        <v>2165</v>
      </c>
      <c r="U17" s="41"/>
      <c r="V17" s="40">
        <f>V15+V13+V11+V9+V7</f>
        <v>7568</v>
      </c>
      <c r="W17" s="41"/>
      <c r="X17" s="40">
        <f>X15+X13+X11+X9+X7</f>
        <v>13465</v>
      </c>
      <c r="Y17" s="41"/>
      <c r="Z17" s="40">
        <f>Z15+Z13+Z11+Z9+Z7</f>
        <v>17540</v>
      </c>
      <c r="AA17" s="41"/>
      <c r="AB17" s="40">
        <f>AB15+AB13+AB11+AB9+AB7</f>
        <v>17540</v>
      </c>
      <c r="AC17" s="42"/>
      <c r="AD17" s="40">
        <f>AD15+AD13+AD11+AD9+AD7</f>
        <v>17540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608</v>
      </c>
      <c r="P18" s="45" t="s">
        <v>46</v>
      </c>
      <c r="Q18" s="46"/>
      <c r="R18" s="47">
        <f>IF(R16&gt;0,(R16)/2,"")</f>
        <v>7430</v>
      </c>
      <c r="S18" s="46"/>
      <c r="T18" s="47">
        <f>IF(T16&gt;0,(T16-R16)/2,"")</f>
        <v>5757.5</v>
      </c>
      <c r="U18" s="46"/>
      <c r="V18" s="47">
        <f>IF(V16&gt;0,(V16-T16)/2,"")</f>
        <v>5338.5</v>
      </c>
      <c r="W18" s="46"/>
      <c r="X18" s="47">
        <f>IF(X16&gt;0,(X16-V16)/2,"")</f>
        <v>5530</v>
      </c>
      <c r="Y18" s="46"/>
      <c r="Z18" s="47">
        <f>IF(Z16&gt;0,(Z16-X16)/2,"")</f>
        <v>4643.5</v>
      </c>
      <c r="AA18" s="46"/>
      <c r="AB18" s="47">
        <f>IF(AB16&gt;0,(AB16-Z16)/2,"")</f>
        <v>2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10152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969</v>
      </c>
      <c r="L20" s="4"/>
      <c r="M20" s="4"/>
      <c r="Q20" s="51" t="s">
        <v>49</v>
      </c>
      <c r="R20" s="35">
        <v>4774</v>
      </c>
      <c r="S20" s="36">
        <v>-76614</v>
      </c>
      <c r="T20" s="35">
        <v>7792</v>
      </c>
      <c r="U20" s="36">
        <v>-73596</v>
      </c>
      <c r="V20" s="35">
        <v>9880</v>
      </c>
      <c r="W20" s="36">
        <v>-71508</v>
      </c>
      <c r="X20" s="35">
        <v>14076</v>
      </c>
      <c r="Y20" s="36">
        <v>-67312</v>
      </c>
      <c r="Z20" s="35">
        <v>16610</v>
      </c>
      <c r="AA20" s="36">
        <v>-64778</v>
      </c>
      <c r="AB20" s="35">
        <v>16622</v>
      </c>
      <c r="AC20" s="37">
        <v>-64766</v>
      </c>
      <c r="AD20" s="35">
        <v>16622</v>
      </c>
      <c r="AE20" s="37">
        <v>-64766</v>
      </c>
    </row>
    <row r="21" spans="2:43" ht="15" customHeight="1" thickBot="1" x14ac:dyDescent="0.35">
      <c r="B21" s="57" t="s">
        <v>52</v>
      </c>
      <c r="C21" s="58">
        <v>4651</v>
      </c>
      <c r="M21" s="4"/>
      <c r="Q21" s="52"/>
      <c r="R21" s="40">
        <v>7987</v>
      </c>
      <c r="S21" s="41"/>
      <c r="T21" s="40">
        <v>14559</v>
      </c>
      <c r="U21" s="41"/>
      <c r="V21" s="40">
        <v>27353</v>
      </c>
      <c r="W21" s="41"/>
      <c r="X21" s="40">
        <v>39550</v>
      </c>
      <c r="Y21" s="41"/>
      <c r="Z21" s="40">
        <v>48888</v>
      </c>
      <c r="AA21" s="41"/>
      <c r="AB21" s="40">
        <v>48888</v>
      </c>
      <c r="AC21" s="42"/>
      <c r="AD21" s="40">
        <v>48888</v>
      </c>
      <c r="AE21" s="42"/>
    </row>
    <row r="22" spans="2:43" ht="15" customHeight="1" thickBot="1" x14ac:dyDescent="0.35">
      <c r="M22" s="4"/>
      <c r="Q22" s="54"/>
      <c r="R22" s="55">
        <v>2387</v>
      </c>
      <c r="S22" s="55"/>
      <c r="T22" s="55">
        <v>1509</v>
      </c>
      <c r="U22" s="55"/>
      <c r="V22" s="55">
        <v>1044</v>
      </c>
      <c r="W22" s="55"/>
      <c r="X22" s="55">
        <v>2098</v>
      </c>
      <c r="Y22" s="55"/>
      <c r="Z22" s="55">
        <v>1267</v>
      </c>
      <c r="AA22" s="55"/>
      <c r="AB22" s="55">
        <v>6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10086</v>
      </c>
      <c r="S24" s="60"/>
      <c r="T24" s="60">
        <f>IF(T16&gt;0,T16-T20,"")</f>
        <v>18583</v>
      </c>
      <c r="U24" s="60"/>
      <c r="V24" s="60">
        <f>IF(V16&gt;0,V16-V20,"")</f>
        <v>27172</v>
      </c>
      <c r="W24" s="60"/>
      <c r="X24" s="60">
        <f>IF(X16&gt;0,X16-X20,"")</f>
        <v>34036</v>
      </c>
      <c r="Y24" s="60"/>
      <c r="Z24" s="60">
        <f>IF(Z16&gt;0,Z16-Z20,"")</f>
        <v>40789</v>
      </c>
      <c r="AA24" s="60"/>
      <c r="AB24" s="60">
        <f>IF(AB16&gt;0,AB16-AB20,"")</f>
        <v>40781</v>
      </c>
      <c r="AC24" s="61"/>
      <c r="AD24" s="60">
        <f>IF(AD16&gt;0,AD16-AD20,"")</f>
        <v>40781</v>
      </c>
      <c r="AE24" s="61"/>
    </row>
    <row r="25" spans="2:43" x14ac:dyDescent="0.3">
      <c r="J25" s="123"/>
      <c r="M25" s="4"/>
      <c r="Q25" s="62"/>
      <c r="R25" s="63">
        <f>IF(R17&gt;=0,R17-R21,"")</f>
        <v>-6772</v>
      </c>
      <c r="S25" s="64"/>
      <c r="T25" s="63">
        <f>IF(T17&gt;=0,T17-T21,"")</f>
        <v>-12394</v>
      </c>
      <c r="U25" s="64"/>
      <c r="V25" s="63">
        <f>IF(V17&gt;=0,V17-V21,"")</f>
        <v>-19785</v>
      </c>
      <c r="W25" s="64"/>
      <c r="X25" s="63">
        <f>IF(X17&gt;=0,X17-X21,"")</f>
        <v>-26085</v>
      </c>
      <c r="Y25" s="64"/>
      <c r="Z25" s="63">
        <f>IF(Z17&gt;=0,Z17-Z21,"")</f>
        <v>-31348</v>
      </c>
      <c r="AA25" s="64"/>
      <c r="AB25" s="63">
        <f>IF(AB17&gt;=0,AB17-AB21,"")</f>
        <v>-31348</v>
      </c>
      <c r="AC25" s="65"/>
      <c r="AD25" s="63">
        <f>IF(AD17&gt;=0,AD17-AD21,"")</f>
        <v>-31348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5043</v>
      </c>
      <c r="S26" s="55"/>
      <c r="T26" s="67">
        <f>IFERROR(IF(T18&gt;0,T18-T22,""),"")</f>
        <v>4248.5</v>
      </c>
      <c r="U26" s="55"/>
      <c r="V26" s="67">
        <f>IFERROR(IF(V18&gt;0,V18-V22,""),"")</f>
        <v>4294.5</v>
      </c>
      <c r="W26" s="55"/>
      <c r="X26" s="67">
        <f>IFERROR(IF(X18&gt;0,X18-X22,""),"")</f>
        <v>3432</v>
      </c>
      <c r="Y26" s="55"/>
      <c r="Z26" s="67">
        <f>IFERROR(IF(Z18&gt;0,Z18-Z22,""),"")</f>
        <v>3376.5</v>
      </c>
      <c r="AA26" s="55"/>
      <c r="AB26" s="67">
        <f>IFERROR(IF(AB18&gt;0,AB18-AB22,""),"")</f>
        <v>-4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11319</v>
      </c>
      <c r="D29" s="76">
        <f>C14</f>
        <v>10669</v>
      </c>
      <c r="E29" s="77">
        <f>D29-C29</f>
        <v>-650</v>
      </c>
      <c r="O29" s="4"/>
    </row>
    <row r="30" spans="2:43" x14ac:dyDescent="0.3">
      <c r="B30" s="74" t="s">
        <v>56</v>
      </c>
      <c r="C30" s="122">
        <v>34401</v>
      </c>
      <c r="D30" s="76">
        <f>C7+C15+C16+C17+C18</f>
        <v>19825</v>
      </c>
      <c r="E30" s="77">
        <f>D30-C30</f>
        <v>-14576</v>
      </c>
      <c r="J30" s="53"/>
      <c r="O30" s="4"/>
    </row>
    <row r="31" spans="2:43" x14ac:dyDescent="0.3">
      <c r="B31" s="74" t="s">
        <v>21</v>
      </c>
      <c r="C31" s="122">
        <v>6378</v>
      </c>
      <c r="D31" s="76">
        <f>C6</f>
        <v>6378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13124</v>
      </c>
      <c r="D32" s="76">
        <f>C10+C11+C12+C13</f>
        <v>13124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15230</v>
      </c>
      <c r="D33" s="76">
        <f>C19+C20+C21</f>
        <v>15772</v>
      </c>
      <c r="E33" s="77">
        <f>D33-C33</f>
        <v>542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4643</v>
      </c>
      <c r="D34" s="80">
        <f>SUM(C8+C9)</f>
        <v>4643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1026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272</v>
      </c>
      <c r="V35" s="104">
        <v>544</v>
      </c>
      <c r="W35" s="104">
        <f t="shared" ref="W35:W64" si="3">IF(X35&gt;0,(X35-V35)/2,"")</f>
        <v>0</v>
      </c>
      <c r="X35" s="104">
        <v>544</v>
      </c>
      <c r="Y35" s="104">
        <f t="shared" ref="Y35:Y64" si="4">IF(Z35&gt;0,(Z35-X35)/2,"")</f>
        <v>241.5</v>
      </c>
      <c r="Z35" s="104">
        <v>1027</v>
      </c>
      <c r="AA35" s="104">
        <f t="shared" ref="AA35:AA64" si="5">IF(AB35&gt;0,(AB35-Z35)/2,"")</f>
        <v>0</v>
      </c>
      <c r="AB35" s="104">
        <v>1027</v>
      </c>
      <c r="AC35" s="104">
        <f t="shared" ref="AC35:AC64" si="6">IF(AD35&gt;0,(AD35-AB35)/2,"")</f>
        <v>0</v>
      </c>
      <c r="AD35" s="104">
        <v>1027</v>
      </c>
      <c r="AE35" s="105">
        <f t="shared" ref="AE35:AE64" si="7">AD35-Q35</f>
        <v>1</v>
      </c>
    </row>
    <row r="36" spans="2:31" ht="15.6" customHeight="1" x14ac:dyDescent="0.3">
      <c r="N36" s="212"/>
      <c r="O36" s="95" t="s">
        <v>66</v>
      </c>
      <c r="P36" s="106"/>
      <c r="Q36" s="106">
        <v>2094</v>
      </c>
      <c r="R36" s="106">
        <v>601</v>
      </c>
      <c r="S36" s="106">
        <f t="shared" si="1"/>
        <v>250.5</v>
      </c>
      <c r="T36" s="106">
        <v>1102</v>
      </c>
      <c r="U36" s="106">
        <f t="shared" si="2"/>
        <v>0</v>
      </c>
      <c r="V36" s="106">
        <v>1102</v>
      </c>
      <c r="W36" s="106">
        <f t="shared" si="3"/>
        <v>0</v>
      </c>
      <c r="X36" s="106">
        <v>1102</v>
      </c>
      <c r="Y36" s="106">
        <f t="shared" si="4"/>
        <v>15.5</v>
      </c>
      <c r="Z36" s="106">
        <v>1133</v>
      </c>
      <c r="AA36" s="106">
        <f t="shared" si="5"/>
        <v>0</v>
      </c>
      <c r="AB36" s="106">
        <v>1133</v>
      </c>
      <c r="AC36" s="106">
        <f t="shared" si="6"/>
        <v>0</v>
      </c>
      <c r="AD36" s="106">
        <v>1133</v>
      </c>
      <c r="AE36" s="107">
        <f t="shared" si="7"/>
        <v>-961</v>
      </c>
    </row>
    <row r="37" spans="2:31" ht="15.6" customHeight="1" x14ac:dyDescent="0.3">
      <c r="N37" s="212"/>
      <c r="O37" s="94" t="s">
        <v>67</v>
      </c>
      <c r="P37" s="108"/>
      <c r="Q37" s="108">
        <v>3802</v>
      </c>
      <c r="R37" s="108">
        <v>771</v>
      </c>
      <c r="S37" s="108">
        <f t="shared" si="1"/>
        <v>210</v>
      </c>
      <c r="T37" s="108">
        <v>1191</v>
      </c>
      <c r="U37" s="108">
        <f t="shared" si="2"/>
        <v>220.5</v>
      </c>
      <c r="V37" s="108">
        <v>1632</v>
      </c>
      <c r="W37" s="108">
        <f t="shared" si="3"/>
        <v>692</v>
      </c>
      <c r="X37" s="108">
        <v>3016</v>
      </c>
      <c r="Y37" s="108">
        <f t="shared" si="4"/>
        <v>413</v>
      </c>
      <c r="Z37" s="108">
        <v>3842</v>
      </c>
      <c r="AA37" s="108">
        <f t="shared" si="5"/>
        <v>0</v>
      </c>
      <c r="AB37" s="108">
        <v>3842</v>
      </c>
      <c r="AC37" s="108">
        <f t="shared" si="6"/>
        <v>0</v>
      </c>
      <c r="AD37" s="108">
        <v>3842</v>
      </c>
      <c r="AE37" s="109">
        <f t="shared" si="7"/>
        <v>40</v>
      </c>
    </row>
    <row r="38" spans="2:31" ht="15.6" customHeight="1" x14ac:dyDescent="0.3">
      <c r="N38" s="212"/>
      <c r="O38" s="95" t="s">
        <v>68</v>
      </c>
      <c r="P38" s="106"/>
      <c r="Q38" s="106">
        <v>3383</v>
      </c>
      <c r="R38" s="106">
        <v>751</v>
      </c>
      <c r="S38" s="106">
        <f t="shared" si="1"/>
        <v>498</v>
      </c>
      <c r="T38" s="106">
        <v>1747</v>
      </c>
      <c r="U38" s="106">
        <f t="shared" si="2"/>
        <v>271</v>
      </c>
      <c r="V38" s="106">
        <v>2289</v>
      </c>
      <c r="W38" s="106">
        <f t="shared" si="3"/>
        <v>428.5</v>
      </c>
      <c r="X38" s="106">
        <v>3146</v>
      </c>
      <c r="Y38" s="106">
        <f t="shared" si="4"/>
        <v>134</v>
      </c>
      <c r="Z38" s="106">
        <v>3414</v>
      </c>
      <c r="AA38" s="106">
        <f t="shared" si="5"/>
        <v>0</v>
      </c>
      <c r="AB38" s="106">
        <v>3414</v>
      </c>
      <c r="AC38" s="106">
        <f t="shared" si="6"/>
        <v>0</v>
      </c>
      <c r="AD38" s="106">
        <v>3414</v>
      </c>
      <c r="AE38" s="107">
        <f t="shared" si="7"/>
        <v>31</v>
      </c>
    </row>
    <row r="39" spans="2:31" ht="15.6" customHeight="1" x14ac:dyDescent="0.3">
      <c r="N39" s="212"/>
      <c r="O39" s="94" t="s">
        <v>69</v>
      </c>
      <c r="P39" s="108"/>
      <c r="Q39" s="108">
        <v>2579</v>
      </c>
      <c r="R39" s="108">
        <v>915</v>
      </c>
      <c r="S39" s="108">
        <f t="shared" si="1"/>
        <v>0</v>
      </c>
      <c r="T39" s="108">
        <v>915</v>
      </c>
      <c r="U39" s="108">
        <f t="shared" si="2"/>
        <v>470</v>
      </c>
      <c r="V39" s="108">
        <v>1855</v>
      </c>
      <c r="W39" s="108">
        <f t="shared" si="3"/>
        <v>409</v>
      </c>
      <c r="X39" s="108">
        <v>2673</v>
      </c>
      <c r="Y39" s="108">
        <f t="shared" si="4"/>
        <v>0</v>
      </c>
      <c r="Z39" s="108">
        <v>2673</v>
      </c>
      <c r="AA39" s="108">
        <f t="shared" si="5"/>
        <v>0</v>
      </c>
      <c r="AB39" s="108">
        <v>2673</v>
      </c>
      <c r="AC39" s="108">
        <f t="shared" si="6"/>
        <v>0</v>
      </c>
      <c r="AD39" s="108">
        <v>2673</v>
      </c>
      <c r="AE39" s="109">
        <f t="shared" si="7"/>
        <v>94</v>
      </c>
    </row>
    <row r="40" spans="2:31" ht="15.6" customHeight="1" x14ac:dyDescent="0.3">
      <c r="N40" s="212"/>
      <c r="O40" s="95" t="s">
        <v>70</v>
      </c>
      <c r="P40" s="106"/>
      <c r="Q40" s="106">
        <v>3133</v>
      </c>
      <c r="R40" s="106">
        <v>1190</v>
      </c>
      <c r="S40" s="106">
        <f t="shared" si="1"/>
        <v>250.5</v>
      </c>
      <c r="T40" s="106">
        <v>1691</v>
      </c>
      <c r="U40" s="106">
        <f t="shared" si="2"/>
        <v>417.5</v>
      </c>
      <c r="V40" s="106">
        <v>2526</v>
      </c>
      <c r="W40" s="106">
        <f t="shared" si="3"/>
        <v>185.5</v>
      </c>
      <c r="X40" s="106">
        <v>2897</v>
      </c>
      <c r="Y40" s="106">
        <f t="shared" si="4"/>
        <v>342.5</v>
      </c>
      <c r="Z40" s="106">
        <v>3582</v>
      </c>
      <c r="AA40" s="106">
        <f t="shared" si="5"/>
        <v>0</v>
      </c>
      <c r="AB40" s="106">
        <v>3582</v>
      </c>
      <c r="AC40" s="106">
        <f t="shared" si="6"/>
        <v>0</v>
      </c>
      <c r="AD40" s="106">
        <v>3582</v>
      </c>
      <c r="AE40" s="107">
        <f t="shared" si="7"/>
        <v>449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1736</v>
      </c>
      <c r="R42" s="106">
        <v>305</v>
      </c>
      <c r="S42" s="106">
        <f t="shared" si="1"/>
        <v>220.5</v>
      </c>
      <c r="T42" s="106">
        <v>746</v>
      </c>
      <c r="U42" s="106">
        <f t="shared" si="2"/>
        <v>213</v>
      </c>
      <c r="V42" s="106">
        <v>1172</v>
      </c>
      <c r="W42" s="106">
        <f t="shared" si="3"/>
        <v>8</v>
      </c>
      <c r="X42" s="106">
        <v>1188</v>
      </c>
      <c r="Y42" s="106">
        <f t="shared" si="4"/>
        <v>57.5</v>
      </c>
      <c r="Z42" s="106">
        <v>1303</v>
      </c>
      <c r="AA42" s="106">
        <f t="shared" si="5"/>
        <v>0</v>
      </c>
      <c r="AB42" s="106">
        <v>1303</v>
      </c>
      <c r="AC42" s="106">
        <f t="shared" si="6"/>
        <v>0</v>
      </c>
      <c r="AD42" s="106">
        <v>1303</v>
      </c>
      <c r="AE42" s="107">
        <f t="shared" si="7"/>
        <v>-433</v>
      </c>
    </row>
    <row r="43" spans="2:31" ht="15.6" customHeight="1" thickBot="1" x14ac:dyDescent="0.35">
      <c r="N43" s="213"/>
      <c r="O43" s="97" t="s">
        <v>73</v>
      </c>
      <c r="P43" s="110"/>
      <c r="Q43" s="110">
        <v>1710</v>
      </c>
      <c r="R43" s="110">
        <v>581</v>
      </c>
      <c r="S43" s="110">
        <f t="shared" si="1"/>
        <v>177</v>
      </c>
      <c r="T43" s="110">
        <v>935</v>
      </c>
      <c r="U43" s="110">
        <f t="shared" si="2"/>
        <v>388</v>
      </c>
      <c r="V43" s="110">
        <v>1711</v>
      </c>
      <c r="W43" s="110">
        <f t="shared" si="3"/>
        <v>5.5</v>
      </c>
      <c r="X43" s="110">
        <v>1722</v>
      </c>
      <c r="Y43" s="110">
        <f t="shared" si="4"/>
        <v>0</v>
      </c>
      <c r="Z43" s="110">
        <v>1722</v>
      </c>
      <c r="AA43" s="110">
        <f t="shared" si="5"/>
        <v>0</v>
      </c>
      <c r="AB43" s="110">
        <v>1722</v>
      </c>
      <c r="AC43" s="110">
        <f t="shared" si="6"/>
        <v>0</v>
      </c>
      <c r="AD43" s="110">
        <v>1722</v>
      </c>
      <c r="AE43" s="111">
        <f t="shared" si="7"/>
        <v>12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1053</v>
      </c>
      <c r="V44" s="112">
        <v>2106</v>
      </c>
      <c r="W44" s="112">
        <f t="shared" si="3"/>
        <v>0</v>
      </c>
      <c r="X44" s="112">
        <v>2106</v>
      </c>
      <c r="Y44" s="112">
        <f t="shared" si="4"/>
        <v>567</v>
      </c>
      <c r="Z44" s="112">
        <v>3240</v>
      </c>
      <c r="AA44" s="112">
        <f t="shared" si="5"/>
        <v>0</v>
      </c>
      <c r="AB44" s="112">
        <v>3240</v>
      </c>
      <c r="AC44" s="112">
        <f t="shared" si="6"/>
        <v>0</v>
      </c>
      <c r="AD44" s="112">
        <v>3240</v>
      </c>
      <c r="AE44" s="113">
        <f t="shared" si="7"/>
        <v>3240</v>
      </c>
    </row>
    <row r="45" spans="2:31" ht="15.6" customHeight="1" x14ac:dyDescent="0.3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1295</v>
      </c>
      <c r="Z45" s="108">
        <v>2590</v>
      </c>
      <c r="AA45" s="108">
        <f t="shared" si="5"/>
        <v>0</v>
      </c>
      <c r="AB45" s="108">
        <v>2590</v>
      </c>
      <c r="AC45" s="108">
        <f t="shared" si="6"/>
        <v>0</v>
      </c>
      <c r="AD45" s="108">
        <v>2590</v>
      </c>
      <c r="AE45" s="109">
        <f t="shared" si="7"/>
        <v>2590</v>
      </c>
    </row>
    <row r="46" spans="2:31" ht="15.6" customHeight="1" x14ac:dyDescent="0.3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1470.5</v>
      </c>
      <c r="X46" s="106">
        <v>2941</v>
      </c>
      <c r="Y46" s="106">
        <f t="shared" si="4"/>
        <v>0</v>
      </c>
      <c r="Z46" s="106">
        <v>2941</v>
      </c>
      <c r="AA46" s="106">
        <f t="shared" si="5"/>
        <v>0</v>
      </c>
      <c r="AB46" s="106">
        <v>2941</v>
      </c>
      <c r="AC46" s="106">
        <f t="shared" si="6"/>
        <v>0</v>
      </c>
      <c r="AD46" s="106">
        <v>2941</v>
      </c>
      <c r="AE46" s="107">
        <f t="shared" si="7"/>
        <v>2941</v>
      </c>
    </row>
    <row r="47" spans="2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1410.5</v>
      </c>
      <c r="V47" s="110">
        <v>2821</v>
      </c>
      <c r="W47" s="110">
        <f t="shared" si="3"/>
        <v>281</v>
      </c>
      <c r="X47" s="110">
        <v>3383</v>
      </c>
      <c r="Y47" s="110">
        <f t="shared" si="4"/>
        <v>0</v>
      </c>
      <c r="Z47" s="110">
        <v>3383</v>
      </c>
      <c r="AA47" s="110">
        <f t="shared" si="5"/>
        <v>0</v>
      </c>
      <c r="AB47" s="110">
        <v>3383</v>
      </c>
      <c r="AC47" s="110">
        <f t="shared" si="6"/>
        <v>0</v>
      </c>
      <c r="AD47" s="110">
        <v>3383</v>
      </c>
      <c r="AE47" s="111">
        <f t="shared" si="7"/>
        <v>3383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1362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508.5</v>
      </c>
      <c r="V48" s="112">
        <v>1017</v>
      </c>
      <c r="W48" s="112">
        <f t="shared" si="3"/>
        <v>7.5</v>
      </c>
      <c r="X48" s="112">
        <v>1032</v>
      </c>
      <c r="Y48" s="112">
        <f t="shared" si="4"/>
        <v>88</v>
      </c>
      <c r="Z48" s="112">
        <v>1208</v>
      </c>
      <c r="AA48" s="112">
        <f t="shared" si="5"/>
        <v>0</v>
      </c>
      <c r="AB48" s="112">
        <v>1208</v>
      </c>
      <c r="AC48" s="112">
        <f t="shared" si="6"/>
        <v>0</v>
      </c>
      <c r="AD48" s="112">
        <v>1208</v>
      </c>
      <c r="AE48" s="113">
        <f t="shared" si="7"/>
        <v>-154</v>
      </c>
    </row>
    <row r="49" spans="14:31" ht="15.6" customHeight="1" x14ac:dyDescent="0.3">
      <c r="N49" s="212"/>
      <c r="O49" s="94" t="s">
        <v>66</v>
      </c>
      <c r="P49" s="108"/>
      <c r="Q49" s="108">
        <v>2846</v>
      </c>
      <c r="R49" s="108">
        <v>502</v>
      </c>
      <c r="S49" s="108">
        <f t="shared" si="1"/>
        <v>420</v>
      </c>
      <c r="T49" s="108">
        <v>1342</v>
      </c>
      <c r="U49" s="108">
        <f t="shared" si="2"/>
        <v>0</v>
      </c>
      <c r="V49" s="108">
        <v>1342</v>
      </c>
      <c r="W49" s="108">
        <f t="shared" si="3"/>
        <v>0</v>
      </c>
      <c r="X49" s="108">
        <v>1342</v>
      </c>
      <c r="Y49" s="108">
        <f t="shared" si="4"/>
        <v>250.5</v>
      </c>
      <c r="Z49" s="108">
        <v>1843</v>
      </c>
      <c r="AA49" s="108">
        <f t="shared" si="5"/>
        <v>0</v>
      </c>
      <c r="AB49" s="108">
        <v>1843</v>
      </c>
      <c r="AC49" s="108">
        <f t="shared" si="6"/>
        <v>0</v>
      </c>
      <c r="AD49" s="108">
        <v>1843</v>
      </c>
      <c r="AE49" s="109">
        <f t="shared" si="7"/>
        <v>-1003</v>
      </c>
    </row>
    <row r="50" spans="14:31" ht="15.6" customHeight="1" x14ac:dyDescent="0.3">
      <c r="N50" s="212"/>
      <c r="O50" s="95" t="s">
        <v>67</v>
      </c>
      <c r="P50" s="106"/>
      <c r="Q50" s="106">
        <v>2966</v>
      </c>
      <c r="R50" s="106">
        <v>0</v>
      </c>
      <c r="S50" s="106">
        <f t="shared" si="1"/>
        <v>442</v>
      </c>
      <c r="T50" s="106">
        <v>884</v>
      </c>
      <c r="U50" s="106">
        <f t="shared" si="2"/>
        <v>-53.5</v>
      </c>
      <c r="V50" s="106">
        <v>777</v>
      </c>
      <c r="W50" s="106">
        <f t="shared" si="3"/>
        <v>0</v>
      </c>
      <c r="X50" s="106">
        <v>777</v>
      </c>
      <c r="Y50" s="106">
        <f t="shared" si="4"/>
        <v>0.5</v>
      </c>
      <c r="Z50" s="106">
        <v>778</v>
      </c>
      <c r="AA50" s="106">
        <f t="shared" si="5"/>
        <v>0</v>
      </c>
      <c r="AB50" s="106">
        <v>778</v>
      </c>
      <c r="AC50" s="106">
        <f t="shared" si="6"/>
        <v>0</v>
      </c>
      <c r="AD50" s="106">
        <v>778</v>
      </c>
      <c r="AE50" s="107">
        <f t="shared" si="7"/>
        <v>-2188</v>
      </c>
    </row>
    <row r="51" spans="14:31" ht="15.6" customHeight="1" x14ac:dyDescent="0.3">
      <c r="N51" s="212"/>
      <c r="O51" s="94" t="s">
        <v>68</v>
      </c>
      <c r="P51" s="108"/>
      <c r="Q51" s="108">
        <v>3077</v>
      </c>
      <c r="R51" s="108">
        <v>19</v>
      </c>
      <c r="S51" s="108">
        <f t="shared" si="1"/>
        <v>58.5</v>
      </c>
      <c r="T51" s="108">
        <v>136</v>
      </c>
      <c r="U51" s="108">
        <f t="shared" si="2"/>
        <v>101</v>
      </c>
      <c r="V51" s="108">
        <v>338</v>
      </c>
      <c r="W51" s="108">
        <f t="shared" si="3"/>
        <v>531.5</v>
      </c>
      <c r="X51" s="108">
        <v>1401</v>
      </c>
      <c r="Y51" s="108">
        <f t="shared" si="4"/>
        <v>95</v>
      </c>
      <c r="Z51" s="108">
        <v>1591</v>
      </c>
      <c r="AA51" s="108">
        <f t="shared" si="5"/>
        <v>0</v>
      </c>
      <c r="AB51" s="108">
        <v>1591</v>
      </c>
      <c r="AC51" s="108">
        <f t="shared" si="6"/>
        <v>0</v>
      </c>
      <c r="AD51" s="108">
        <v>1591</v>
      </c>
      <c r="AE51" s="109">
        <f t="shared" si="7"/>
        <v>-1486</v>
      </c>
    </row>
    <row r="52" spans="14:31" ht="15.6" customHeight="1" x14ac:dyDescent="0.3">
      <c r="N52" s="212"/>
      <c r="O52" s="95" t="s">
        <v>69</v>
      </c>
      <c r="P52" s="106"/>
      <c r="Q52" s="106">
        <v>3220</v>
      </c>
      <c r="R52" s="106">
        <v>0</v>
      </c>
      <c r="S52" s="106">
        <f t="shared" si="1"/>
        <v>603.5</v>
      </c>
      <c r="T52" s="106">
        <v>1207</v>
      </c>
      <c r="U52" s="106">
        <f t="shared" si="2"/>
        <v>85</v>
      </c>
      <c r="V52" s="106">
        <v>1377</v>
      </c>
      <c r="W52" s="106">
        <f t="shared" si="3"/>
        <v>57.5</v>
      </c>
      <c r="X52" s="106">
        <v>1492</v>
      </c>
      <c r="Y52" s="106">
        <f t="shared" si="4"/>
        <v>175.5</v>
      </c>
      <c r="Z52" s="106">
        <v>1843</v>
      </c>
      <c r="AA52" s="106">
        <f t="shared" si="5"/>
        <v>1</v>
      </c>
      <c r="AB52" s="106">
        <v>1845</v>
      </c>
      <c r="AC52" s="106">
        <f t="shared" si="6"/>
        <v>0</v>
      </c>
      <c r="AD52" s="106">
        <v>1845</v>
      </c>
      <c r="AE52" s="107">
        <f t="shared" si="7"/>
        <v>-1375</v>
      </c>
    </row>
    <row r="53" spans="14:31" ht="15.6" customHeight="1" x14ac:dyDescent="0.3">
      <c r="N53" s="212"/>
      <c r="O53" s="94" t="s">
        <v>70</v>
      </c>
      <c r="P53" s="108"/>
      <c r="Q53" s="108">
        <v>1476</v>
      </c>
      <c r="R53" s="108">
        <v>652</v>
      </c>
      <c r="S53" s="108">
        <f t="shared" si="1"/>
        <v>0</v>
      </c>
      <c r="T53" s="108">
        <v>652</v>
      </c>
      <c r="U53" s="108">
        <f t="shared" si="2"/>
        <v>25</v>
      </c>
      <c r="V53" s="108">
        <v>702</v>
      </c>
      <c r="W53" s="108">
        <f t="shared" si="3"/>
        <v>177</v>
      </c>
      <c r="X53" s="108">
        <v>1056</v>
      </c>
      <c r="Y53" s="108">
        <f t="shared" si="4"/>
        <v>157.5</v>
      </c>
      <c r="Z53" s="108">
        <v>1371</v>
      </c>
      <c r="AA53" s="108">
        <f t="shared" si="5"/>
        <v>1</v>
      </c>
      <c r="AB53" s="108">
        <v>1373</v>
      </c>
      <c r="AC53" s="108">
        <f t="shared" si="6"/>
        <v>0</v>
      </c>
      <c r="AD53" s="108">
        <v>1373</v>
      </c>
      <c r="AE53" s="109">
        <f t="shared" si="7"/>
        <v>-103</v>
      </c>
    </row>
    <row r="54" spans="14:31" ht="15.6" customHeight="1" x14ac:dyDescent="0.3">
      <c r="N54" s="212"/>
      <c r="O54" s="95" t="s">
        <v>71</v>
      </c>
      <c r="P54" s="106"/>
      <c r="Q54" s="106">
        <v>1942</v>
      </c>
      <c r="R54" s="106">
        <v>1019</v>
      </c>
      <c r="S54" s="106">
        <f t="shared" si="1"/>
        <v>340</v>
      </c>
      <c r="T54" s="106">
        <v>1699</v>
      </c>
      <c r="U54" s="106">
        <f t="shared" si="2"/>
        <v>41</v>
      </c>
      <c r="V54" s="106">
        <v>1781</v>
      </c>
      <c r="W54" s="106">
        <f t="shared" si="3"/>
        <v>428</v>
      </c>
      <c r="X54" s="106">
        <v>2637</v>
      </c>
      <c r="Y54" s="106">
        <f t="shared" si="4"/>
        <v>357</v>
      </c>
      <c r="Z54" s="106">
        <v>3351</v>
      </c>
      <c r="AA54" s="106">
        <f t="shared" si="5"/>
        <v>0</v>
      </c>
      <c r="AB54" s="106">
        <v>3351</v>
      </c>
      <c r="AC54" s="106">
        <f t="shared" si="6"/>
        <v>0</v>
      </c>
      <c r="AD54" s="106">
        <v>3351</v>
      </c>
      <c r="AE54" s="107">
        <f t="shared" si="7"/>
        <v>1409</v>
      </c>
    </row>
    <row r="55" spans="14:31" ht="15.6" customHeight="1" x14ac:dyDescent="0.3">
      <c r="N55" s="212"/>
      <c r="O55" s="94" t="s">
        <v>72</v>
      </c>
      <c r="P55" s="108"/>
      <c r="Q55" s="108">
        <v>5525</v>
      </c>
      <c r="R55" s="108">
        <v>1219</v>
      </c>
      <c r="S55" s="108">
        <f t="shared" si="1"/>
        <v>0</v>
      </c>
      <c r="T55" s="108">
        <v>1219</v>
      </c>
      <c r="U55" s="108">
        <f t="shared" si="2"/>
        <v>600</v>
      </c>
      <c r="V55" s="108">
        <v>2419</v>
      </c>
      <c r="W55" s="108">
        <f t="shared" si="3"/>
        <v>1170</v>
      </c>
      <c r="X55" s="108">
        <v>4759</v>
      </c>
      <c r="Y55" s="108">
        <f t="shared" si="4"/>
        <v>383</v>
      </c>
      <c r="Z55" s="108">
        <v>5525</v>
      </c>
      <c r="AA55" s="108">
        <f t="shared" si="5"/>
        <v>0</v>
      </c>
      <c r="AB55" s="108">
        <v>5525</v>
      </c>
      <c r="AC55" s="108">
        <f t="shared" si="6"/>
        <v>0</v>
      </c>
      <c r="AD55" s="108">
        <v>5525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1906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147.5</v>
      </c>
      <c r="V56" s="114">
        <v>295</v>
      </c>
      <c r="W56" s="114">
        <f t="shared" si="3"/>
        <v>269.5</v>
      </c>
      <c r="X56" s="114">
        <v>834</v>
      </c>
      <c r="Y56" s="114">
        <f t="shared" si="4"/>
        <v>0</v>
      </c>
      <c r="Z56" s="114">
        <v>834</v>
      </c>
      <c r="AA56" s="114">
        <f t="shared" si="5"/>
        <v>0</v>
      </c>
      <c r="AB56" s="114">
        <v>834</v>
      </c>
      <c r="AC56" s="114">
        <f t="shared" si="6"/>
        <v>0</v>
      </c>
      <c r="AD56" s="114">
        <v>834</v>
      </c>
      <c r="AE56" s="115">
        <f t="shared" si="7"/>
        <v>-1072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3808</v>
      </c>
      <c r="R57" s="104">
        <v>541</v>
      </c>
      <c r="S57" s="104">
        <f t="shared" si="1"/>
        <v>0</v>
      </c>
      <c r="T57" s="104">
        <v>541</v>
      </c>
      <c r="U57" s="104">
        <f t="shared" si="2"/>
        <v>108.5</v>
      </c>
      <c r="V57" s="104">
        <v>758</v>
      </c>
      <c r="W57" s="104">
        <f t="shared" si="3"/>
        <v>20.5</v>
      </c>
      <c r="X57" s="104">
        <v>799</v>
      </c>
      <c r="Y57" s="104">
        <f t="shared" si="4"/>
        <v>541.5</v>
      </c>
      <c r="Z57" s="104">
        <v>1882</v>
      </c>
      <c r="AA57" s="104">
        <f t="shared" si="5"/>
        <v>0</v>
      </c>
      <c r="AB57" s="104">
        <v>1882</v>
      </c>
      <c r="AC57" s="104">
        <f t="shared" si="6"/>
        <v>0</v>
      </c>
      <c r="AD57" s="104">
        <v>1882</v>
      </c>
      <c r="AE57" s="105">
        <f t="shared" si="7"/>
        <v>-1926</v>
      </c>
    </row>
    <row r="58" spans="14:31" ht="15.6" customHeight="1" x14ac:dyDescent="0.3">
      <c r="N58" s="212"/>
      <c r="O58" s="95" t="s">
        <v>66</v>
      </c>
      <c r="P58" s="106"/>
      <c r="Q58" s="106">
        <v>2776</v>
      </c>
      <c r="R58" s="106">
        <v>836</v>
      </c>
      <c r="S58" s="106">
        <f t="shared" si="1"/>
        <v>458</v>
      </c>
      <c r="T58" s="106">
        <v>1752</v>
      </c>
      <c r="U58" s="106">
        <f t="shared" si="2"/>
        <v>302.5</v>
      </c>
      <c r="V58" s="106">
        <v>2357</v>
      </c>
      <c r="W58" s="106">
        <f t="shared" si="3"/>
        <v>23</v>
      </c>
      <c r="X58" s="106">
        <v>2403</v>
      </c>
      <c r="Y58" s="106">
        <f t="shared" si="4"/>
        <v>2</v>
      </c>
      <c r="Z58" s="106">
        <v>2407</v>
      </c>
      <c r="AA58" s="106">
        <f t="shared" si="5"/>
        <v>0</v>
      </c>
      <c r="AB58" s="106">
        <v>2407</v>
      </c>
      <c r="AC58" s="106">
        <f t="shared" si="6"/>
        <v>0</v>
      </c>
      <c r="AD58" s="106">
        <v>2407</v>
      </c>
      <c r="AE58" s="107">
        <f t="shared" si="7"/>
        <v>-369</v>
      </c>
    </row>
    <row r="59" spans="14:31" ht="15.6" customHeight="1" x14ac:dyDescent="0.3">
      <c r="N59" s="212"/>
      <c r="O59" s="94" t="s">
        <v>67</v>
      </c>
      <c r="P59" s="108"/>
      <c r="Q59" s="108">
        <v>7452</v>
      </c>
      <c r="R59" s="108">
        <v>360</v>
      </c>
      <c r="S59" s="108">
        <f t="shared" si="1"/>
        <v>481</v>
      </c>
      <c r="T59" s="108">
        <v>1322</v>
      </c>
      <c r="U59" s="108">
        <f t="shared" si="2"/>
        <v>9.5</v>
      </c>
      <c r="V59" s="108">
        <v>1341</v>
      </c>
      <c r="W59" s="108">
        <f t="shared" si="3"/>
        <v>797</v>
      </c>
      <c r="X59" s="108">
        <v>2935</v>
      </c>
      <c r="Y59" s="108">
        <f t="shared" si="4"/>
        <v>378</v>
      </c>
      <c r="Z59" s="108">
        <v>3691</v>
      </c>
      <c r="AA59" s="108">
        <f t="shared" si="5"/>
        <v>0</v>
      </c>
      <c r="AB59" s="108">
        <v>3691</v>
      </c>
      <c r="AC59" s="108">
        <f t="shared" si="6"/>
        <v>0</v>
      </c>
      <c r="AD59" s="108">
        <v>3691</v>
      </c>
      <c r="AE59" s="109">
        <f t="shared" si="7"/>
        <v>-3761</v>
      </c>
    </row>
    <row r="60" spans="14:31" ht="15.6" customHeight="1" thickBot="1" x14ac:dyDescent="0.35">
      <c r="N60" s="213"/>
      <c r="O60" s="99" t="s">
        <v>68</v>
      </c>
      <c r="P60" s="114"/>
      <c r="Q60" s="114">
        <v>3540</v>
      </c>
      <c r="R60" s="114">
        <v>1542</v>
      </c>
      <c r="S60" s="114">
        <f t="shared" si="1"/>
        <v>352.5</v>
      </c>
      <c r="T60" s="114">
        <v>2247</v>
      </c>
      <c r="U60" s="114">
        <f t="shared" si="2"/>
        <v>409</v>
      </c>
      <c r="V60" s="114">
        <v>3065</v>
      </c>
      <c r="W60" s="114">
        <f t="shared" si="3"/>
        <v>267</v>
      </c>
      <c r="X60" s="114">
        <v>3599</v>
      </c>
      <c r="Y60" s="114">
        <f t="shared" si="4"/>
        <v>0</v>
      </c>
      <c r="Z60" s="114">
        <v>3599</v>
      </c>
      <c r="AA60" s="114">
        <f t="shared" si="5"/>
        <v>0</v>
      </c>
      <c r="AB60" s="114">
        <v>3599</v>
      </c>
      <c r="AC60" s="114">
        <f t="shared" si="6"/>
        <v>0</v>
      </c>
      <c r="AD60" s="114">
        <v>3599</v>
      </c>
      <c r="AE60" s="115">
        <f t="shared" si="7"/>
        <v>59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5438</v>
      </c>
      <c r="R61" s="104">
        <v>0</v>
      </c>
      <c r="S61" s="104">
        <f t="shared" si="1"/>
        <v>452</v>
      </c>
      <c r="T61" s="104">
        <v>904</v>
      </c>
      <c r="U61" s="104">
        <f t="shared" si="2"/>
        <v>241</v>
      </c>
      <c r="V61" s="104">
        <v>1386</v>
      </c>
      <c r="W61" s="104">
        <f t="shared" si="3"/>
        <v>192</v>
      </c>
      <c r="X61" s="104">
        <v>1770</v>
      </c>
      <c r="Y61" s="104">
        <f t="shared" si="4"/>
        <v>238.5</v>
      </c>
      <c r="Z61" s="104">
        <v>2247</v>
      </c>
      <c r="AA61" s="104">
        <f t="shared" si="5"/>
        <v>0</v>
      </c>
      <c r="AB61" s="104">
        <v>2247</v>
      </c>
      <c r="AC61" s="104">
        <f t="shared" si="6"/>
        <v>0</v>
      </c>
      <c r="AD61" s="104">
        <v>2247</v>
      </c>
      <c r="AE61" s="105">
        <f t="shared" si="7"/>
        <v>-3191</v>
      </c>
    </row>
    <row r="62" spans="14:31" ht="15.6" customHeight="1" x14ac:dyDescent="0.3">
      <c r="N62" s="212"/>
      <c r="O62" s="95" t="s">
        <v>66</v>
      </c>
      <c r="P62" s="106"/>
      <c r="Q62" s="106">
        <v>4686</v>
      </c>
      <c r="R62" s="106">
        <v>45</v>
      </c>
      <c r="S62" s="106">
        <f t="shared" si="1"/>
        <v>159.5</v>
      </c>
      <c r="T62" s="106">
        <v>364</v>
      </c>
      <c r="U62" s="106">
        <f t="shared" si="2"/>
        <v>342</v>
      </c>
      <c r="V62" s="106">
        <v>1048</v>
      </c>
      <c r="W62" s="106">
        <f t="shared" si="3"/>
        <v>352</v>
      </c>
      <c r="X62" s="106">
        <v>1752</v>
      </c>
      <c r="Y62" s="106">
        <f t="shared" si="4"/>
        <v>179</v>
      </c>
      <c r="Z62" s="106">
        <v>2110</v>
      </c>
      <c r="AA62" s="106">
        <f t="shared" si="5"/>
        <v>0</v>
      </c>
      <c r="AB62" s="106">
        <v>2110</v>
      </c>
      <c r="AC62" s="106">
        <f t="shared" si="6"/>
        <v>0</v>
      </c>
      <c r="AD62" s="106">
        <v>2110</v>
      </c>
      <c r="AE62" s="107">
        <f t="shared" si="7"/>
        <v>-2576</v>
      </c>
    </row>
    <row r="63" spans="14:31" ht="15.6" customHeight="1" x14ac:dyDescent="0.3">
      <c r="N63" s="212"/>
      <c r="O63" s="94" t="s">
        <v>67</v>
      </c>
      <c r="P63" s="108"/>
      <c r="Q63" s="108">
        <v>3475</v>
      </c>
      <c r="R63" s="108">
        <v>0</v>
      </c>
      <c r="S63" s="108">
        <f t="shared" si="1"/>
        <v>297.5</v>
      </c>
      <c r="T63" s="108">
        <v>595</v>
      </c>
      <c r="U63" s="108">
        <f t="shared" si="2"/>
        <v>178.5</v>
      </c>
      <c r="V63" s="108">
        <v>952</v>
      </c>
      <c r="W63" s="108">
        <f t="shared" si="3"/>
        <v>172.5</v>
      </c>
      <c r="X63" s="108">
        <v>1297</v>
      </c>
      <c r="Y63" s="108">
        <f t="shared" si="4"/>
        <v>77</v>
      </c>
      <c r="Z63" s="108">
        <v>1451</v>
      </c>
      <c r="AA63" s="108">
        <f t="shared" si="5"/>
        <v>0</v>
      </c>
      <c r="AB63" s="108">
        <v>1451</v>
      </c>
      <c r="AC63" s="108">
        <f t="shared" si="6"/>
        <v>0</v>
      </c>
      <c r="AD63" s="108">
        <v>1451</v>
      </c>
      <c r="AE63" s="109">
        <f t="shared" si="7"/>
        <v>-2024</v>
      </c>
    </row>
    <row r="64" spans="14:31" ht="15.6" customHeight="1" thickBot="1" x14ac:dyDescent="0.35">
      <c r="N64" s="213"/>
      <c r="O64" s="99" t="s">
        <v>68</v>
      </c>
      <c r="P64" s="114"/>
      <c r="Q64" s="114">
        <v>4022</v>
      </c>
      <c r="R64" s="114">
        <v>1093</v>
      </c>
      <c r="S64" s="114">
        <f t="shared" si="1"/>
        <v>68</v>
      </c>
      <c r="T64" s="114">
        <v>1229</v>
      </c>
      <c r="U64" s="114">
        <f t="shared" si="2"/>
        <v>72</v>
      </c>
      <c r="V64" s="114">
        <v>1373</v>
      </c>
      <c r="W64" s="114">
        <f t="shared" si="3"/>
        <v>86</v>
      </c>
      <c r="X64" s="114">
        <v>1545</v>
      </c>
      <c r="Y64" s="114">
        <f t="shared" si="4"/>
        <v>88.5</v>
      </c>
      <c r="Z64" s="114">
        <v>1722</v>
      </c>
      <c r="AA64" s="114">
        <f t="shared" si="5"/>
        <v>0</v>
      </c>
      <c r="AB64" s="114">
        <v>1722</v>
      </c>
      <c r="AC64" s="114">
        <f t="shared" si="6"/>
        <v>0</v>
      </c>
      <c r="AD64" s="114">
        <v>1722</v>
      </c>
      <c r="AE64" s="115">
        <f t="shared" si="7"/>
        <v>-2300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31" priority="11" operator="lessThan">
      <formula>0</formula>
    </cfRule>
    <cfRule type="cellIs" dxfId="1030" priority="12" operator="greaterThan">
      <formula>0</formula>
    </cfRule>
  </conditionalFormatting>
  <conditionalFormatting sqref="R25:AC25">
    <cfRule type="cellIs" dxfId="1029" priority="9" operator="lessThan">
      <formula>0</formula>
    </cfRule>
    <cfRule type="cellIs" dxfId="1028" priority="10" operator="greaterThan">
      <formula>0</formula>
    </cfRule>
  </conditionalFormatting>
  <conditionalFormatting sqref="R26 T26 V26 X26 Z26 AB26">
    <cfRule type="cellIs" dxfId="1027" priority="7" operator="lessThan">
      <formula>0</formula>
    </cfRule>
    <cfRule type="cellIs" dxfId="1026" priority="8" operator="greaterThan">
      <formula>0</formula>
    </cfRule>
  </conditionalFormatting>
  <conditionalFormatting sqref="AD24:AE24">
    <cfRule type="cellIs" dxfId="1025" priority="5" operator="lessThan">
      <formula>0</formula>
    </cfRule>
    <cfRule type="cellIs" dxfId="1024" priority="6" operator="greaterThan">
      <formula>0</formula>
    </cfRule>
  </conditionalFormatting>
  <conditionalFormatting sqref="AD25:AE25">
    <cfRule type="cellIs" dxfId="1023" priority="3" operator="lessThan">
      <formula>0</formula>
    </cfRule>
    <cfRule type="cellIs" dxfId="1022" priority="4" operator="greaterThan">
      <formula>0</formula>
    </cfRule>
  </conditionalFormatting>
  <conditionalFormatting sqref="AD26">
    <cfRule type="cellIs" dxfId="1021" priority="1" operator="lessThan">
      <formula>0</formula>
    </cfRule>
    <cfRule type="cellIs" dxfId="102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>
    <tabColor theme="1"/>
    <pageSetUpPr fitToPage="1"/>
  </sheetPr>
  <dimension ref="B1:AQ64"/>
  <sheetViews>
    <sheetView topLeftCell="L1" zoomScale="85" zoomScaleNormal="85" zoomScaleSheetLayoutView="70" workbookViewId="0">
      <selection activeCell="O12" sqref="O12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44433</v>
      </c>
    </row>
    <row r="3" spans="2:42" ht="18.75" customHeight="1" thickBot="1" x14ac:dyDescent="0.35">
      <c r="B3" t="s">
        <v>1</v>
      </c>
      <c r="C3" s="3">
        <f>C2+1</f>
        <v>44434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19792</v>
      </c>
      <c r="G6" s="117">
        <v>16056.435374999999</v>
      </c>
      <c r="H6" s="117">
        <v>13570.05884756</v>
      </c>
      <c r="I6" s="19">
        <f>G6+H6</f>
        <v>29626.494222559999</v>
      </c>
      <c r="J6" s="119">
        <v>18957</v>
      </c>
      <c r="K6" s="117">
        <v>15380.46775</v>
      </c>
      <c r="L6" s="117">
        <v>12793.555692300009</v>
      </c>
      <c r="M6" s="19">
        <f>K6+L6</f>
        <v>28174.023442300007</v>
      </c>
      <c r="N6" s="85">
        <v>62</v>
      </c>
      <c r="O6" s="85">
        <v>54</v>
      </c>
      <c r="P6" s="92"/>
      <c r="Q6" s="20">
        <f>J6-P6</f>
        <v>18957</v>
      </c>
      <c r="R6" s="21">
        <v>4493</v>
      </c>
      <c r="S6" s="20">
        <f>IF(R6&gt;0,(R6-R7-$Q6),"")</f>
        <v>-14665</v>
      </c>
      <c r="T6" s="21">
        <v>7535</v>
      </c>
      <c r="U6" s="20">
        <f>IF(T6&gt;0,(T6-T7-$Q6),"")</f>
        <v>-12118</v>
      </c>
      <c r="V6" s="21">
        <v>13547</v>
      </c>
      <c r="W6" s="20">
        <f>IF(V6&gt;0,(V6-V7-$Q6),"")</f>
        <v>-6158</v>
      </c>
      <c r="X6" s="21">
        <v>17462</v>
      </c>
      <c r="Y6" s="20">
        <f>IF(X6&gt;0,(X6-X7-$Q6),"")</f>
        <v>-2261</v>
      </c>
      <c r="Z6" s="21">
        <v>19522</v>
      </c>
      <c r="AA6" s="20">
        <f>IF(Z6&gt;0,(Z6-Z7-$Q6),"")</f>
        <v>-229</v>
      </c>
      <c r="AB6" s="21">
        <v>19522</v>
      </c>
      <c r="AC6" s="22">
        <f>IF(AB6&gt;0,(AB6-AB7-$Q6),"")</f>
        <v>-229</v>
      </c>
      <c r="AD6" s="21">
        <v>19522</v>
      </c>
      <c r="AE6" s="22">
        <f>IF(AD6&gt;0,(AD6-AD7-$Q6),"")</f>
        <v>-229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201</v>
      </c>
      <c r="S7" s="24"/>
      <c r="T7" s="25">
        <v>696</v>
      </c>
      <c r="U7" s="24"/>
      <c r="V7" s="25">
        <v>748</v>
      </c>
      <c r="W7" s="24"/>
      <c r="X7" s="25">
        <v>766</v>
      </c>
      <c r="Y7" s="24"/>
      <c r="Z7" s="25">
        <v>794</v>
      </c>
      <c r="AA7" s="24"/>
      <c r="AB7" s="25">
        <v>794</v>
      </c>
      <c r="AC7" s="26"/>
      <c r="AD7" s="25">
        <v>794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2293</v>
      </c>
      <c r="E8" s="29" t="s">
        <v>27</v>
      </c>
      <c r="F8" s="119">
        <v>12620</v>
      </c>
      <c r="G8" s="117">
        <v>5164.585</v>
      </c>
      <c r="H8" s="117">
        <v>1557.874315</v>
      </c>
      <c r="I8" s="19">
        <f>G8+H8</f>
        <v>6722.4593150000001</v>
      </c>
      <c r="J8" s="119">
        <v>12683</v>
      </c>
      <c r="K8" s="117">
        <v>5196.7000000000007</v>
      </c>
      <c r="L8" s="117">
        <v>1546.6809665999999</v>
      </c>
      <c r="M8" s="19">
        <f>K8+L8</f>
        <v>6743.3809666000006</v>
      </c>
      <c r="N8" s="87">
        <v>31</v>
      </c>
      <c r="O8" s="87">
        <v>27</v>
      </c>
      <c r="P8" s="92"/>
      <c r="Q8" s="20">
        <f>J8-P8</f>
        <v>12683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7910</v>
      </c>
      <c r="W8" s="20">
        <f>IF(V8&gt;0,(V8-V9-$Q8),"")</f>
        <v>-4773</v>
      </c>
      <c r="X8" s="21">
        <v>9913</v>
      </c>
      <c r="Y8" s="20">
        <f>IF(X8&gt;0,(X8-X9-$Q8),"")</f>
        <v>-2770</v>
      </c>
      <c r="Z8" s="21">
        <v>12656</v>
      </c>
      <c r="AA8" s="20">
        <f>IF(Z8&gt;0,(Z8-Z9-$Q8),"")</f>
        <v>-27</v>
      </c>
      <c r="AB8" s="21">
        <v>12656</v>
      </c>
      <c r="AC8" s="22">
        <f>IF(AB8&gt;0,(AB8-AB9-$Q8),"")</f>
        <v>-27</v>
      </c>
      <c r="AD8" s="21">
        <v>12656</v>
      </c>
      <c r="AE8" s="22">
        <f>IF(AD8&gt;0,(AD8-AD9-$Q8),"")</f>
        <v>-27</v>
      </c>
    </row>
    <row r="9" spans="2:42" x14ac:dyDescent="0.3">
      <c r="B9" s="28" t="s">
        <v>28</v>
      </c>
      <c r="C9" s="17">
        <v>1956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5949</v>
      </c>
      <c r="E10" s="18" t="s">
        <v>31</v>
      </c>
      <c r="F10" s="119">
        <v>12464</v>
      </c>
      <c r="G10" s="117">
        <v>9395.3947500000013</v>
      </c>
      <c r="H10" s="117">
        <v>1828.3816075</v>
      </c>
      <c r="I10" s="19">
        <f>G10+H10</f>
        <v>11223.776357500001</v>
      </c>
      <c r="J10" s="119">
        <v>15806</v>
      </c>
      <c r="K10" s="117">
        <v>12118.556375</v>
      </c>
      <c r="L10" s="117">
        <v>1807.0667275000001</v>
      </c>
      <c r="M10" s="19">
        <f>K10+L10</f>
        <v>13925.6231025</v>
      </c>
      <c r="N10" s="88">
        <v>47</v>
      </c>
      <c r="O10" s="88">
        <v>43</v>
      </c>
      <c r="P10" s="92"/>
      <c r="Q10" s="20">
        <f>J10-P10</f>
        <v>15806</v>
      </c>
      <c r="R10" s="21">
        <v>4396</v>
      </c>
      <c r="S10" s="20">
        <f>IF(R10&gt;0,(R10-R11-$Q10),"")</f>
        <v>-11549</v>
      </c>
      <c r="T10" s="21">
        <v>7410</v>
      </c>
      <c r="U10" s="20">
        <f>IF(T10&gt;0,(T10-T11-$Q10),"")</f>
        <v>-8746</v>
      </c>
      <c r="V10" s="21">
        <v>9630</v>
      </c>
      <c r="W10" s="20">
        <f>IF(V10&gt;0,(V10-V11-$Q10),"")</f>
        <v>-6579</v>
      </c>
      <c r="X10" s="21">
        <v>11143</v>
      </c>
      <c r="Y10" s="20">
        <f>IF(X10&gt;0,(X10-X11-$Q10),"")</f>
        <v>-5053</v>
      </c>
      <c r="Z10" s="21">
        <v>11143</v>
      </c>
      <c r="AA10" s="20">
        <f>IF(Z10&gt;0,(Z10-Z11-$Q10),"")</f>
        <v>-5053</v>
      </c>
      <c r="AB10" s="21">
        <v>11143</v>
      </c>
      <c r="AC10" s="22">
        <f>IF(AB10&gt;0,(AB10-AB11-$Q10),"")</f>
        <v>-5053</v>
      </c>
      <c r="AD10" s="21">
        <v>11143</v>
      </c>
      <c r="AE10" s="22">
        <f>IF(AD10&gt;0,(AD10-AD11-$Q10),"")</f>
        <v>-5053</v>
      </c>
    </row>
    <row r="11" spans="2:42" x14ac:dyDescent="0.3">
      <c r="B11" s="16" t="s">
        <v>32</v>
      </c>
      <c r="C11" s="17">
        <v>1979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139</v>
      </c>
      <c r="S11" s="24"/>
      <c r="T11" s="30">
        <v>350</v>
      </c>
      <c r="U11" s="24"/>
      <c r="V11" s="30">
        <v>403</v>
      </c>
      <c r="W11" s="24"/>
      <c r="X11" s="30">
        <v>390</v>
      </c>
      <c r="Y11" s="24"/>
      <c r="Z11" s="30">
        <v>390</v>
      </c>
      <c r="AA11" s="24"/>
      <c r="AB11" s="30">
        <v>390</v>
      </c>
      <c r="AC11" s="26"/>
      <c r="AD11" s="30">
        <v>390</v>
      </c>
      <c r="AE11" s="26"/>
    </row>
    <row r="12" spans="2:42" x14ac:dyDescent="0.3">
      <c r="B12" s="16" t="s">
        <v>34</v>
      </c>
      <c r="C12" s="17">
        <v>1422</v>
      </c>
      <c r="E12" s="29" t="s">
        <v>35</v>
      </c>
      <c r="F12" s="119">
        <v>16937</v>
      </c>
      <c r="G12" s="117">
        <v>11510.73525</v>
      </c>
      <c r="H12" s="117">
        <v>15653.03025344</v>
      </c>
      <c r="I12" s="19">
        <f>G12+H12</f>
        <v>27163.765503440001</v>
      </c>
      <c r="J12" s="119">
        <v>16944</v>
      </c>
      <c r="K12" s="117">
        <v>11616.799499999999</v>
      </c>
      <c r="L12" s="117">
        <v>17729.917701030001</v>
      </c>
      <c r="M12" s="19">
        <f>K12+L12</f>
        <v>29346.717201029998</v>
      </c>
      <c r="N12" s="88">
        <v>55</v>
      </c>
      <c r="O12" s="88">
        <v>48</v>
      </c>
      <c r="P12" s="92"/>
      <c r="Q12" s="20">
        <f>J12-P12</f>
        <v>16944</v>
      </c>
      <c r="R12" s="21">
        <v>3224</v>
      </c>
      <c r="S12" s="20">
        <f>IF(R12&gt;0,(R12-R13-$Q12),"")</f>
        <v>-14012</v>
      </c>
      <c r="T12" s="21">
        <v>4975</v>
      </c>
      <c r="U12" s="20">
        <f>IF(T12&gt;0,(T12-T13-$Q12),"")</f>
        <v>-12306</v>
      </c>
      <c r="V12" s="21">
        <v>8118</v>
      </c>
      <c r="W12" s="20">
        <f>IF(V12&gt;0,(V12-V13-$Q12),"")</f>
        <v>-9249</v>
      </c>
      <c r="X12" s="21">
        <v>11625</v>
      </c>
      <c r="Y12" s="20">
        <f>IF(X12&gt;0,(X12-X13-$Q12),"")</f>
        <v>-5783</v>
      </c>
      <c r="Z12" s="21">
        <v>11625</v>
      </c>
      <c r="AA12" s="20">
        <f>IF(Z12&gt;0,(Z12-Z13-$Q12),"")</f>
        <v>-5783</v>
      </c>
      <c r="AB12" s="21">
        <v>11625</v>
      </c>
      <c r="AC12" s="22">
        <f>IF(AB12&gt;0,(AB12-AB13-$Q12),"")</f>
        <v>-5783</v>
      </c>
      <c r="AD12" s="21">
        <v>11625</v>
      </c>
      <c r="AE12" s="22">
        <f>IF(AD12&gt;0,(AD12-AD13-$Q12),"")</f>
        <v>-5783</v>
      </c>
    </row>
    <row r="13" spans="2:42" x14ac:dyDescent="0.3">
      <c r="B13" s="16" t="s">
        <v>36</v>
      </c>
      <c r="C13" s="17">
        <v>4069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292</v>
      </c>
      <c r="S13" s="24"/>
      <c r="T13" s="30">
        <v>337</v>
      </c>
      <c r="U13" s="24"/>
      <c r="V13" s="30">
        <v>423</v>
      </c>
      <c r="W13" s="24"/>
      <c r="X13" s="30">
        <v>464</v>
      </c>
      <c r="Y13" s="24"/>
      <c r="Z13" s="30">
        <v>464</v>
      </c>
      <c r="AA13" s="24"/>
      <c r="AB13" s="30">
        <v>464</v>
      </c>
      <c r="AC13" s="26"/>
      <c r="AD13" s="30">
        <v>464</v>
      </c>
      <c r="AE13" s="26"/>
    </row>
    <row r="14" spans="2:42" x14ac:dyDescent="0.3">
      <c r="B14" s="16" t="s">
        <v>38</v>
      </c>
      <c r="C14" s="17">
        <v>10732</v>
      </c>
      <c r="E14" s="18" t="s">
        <v>39</v>
      </c>
      <c r="F14" s="119">
        <v>21955</v>
      </c>
      <c r="G14" s="117">
        <v>16510.03125</v>
      </c>
      <c r="H14" s="117">
        <v>20819.854042110012</v>
      </c>
      <c r="I14" s="19">
        <f>G14+H14</f>
        <v>37329.885292110012</v>
      </c>
      <c r="J14" s="119">
        <v>31624</v>
      </c>
      <c r="K14" s="117">
        <v>28958.03125</v>
      </c>
      <c r="L14" s="117">
        <v>33234.290894810023</v>
      </c>
      <c r="M14" s="19">
        <f>K14+L14</f>
        <v>62192.322144810023</v>
      </c>
      <c r="N14" s="88">
        <v>64</v>
      </c>
      <c r="O14" s="88">
        <v>51</v>
      </c>
      <c r="P14" s="92"/>
      <c r="Q14" s="20">
        <f>J14-P14</f>
        <v>31624</v>
      </c>
      <c r="R14" s="21">
        <v>4890</v>
      </c>
      <c r="S14" s="20">
        <f>IF(R14&gt;0,(R14-R15-$Q14),"")</f>
        <v>-26763</v>
      </c>
      <c r="T14" s="21">
        <v>8621</v>
      </c>
      <c r="U14" s="20">
        <f>IF(T14&gt;0,(T14-T15-$Q14),"")</f>
        <v>-23132</v>
      </c>
      <c r="V14" s="21">
        <v>10198</v>
      </c>
      <c r="W14" s="20">
        <f>IF(V14&gt;0,(V14-V15-$Q14),"")</f>
        <v>-21555</v>
      </c>
      <c r="X14" s="21">
        <v>12493</v>
      </c>
      <c r="Y14" s="20">
        <f>IF(X14&gt;0,(X14-X15-$Q14),"")</f>
        <v>-19267</v>
      </c>
      <c r="Z14" s="21">
        <v>14654</v>
      </c>
      <c r="AA14" s="20">
        <f>IF(Z14&gt;0,(Z14-Z15-$Q14),"")</f>
        <v>-17119</v>
      </c>
      <c r="AB14" s="21">
        <v>14677</v>
      </c>
      <c r="AC14" s="22">
        <f>IF(AB14&gt;0,(AB14-AB15-$Q14),"")</f>
        <v>-17118</v>
      </c>
      <c r="AD14" s="21">
        <v>14677</v>
      </c>
      <c r="AE14" s="22">
        <f>IF(AD14&gt;0,(AD14-AD15-$Q14),"")</f>
        <v>-17118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 t="s">
        <v>75</v>
      </c>
      <c r="P15" s="93" t="s">
        <v>41</v>
      </c>
      <c r="Q15" s="24"/>
      <c r="R15" s="25">
        <v>29</v>
      </c>
      <c r="S15" s="24"/>
      <c r="T15" s="25">
        <v>129</v>
      </c>
      <c r="U15" s="24"/>
      <c r="V15" s="25">
        <v>129</v>
      </c>
      <c r="W15" s="24"/>
      <c r="X15" s="25">
        <v>136</v>
      </c>
      <c r="Y15" s="24"/>
      <c r="Z15" s="25">
        <v>149</v>
      </c>
      <c r="AA15" s="24"/>
      <c r="AB15" s="25">
        <v>171</v>
      </c>
      <c r="AC15" s="26"/>
      <c r="AD15" s="25">
        <v>171</v>
      </c>
      <c r="AE15" s="26"/>
    </row>
    <row r="16" spans="2:42" ht="15" customHeight="1" thickBot="1" x14ac:dyDescent="0.35">
      <c r="B16" s="28" t="s">
        <v>42</v>
      </c>
      <c r="C16" s="17">
        <v>11549</v>
      </c>
      <c r="E16" s="84"/>
      <c r="F16" s="31">
        <f t="shared" ref="F16:M16" si="0">SUM(F6:F15)</f>
        <v>83768</v>
      </c>
      <c r="G16" s="31">
        <f t="shared" si="0"/>
        <v>58637.181624999997</v>
      </c>
      <c r="H16" s="31">
        <f t="shared" si="0"/>
        <v>53429.19906561001</v>
      </c>
      <c r="I16" s="32">
        <f t="shared" si="0"/>
        <v>112066.38069061001</v>
      </c>
      <c r="J16" s="33">
        <f t="shared" si="0"/>
        <v>96014</v>
      </c>
      <c r="K16" s="33">
        <f t="shared" si="0"/>
        <v>73270.554875000002</v>
      </c>
      <c r="L16" s="33">
        <f t="shared" si="0"/>
        <v>67111.51198224003</v>
      </c>
      <c r="M16" s="33">
        <f t="shared" si="0"/>
        <v>140382.06685724005</v>
      </c>
      <c r="N16" s="31">
        <f>SUM(N14,N12,N10,N8,N6)</f>
        <v>259</v>
      </c>
      <c r="O16" s="31">
        <f>SUM(O14,O12,O10,O8,O6)</f>
        <v>223</v>
      </c>
      <c r="P16" s="34">
        <f>SUM(P6:P15)</f>
        <v>0</v>
      </c>
      <c r="Q16" s="34">
        <f>SUM(Q6:Q15)</f>
        <v>96014</v>
      </c>
      <c r="R16" s="35">
        <f>R6+R8+R10+R12+R14-R7-R9-R11-R13-R15</f>
        <v>16342</v>
      </c>
      <c r="S16" s="36">
        <f>IF(R16&gt;1,(R16-$Q16),"")</f>
        <v>-79672</v>
      </c>
      <c r="T16" s="35">
        <f>T6+T8+T10+T12+T14-T7-T9-T11-T13-T15</f>
        <v>27029</v>
      </c>
      <c r="U16" s="36">
        <f>IF(T16&gt;1,(T16-$Q16),"")</f>
        <v>-68985</v>
      </c>
      <c r="V16" s="35">
        <f>V6+V8+V10+V12+V14-V7-V9-V11-V13-V15</f>
        <v>47700</v>
      </c>
      <c r="W16" s="36">
        <f>IF(V16&gt;1,(V16-$Q16),"")</f>
        <v>-48314</v>
      </c>
      <c r="X16" s="35">
        <f>X6+X8+X10+X12+X14-X7-X9-X11-X13-X15</f>
        <v>60880</v>
      </c>
      <c r="Y16" s="36">
        <f>IF(X16&gt;1,(X16-$Q16),"")</f>
        <v>-35134</v>
      </c>
      <c r="Z16" s="35">
        <f>Z6+Z8+Z10+Z12+Z14-Z7-Z9-Z11-Z13-Z15</f>
        <v>67803</v>
      </c>
      <c r="AA16" s="36">
        <f>IF(Z16&gt;1,(Z16-$Q16),"")</f>
        <v>-28211</v>
      </c>
      <c r="AB16" s="35">
        <f>AB6+AB8+AB10+AB12+AB14-AB7-AB9-AB11-AB13-AB15</f>
        <v>67804</v>
      </c>
      <c r="AC16" s="37">
        <f>IF(AB16&gt;1,(AB16-$Q16),"")</f>
        <v>-28210</v>
      </c>
      <c r="AD16" s="35">
        <f>AD6+AD8+AD10+AD12+AD14-AD7-AD9-AD11-AD13-AD15</f>
        <v>67804</v>
      </c>
      <c r="AE16" s="37">
        <f>IF(AD16&gt;1,(AD16-$Q16),"")</f>
        <v>-28210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23</v>
      </c>
      <c r="P17" s="38" t="s">
        <v>44</v>
      </c>
      <c r="Q17" s="39"/>
      <c r="R17" s="40">
        <f>R15+R13+R11+R9+R7</f>
        <v>661</v>
      </c>
      <c r="S17" s="41"/>
      <c r="T17" s="40">
        <f>T15+T13+T11+T9+T7</f>
        <v>1512</v>
      </c>
      <c r="U17" s="41"/>
      <c r="V17" s="40">
        <f>V15+V13+V11+V9+V7</f>
        <v>1703</v>
      </c>
      <c r="W17" s="41"/>
      <c r="X17" s="40">
        <f>X15+X13+X11+X9+X7</f>
        <v>1756</v>
      </c>
      <c r="Y17" s="41"/>
      <c r="Z17" s="40">
        <f>Z15+Z13+Z11+Z9+Z7</f>
        <v>1797</v>
      </c>
      <c r="AA17" s="41"/>
      <c r="AB17" s="40">
        <f>AB15+AB13+AB11+AB9+AB7</f>
        <v>1819</v>
      </c>
      <c r="AC17" s="42"/>
      <c r="AD17" s="40">
        <f>AD15+AD13+AD11+AD9+AD7</f>
        <v>1819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8171</v>
      </c>
      <c r="S18" s="46"/>
      <c r="T18" s="47">
        <f>IF(T16&gt;0,(T16-R16)/2,"")</f>
        <v>5343.5</v>
      </c>
      <c r="U18" s="46"/>
      <c r="V18" s="47">
        <f>IF(V16&gt;0,(V16-T16)/2,"")</f>
        <v>10335.5</v>
      </c>
      <c r="W18" s="46"/>
      <c r="X18" s="47">
        <f>IF(X16&gt;0,(X16-V16)/2,"")</f>
        <v>6590</v>
      </c>
      <c r="Y18" s="46"/>
      <c r="Z18" s="47">
        <f>IF(Z16&gt;0,(Z16-X16)/2,"")</f>
        <v>3461.5</v>
      </c>
      <c r="AA18" s="46"/>
      <c r="AB18" s="47">
        <f>IF(AB16&gt;0,(AB16-Z16)/2,"")</f>
        <v>0.5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9421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2291</v>
      </c>
      <c r="L20" s="4"/>
      <c r="M20" s="4"/>
      <c r="Q20" s="51" t="s">
        <v>49</v>
      </c>
      <c r="R20" s="35">
        <v>14860</v>
      </c>
      <c r="S20" s="36">
        <v>-81681</v>
      </c>
      <c r="T20" s="35">
        <v>26375</v>
      </c>
      <c r="U20" s="36">
        <v>-70166</v>
      </c>
      <c r="V20" s="35">
        <v>37052</v>
      </c>
      <c r="W20" s="36">
        <v>-59489</v>
      </c>
      <c r="X20" s="35">
        <v>48112</v>
      </c>
      <c r="Y20" s="36">
        <v>-48429</v>
      </c>
      <c r="Z20" s="35">
        <v>57399</v>
      </c>
      <c r="AA20" s="36">
        <v>-39142</v>
      </c>
      <c r="AB20" s="35">
        <v>57403</v>
      </c>
      <c r="AC20" s="37">
        <v>-39138</v>
      </c>
      <c r="AD20" s="35">
        <v>57403</v>
      </c>
      <c r="AE20" s="37">
        <v>-39138</v>
      </c>
    </row>
    <row r="21" spans="2:43" ht="15" customHeight="1" thickBot="1" x14ac:dyDescent="0.35">
      <c r="B21" s="57" t="s">
        <v>52</v>
      </c>
      <c r="C21" s="58">
        <v>4795</v>
      </c>
      <c r="M21" s="4"/>
      <c r="Q21" s="52"/>
      <c r="R21" s="40">
        <v>1215</v>
      </c>
      <c r="S21" s="41"/>
      <c r="T21" s="40">
        <v>2165</v>
      </c>
      <c r="U21" s="41"/>
      <c r="V21" s="40">
        <v>7568</v>
      </c>
      <c r="W21" s="41"/>
      <c r="X21" s="40">
        <v>13465</v>
      </c>
      <c r="Y21" s="41"/>
      <c r="Z21" s="40">
        <v>17540</v>
      </c>
      <c r="AA21" s="41"/>
      <c r="AB21" s="40">
        <v>17540</v>
      </c>
      <c r="AC21" s="42"/>
      <c r="AD21" s="40">
        <v>17540</v>
      </c>
      <c r="AE21" s="42"/>
    </row>
    <row r="22" spans="2:43" ht="15" customHeight="1" thickBot="1" x14ac:dyDescent="0.35">
      <c r="M22" s="4"/>
      <c r="Q22" s="54"/>
      <c r="R22" s="55">
        <v>7430</v>
      </c>
      <c r="S22" s="55"/>
      <c r="T22" s="55">
        <v>5757.5</v>
      </c>
      <c r="U22" s="55"/>
      <c r="V22" s="55">
        <v>5338.5</v>
      </c>
      <c r="W22" s="55"/>
      <c r="X22" s="55">
        <v>5530</v>
      </c>
      <c r="Y22" s="55"/>
      <c r="Z22" s="55">
        <v>4643.5</v>
      </c>
      <c r="AA22" s="55"/>
      <c r="AB22" s="55">
        <v>2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1482</v>
      </c>
      <c r="S24" s="60"/>
      <c r="T24" s="60">
        <f>IF(T16&gt;0,T16-T20,"")</f>
        <v>654</v>
      </c>
      <c r="U24" s="60"/>
      <c r="V24" s="60">
        <f>IF(V16&gt;0,V16-V20,"")</f>
        <v>10648</v>
      </c>
      <c r="W24" s="60"/>
      <c r="X24" s="60">
        <f>IF(X16&gt;0,X16-X20,"")</f>
        <v>12768</v>
      </c>
      <c r="Y24" s="60"/>
      <c r="Z24" s="60">
        <f>IF(Z16&gt;0,Z16-Z20,"")</f>
        <v>10404</v>
      </c>
      <c r="AA24" s="60"/>
      <c r="AB24" s="60">
        <f>IF(AB16&gt;0,AB16-AB20,"")</f>
        <v>10401</v>
      </c>
      <c r="AC24" s="61"/>
      <c r="AD24" s="60">
        <f>IF(AD16&gt;0,AD16-AD20,"")</f>
        <v>10401</v>
      </c>
      <c r="AE24" s="61"/>
    </row>
    <row r="25" spans="2:43" x14ac:dyDescent="0.3">
      <c r="J25" s="123"/>
      <c r="M25" s="4"/>
      <c r="Q25" s="62"/>
      <c r="R25" s="63">
        <f>IF(R17&gt;=0,R17-R21,"")</f>
        <v>-554</v>
      </c>
      <c r="S25" s="64"/>
      <c r="T25" s="63">
        <f>IF(T17&gt;=0,T17-T21,"")</f>
        <v>-653</v>
      </c>
      <c r="U25" s="64"/>
      <c r="V25" s="63">
        <f>IF(V17&gt;=0,V17-V21,"")</f>
        <v>-5865</v>
      </c>
      <c r="W25" s="64"/>
      <c r="X25" s="63">
        <f>IF(X17&gt;=0,X17-X21,"")</f>
        <v>-11709</v>
      </c>
      <c r="Y25" s="64"/>
      <c r="Z25" s="63">
        <f>IF(Z17&gt;=0,Z17-Z21,"")</f>
        <v>-15743</v>
      </c>
      <c r="AA25" s="64"/>
      <c r="AB25" s="63">
        <f>IF(AB17&gt;=0,AB17-AB21,"")</f>
        <v>-15721</v>
      </c>
      <c r="AC25" s="65"/>
      <c r="AD25" s="63">
        <f>IF(AD17&gt;=0,AD17-AD21,"")</f>
        <v>-15721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741</v>
      </c>
      <c r="S26" s="55"/>
      <c r="T26" s="67">
        <f>IFERROR(IF(T18&gt;0,T18-T22,""),"")</f>
        <v>-414</v>
      </c>
      <c r="U26" s="55"/>
      <c r="V26" s="67">
        <f>IFERROR(IF(V18&gt;0,V18-V22,""),"")</f>
        <v>4997</v>
      </c>
      <c r="W26" s="55"/>
      <c r="X26" s="67">
        <f>IFERROR(IF(X18&gt;0,X18-X22,""),"")</f>
        <v>1060</v>
      </c>
      <c r="Y26" s="55"/>
      <c r="Z26" s="67">
        <f>IFERROR(IF(Z18&gt;0,Z18-Z22,""),"")</f>
        <v>-1182</v>
      </c>
      <c r="AA26" s="55"/>
      <c r="AB26" s="67">
        <f>IFERROR(IF(AB18&gt;0,AB18-AB22,""),"")</f>
        <v>-1.5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12033</v>
      </c>
      <c r="D29" s="76">
        <f>C14</f>
        <v>10732</v>
      </c>
      <c r="E29" s="77">
        <f>D29-C29</f>
        <v>-1301</v>
      </c>
      <c r="O29" s="4"/>
    </row>
    <row r="30" spans="2:43" x14ac:dyDescent="0.3">
      <c r="B30" s="74" t="s">
        <v>56</v>
      </c>
      <c r="C30" s="122">
        <v>25869</v>
      </c>
      <c r="D30" s="76">
        <f>C7+C15+C16+C17+C18</f>
        <v>11549</v>
      </c>
      <c r="E30" s="77">
        <f>D30-C30</f>
        <v>-14320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13419</v>
      </c>
      <c r="D32" s="76">
        <f>C10+C11+C12+C13</f>
        <v>13419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16610</v>
      </c>
      <c r="D33" s="76">
        <f>C19+C20+C21</f>
        <v>16507</v>
      </c>
      <c r="E33" s="77">
        <f>D33-C33</f>
        <v>-103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4249</v>
      </c>
      <c r="D34" s="80">
        <f>SUM(C8+C9)</f>
        <v>4249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1048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273</v>
      </c>
      <c r="V35" s="104">
        <v>546</v>
      </c>
      <c r="W35" s="104">
        <f t="shared" ref="W35:W64" si="3">IF(X35&gt;0,(X35-V35)/2,"")</f>
        <v>251</v>
      </c>
      <c r="X35" s="104">
        <v>1048</v>
      </c>
      <c r="Y35" s="104">
        <f t="shared" ref="Y35:Y64" si="4">IF(Z35&gt;0,(Z35-X35)/2,"")</f>
        <v>0</v>
      </c>
      <c r="Z35" s="104">
        <v>1048</v>
      </c>
      <c r="AA35" s="104">
        <f t="shared" ref="AA35:AA64" si="5">IF(AB35&gt;0,(AB35-Z35)/2,"")</f>
        <v>0</v>
      </c>
      <c r="AB35" s="104">
        <v>1048</v>
      </c>
      <c r="AC35" s="104">
        <f t="shared" ref="AC35:AC64" si="6">IF(AD35&gt;0,(AD35-AB35)/2,"")</f>
        <v>0</v>
      </c>
      <c r="AD35" s="104">
        <v>1048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1160</v>
      </c>
      <c r="R36" s="106">
        <v>631</v>
      </c>
      <c r="S36" s="106">
        <f t="shared" si="1"/>
        <v>0</v>
      </c>
      <c r="T36" s="106">
        <v>631</v>
      </c>
      <c r="U36" s="106">
        <f t="shared" si="2"/>
        <v>264.5</v>
      </c>
      <c r="V36" s="106">
        <v>1160</v>
      </c>
      <c r="W36" s="106">
        <f t="shared" si="3"/>
        <v>0</v>
      </c>
      <c r="X36" s="106">
        <v>1160</v>
      </c>
      <c r="Y36" s="106">
        <f t="shared" si="4"/>
        <v>0</v>
      </c>
      <c r="Z36" s="106">
        <v>1160</v>
      </c>
      <c r="AA36" s="106">
        <f t="shared" si="5"/>
        <v>0</v>
      </c>
      <c r="AB36" s="106">
        <v>1160</v>
      </c>
      <c r="AC36" s="106">
        <f t="shared" si="6"/>
        <v>0</v>
      </c>
      <c r="AD36" s="106">
        <v>1160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3720</v>
      </c>
      <c r="R37" s="108">
        <v>420</v>
      </c>
      <c r="S37" s="108">
        <f t="shared" si="1"/>
        <v>176</v>
      </c>
      <c r="T37" s="108">
        <v>772</v>
      </c>
      <c r="U37" s="108">
        <f t="shared" si="2"/>
        <v>543.5</v>
      </c>
      <c r="V37" s="108">
        <v>1859</v>
      </c>
      <c r="W37" s="108">
        <f t="shared" si="3"/>
        <v>425.5</v>
      </c>
      <c r="X37" s="108">
        <v>2710</v>
      </c>
      <c r="Y37" s="108">
        <f t="shared" si="4"/>
        <v>406.5</v>
      </c>
      <c r="Z37" s="108">
        <v>3523</v>
      </c>
      <c r="AA37" s="108">
        <f t="shared" si="5"/>
        <v>0</v>
      </c>
      <c r="AB37" s="108">
        <v>3523</v>
      </c>
      <c r="AC37" s="108">
        <f t="shared" si="6"/>
        <v>0</v>
      </c>
      <c r="AD37" s="108">
        <v>3523</v>
      </c>
      <c r="AE37" s="109">
        <f t="shared" si="7"/>
        <v>-197</v>
      </c>
    </row>
    <row r="38" spans="2:31" ht="15.6" customHeight="1" x14ac:dyDescent="0.3">
      <c r="N38" s="212"/>
      <c r="O38" s="95" t="s">
        <v>68</v>
      </c>
      <c r="P38" s="106"/>
      <c r="Q38" s="106">
        <v>3290</v>
      </c>
      <c r="R38" s="106">
        <v>751</v>
      </c>
      <c r="S38" s="106">
        <f t="shared" si="1"/>
        <v>240.5</v>
      </c>
      <c r="T38" s="106">
        <v>1232</v>
      </c>
      <c r="U38" s="106">
        <f t="shared" si="2"/>
        <v>491.5</v>
      </c>
      <c r="V38" s="106">
        <v>2215</v>
      </c>
      <c r="W38" s="106">
        <f t="shared" si="3"/>
        <v>229.5</v>
      </c>
      <c r="X38" s="106">
        <v>2674</v>
      </c>
      <c r="Y38" s="106">
        <f t="shared" si="4"/>
        <v>314</v>
      </c>
      <c r="Z38" s="106">
        <v>3302</v>
      </c>
      <c r="AA38" s="106">
        <f t="shared" si="5"/>
        <v>0</v>
      </c>
      <c r="AB38" s="106">
        <v>3302</v>
      </c>
      <c r="AC38" s="106">
        <f t="shared" si="6"/>
        <v>0</v>
      </c>
      <c r="AD38" s="106">
        <v>3302</v>
      </c>
      <c r="AE38" s="107">
        <f t="shared" si="7"/>
        <v>12</v>
      </c>
    </row>
    <row r="39" spans="2:31" ht="15.6" customHeight="1" x14ac:dyDescent="0.3">
      <c r="N39" s="212"/>
      <c r="O39" s="94" t="s">
        <v>69</v>
      </c>
      <c r="P39" s="108"/>
      <c r="Q39" s="108">
        <v>2638</v>
      </c>
      <c r="R39" s="108">
        <v>665</v>
      </c>
      <c r="S39" s="108">
        <f t="shared" si="1"/>
        <v>387.5</v>
      </c>
      <c r="T39" s="108">
        <v>1440</v>
      </c>
      <c r="U39" s="108">
        <f t="shared" si="2"/>
        <v>259</v>
      </c>
      <c r="V39" s="108">
        <v>1958</v>
      </c>
      <c r="W39" s="108">
        <f t="shared" si="3"/>
        <v>422.5</v>
      </c>
      <c r="X39" s="108">
        <v>2803</v>
      </c>
      <c r="Y39" s="108">
        <f t="shared" si="4"/>
        <v>0</v>
      </c>
      <c r="Z39" s="108">
        <v>2803</v>
      </c>
      <c r="AA39" s="108">
        <f t="shared" si="5"/>
        <v>0</v>
      </c>
      <c r="AB39" s="108">
        <v>2803</v>
      </c>
      <c r="AC39" s="108">
        <f t="shared" si="6"/>
        <v>0</v>
      </c>
      <c r="AD39" s="108">
        <v>2803</v>
      </c>
      <c r="AE39" s="109">
        <f t="shared" si="7"/>
        <v>165</v>
      </c>
    </row>
    <row r="40" spans="2:31" ht="15.6" customHeight="1" x14ac:dyDescent="0.3">
      <c r="N40" s="212"/>
      <c r="O40" s="95" t="s">
        <v>70</v>
      </c>
      <c r="P40" s="106"/>
      <c r="Q40" s="106">
        <v>3206</v>
      </c>
      <c r="R40" s="106">
        <v>544</v>
      </c>
      <c r="S40" s="106">
        <f t="shared" si="1"/>
        <v>310.5</v>
      </c>
      <c r="T40" s="106">
        <v>1165</v>
      </c>
      <c r="U40" s="106">
        <f t="shared" si="2"/>
        <v>303.5</v>
      </c>
      <c r="V40" s="106">
        <v>1772</v>
      </c>
      <c r="W40" s="106">
        <f t="shared" si="3"/>
        <v>533</v>
      </c>
      <c r="X40" s="106">
        <v>2838</v>
      </c>
      <c r="Y40" s="106">
        <f t="shared" si="4"/>
        <v>244.5</v>
      </c>
      <c r="Z40" s="106">
        <v>3327</v>
      </c>
      <c r="AA40" s="106">
        <f t="shared" si="5"/>
        <v>0</v>
      </c>
      <c r="AB40" s="106">
        <v>3327</v>
      </c>
      <c r="AC40" s="106">
        <f t="shared" si="6"/>
        <v>0</v>
      </c>
      <c r="AD40" s="106">
        <v>3327</v>
      </c>
      <c r="AE40" s="107">
        <f t="shared" si="7"/>
        <v>121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1655</v>
      </c>
      <c r="R42" s="106">
        <v>752</v>
      </c>
      <c r="S42" s="106">
        <f t="shared" si="1"/>
        <v>221.5</v>
      </c>
      <c r="T42" s="106">
        <v>1195</v>
      </c>
      <c r="U42" s="106">
        <f t="shared" si="2"/>
        <v>203.5</v>
      </c>
      <c r="V42" s="106">
        <v>1602</v>
      </c>
      <c r="W42" s="106">
        <f t="shared" si="3"/>
        <v>0</v>
      </c>
      <c r="X42" s="106">
        <v>1602</v>
      </c>
      <c r="Y42" s="106">
        <f t="shared" si="4"/>
        <v>65</v>
      </c>
      <c r="Z42" s="106">
        <v>1732</v>
      </c>
      <c r="AA42" s="106">
        <f t="shared" si="5"/>
        <v>0</v>
      </c>
      <c r="AB42" s="106">
        <v>1732</v>
      </c>
      <c r="AC42" s="106">
        <f t="shared" si="6"/>
        <v>0</v>
      </c>
      <c r="AD42" s="106">
        <v>1732</v>
      </c>
      <c r="AE42" s="107">
        <f t="shared" si="7"/>
        <v>77</v>
      </c>
    </row>
    <row r="43" spans="2:31" ht="15.6" customHeight="1" thickBot="1" x14ac:dyDescent="0.35">
      <c r="N43" s="213"/>
      <c r="O43" s="97" t="s">
        <v>73</v>
      </c>
      <c r="P43" s="110"/>
      <c r="Q43" s="110">
        <v>1742</v>
      </c>
      <c r="R43" s="110">
        <v>586</v>
      </c>
      <c r="S43" s="110">
        <f t="shared" si="1"/>
        <v>185</v>
      </c>
      <c r="T43" s="110">
        <v>956</v>
      </c>
      <c r="U43" s="110">
        <f t="shared" si="2"/>
        <v>583.5</v>
      </c>
      <c r="V43" s="110">
        <v>2123</v>
      </c>
      <c r="W43" s="110">
        <f t="shared" si="3"/>
        <v>0</v>
      </c>
      <c r="X43" s="110">
        <v>2123</v>
      </c>
      <c r="Y43" s="110">
        <f t="shared" si="4"/>
        <v>0</v>
      </c>
      <c r="Z43" s="110">
        <v>2123</v>
      </c>
      <c r="AA43" s="110">
        <f t="shared" si="5"/>
        <v>0</v>
      </c>
      <c r="AB43" s="110">
        <v>2123</v>
      </c>
      <c r="AC43" s="110">
        <f t="shared" si="6"/>
        <v>0</v>
      </c>
      <c r="AD43" s="110">
        <v>2123</v>
      </c>
      <c r="AE43" s="111">
        <f t="shared" si="7"/>
        <v>381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3316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1052</v>
      </c>
      <c r="V44" s="112">
        <v>2104</v>
      </c>
      <c r="W44" s="112">
        <f t="shared" si="3"/>
        <v>0</v>
      </c>
      <c r="X44" s="112">
        <v>2104</v>
      </c>
      <c r="Y44" s="112">
        <f t="shared" si="4"/>
        <v>606</v>
      </c>
      <c r="Z44" s="112">
        <v>3316</v>
      </c>
      <c r="AA44" s="112">
        <f t="shared" si="5"/>
        <v>0</v>
      </c>
      <c r="AB44" s="112">
        <v>3316</v>
      </c>
      <c r="AC44" s="112">
        <f t="shared" si="6"/>
        <v>0</v>
      </c>
      <c r="AD44" s="112">
        <v>3316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2761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615</v>
      </c>
      <c r="V45" s="108">
        <v>1230</v>
      </c>
      <c r="W45" s="108">
        <f t="shared" si="3"/>
        <v>0</v>
      </c>
      <c r="X45" s="108">
        <v>1230</v>
      </c>
      <c r="Y45" s="108">
        <f t="shared" si="4"/>
        <v>765.5</v>
      </c>
      <c r="Z45" s="108">
        <v>2761</v>
      </c>
      <c r="AA45" s="108">
        <f t="shared" si="5"/>
        <v>0</v>
      </c>
      <c r="AB45" s="108">
        <v>2761</v>
      </c>
      <c r="AC45" s="108">
        <f t="shared" si="6"/>
        <v>0</v>
      </c>
      <c r="AD45" s="108">
        <v>2761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3120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852</v>
      </c>
      <c r="V46" s="106">
        <v>1704</v>
      </c>
      <c r="W46" s="106">
        <f t="shared" si="3"/>
        <v>708</v>
      </c>
      <c r="X46" s="106">
        <v>3120</v>
      </c>
      <c r="Y46" s="106">
        <f t="shared" si="4"/>
        <v>0</v>
      </c>
      <c r="Z46" s="106">
        <v>3120</v>
      </c>
      <c r="AA46" s="106">
        <f t="shared" si="5"/>
        <v>0</v>
      </c>
      <c r="AB46" s="106">
        <v>3120</v>
      </c>
      <c r="AC46" s="106">
        <f t="shared" si="6"/>
        <v>0</v>
      </c>
      <c r="AD46" s="106">
        <v>3120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3486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1436</v>
      </c>
      <c r="V47" s="110">
        <v>2872</v>
      </c>
      <c r="W47" s="110">
        <f t="shared" si="3"/>
        <v>293.5</v>
      </c>
      <c r="X47" s="110">
        <v>3459</v>
      </c>
      <c r="Y47" s="110">
        <f t="shared" si="4"/>
        <v>0</v>
      </c>
      <c r="Z47" s="110">
        <v>3459</v>
      </c>
      <c r="AA47" s="110">
        <f t="shared" si="5"/>
        <v>0</v>
      </c>
      <c r="AB47" s="110">
        <v>3459</v>
      </c>
      <c r="AC47" s="110">
        <f t="shared" si="6"/>
        <v>0</v>
      </c>
      <c r="AD47" s="110">
        <v>3459</v>
      </c>
      <c r="AE47" s="111">
        <f t="shared" si="7"/>
        <v>-27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345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82.5</v>
      </c>
      <c r="V48" s="112">
        <v>165</v>
      </c>
      <c r="W48" s="112">
        <f t="shared" si="3"/>
        <v>25</v>
      </c>
      <c r="X48" s="112">
        <v>215</v>
      </c>
      <c r="Y48" s="112">
        <f t="shared" si="4"/>
        <v>0</v>
      </c>
      <c r="Z48" s="112">
        <v>215</v>
      </c>
      <c r="AA48" s="112">
        <f t="shared" si="5"/>
        <v>0</v>
      </c>
      <c r="AB48" s="112">
        <v>215</v>
      </c>
      <c r="AC48" s="112">
        <f t="shared" si="6"/>
        <v>0</v>
      </c>
      <c r="AD48" s="112">
        <v>215</v>
      </c>
      <c r="AE48" s="113">
        <f t="shared" si="7"/>
        <v>-130</v>
      </c>
    </row>
    <row r="49" spans="14:31" ht="15.6" customHeight="1" x14ac:dyDescent="0.3">
      <c r="N49" s="212"/>
      <c r="O49" s="94" t="s">
        <v>66</v>
      </c>
      <c r="P49" s="108"/>
      <c r="Q49" s="108">
        <v>398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37</v>
      </c>
      <c r="V49" s="108">
        <v>74</v>
      </c>
      <c r="W49" s="108">
        <f t="shared" si="3"/>
        <v>162</v>
      </c>
      <c r="X49" s="108">
        <v>398</v>
      </c>
      <c r="Y49" s="108">
        <f t="shared" si="4"/>
        <v>0</v>
      </c>
      <c r="Z49" s="108">
        <v>398</v>
      </c>
      <c r="AA49" s="108">
        <f t="shared" si="5"/>
        <v>0</v>
      </c>
      <c r="AB49" s="108">
        <v>398</v>
      </c>
      <c r="AC49" s="108">
        <f t="shared" si="6"/>
        <v>0</v>
      </c>
      <c r="AD49" s="108">
        <v>398</v>
      </c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>
        <v>2689</v>
      </c>
      <c r="R50" s="106">
        <v>878</v>
      </c>
      <c r="S50" s="106">
        <f t="shared" si="1"/>
        <v>181</v>
      </c>
      <c r="T50" s="106">
        <v>1240</v>
      </c>
      <c r="U50" s="106">
        <f t="shared" si="2"/>
        <v>-64</v>
      </c>
      <c r="V50" s="106">
        <v>1112</v>
      </c>
      <c r="W50" s="106">
        <f t="shared" si="3"/>
        <v>-106</v>
      </c>
      <c r="X50" s="106">
        <v>900</v>
      </c>
      <c r="Y50" s="106">
        <f t="shared" si="4"/>
        <v>0</v>
      </c>
      <c r="Z50" s="106">
        <v>900</v>
      </c>
      <c r="AA50" s="106">
        <f t="shared" si="5"/>
        <v>0</v>
      </c>
      <c r="AB50" s="106">
        <v>900</v>
      </c>
      <c r="AC50" s="106">
        <f t="shared" si="6"/>
        <v>0</v>
      </c>
      <c r="AD50" s="106">
        <v>900</v>
      </c>
      <c r="AE50" s="107">
        <f t="shared" si="7"/>
        <v>-1789</v>
      </c>
    </row>
    <row r="51" spans="14:31" ht="15.6" customHeight="1" x14ac:dyDescent="0.3">
      <c r="N51" s="212"/>
      <c r="O51" s="94" t="s">
        <v>68</v>
      </c>
      <c r="P51" s="108"/>
      <c r="Q51" s="108">
        <v>2047</v>
      </c>
      <c r="R51" s="108">
        <v>1279</v>
      </c>
      <c r="S51" s="108">
        <f t="shared" si="1"/>
        <v>111</v>
      </c>
      <c r="T51" s="108">
        <v>1501</v>
      </c>
      <c r="U51" s="108">
        <f t="shared" si="2"/>
        <v>236</v>
      </c>
      <c r="V51" s="108">
        <v>1973</v>
      </c>
      <c r="W51" s="108">
        <f t="shared" si="3"/>
        <v>0</v>
      </c>
      <c r="X51" s="108">
        <v>1973</v>
      </c>
      <c r="Y51" s="108">
        <f t="shared" si="4"/>
        <v>0</v>
      </c>
      <c r="Z51" s="108">
        <v>1973</v>
      </c>
      <c r="AA51" s="108">
        <f t="shared" si="5"/>
        <v>0</v>
      </c>
      <c r="AB51" s="108">
        <v>1973</v>
      </c>
      <c r="AC51" s="108">
        <f t="shared" si="6"/>
        <v>0</v>
      </c>
      <c r="AD51" s="108">
        <v>1973</v>
      </c>
      <c r="AE51" s="109">
        <f t="shared" si="7"/>
        <v>-74</v>
      </c>
    </row>
    <row r="52" spans="14:31" ht="15.6" customHeight="1" x14ac:dyDescent="0.3">
      <c r="N52" s="212"/>
      <c r="O52" s="95" t="s">
        <v>69</v>
      </c>
      <c r="P52" s="106"/>
      <c r="Q52" s="106">
        <v>3136</v>
      </c>
      <c r="R52" s="106">
        <v>595</v>
      </c>
      <c r="S52" s="106">
        <f t="shared" si="1"/>
        <v>297.5</v>
      </c>
      <c r="T52" s="106">
        <v>1190</v>
      </c>
      <c r="U52" s="106">
        <f t="shared" si="2"/>
        <v>29.5</v>
      </c>
      <c r="V52" s="106">
        <v>1249</v>
      </c>
      <c r="W52" s="106">
        <f t="shared" si="3"/>
        <v>57.5</v>
      </c>
      <c r="X52" s="106">
        <v>1364</v>
      </c>
      <c r="Y52" s="106">
        <f t="shared" si="4"/>
        <v>0</v>
      </c>
      <c r="Z52" s="106">
        <v>1364</v>
      </c>
      <c r="AA52" s="106">
        <f t="shared" si="5"/>
        <v>0</v>
      </c>
      <c r="AB52" s="106">
        <v>1364</v>
      </c>
      <c r="AC52" s="106">
        <f t="shared" si="6"/>
        <v>0</v>
      </c>
      <c r="AD52" s="106">
        <v>1364</v>
      </c>
      <c r="AE52" s="107">
        <f t="shared" si="7"/>
        <v>-1772</v>
      </c>
    </row>
    <row r="53" spans="14:31" ht="15.6" customHeight="1" x14ac:dyDescent="0.3">
      <c r="N53" s="212"/>
      <c r="O53" s="94" t="s">
        <v>70</v>
      </c>
      <c r="P53" s="108"/>
      <c r="Q53" s="108">
        <v>1400</v>
      </c>
      <c r="R53" s="108">
        <v>644</v>
      </c>
      <c r="S53" s="108">
        <f t="shared" si="1"/>
        <v>162.5</v>
      </c>
      <c r="T53" s="108">
        <v>969</v>
      </c>
      <c r="U53" s="108">
        <f t="shared" si="2"/>
        <v>119.5</v>
      </c>
      <c r="V53" s="108">
        <v>1208</v>
      </c>
      <c r="W53" s="108">
        <f t="shared" si="3"/>
        <v>-65.5</v>
      </c>
      <c r="X53" s="108">
        <v>1077</v>
      </c>
      <c r="Y53" s="108">
        <f t="shared" si="4"/>
        <v>0</v>
      </c>
      <c r="Z53" s="108">
        <v>1077</v>
      </c>
      <c r="AA53" s="108">
        <f t="shared" si="5"/>
        <v>0</v>
      </c>
      <c r="AB53" s="108">
        <v>1077</v>
      </c>
      <c r="AC53" s="108">
        <f t="shared" si="6"/>
        <v>0</v>
      </c>
      <c r="AD53" s="108">
        <v>1077</v>
      </c>
      <c r="AE53" s="109">
        <f t="shared" si="7"/>
        <v>-323</v>
      </c>
    </row>
    <row r="54" spans="14:31" ht="15.6" customHeight="1" x14ac:dyDescent="0.3">
      <c r="N54" s="212"/>
      <c r="O54" s="95" t="s">
        <v>71</v>
      </c>
      <c r="P54" s="106"/>
      <c r="Q54" s="106">
        <v>3842</v>
      </c>
      <c r="R54" s="106">
        <v>1000</v>
      </c>
      <c r="S54" s="106">
        <f t="shared" si="1"/>
        <v>618</v>
      </c>
      <c r="T54" s="106">
        <v>2236</v>
      </c>
      <c r="U54" s="106">
        <f t="shared" si="2"/>
        <v>266</v>
      </c>
      <c r="V54" s="106">
        <v>2768</v>
      </c>
      <c r="W54" s="106">
        <f t="shared" si="3"/>
        <v>634</v>
      </c>
      <c r="X54" s="106">
        <v>4036</v>
      </c>
      <c r="Y54" s="106">
        <f t="shared" si="4"/>
        <v>0</v>
      </c>
      <c r="Z54" s="106">
        <v>4036</v>
      </c>
      <c r="AA54" s="106">
        <f t="shared" si="5"/>
        <v>0</v>
      </c>
      <c r="AB54" s="106">
        <v>4036</v>
      </c>
      <c r="AC54" s="106">
        <f t="shared" si="6"/>
        <v>0</v>
      </c>
      <c r="AD54" s="106">
        <v>4036</v>
      </c>
      <c r="AE54" s="107">
        <f t="shared" si="7"/>
        <v>194</v>
      </c>
    </row>
    <row r="55" spans="14:31" ht="15.6" customHeight="1" x14ac:dyDescent="0.3">
      <c r="N55" s="212"/>
      <c r="O55" s="94" t="s">
        <v>72</v>
      </c>
      <c r="P55" s="108"/>
      <c r="Q55" s="108">
        <v>190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95</v>
      </c>
      <c r="V55" s="108">
        <v>190</v>
      </c>
      <c r="W55" s="108">
        <f t="shared" si="3"/>
        <v>0</v>
      </c>
      <c r="X55" s="108">
        <v>190</v>
      </c>
      <c r="Y55" s="108">
        <f t="shared" si="4"/>
        <v>0</v>
      </c>
      <c r="Z55" s="108">
        <v>190</v>
      </c>
      <c r="AA55" s="108">
        <f t="shared" si="5"/>
        <v>0</v>
      </c>
      <c r="AB55" s="108">
        <v>190</v>
      </c>
      <c r="AC55" s="108">
        <f t="shared" si="6"/>
        <v>0</v>
      </c>
      <c r="AD55" s="108">
        <v>190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1759</v>
      </c>
      <c r="R56" s="114">
        <v>0</v>
      </c>
      <c r="S56" s="114">
        <f t="shared" si="1"/>
        <v>137</v>
      </c>
      <c r="T56" s="114">
        <v>274</v>
      </c>
      <c r="U56" s="114">
        <f t="shared" si="2"/>
        <v>308.5</v>
      </c>
      <c r="V56" s="114">
        <v>891</v>
      </c>
      <c r="W56" s="114">
        <f t="shared" si="3"/>
        <v>49.5</v>
      </c>
      <c r="X56" s="114">
        <v>990</v>
      </c>
      <c r="Y56" s="114">
        <f t="shared" si="4"/>
        <v>0</v>
      </c>
      <c r="Z56" s="114">
        <v>990</v>
      </c>
      <c r="AA56" s="114">
        <f t="shared" si="5"/>
        <v>0</v>
      </c>
      <c r="AB56" s="114">
        <v>990</v>
      </c>
      <c r="AC56" s="114">
        <f t="shared" si="6"/>
        <v>0</v>
      </c>
      <c r="AD56" s="114">
        <v>990</v>
      </c>
      <c r="AE56" s="115">
        <f t="shared" si="7"/>
        <v>-769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4121</v>
      </c>
      <c r="R57" s="104">
        <v>504</v>
      </c>
      <c r="S57" s="104">
        <f t="shared" si="1"/>
        <v>18</v>
      </c>
      <c r="T57" s="104">
        <v>540</v>
      </c>
      <c r="U57" s="104">
        <f t="shared" si="2"/>
        <v>206.5</v>
      </c>
      <c r="V57" s="104">
        <v>953</v>
      </c>
      <c r="W57" s="104">
        <f t="shared" si="3"/>
        <v>531.5</v>
      </c>
      <c r="X57" s="104">
        <v>2016</v>
      </c>
      <c r="Y57" s="104">
        <f t="shared" si="4"/>
        <v>0</v>
      </c>
      <c r="Z57" s="104">
        <v>2016</v>
      </c>
      <c r="AA57" s="104">
        <f t="shared" si="5"/>
        <v>0</v>
      </c>
      <c r="AB57" s="104">
        <v>2016</v>
      </c>
      <c r="AC57" s="104">
        <f t="shared" si="6"/>
        <v>0</v>
      </c>
      <c r="AD57" s="104">
        <v>2016</v>
      </c>
      <c r="AE57" s="105">
        <f t="shared" si="7"/>
        <v>-2105</v>
      </c>
    </row>
    <row r="58" spans="14:31" ht="15.6" customHeight="1" x14ac:dyDescent="0.3">
      <c r="N58" s="212"/>
      <c r="O58" s="95" t="s">
        <v>66</v>
      </c>
      <c r="P58" s="106"/>
      <c r="Q58" s="106">
        <v>2464</v>
      </c>
      <c r="R58" s="106">
        <v>384</v>
      </c>
      <c r="S58" s="106">
        <f t="shared" si="1"/>
        <v>362.5</v>
      </c>
      <c r="T58" s="106">
        <v>1109</v>
      </c>
      <c r="U58" s="106">
        <f t="shared" si="2"/>
        <v>550.5</v>
      </c>
      <c r="V58" s="106">
        <v>2210</v>
      </c>
      <c r="W58" s="106">
        <f t="shared" si="3"/>
        <v>117</v>
      </c>
      <c r="X58" s="106">
        <v>2444</v>
      </c>
      <c r="Y58" s="106">
        <f t="shared" si="4"/>
        <v>0</v>
      </c>
      <c r="Z58" s="106">
        <v>2444</v>
      </c>
      <c r="AA58" s="106">
        <f t="shared" si="5"/>
        <v>0</v>
      </c>
      <c r="AB58" s="106">
        <v>2444</v>
      </c>
      <c r="AC58" s="106">
        <f t="shared" si="6"/>
        <v>0</v>
      </c>
      <c r="AD58" s="106">
        <v>2444</v>
      </c>
      <c r="AE58" s="107">
        <f t="shared" si="7"/>
        <v>-20</v>
      </c>
    </row>
    <row r="59" spans="14:31" ht="15.6" customHeight="1" x14ac:dyDescent="0.3">
      <c r="N59" s="212"/>
      <c r="O59" s="94" t="s">
        <v>67</v>
      </c>
      <c r="P59" s="108"/>
      <c r="Q59" s="108">
        <v>6719</v>
      </c>
      <c r="R59" s="108">
        <v>1397</v>
      </c>
      <c r="S59" s="108">
        <f t="shared" si="1"/>
        <v>141</v>
      </c>
      <c r="T59" s="108">
        <v>1679</v>
      </c>
      <c r="U59" s="108">
        <f t="shared" si="2"/>
        <v>288.5</v>
      </c>
      <c r="V59" s="108">
        <v>2256</v>
      </c>
      <c r="W59" s="108">
        <f t="shared" si="3"/>
        <v>610</v>
      </c>
      <c r="X59" s="108">
        <v>3476</v>
      </c>
      <c r="Y59" s="108">
        <f t="shared" si="4"/>
        <v>0</v>
      </c>
      <c r="Z59" s="108">
        <v>3476</v>
      </c>
      <c r="AA59" s="108">
        <f t="shared" si="5"/>
        <v>0</v>
      </c>
      <c r="AB59" s="108">
        <v>3476</v>
      </c>
      <c r="AC59" s="108">
        <f t="shared" si="6"/>
        <v>0</v>
      </c>
      <c r="AD59" s="108">
        <v>3476</v>
      </c>
      <c r="AE59" s="109">
        <f t="shared" si="7"/>
        <v>-3243</v>
      </c>
    </row>
    <row r="60" spans="14:31" ht="15.6" customHeight="1" thickBot="1" x14ac:dyDescent="0.35">
      <c r="N60" s="213"/>
      <c r="O60" s="99" t="s">
        <v>68</v>
      </c>
      <c r="P60" s="114"/>
      <c r="Q60" s="114">
        <v>3640</v>
      </c>
      <c r="R60" s="114">
        <v>939</v>
      </c>
      <c r="S60" s="114">
        <f t="shared" si="1"/>
        <v>354</v>
      </c>
      <c r="T60" s="114">
        <v>1647</v>
      </c>
      <c r="U60" s="114">
        <f t="shared" si="2"/>
        <v>526</v>
      </c>
      <c r="V60" s="114">
        <v>2699</v>
      </c>
      <c r="W60" s="114">
        <f t="shared" si="3"/>
        <v>495</v>
      </c>
      <c r="X60" s="114">
        <v>3689</v>
      </c>
      <c r="Y60" s="114">
        <f t="shared" si="4"/>
        <v>0</v>
      </c>
      <c r="Z60" s="114">
        <v>3689</v>
      </c>
      <c r="AA60" s="114">
        <f t="shared" si="5"/>
        <v>0</v>
      </c>
      <c r="AB60" s="114">
        <v>3689</v>
      </c>
      <c r="AC60" s="114">
        <f t="shared" si="6"/>
        <v>0</v>
      </c>
      <c r="AD60" s="114">
        <v>3689</v>
      </c>
      <c r="AE60" s="115">
        <f t="shared" si="7"/>
        <v>49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6443</v>
      </c>
      <c r="R61" s="104">
        <v>1054</v>
      </c>
      <c r="S61" s="104">
        <f t="shared" si="1"/>
        <v>342</v>
      </c>
      <c r="T61" s="104">
        <v>1738</v>
      </c>
      <c r="U61" s="104">
        <f t="shared" si="2"/>
        <v>121</v>
      </c>
      <c r="V61" s="104">
        <v>1980</v>
      </c>
      <c r="W61" s="104">
        <f t="shared" si="3"/>
        <v>105</v>
      </c>
      <c r="X61" s="104">
        <v>2190</v>
      </c>
      <c r="Y61" s="104">
        <f t="shared" si="4"/>
        <v>413</v>
      </c>
      <c r="Z61" s="104">
        <v>3016</v>
      </c>
      <c r="AA61" s="104">
        <f t="shared" si="5"/>
        <v>10</v>
      </c>
      <c r="AB61" s="104">
        <v>3036</v>
      </c>
      <c r="AC61" s="104">
        <f t="shared" si="6"/>
        <v>0</v>
      </c>
      <c r="AD61" s="104">
        <v>3036</v>
      </c>
      <c r="AE61" s="105">
        <f t="shared" si="7"/>
        <v>-3407</v>
      </c>
    </row>
    <row r="62" spans="14:31" ht="15.6" customHeight="1" x14ac:dyDescent="0.3">
      <c r="N62" s="212"/>
      <c r="O62" s="95" t="s">
        <v>66</v>
      </c>
      <c r="P62" s="106"/>
      <c r="Q62" s="106">
        <v>4562</v>
      </c>
      <c r="R62" s="106">
        <v>133</v>
      </c>
      <c r="S62" s="106">
        <f t="shared" si="1"/>
        <v>169.5</v>
      </c>
      <c r="T62" s="106">
        <v>472</v>
      </c>
      <c r="U62" s="106">
        <f t="shared" si="2"/>
        <v>390.5</v>
      </c>
      <c r="V62" s="106">
        <v>1253</v>
      </c>
      <c r="W62" s="106">
        <f t="shared" si="3"/>
        <v>319</v>
      </c>
      <c r="X62" s="106">
        <v>1891</v>
      </c>
      <c r="Y62" s="106">
        <f t="shared" si="4"/>
        <v>141</v>
      </c>
      <c r="Z62" s="106">
        <v>2173</v>
      </c>
      <c r="AA62" s="106">
        <f t="shared" si="5"/>
        <v>0</v>
      </c>
      <c r="AB62" s="106">
        <v>2173</v>
      </c>
      <c r="AC62" s="106">
        <f t="shared" si="6"/>
        <v>0</v>
      </c>
      <c r="AD62" s="106">
        <v>2173</v>
      </c>
      <c r="AE62" s="107">
        <f t="shared" si="7"/>
        <v>-2389</v>
      </c>
    </row>
    <row r="63" spans="14:31" ht="15.6" customHeight="1" x14ac:dyDescent="0.3">
      <c r="N63" s="212"/>
      <c r="O63" s="94" t="s">
        <v>67</v>
      </c>
      <c r="P63" s="108"/>
      <c r="Q63" s="108">
        <v>3075</v>
      </c>
      <c r="R63" s="108">
        <v>37</v>
      </c>
      <c r="S63" s="108">
        <f t="shared" si="1"/>
        <v>249</v>
      </c>
      <c r="T63" s="108">
        <v>535</v>
      </c>
      <c r="U63" s="108">
        <f t="shared" si="2"/>
        <v>32.5</v>
      </c>
      <c r="V63" s="108">
        <v>600</v>
      </c>
      <c r="W63" s="108">
        <f t="shared" si="3"/>
        <v>137.5</v>
      </c>
      <c r="X63" s="108">
        <v>875</v>
      </c>
      <c r="Y63" s="108">
        <f t="shared" si="4"/>
        <v>164.5</v>
      </c>
      <c r="Z63" s="108">
        <v>1204</v>
      </c>
      <c r="AA63" s="108">
        <f t="shared" si="5"/>
        <v>0.5</v>
      </c>
      <c r="AB63" s="108">
        <v>1205</v>
      </c>
      <c r="AC63" s="108">
        <f t="shared" si="6"/>
        <v>0</v>
      </c>
      <c r="AD63" s="108">
        <v>1205</v>
      </c>
      <c r="AE63" s="109">
        <f t="shared" si="7"/>
        <v>-1870</v>
      </c>
    </row>
    <row r="64" spans="14:31" ht="15.6" customHeight="1" thickBot="1" x14ac:dyDescent="0.35">
      <c r="N64" s="213"/>
      <c r="O64" s="99" t="s">
        <v>68</v>
      </c>
      <c r="P64" s="114"/>
      <c r="Q64" s="114">
        <v>3961</v>
      </c>
      <c r="R64" s="114">
        <v>891</v>
      </c>
      <c r="S64" s="114">
        <f t="shared" si="1"/>
        <v>228</v>
      </c>
      <c r="T64" s="114">
        <v>1347</v>
      </c>
      <c r="U64" s="114">
        <f t="shared" si="2"/>
        <v>54.5</v>
      </c>
      <c r="V64" s="114">
        <v>1456</v>
      </c>
      <c r="W64" s="114">
        <f t="shared" si="3"/>
        <v>74.5</v>
      </c>
      <c r="X64" s="114">
        <v>1605</v>
      </c>
      <c r="Y64" s="114">
        <f t="shared" si="4"/>
        <v>87.5</v>
      </c>
      <c r="Z64" s="114">
        <v>1780</v>
      </c>
      <c r="AA64" s="114">
        <f t="shared" si="5"/>
        <v>0.5</v>
      </c>
      <c r="AB64" s="114">
        <v>1781</v>
      </c>
      <c r="AC64" s="114">
        <f t="shared" si="6"/>
        <v>0</v>
      </c>
      <c r="AD64" s="114">
        <v>1781</v>
      </c>
      <c r="AE64" s="115">
        <f t="shared" si="7"/>
        <v>-2180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19" priority="11" operator="lessThan">
      <formula>0</formula>
    </cfRule>
    <cfRule type="cellIs" dxfId="1018" priority="12" operator="greaterThan">
      <formula>0</formula>
    </cfRule>
  </conditionalFormatting>
  <conditionalFormatting sqref="R25:AC25">
    <cfRule type="cellIs" dxfId="1017" priority="9" operator="lessThan">
      <formula>0</formula>
    </cfRule>
    <cfRule type="cellIs" dxfId="1016" priority="10" operator="greaterThan">
      <formula>0</formula>
    </cfRule>
  </conditionalFormatting>
  <conditionalFormatting sqref="R26 T26 V26 X26 Z26 AB26">
    <cfRule type="cellIs" dxfId="1015" priority="7" operator="lessThan">
      <formula>0</formula>
    </cfRule>
    <cfRule type="cellIs" dxfId="1014" priority="8" operator="greaterThan">
      <formula>0</formula>
    </cfRule>
  </conditionalFormatting>
  <conditionalFormatting sqref="AD24:AE24">
    <cfRule type="cellIs" dxfId="1013" priority="5" operator="lessThan">
      <formula>0</formula>
    </cfRule>
    <cfRule type="cellIs" dxfId="1012" priority="6" operator="greaterThan">
      <formula>0</formula>
    </cfRule>
  </conditionalFormatting>
  <conditionalFormatting sqref="AD25:AE25">
    <cfRule type="cellIs" dxfId="1011" priority="3" operator="lessThan">
      <formula>0</formula>
    </cfRule>
    <cfRule type="cellIs" dxfId="1010" priority="4" operator="greaterThan">
      <formula>0</formula>
    </cfRule>
  </conditionalFormatting>
  <conditionalFormatting sqref="AD26">
    <cfRule type="cellIs" dxfId="1009" priority="1" operator="lessThan">
      <formula>0</formula>
    </cfRule>
    <cfRule type="cellIs" dxfId="100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>
    <tabColor theme="1"/>
    <pageSetUpPr fitToPage="1"/>
  </sheetPr>
  <dimension ref="B1:AQ64"/>
  <sheetViews>
    <sheetView topLeftCell="J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44434</v>
      </c>
    </row>
    <row r="3" spans="2:42" ht="18.75" customHeight="1" thickBot="1" x14ac:dyDescent="0.35">
      <c r="B3" t="s">
        <v>1</v>
      </c>
      <c r="C3" s="3">
        <f>C2+1</f>
        <v>44435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6052</v>
      </c>
      <c r="E6" s="18" t="s">
        <v>22</v>
      </c>
      <c r="F6" s="119">
        <v>20931</v>
      </c>
      <c r="G6" s="117">
        <v>16917.885750000001</v>
      </c>
      <c r="H6" s="117">
        <v>15942.73894466001</v>
      </c>
      <c r="I6" s="19">
        <f>G6+H6</f>
        <v>32860.624694660015</v>
      </c>
      <c r="J6" s="119">
        <v>20825</v>
      </c>
      <c r="K6" s="117">
        <v>18097.866999999991</v>
      </c>
      <c r="L6" s="117">
        <v>16861.96398339999</v>
      </c>
      <c r="M6" s="19">
        <f>K6+L6</f>
        <v>34959.830983399981</v>
      </c>
      <c r="N6" s="85">
        <v>65</v>
      </c>
      <c r="O6" s="85">
        <v>57</v>
      </c>
      <c r="P6" s="92"/>
      <c r="Q6" s="20">
        <f>J6-P6</f>
        <v>20825</v>
      </c>
      <c r="R6" s="21">
        <v>3093</v>
      </c>
      <c r="S6" s="20">
        <f>IF(R6&gt;0,(R6-R7-$Q6),"")</f>
        <v>-17855</v>
      </c>
      <c r="T6" s="21">
        <v>5826</v>
      </c>
      <c r="U6" s="20">
        <f>IF(T6&gt;0,(T6-T7-$Q6),"")</f>
        <v>-15134</v>
      </c>
      <c r="V6" s="21">
        <v>11046</v>
      </c>
      <c r="W6" s="20">
        <f>IF(V6&gt;0,(V6-V7-$Q6),"")</f>
        <v>-9970</v>
      </c>
      <c r="X6" s="21">
        <v>15699</v>
      </c>
      <c r="Y6" s="20">
        <f>IF(X6&gt;0,(X6-X7-$Q6),"")</f>
        <v>-5337</v>
      </c>
      <c r="Z6" s="21">
        <v>19857</v>
      </c>
      <c r="AA6" s="20">
        <f>IF(Z6&gt;0,(Z6-Z7-$Q6),"")</f>
        <v>-1219</v>
      </c>
      <c r="AB6" s="21">
        <v>19857</v>
      </c>
      <c r="AC6" s="22">
        <f>IF(AB6&gt;0,(AB6-AB7-$Q6),"")</f>
        <v>-1219</v>
      </c>
      <c r="AD6" s="21">
        <v>19857</v>
      </c>
      <c r="AE6" s="22">
        <f>IF(AD6&gt;0,(AD6-AD7-$Q6),"")</f>
        <v>-1219</v>
      </c>
    </row>
    <row r="7" spans="2:42" x14ac:dyDescent="0.3">
      <c r="B7" s="16" t="s">
        <v>23</v>
      </c>
      <c r="C7" s="17">
        <v>2313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123</v>
      </c>
      <c r="S7" s="24"/>
      <c r="T7" s="25">
        <v>135</v>
      </c>
      <c r="U7" s="24"/>
      <c r="V7" s="25">
        <v>191</v>
      </c>
      <c r="W7" s="24"/>
      <c r="X7" s="25">
        <v>211</v>
      </c>
      <c r="Y7" s="24"/>
      <c r="Z7" s="25">
        <v>251</v>
      </c>
      <c r="AA7" s="24"/>
      <c r="AB7" s="25">
        <v>251</v>
      </c>
      <c r="AC7" s="26"/>
      <c r="AD7" s="25">
        <v>251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2681</v>
      </c>
      <c r="E8" s="29" t="s">
        <v>27</v>
      </c>
      <c r="F8" s="119">
        <v>11475</v>
      </c>
      <c r="G8" s="117">
        <v>4697.9799999999996</v>
      </c>
      <c r="H8" s="117">
        <v>1408.215647</v>
      </c>
      <c r="I8" s="19">
        <f>G8+H8</f>
        <v>6106.1956469999996</v>
      </c>
      <c r="J8" s="119">
        <v>12390</v>
      </c>
      <c r="K8" s="117">
        <v>5081.8009999999986</v>
      </c>
      <c r="L8" s="117">
        <v>1507.3753036999999</v>
      </c>
      <c r="M8" s="19">
        <f>K8+L8</f>
        <v>6589.1763036999982</v>
      </c>
      <c r="N8" s="87">
        <v>31</v>
      </c>
      <c r="O8" s="87">
        <v>26</v>
      </c>
      <c r="P8" s="92"/>
      <c r="Q8" s="20">
        <f>J8-P8</f>
        <v>12390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12390</v>
      </c>
      <c r="Y8" s="20">
        <f>IF(X8&gt;0,(X8-X9-$Q8),"")</f>
        <v>0</v>
      </c>
      <c r="Z8" s="21">
        <v>12390</v>
      </c>
      <c r="AA8" s="20">
        <f>IF(Z8&gt;0,(Z8-Z9-$Q8),"")</f>
        <v>0</v>
      </c>
      <c r="AB8" s="21">
        <v>12390</v>
      </c>
      <c r="AC8" s="22">
        <f>IF(AB8&gt;0,(AB8-AB9-$Q8),"")</f>
        <v>0</v>
      </c>
      <c r="AD8" s="21">
        <v>12390</v>
      </c>
      <c r="AE8" s="22">
        <f>IF(AD8&gt;0,(AD8-AD9-$Q8),"")</f>
        <v>0</v>
      </c>
    </row>
    <row r="9" spans="2:42" x14ac:dyDescent="0.3">
      <c r="B9" s="28" t="s">
        <v>28</v>
      </c>
      <c r="C9" s="17">
        <v>1874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4021</v>
      </c>
      <c r="E10" s="18" t="s">
        <v>31</v>
      </c>
      <c r="F10" s="119">
        <v>22343</v>
      </c>
      <c r="G10" s="117">
        <v>17374.05109375</v>
      </c>
      <c r="H10" s="117">
        <v>1915.023745</v>
      </c>
      <c r="I10" s="19">
        <f>G10+H10</f>
        <v>19289.074838749999</v>
      </c>
      <c r="J10" s="119">
        <v>22526</v>
      </c>
      <c r="K10" s="117">
        <v>17512.80009375</v>
      </c>
      <c r="L10" s="117">
        <v>1827.8815024999999</v>
      </c>
      <c r="M10" s="19">
        <f>K10+L10</f>
        <v>19340.68159625</v>
      </c>
      <c r="N10" s="88">
        <v>49</v>
      </c>
      <c r="O10" s="88">
        <v>41</v>
      </c>
      <c r="P10" s="92"/>
      <c r="Q10" s="20">
        <f>J10-P10</f>
        <v>22526</v>
      </c>
      <c r="R10" s="21">
        <v>6267</v>
      </c>
      <c r="S10" s="20">
        <f>IF(R10&gt;0,(R10-R11-$Q10),"")</f>
        <v>-16454</v>
      </c>
      <c r="T10" s="21">
        <v>8286</v>
      </c>
      <c r="U10" s="20">
        <f>IF(T10&gt;0,(T10-T11-$Q10),"")</f>
        <v>-14414</v>
      </c>
      <c r="V10" s="21">
        <v>12446</v>
      </c>
      <c r="W10" s="20">
        <f>IF(V10&gt;0,(V10-V11-$Q10),"")</f>
        <v>-10265</v>
      </c>
      <c r="X10" s="21">
        <v>15696</v>
      </c>
      <c r="Y10" s="20">
        <f>IF(X10&gt;0,(X10-X11-$Q10),"")</f>
        <v>-7015</v>
      </c>
      <c r="Z10" s="21">
        <v>17862</v>
      </c>
      <c r="AA10" s="20">
        <f>IF(Z10&gt;0,(Z10-Z11-$Q10),"")</f>
        <v>-4854</v>
      </c>
      <c r="AB10" s="21">
        <v>17862</v>
      </c>
      <c r="AC10" s="22">
        <f>IF(AB10&gt;0,(AB10-AB11-$Q10),"")</f>
        <v>-4854</v>
      </c>
      <c r="AD10" s="21">
        <v>17862</v>
      </c>
      <c r="AE10" s="22">
        <f>IF(AD10&gt;0,(AD10-AD11-$Q10),"")</f>
        <v>-4854</v>
      </c>
    </row>
    <row r="11" spans="2:42" x14ac:dyDescent="0.3">
      <c r="B11" s="16" t="s">
        <v>32</v>
      </c>
      <c r="C11" s="17">
        <v>1840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195</v>
      </c>
      <c r="S11" s="24"/>
      <c r="T11" s="30">
        <v>174</v>
      </c>
      <c r="U11" s="24"/>
      <c r="V11" s="30">
        <v>185</v>
      </c>
      <c r="W11" s="24"/>
      <c r="X11" s="30">
        <v>185</v>
      </c>
      <c r="Y11" s="24"/>
      <c r="Z11" s="30">
        <v>190</v>
      </c>
      <c r="AA11" s="24"/>
      <c r="AB11" s="30">
        <v>190</v>
      </c>
      <c r="AC11" s="26"/>
      <c r="AD11" s="30">
        <v>190</v>
      </c>
      <c r="AE11" s="26"/>
    </row>
    <row r="12" spans="2:42" x14ac:dyDescent="0.3">
      <c r="B12" s="16" t="s">
        <v>34</v>
      </c>
      <c r="C12" s="17">
        <v>1430</v>
      </c>
      <c r="E12" s="29" t="s">
        <v>35</v>
      </c>
      <c r="F12" s="119">
        <v>14271</v>
      </c>
      <c r="G12" s="117">
        <v>11280.575000000001</v>
      </c>
      <c r="H12" s="117">
        <v>18886.494259329989</v>
      </c>
      <c r="I12" s="19">
        <f>G12+H12</f>
        <v>30167.06925932999</v>
      </c>
      <c r="J12" s="119">
        <v>13721</v>
      </c>
      <c r="K12" s="117">
        <v>11440.240750000001</v>
      </c>
      <c r="L12" s="117">
        <v>18183.386153750009</v>
      </c>
      <c r="M12" s="19">
        <f>K12+L12</f>
        <v>29623.62690375001</v>
      </c>
      <c r="N12" s="88">
        <v>52</v>
      </c>
      <c r="O12" s="88">
        <v>42</v>
      </c>
      <c r="P12" s="92"/>
      <c r="Q12" s="20">
        <f>J12-P12</f>
        <v>13721</v>
      </c>
      <c r="R12" s="21">
        <v>3703</v>
      </c>
      <c r="S12" s="20">
        <f>IF(R12&gt;0,(R12-R13-$Q12),"")</f>
        <v>-10192</v>
      </c>
      <c r="T12" s="21">
        <v>5576</v>
      </c>
      <c r="U12" s="20">
        <f>IF(T12&gt;0,(T12-T13-$Q12),"")</f>
        <v>-8359</v>
      </c>
      <c r="V12" s="21">
        <v>7560</v>
      </c>
      <c r="W12" s="20">
        <f>IF(V12&gt;0,(V12-V13-$Q12),"")</f>
        <v>-6387</v>
      </c>
      <c r="X12" s="21">
        <v>9632</v>
      </c>
      <c r="Y12" s="20">
        <f>IF(X12&gt;0,(X12-X13-$Q12),"")</f>
        <v>-4343</v>
      </c>
      <c r="Z12" s="21">
        <v>9632</v>
      </c>
      <c r="AA12" s="20">
        <f>IF(Z12&gt;0,(Z12-Z13-$Q12),"")</f>
        <v>-4343</v>
      </c>
      <c r="AB12" s="21">
        <v>9632</v>
      </c>
      <c r="AC12" s="22">
        <f>IF(AB12&gt;0,(AB12-AB13-$Q12),"")</f>
        <v>-4343</v>
      </c>
      <c r="AD12" s="21">
        <v>9632</v>
      </c>
      <c r="AE12" s="22">
        <f>IF(AD12&gt;0,(AD12-AD13-$Q12),"")</f>
        <v>-4343</v>
      </c>
    </row>
    <row r="13" spans="2:42" x14ac:dyDescent="0.3">
      <c r="B13" s="16" t="s">
        <v>36</v>
      </c>
      <c r="C13" s="17">
        <v>4183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174</v>
      </c>
      <c r="S13" s="24"/>
      <c r="T13" s="30">
        <v>214</v>
      </c>
      <c r="U13" s="24"/>
      <c r="V13" s="30">
        <v>226</v>
      </c>
      <c r="W13" s="24"/>
      <c r="X13" s="30">
        <v>254</v>
      </c>
      <c r="Y13" s="24"/>
      <c r="Z13" s="30">
        <v>254</v>
      </c>
      <c r="AA13" s="24"/>
      <c r="AB13" s="30">
        <v>254</v>
      </c>
      <c r="AC13" s="26"/>
      <c r="AD13" s="30">
        <v>254</v>
      </c>
      <c r="AE13" s="26"/>
    </row>
    <row r="14" spans="2:42" x14ac:dyDescent="0.3">
      <c r="B14" s="16" t="s">
        <v>38</v>
      </c>
      <c r="C14" s="17">
        <v>11452</v>
      </c>
      <c r="E14" s="18" t="s">
        <v>39</v>
      </c>
      <c r="F14" s="119">
        <v>19497</v>
      </c>
      <c r="G14" s="117">
        <v>16610.4375</v>
      </c>
      <c r="H14" s="117">
        <v>19559.59393146501</v>
      </c>
      <c r="I14" s="19">
        <f>G14+H14</f>
        <v>36170.03143146501</v>
      </c>
      <c r="J14" s="119">
        <v>20398</v>
      </c>
      <c r="K14" s="117">
        <v>16898.4375</v>
      </c>
      <c r="L14" s="117">
        <v>19696.637219144999</v>
      </c>
      <c r="M14" s="19">
        <f>K14+L14</f>
        <v>36595.074719144999</v>
      </c>
      <c r="N14" s="88">
        <v>61</v>
      </c>
      <c r="O14" s="88">
        <v>51</v>
      </c>
      <c r="P14" s="92"/>
      <c r="Q14" s="20">
        <f>J14-P14</f>
        <v>20398</v>
      </c>
      <c r="R14" s="21">
        <v>4339</v>
      </c>
      <c r="S14" s="20">
        <f>IF(R14&gt;0,(R14-R15-$Q14),"")</f>
        <v>-16101</v>
      </c>
      <c r="T14" s="21">
        <v>7961</v>
      </c>
      <c r="U14" s="20">
        <f>IF(T14&gt;0,(T14-T15-$Q14),"")</f>
        <v>-12514</v>
      </c>
      <c r="V14" s="21">
        <v>9774</v>
      </c>
      <c r="W14" s="20">
        <f>IF(V14&gt;0,(V14-V15-$Q14),"")</f>
        <v>-10724</v>
      </c>
      <c r="X14" s="21">
        <v>13587</v>
      </c>
      <c r="Y14" s="20">
        <f>IF(X14&gt;0,(X14-X15-$Q14),"")</f>
        <v>-6911</v>
      </c>
      <c r="Z14" s="21">
        <v>14553</v>
      </c>
      <c r="AA14" s="20">
        <f>IF(Z14&gt;0,(Z14-Z15-$Q14),"")</f>
        <v>-5946</v>
      </c>
      <c r="AB14" s="21">
        <v>14553</v>
      </c>
      <c r="AC14" s="22">
        <f>IF(AB14&gt;0,(AB14-AB15-$Q14),"")</f>
        <v>-5946</v>
      </c>
      <c r="AD14" s="21">
        <v>14553</v>
      </c>
      <c r="AE14" s="22">
        <f>IF(AD14&gt;0,(AD14-AD15-$Q14),"")</f>
        <v>-5946</v>
      </c>
    </row>
    <row r="15" spans="2:42" ht="15" customHeight="1" thickBot="1" x14ac:dyDescent="0.35">
      <c r="B15" s="16" t="s">
        <v>40</v>
      </c>
      <c r="C15" s="17">
        <v>2884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42</v>
      </c>
      <c r="S15" s="24"/>
      <c r="T15" s="25">
        <v>77</v>
      </c>
      <c r="U15" s="24"/>
      <c r="V15" s="25">
        <v>100</v>
      </c>
      <c r="W15" s="24"/>
      <c r="X15" s="25">
        <v>100</v>
      </c>
      <c r="Y15" s="24"/>
      <c r="Z15" s="25">
        <v>101</v>
      </c>
      <c r="AA15" s="24"/>
      <c r="AB15" s="25">
        <v>101</v>
      </c>
      <c r="AC15" s="26"/>
      <c r="AD15" s="25">
        <v>101</v>
      </c>
      <c r="AE15" s="26"/>
    </row>
    <row r="16" spans="2:42" ht="15" customHeight="1" thickBot="1" x14ac:dyDescent="0.35">
      <c r="B16" s="28" t="s">
        <v>42</v>
      </c>
      <c r="C16" s="17">
        <v>13128</v>
      </c>
      <c r="E16" s="84"/>
      <c r="F16" s="31">
        <f t="shared" ref="F16:M16" si="0">SUM(F6:F15)</f>
        <v>88517</v>
      </c>
      <c r="G16" s="31">
        <f t="shared" si="0"/>
        <v>66880.929343750002</v>
      </c>
      <c r="H16" s="31">
        <f t="shared" si="0"/>
        <v>57712.066527455005</v>
      </c>
      <c r="I16" s="32">
        <f t="shared" si="0"/>
        <v>124592.995871205</v>
      </c>
      <c r="J16" s="33">
        <f t="shared" si="0"/>
        <v>89860</v>
      </c>
      <c r="K16" s="33">
        <f t="shared" si="0"/>
        <v>69031.146343749992</v>
      </c>
      <c r="L16" s="33">
        <f t="shared" si="0"/>
        <v>58077.244162494993</v>
      </c>
      <c r="M16" s="33">
        <f t="shared" si="0"/>
        <v>127108.39050624499</v>
      </c>
      <c r="N16" s="31">
        <f>SUM(N14,N12,N10,N8,N6)</f>
        <v>258</v>
      </c>
      <c r="O16" s="31">
        <f>SUM(O14,O12,O10,O8,O6)</f>
        <v>217</v>
      </c>
      <c r="P16" s="34">
        <f>SUM(P6:P15)</f>
        <v>0</v>
      </c>
      <c r="Q16" s="34">
        <f>SUM(Q6:Q15)</f>
        <v>89860</v>
      </c>
      <c r="R16" s="35">
        <f>R6+R8+R10+R12+R14-R7-R9-R11-R13-R15</f>
        <v>16868</v>
      </c>
      <c r="S16" s="36">
        <f>IF(R16&gt;1,(R16-$Q16),"")</f>
        <v>-72992</v>
      </c>
      <c r="T16" s="35">
        <f>T6+T8+T10+T12+T14-T7-T9-T11-T13-T15</f>
        <v>27049</v>
      </c>
      <c r="U16" s="36">
        <f>IF(T16&gt;1,(T16-$Q16),"")</f>
        <v>-62811</v>
      </c>
      <c r="V16" s="35">
        <f>V6+V8+V10+V12+V14-V7-V9-V11-V13-V15</f>
        <v>40124</v>
      </c>
      <c r="W16" s="36">
        <f>IF(V16&gt;1,(V16-$Q16),"")</f>
        <v>-49736</v>
      </c>
      <c r="X16" s="35">
        <f>X6+X8+X10+X12+X14-X7-X9-X11-X13-X15</f>
        <v>66254</v>
      </c>
      <c r="Y16" s="36">
        <f>IF(X16&gt;1,(X16-$Q16),"")</f>
        <v>-23606</v>
      </c>
      <c r="Z16" s="35">
        <f>Z6+Z8+Z10+Z12+Z14-Z7-Z9-Z11-Z13-Z15</f>
        <v>73498</v>
      </c>
      <c r="AA16" s="36">
        <f>IF(Z16&gt;1,(Z16-$Q16),"")</f>
        <v>-16362</v>
      </c>
      <c r="AB16" s="35">
        <f>AB6+AB8+AB10+AB12+AB14-AB7-AB9-AB11-AB13-AB15</f>
        <v>73498</v>
      </c>
      <c r="AC16" s="37">
        <f>IF(AB16&gt;1,(AB16-$Q16),"")</f>
        <v>-16362</v>
      </c>
      <c r="AD16" s="35">
        <f>AD6+AD8+AD10+AD12+AD14-AD7-AD9-AD11-AD13-AD15</f>
        <v>73498</v>
      </c>
      <c r="AE16" s="37">
        <f>IF(AD16&gt;1,(AD16-$Q16),"")</f>
        <v>-16362</v>
      </c>
    </row>
    <row r="17" spans="2:43" s="4" customFormat="1" ht="15" customHeight="1" thickBot="1" x14ac:dyDescent="0.35">
      <c r="B17" s="43" t="s">
        <v>47</v>
      </c>
      <c r="C17" s="17">
        <v>1164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534</v>
      </c>
      <c r="S17" s="41"/>
      <c r="T17" s="40">
        <f>T15+T13+T11+T9+T7</f>
        <v>600</v>
      </c>
      <c r="U17" s="41"/>
      <c r="V17" s="40">
        <f>V15+V13+V11+V9+V7</f>
        <v>702</v>
      </c>
      <c r="W17" s="41"/>
      <c r="X17" s="40">
        <f>X15+X13+X11+X9+X7</f>
        <v>750</v>
      </c>
      <c r="Y17" s="41"/>
      <c r="Z17" s="40">
        <f>Z15+Z13+Z11+Z9+Z7</f>
        <v>796</v>
      </c>
      <c r="AA17" s="41"/>
      <c r="AB17" s="40">
        <f>AB15+AB13+AB11+AB9+AB7</f>
        <v>796</v>
      </c>
      <c r="AC17" s="42"/>
      <c r="AD17" s="40">
        <f>AD15+AD13+AD11+AD9+AD7</f>
        <v>796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535</v>
      </c>
      <c r="P18" s="45" t="s">
        <v>46</v>
      </c>
      <c r="Q18" s="46"/>
      <c r="R18" s="47">
        <f>IF(R16&gt;0,(R16)/2,"")</f>
        <v>8434</v>
      </c>
      <c r="S18" s="46"/>
      <c r="T18" s="47">
        <f>IF(T16&gt;0,(T16-R16)/2,"")</f>
        <v>5090.5</v>
      </c>
      <c r="U18" s="46"/>
      <c r="V18" s="47">
        <f>IF(V16&gt;0,(V16-T16)/2,"")</f>
        <v>6537.5</v>
      </c>
      <c r="W18" s="46"/>
      <c r="X18" s="47">
        <f>IF(X16&gt;0,(X16-V16)/2,"")</f>
        <v>13065</v>
      </c>
      <c r="Y18" s="46"/>
      <c r="Z18" s="47">
        <f>IF(Z16&gt;0,(Z16-X16)/2,"")</f>
        <v>3622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8883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2697</v>
      </c>
      <c r="L20" s="4"/>
      <c r="M20" s="4"/>
      <c r="Q20" s="51" t="s">
        <v>49</v>
      </c>
      <c r="R20" s="35">
        <v>16342</v>
      </c>
      <c r="S20" s="36">
        <v>-79672</v>
      </c>
      <c r="T20" s="35">
        <v>27029</v>
      </c>
      <c r="U20" s="36">
        <v>-68985</v>
      </c>
      <c r="V20" s="35">
        <v>47700</v>
      </c>
      <c r="W20" s="36">
        <v>-48314</v>
      </c>
      <c r="X20" s="35">
        <v>60880</v>
      </c>
      <c r="Y20" s="36">
        <v>-35134</v>
      </c>
      <c r="Z20" s="35">
        <v>67803</v>
      </c>
      <c r="AA20" s="36">
        <v>-28211</v>
      </c>
      <c r="AB20" s="35">
        <v>67804</v>
      </c>
      <c r="AC20" s="37">
        <v>-28210</v>
      </c>
      <c r="AD20" s="35">
        <v>67804</v>
      </c>
      <c r="AE20" s="37">
        <v>-28210</v>
      </c>
    </row>
    <row r="21" spans="2:43" ht="15" customHeight="1" thickBot="1" x14ac:dyDescent="0.35">
      <c r="B21" s="57" t="s">
        <v>52</v>
      </c>
      <c r="C21" s="58">
        <v>4558</v>
      </c>
      <c r="M21" s="4"/>
      <c r="Q21" s="52"/>
      <c r="R21" s="40">
        <v>661</v>
      </c>
      <c r="S21" s="41"/>
      <c r="T21" s="40">
        <v>1512</v>
      </c>
      <c r="U21" s="41"/>
      <c r="V21" s="40">
        <v>1703</v>
      </c>
      <c r="W21" s="41"/>
      <c r="X21" s="40">
        <v>1756</v>
      </c>
      <c r="Y21" s="41"/>
      <c r="Z21" s="40">
        <v>1797</v>
      </c>
      <c r="AA21" s="41"/>
      <c r="AB21" s="40">
        <v>1819</v>
      </c>
      <c r="AC21" s="42"/>
      <c r="AD21" s="40">
        <v>1819</v>
      </c>
      <c r="AE21" s="42"/>
    </row>
    <row r="22" spans="2:43" ht="15" customHeight="1" thickBot="1" x14ac:dyDescent="0.35">
      <c r="M22" s="4"/>
      <c r="Q22" s="54"/>
      <c r="R22" s="55">
        <v>8171</v>
      </c>
      <c r="S22" s="55"/>
      <c r="T22" s="55">
        <v>5343.5</v>
      </c>
      <c r="U22" s="55"/>
      <c r="V22" s="55">
        <v>10335.5</v>
      </c>
      <c r="W22" s="55"/>
      <c r="X22" s="55">
        <v>6590</v>
      </c>
      <c r="Y22" s="55"/>
      <c r="Z22" s="55">
        <v>3461.5</v>
      </c>
      <c r="AA22" s="55"/>
      <c r="AB22" s="55">
        <v>0.5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526</v>
      </c>
      <c r="S24" s="60"/>
      <c r="T24" s="60">
        <f>IF(T16&gt;0,T16-T20,"")</f>
        <v>20</v>
      </c>
      <c r="U24" s="60"/>
      <c r="V24" s="60">
        <f>IF(V16&gt;0,V16-V20,"")</f>
        <v>-7576</v>
      </c>
      <c r="W24" s="60"/>
      <c r="X24" s="60">
        <f>IF(X16&gt;0,X16-X20,"")</f>
        <v>5374</v>
      </c>
      <c r="Y24" s="60"/>
      <c r="Z24" s="60">
        <f>IF(Z16&gt;0,Z16-Z20,"")</f>
        <v>5695</v>
      </c>
      <c r="AA24" s="60"/>
      <c r="AB24" s="60">
        <f>IF(AB16&gt;0,AB16-AB20,"")</f>
        <v>5694</v>
      </c>
      <c r="AC24" s="61"/>
      <c r="AD24" s="60">
        <f>IF(AD16&gt;0,AD16-AD20,"")</f>
        <v>5694</v>
      </c>
      <c r="AE24" s="61"/>
    </row>
    <row r="25" spans="2:43" x14ac:dyDescent="0.3">
      <c r="J25" s="123"/>
      <c r="M25" s="4"/>
      <c r="Q25" s="62"/>
      <c r="R25" s="63">
        <f>IF(R17&gt;=0,R17-R21,"")</f>
        <v>-127</v>
      </c>
      <c r="S25" s="64"/>
      <c r="T25" s="63">
        <f>IF(T17&gt;=0,T17-T21,"")</f>
        <v>-912</v>
      </c>
      <c r="U25" s="64"/>
      <c r="V25" s="63">
        <f>IF(V17&gt;=0,V17-V21,"")</f>
        <v>-1001</v>
      </c>
      <c r="W25" s="64"/>
      <c r="X25" s="63">
        <f>IF(X17&gt;=0,X17-X21,"")</f>
        <v>-1006</v>
      </c>
      <c r="Y25" s="64"/>
      <c r="Z25" s="63">
        <f>IF(Z17&gt;=0,Z17-Z21,"")</f>
        <v>-1001</v>
      </c>
      <c r="AA25" s="64"/>
      <c r="AB25" s="63">
        <f>IF(AB17&gt;=0,AB17-AB21,"")</f>
        <v>-1023</v>
      </c>
      <c r="AC25" s="65"/>
      <c r="AD25" s="63">
        <f>IF(AD17&gt;=0,AD17-AD21,"")</f>
        <v>-1023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263</v>
      </c>
      <c r="S26" s="55"/>
      <c r="T26" s="67">
        <f>IFERROR(IF(T18&gt;0,T18-T22,""),"")</f>
        <v>-253</v>
      </c>
      <c r="U26" s="55"/>
      <c r="V26" s="67">
        <f>IFERROR(IF(V18&gt;0,V18-V22,""),"")</f>
        <v>-3798</v>
      </c>
      <c r="W26" s="55"/>
      <c r="X26" s="67">
        <f>IFERROR(IF(X18&gt;0,X18-X22,""),"")</f>
        <v>6475</v>
      </c>
      <c r="Y26" s="55"/>
      <c r="Z26" s="67">
        <f>IFERROR(IF(Z18&gt;0,Z18-Z22,""),"")</f>
        <v>160.5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12083</v>
      </c>
      <c r="D29" s="76">
        <f>C14</f>
        <v>11452</v>
      </c>
      <c r="E29" s="77">
        <f>D29-C29</f>
        <v>-631</v>
      </c>
      <c r="O29" s="4"/>
    </row>
    <row r="30" spans="2:43" x14ac:dyDescent="0.3">
      <c r="B30" s="74" t="s">
        <v>56</v>
      </c>
      <c r="C30" s="122">
        <v>32665</v>
      </c>
      <c r="D30" s="76">
        <f>C7+C15+C16+C17+C18</f>
        <v>20024</v>
      </c>
      <c r="E30" s="77">
        <f>D30-C30</f>
        <v>-12641</v>
      </c>
      <c r="J30" s="53"/>
      <c r="O30" s="4"/>
    </row>
    <row r="31" spans="2:43" x14ac:dyDescent="0.3">
      <c r="B31" s="74" t="s">
        <v>21</v>
      </c>
      <c r="C31" s="122">
        <v>6052</v>
      </c>
      <c r="D31" s="76">
        <f>C6</f>
        <v>6052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11474</v>
      </c>
      <c r="D32" s="76">
        <f>C10+C11+C12+C13</f>
        <v>11474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14965</v>
      </c>
      <c r="D33" s="76">
        <f>C19+C20+C21</f>
        <v>16138</v>
      </c>
      <c r="E33" s="77">
        <f>D33-C33</f>
        <v>1173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4624</v>
      </c>
      <c r="D34" s="80">
        <f>SUM(C8+C9)</f>
        <v>4555</v>
      </c>
      <c r="E34" s="81">
        <f>C34-D34</f>
        <v>69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523</v>
      </c>
      <c r="X35" s="104">
        <v>1046</v>
      </c>
      <c r="Y35" s="104">
        <f t="shared" ref="Y35:Y64" si="4">IF(Z35&gt;0,(Z35-X35)/2,"")</f>
        <v>0</v>
      </c>
      <c r="Z35" s="104">
        <v>1046</v>
      </c>
      <c r="AA35" s="104">
        <f t="shared" ref="AA35:AA64" si="5">IF(AB35&gt;0,(AB35-Z35)/2,"")</f>
        <v>0</v>
      </c>
      <c r="AB35" s="104">
        <v>1046</v>
      </c>
      <c r="AC35" s="104">
        <f t="shared" ref="AC35:AC64" si="6">IF(AD35&gt;0,(AD35-AB35)/2,"")</f>
        <v>0</v>
      </c>
      <c r="AD35" s="104">
        <v>1046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>
        <v>2053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295</v>
      </c>
      <c r="V36" s="106">
        <v>590</v>
      </c>
      <c r="W36" s="106">
        <f t="shared" si="3"/>
        <v>267.5</v>
      </c>
      <c r="X36" s="106">
        <v>1125</v>
      </c>
      <c r="Y36" s="106">
        <f t="shared" si="4"/>
        <v>14.5</v>
      </c>
      <c r="Z36" s="106">
        <v>1154</v>
      </c>
      <c r="AA36" s="106">
        <f t="shared" si="5"/>
        <v>0</v>
      </c>
      <c r="AB36" s="106">
        <v>1154</v>
      </c>
      <c r="AC36" s="106">
        <f t="shared" si="6"/>
        <v>0</v>
      </c>
      <c r="AD36" s="106">
        <v>1154</v>
      </c>
      <c r="AE36" s="107">
        <f t="shared" si="7"/>
        <v>-899</v>
      </c>
    </row>
    <row r="37" spans="2:31" ht="15.6" customHeight="1" x14ac:dyDescent="0.3">
      <c r="N37" s="212"/>
      <c r="O37" s="94" t="s">
        <v>67</v>
      </c>
      <c r="P37" s="108"/>
      <c r="Q37" s="108">
        <v>3736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624</v>
      </c>
      <c r="V37" s="108">
        <v>1668</v>
      </c>
      <c r="W37" s="108">
        <f t="shared" si="3"/>
        <v>309.5</v>
      </c>
      <c r="X37" s="108">
        <v>2287</v>
      </c>
      <c r="Y37" s="108">
        <f t="shared" si="4"/>
        <v>729.5</v>
      </c>
      <c r="Z37" s="108">
        <v>3746</v>
      </c>
      <c r="AA37" s="108">
        <f t="shared" si="5"/>
        <v>0</v>
      </c>
      <c r="AB37" s="108">
        <v>3746</v>
      </c>
      <c r="AC37" s="108">
        <f t="shared" si="6"/>
        <v>0</v>
      </c>
      <c r="AD37" s="108">
        <v>3746</v>
      </c>
      <c r="AE37" s="109">
        <f t="shared" si="7"/>
        <v>10</v>
      </c>
    </row>
    <row r="38" spans="2:31" ht="15.6" customHeight="1" x14ac:dyDescent="0.3">
      <c r="N38" s="212"/>
      <c r="O38" s="95" t="s">
        <v>68</v>
      </c>
      <c r="P38" s="106"/>
      <c r="Q38" s="106">
        <v>3395</v>
      </c>
      <c r="R38" s="106">
        <v>353</v>
      </c>
      <c r="S38" s="106">
        <f t="shared" si="1"/>
        <v>207</v>
      </c>
      <c r="T38" s="106">
        <v>767</v>
      </c>
      <c r="U38" s="106">
        <f t="shared" si="2"/>
        <v>749</v>
      </c>
      <c r="V38" s="106">
        <v>2265</v>
      </c>
      <c r="W38" s="106">
        <f t="shared" si="3"/>
        <v>245.5</v>
      </c>
      <c r="X38" s="106">
        <v>2756</v>
      </c>
      <c r="Y38" s="106">
        <f t="shared" si="4"/>
        <v>328.5</v>
      </c>
      <c r="Z38" s="106">
        <v>3413</v>
      </c>
      <c r="AA38" s="106">
        <f t="shared" si="5"/>
        <v>0</v>
      </c>
      <c r="AB38" s="106">
        <v>3413</v>
      </c>
      <c r="AC38" s="106">
        <f t="shared" si="6"/>
        <v>0</v>
      </c>
      <c r="AD38" s="106">
        <v>3413</v>
      </c>
      <c r="AE38" s="107">
        <f t="shared" si="7"/>
        <v>18</v>
      </c>
    </row>
    <row r="39" spans="2:31" ht="15.6" customHeight="1" x14ac:dyDescent="0.3">
      <c r="N39" s="212"/>
      <c r="O39" s="94" t="s">
        <v>69</v>
      </c>
      <c r="P39" s="108"/>
      <c r="Q39" s="108">
        <v>2619</v>
      </c>
      <c r="R39" s="108">
        <v>639</v>
      </c>
      <c r="S39" s="108">
        <f t="shared" si="1"/>
        <v>388.5</v>
      </c>
      <c r="T39" s="108">
        <v>1416</v>
      </c>
      <c r="U39" s="108">
        <f t="shared" si="2"/>
        <v>0</v>
      </c>
      <c r="V39" s="108">
        <v>1416</v>
      </c>
      <c r="W39" s="108">
        <f t="shared" si="3"/>
        <v>610</v>
      </c>
      <c r="X39" s="108">
        <v>2636</v>
      </c>
      <c r="Y39" s="108">
        <f t="shared" si="4"/>
        <v>33</v>
      </c>
      <c r="Z39" s="108">
        <v>2702</v>
      </c>
      <c r="AA39" s="108">
        <f t="shared" si="5"/>
        <v>0</v>
      </c>
      <c r="AB39" s="108">
        <v>2702</v>
      </c>
      <c r="AC39" s="108">
        <f t="shared" si="6"/>
        <v>0</v>
      </c>
      <c r="AD39" s="108">
        <v>2702</v>
      </c>
      <c r="AE39" s="109">
        <f t="shared" si="7"/>
        <v>83</v>
      </c>
    </row>
    <row r="40" spans="2:31" ht="15.6" customHeight="1" x14ac:dyDescent="0.3">
      <c r="N40" s="212"/>
      <c r="O40" s="95" t="s">
        <v>70</v>
      </c>
      <c r="P40" s="106"/>
      <c r="Q40" s="106">
        <v>3409</v>
      </c>
      <c r="R40" s="106">
        <v>575</v>
      </c>
      <c r="S40" s="106">
        <f t="shared" si="1"/>
        <v>163</v>
      </c>
      <c r="T40" s="106">
        <v>901</v>
      </c>
      <c r="U40" s="106">
        <f t="shared" si="2"/>
        <v>539.5</v>
      </c>
      <c r="V40" s="106">
        <v>1980</v>
      </c>
      <c r="W40" s="106">
        <f t="shared" si="3"/>
        <v>292</v>
      </c>
      <c r="X40" s="106">
        <v>2564</v>
      </c>
      <c r="Y40" s="106">
        <f t="shared" si="4"/>
        <v>460.5</v>
      </c>
      <c r="Z40" s="106">
        <v>3485</v>
      </c>
      <c r="AA40" s="106">
        <f t="shared" si="5"/>
        <v>0</v>
      </c>
      <c r="AB40" s="106">
        <v>3485</v>
      </c>
      <c r="AC40" s="106">
        <f t="shared" si="6"/>
        <v>0</v>
      </c>
      <c r="AD40" s="106">
        <v>3485</v>
      </c>
      <c r="AE40" s="107">
        <f t="shared" si="7"/>
        <v>76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1729</v>
      </c>
      <c r="R42" s="106">
        <v>698</v>
      </c>
      <c r="S42" s="106">
        <f t="shared" si="1"/>
        <v>226.5</v>
      </c>
      <c r="T42" s="106">
        <v>1151</v>
      </c>
      <c r="U42" s="106">
        <f t="shared" si="2"/>
        <v>223</v>
      </c>
      <c r="V42" s="106">
        <v>1597</v>
      </c>
      <c r="W42" s="106">
        <f t="shared" si="3"/>
        <v>0</v>
      </c>
      <c r="X42" s="106">
        <v>1597</v>
      </c>
      <c r="Y42" s="106">
        <f t="shared" si="4"/>
        <v>75</v>
      </c>
      <c r="Z42" s="106">
        <v>1747</v>
      </c>
      <c r="AA42" s="106">
        <f t="shared" si="5"/>
        <v>0</v>
      </c>
      <c r="AB42" s="106">
        <v>1747</v>
      </c>
      <c r="AC42" s="106">
        <f t="shared" si="6"/>
        <v>0</v>
      </c>
      <c r="AD42" s="106">
        <v>1747</v>
      </c>
      <c r="AE42" s="107">
        <f t="shared" si="7"/>
        <v>18</v>
      </c>
    </row>
    <row r="43" spans="2:31" ht="15.6" customHeight="1" thickBot="1" x14ac:dyDescent="0.35">
      <c r="N43" s="213"/>
      <c r="O43" s="97" t="s">
        <v>73</v>
      </c>
      <c r="P43" s="110"/>
      <c r="Q43" s="110">
        <v>1735</v>
      </c>
      <c r="R43" s="110">
        <v>408</v>
      </c>
      <c r="S43" s="110">
        <f t="shared" si="1"/>
        <v>288.5</v>
      </c>
      <c r="T43" s="110">
        <v>985</v>
      </c>
      <c r="U43" s="110">
        <f t="shared" si="2"/>
        <v>179.5</v>
      </c>
      <c r="V43" s="110">
        <v>1344</v>
      </c>
      <c r="W43" s="110">
        <f t="shared" si="3"/>
        <v>0</v>
      </c>
      <c r="X43" s="110">
        <v>1344</v>
      </c>
      <c r="Y43" s="110">
        <f t="shared" si="4"/>
        <v>198.5</v>
      </c>
      <c r="Z43" s="110">
        <v>1741</v>
      </c>
      <c r="AA43" s="110">
        <f t="shared" si="5"/>
        <v>0</v>
      </c>
      <c r="AB43" s="110">
        <v>1741</v>
      </c>
      <c r="AC43" s="110">
        <f t="shared" si="6"/>
        <v>0</v>
      </c>
      <c r="AD43" s="110">
        <v>1741</v>
      </c>
      <c r="AE43" s="111">
        <f t="shared" si="7"/>
        <v>6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3252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1626</v>
      </c>
      <c r="X44" s="112">
        <v>3252</v>
      </c>
      <c r="Y44" s="112">
        <f t="shared" si="4"/>
        <v>0</v>
      </c>
      <c r="Z44" s="112">
        <v>3252</v>
      </c>
      <c r="AA44" s="112">
        <f t="shared" si="5"/>
        <v>0</v>
      </c>
      <c r="AB44" s="112">
        <v>3252</v>
      </c>
      <c r="AC44" s="112">
        <f t="shared" si="6"/>
        <v>0</v>
      </c>
      <c r="AD44" s="112">
        <v>3252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2733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1366.5</v>
      </c>
      <c r="X45" s="108">
        <v>2733</v>
      </c>
      <c r="Y45" s="108">
        <f t="shared" si="4"/>
        <v>0</v>
      </c>
      <c r="Z45" s="108">
        <v>2733</v>
      </c>
      <c r="AA45" s="108">
        <f t="shared" si="5"/>
        <v>0</v>
      </c>
      <c r="AB45" s="108">
        <v>2733</v>
      </c>
      <c r="AC45" s="108">
        <f t="shared" si="6"/>
        <v>0</v>
      </c>
      <c r="AD45" s="108">
        <v>2733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3080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1540</v>
      </c>
      <c r="X46" s="106">
        <v>3080</v>
      </c>
      <c r="Y46" s="106">
        <f t="shared" si="4"/>
        <v>0</v>
      </c>
      <c r="Z46" s="106">
        <v>3080</v>
      </c>
      <c r="AA46" s="106">
        <f t="shared" si="5"/>
        <v>0</v>
      </c>
      <c r="AB46" s="106">
        <v>3080</v>
      </c>
      <c r="AC46" s="106">
        <f t="shared" si="6"/>
        <v>0</v>
      </c>
      <c r="AD46" s="106">
        <v>3080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3325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1662.5</v>
      </c>
      <c r="X47" s="110">
        <v>3325</v>
      </c>
      <c r="Y47" s="110">
        <f t="shared" si="4"/>
        <v>0</v>
      </c>
      <c r="Z47" s="110">
        <v>3325</v>
      </c>
      <c r="AA47" s="110">
        <f t="shared" si="5"/>
        <v>0</v>
      </c>
      <c r="AB47" s="110">
        <v>3325</v>
      </c>
      <c r="AC47" s="110">
        <f t="shared" si="6"/>
        <v>0</v>
      </c>
      <c r="AD47" s="110">
        <v>3325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1412</v>
      </c>
      <c r="R48" s="112">
        <v>972</v>
      </c>
      <c r="S48" s="112">
        <f t="shared" si="1"/>
        <v>6</v>
      </c>
      <c r="T48" s="112">
        <v>984</v>
      </c>
      <c r="U48" s="112">
        <f t="shared" si="2"/>
        <v>0</v>
      </c>
      <c r="V48" s="112">
        <v>984</v>
      </c>
      <c r="W48" s="112">
        <f t="shared" si="3"/>
        <v>38</v>
      </c>
      <c r="X48" s="112">
        <v>1060</v>
      </c>
      <c r="Y48" s="112">
        <f t="shared" si="4"/>
        <v>54</v>
      </c>
      <c r="Z48" s="112">
        <v>1168</v>
      </c>
      <c r="AA48" s="112">
        <f t="shared" si="5"/>
        <v>0</v>
      </c>
      <c r="AB48" s="112">
        <v>1168</v>
      </c>
      <c r="AC48" s="112">
        <f t="shared" si="6"/>
        <v>0</v>
      </c>
      <c r="AD48" s="112">
        <v>1168</v>
      </c>
      <c r="AE48" s="113">
        <f t="shared" si="7"/>
        <v>-244</v>
      </c>
    </row>
    <row r="49" spans="14:31" ht="15.6" customHeight="1" x14ac:dyDescent="0.3">
      <c r="N49" s="212"/>
      <c r="O49" s="94" t="s">
        <v>66</v>
      </c>
      <c r="P49" s="108"/>
      <c r="Q49" s="108">
        <v>4457</v>
      </c>
      <c r="R49" s="108">
        <v>1200</v>
      </c>
      <c r="S49" s="108">
        <f t="shared" si="1"/>
        <v>0</v>
      </c>
      <c r="T49" s="108">
        <v>1200</v>
      </c>
      <c r="U49" s="108">
        <f t="shared" si="2"/>
        <v>600</v>
      </c>
      <c r="V49" s="108">
        <v>2400</v>
      </c>
      <c r="W49" s="108">
        <f t="shared" si="3"/>
        <v>118</v>
      </c>
      <c r="X49" s="108">
        <v>2636</v>
      </c>
      <c r="Y49" s="108">
        <f t="shared" si="4"/>
        <v>204</v>
      </c>
      <c r="Z49" s="108">
        <v>3044</v>
      </c>
      <c r="AA49" s="108">
        <f t="shared" si="5"/>
        <v>0</v>
      </c>
      <c r="AB49" s="108">
        <v>3044</v>
      </c>
      <c r="AC49" s="108">
        <f t="shared" si="6"/>
        <v>0</v>
      </c>
      <c r="AD49" s="108">
        <v>3044</v>
      </c>
      <c r="AE49" s="109">
        <f t="shared" si="7"/>
        <v>-1413</v>
      </c>
    </row>
    <row r="50" spans="14:31" ht="15.6" customHeight="1" x14ac:dyDescent="0.3">
      <c r="N50" s="212"/>
      <c r="O50" s="95" t="s">
        <v>67</v>
      </c>
      <c r="P50" s="106"/>
      <c r="Q50" s="106">
        <v>2639</v>
      </c>
      <c r="R50" s="106">
        <v>776</v>
      </c>
      <c r="S50" s="106">
        <f t="shared" si="1"/>
        <v>20</v>
      </c>
      <c r="T50" s="106">
        <v>816</v>
      </c>
      <c r="U50" s="106">
        <f t="shared" si="2"/>
        <v>153.5</v>
      </c>
      <c r="V50" s="106">
        <v>1123</v>
      </c>
      <c r="W50" s="106">
        <f t="shared" si="3"/>
        <v>0</v>
      </c>
      <c r="X50" s="106">
        <v>1123</v>
      </c>
      <c r="Y50" s="106">
        <f t="shared" si="4"/>
        <v>0</v>
      </c>
      <c r="Z50" s="106">
        <v>1123</v>
      </c>
      <c r="AA50" s="106">
        <f t="shared" si="5"/>
        <v>0</v>
      </c>
      <c r="AB50" s="106">
        <v>1123</v>
      </c>
      <c r="AC50" s="106">
        <f t="shared" si="6"/>
        <v>0</v>
      </c>
      <c r="AD50" s="106">
        <v>1123</v>
      </c>
      <c r="AE50" s="107">
        <f t="shared" si="7"/>
        <v>-1516</v>
      </c>
    </row>
    <row r="51" spans="14:31" ht="15.6" customHeight="1" x14ac:dyDescent="0.3">
      <c r="N51" s="212"/>
      <c r="O51" s="94" t="s">
        <v>68</v>
      </c>
      <c r="P51" s="108"/>
      <c r="Q51" s="108">
        <v>3698</v>
      </c>
      <c r="R51" s="108">
        <v>432</v>
      </c>
      <c r="S51" s="108">
        <f t="shared" si="1"/>
        <v>3</v>
      </c>
      <c r="T51" s="108">
        <v>438</v>
      </c>
      <c r="U51" s="108">
        <f t="shared" si="2"/>
        <v>0</v>
      </c>
      <c r="V51" s="108">
        <v>438</v>
      </c>
      <c r="W51" s="108">
        <f t="shared" si="3"/>
        <v>623.5</v>
      </c>
      <c r="X51" s="108">
        <v>1685</v>
      </c>
      <c r="Y51" s="108">
        <f t="shared" si="4"/>
        <v>43</v>
      </c>
      <c r="Z51" s="108">
        <v>1771</v>
      </c>
      <c r="AA51" s="108">
        <f t="shared" si="5"/>
        <v>0</v>
      </c>
      <c r="AB51" s="108">
        <v>1771</v>
      </c>
      <c r="AC51" s="108">
        <f t="shared" si="6"/>
        <v>0</v>
      </c>
      <c r="AD51" s="108">
        <v>1771</v>
      </c>
      <c r="AE51" s="109">
        <f t="shared" si="7"/>
        <v>-1927</v>
      </c>
    </row>
    <row r="52" spans="14:31" ht="15.6" customHeight="1" x14ac:dyDescent="0.3">
      <c r="N52" s="212"/>
      <c r="O52" s="95" t="s">
        <v>69</v>
      </c>
      <c r="P52" s="106"/>
      <c r="Q52" s="106">
        <v>2911</v>
      </c>
      <c r="R52" s="106">
        <v>0</v>
      </c>
      <c r="S52" s="106">
        <f t="shared" si="1"/>
        <v>401.5</v>
      </c>
      <c r="T52" s="106">
        <v>803</v>
      </c>
      <c r="U52" s="106">
        <f t="shared" si="2"/>
        <v>99</v>
      </c>
      <c r="V52" s="106">
        <v>1001</v>
      </c>
      <c r="W52" s="106">
        <f t="shared" si="3"/>
        <v>84</v>
      </c>
      <c r="X52" s="106">
        <v>1169</v>
      </c>
      <c r="Y52" s="106">
        <f t="shared" si="4"/>
        <v>99</v>
      </c>
      <c r="Z52" s="106">
        <v>1367</v>
      </c>
      <c r="AA52" s="106">
        <f t="shared" si="5"/>
        <v>0</v>
      </c>
      <c r="AB52" s="106">
        <v>1367</v>
      </c>
      <c r="AC52" s="106">
        <f t="shared" si="6"/>
        <v>0</v>
      </c>
      <c r="AD52" s="106">
        <v>1367</v>
      </c>
      <c r="AE52" s="107">
        <f t="shared" si="7"/>
        <v>-1544</v>
      </c>
    </row>
    <row r="53" spans="14:31" ht="15.6" customHeight="1" x14ac:dyDescent="0.3">
      <c r="N53" s="212"/>
      <c r="O53" s="94" t="s">
        <v>70</v>
      </c>
      <c r="P53" s="108"/>
      <c r="Q53" s="108">
        <v>1276</v>
      </c>
      <c r="R53" s="108">
        <v>687</v>
      </c>
      <c r="S53" s="108">
        <f t="shared" si="1"/>
        <v>115.5</v>
      </c>
      <c r="T53" s="108">
        <v>918</v>
      </c>
      <c r="U53" s="108">
        <f t="shared" si="2"/>
        <v>0</v>
      </c>
      <c r="V53" s="108">
        <v>918</v>
      </c>
      <c r="W53" s="108">
        <f t="shared" si="3"/>
        <v>45.5</v>
      </c>
      <c r="X53" s="108">
        <v>1009</v>
      </c>
      <c r="Y53" s="108">
        <f t="shared" si="4"/>
        <v>39</v>
      </c>
      <c r="Z53" s="108">
        <v>1087</v>
      </c>
      <c r="AA53" s="108">
        <f t="shared" si="5"/>
        <v>0</v>
      </c>
      <c r="AB53" s="108">
        <v>1087</v>
      </c>
      <c r="AC53" s="108">
        <f t="shared" si="6"/>
        <v>0</v>
      </c>
      <c r="AD53" s="108">
        <v>1087</v>
      </c>
      <c r="AE53" s="109">
        <f t="shared" si="7"/>
        <v>-189</v>
      </c>
    </row>
    <row r="54" spans="14:31" ht="15.6" customHeight="1" x14ac:dyDescent="0.3">
      <c r="N54" s="212"/>
      <c r="O54" s="95" t="s">
        <v>71</v>
      </c>
      <c r="P54" s="106"/>
      <c r="Q54" s="106">
        <v>3938</v>
      </c>
      <c r="R54" s="106">
        <v>1000</v>
      </c>
      <c r="S54" s="106">
        <f t="shared" si="1"/>
        <v>400</v>
      </c>
      <c r="T54" s="106">
        <v>1800</v>
      </c>
      <c r="U54" s="106">
        <f t="shared" si="2"/>
        <v>0</v>
      </c>
      <c r="V54" s="106">
        <v>1800</v>
      </c>
      <c r="W54" s="106">
        <f t="shared" si="3"/>
        <v>532.5</v>
      </c>
      <c r="X54" s="106">
        <v>2865</v>
      </c>
      <c r="Y54" s="106">
        <f t="shared" si="4"/>
        <v>536.5</v>
      </c>
      <c r="Z54" s="106">
        <v>3938</v>
      </c>
      <c r="AA54" s="106">
        <f t="shared" si="5"/>
        <v>0</v>
      </c>
      <c r="AB54" s="106">
        <v>3938</v>
      </c>
      <c r="AC54" s="106">
        <f t="shared" si="6"/>
        <v>0</v>
      </c>
      <c r="AD54" s="106">
        <v>3938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3833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1129</v>
      </c>
      <c r="V55" s="108">
        <v>3458</v>
      </c>
      <c r="W55" s="108">
        <f t="shared" si="3"/>
        <v>80</v>
      </c>
      <c r="X55" s="108">
        <v>3618</v>
      </c>
      <c r="Y55" s="108">
        <f t="shared" si="4"/>
        <v>107.5</v>
      </c>
      <c r="Z55" s="108">
        <v>3833</v>
      </c>
      <c r="AA55" s="108">
        <f t="shared" si="5"/>
        <v>0</v>
      </c>
      <c r="AB55" s="108">
        <v>3833</v>
      </c>
      <c r="AC55" s="108">
        <f t="shared" si="6"/>
        <v>0</v>
      </c>
      <c r="AD55" s="108">
        <v>3833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1606</v>
      </c>
      <c r="R56" s="114">
        <v>0</v>
      </c>
      <c r="S56" s="114">
        <f t="shared" si="1"/>
        <v>63.5</v>
      </c>
      <c r="T56" s="114">
        <v>127</v>
      </c>
      <c r="U56" s="114">
        <f t="shared" si="2"/>
        <v>98.5</v>
      </c>
      <c r="V56" s="114">
        <v>324</v>
      </c>
      <c r="W56" s="114">
        <f t="shared" si="3"/>
        <v>103.5</v>
      </c>
      <c r="X56" s="114">
        <v>531</v>
      </c>
      <c r="Y56" s="114">
        <f t="shared" si="4"/>
        <v>0</v>
      </c>
      <c r="Z56" s="114">
        <v>531</v>
      </c>
      <c r="AA56" s="114">
        <f t="shared" si="5"/>
        <v>0</v>
      </c>
      <c r="AB56" s="114">
        <v>531</v>
      </c>
      <c r="AC56" s="114">
        <f t="shared" si="6"/>
        <v>0</v>
      </c>
      <c r="AD56" s="114">
        <v>531</v>
      </c>
      <c r="AE56" s="115">
        <f t="shared" si="7"/>
        <v>-1075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3559</v>
      </c>
      <c r="R57" s="104">
        <v>20</v>
      </c>
      <c r="S57" s="104">
        <f t="shared" si="1"/>
        <v>90.5</v>
      </c>
      <c r="T57" s="104">
        <v>201</v>
      </c>
      <c r="U57" s="104">
        <f t="shared" si="2"/>
        <v>11</v>
      </c>
      <c r="V57" s="104">
        <v>223</v>
      </c>
      <c r="W57" s="104">
        <f t="shared" si="3"/>
        <v>458</v>
      </c>
      <c r="X57" s="104">
        <v>1139</v>
      </c>
      <c r="Y57" s="104">
        <f t="shared" si="4"/>
        <v>0</v>
      </c>
      <c r="Z57" s="104">
        <v>1139</v>
      </c>
      <c r="AA57" s="104">
        <f t="shared" si="5"/>
        <v>0</v>
      </c>
      <c r="AB57" s="104">
        <v>1139</v>
      </c>
      <c r="AC57" s="104">
        <f t="shared" si="6"/>
        <v>0</v>
      </c>
      <c r="AD57" s="104">
        <v>1139</v>
      </c>
      <c r="AE57" s="105">
        <f t="shared" si="7"/>
        <v>-2420</v>
      </c>
    </row>
    <row r="58" spans="14:31" ht="15.6" customHeight="1" x14ac:dyDescent="0.3">
      <c r="N58" s="212"/>
      <c r="O58" s="95" t="s">
        <v>66</v>
      </c>
      <c r="P58" s="106"/>
      <c r="Q58" s="106">
        <v>2059</v>
      </c>
      <c r="R58" s="106">
        <v>1447</v>
      </c>
      <c r="S58" s="106">
        <f t="shared" si="1"/>
        <v>263</v>
      </c>
      <c r="T58" s="106">
        <v>1973</v>
      </c>
      <c r="U58" s="106">
        <f t="shared" si="2"/>
        <v>0</v>
      </c>
      <c r="V58" s="106">
        <v>1973</v>
      </c>
      <c r="W58" s="106">
        <f t="shared" si="3"/>
        <v>0</v>
      </c>
      <c r="X58" s="106">
        <v>1973</v>
      </c>
      <c r="Y58" s="106">
        <f t="shared" si="4"/>
        <v>0</v>
      </c>
      <c r="Z58" s="106">
        <v>1973</v>
      </c>
      <c r="AA58" s="106">
        <f t="shared" si="5"/>
        <v>0</v>
      </c>
      <c r="AB58" s="106">
        <v>1973</v>
      </c>
      <c r="AC58" s="106">
        <f t="shared" si="6"/>
        <v>0</v>
      </c>
      <c r="AD58" s="106">
        <v>1973</v>
      </c>
      <c r="AE58" s="107">
        <f t="shared" si="7"/>
        <v>-86</v>
      </c>
    </row>
    <row r="59" spans="14:31" ht="15.6" customHeight="1" x14ac:dyDescent="0.3">
      <c r="N59" s="212"/>
      <c r="O59" s="94" t="s">
        <v>67</v>
      </c>
      <c r="P59" s="108"/>
      <c r="Q59" s="108">
        <v>5942</v>
      </c>
      <c r="R59" s="108">
        <v>1092</v>
      </c>
      <c r="S59" s="108">
        <f t="shared" si="1"/>
        <v>198</v>
      </c>
      <c r="T59" s="108">
        <v>1488</v>
      </c>
      <c r="U59" s="108">
        <f t="shared" si="2"/>
        <v>346.5</v>
      </c>
      <c r="V59" s="108">
        <v>2181</v>
      </c>
      <c r="W59" s="108">
        <f t="shared" si="3"/>
        <v>447.5</v>
      </c>
      <c r="X59" s="108">
        <v>3076</v>
      </c>
      <c r="Y59" s="108">
        <f t="shared" si="4"/>
        <v>0</v>
      </c>
      <c r="Z59" s="108">
        <v>3076</v>
      </c>
      <c r="AA59" s="108">
        <f t="shared" si="5"/>
        <v>0</v>
      </c>
      <c r="AB59" s="108">
        <v>3076</v>
      </c>
      <c r="AC59" s="108">
        <f t="shared" si="6"/>
        <v>0</v>
      </c>
      <c r="AD59" s="108">
        <v>3076</v>
      </c>
      <c r="AE59" s="109">
        <f t="shared" si="7"/>
        <v>-2866</v>
      </c>
    </row>
    <row r="60" spans="14:31" ht="15.6" customHeight="1" thickBot="1" x14ac:dyDescent="0.35">
      <c r="N60" s="213"/>
      <c r="O60" s="99" t="s">
        <v>68</v>
      </c>
      <c r="P60" s="114"/>
      <c r="Q60" s="114">
        <v>3345</v>
      </c>
      <c r="R60" s="114">
        <v>1144</v>
      </c>
      <c r="S60" s="114">
        <f t="shared" si="1"/>
        <v>385</v>
      </c>
      <c r="T60" s="114">
        <v>1914</v>
      </c>
      <c r="U60" s="114">
        <f t="shared" si="2"/>
        <v>634.5</v>
      </c>
      <c r="V60" s="114">
        <v>3183</v>
      </c>
      <c r="W60" s="114">
        <f t="shared" si="3"/>
        <v>130.5</v>
      </c>
      <c r="X60" s="114">
        <v>3444</v>
      </c>
      <c r="Y60" s="114">
        <f t="shared" si="4"/>
        <v>0</v>
      </c>
      <c r="Z60" s="114">
        <v>3444</v>
      </c>
      <c r="AA60" s="114">
        <f t="shared" si="5"/>
        <v>0</v>
      </c>
      <c r="AB60" s="114">
        <v>3444</v>
      </c>
      <c r="AC60" s="114">
        <f t="shared" si="6"/>
        <v>0</v>
      </c>
      <c r="AD60" s="114">
        <v>3444</v>
      </c>
      <c r="AE60" s="115">
        <f t="shared" si="7"/>
        <v>99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6353</v>
      </c>
      <c r="R61" s="104">
        <v>292</v>
      </c>
      <c r="S61" s="104">
        <f t="shared" si="1"/>
        <v>197</v>
      </c>
      <c r="T61" s="104">
        <v>686</v>
      </c>
      <c r="U61" s="104">
        <f t="shared" si="2"/>
        <v>0</v>
      </c>
      <c r="V61" s="104">
        <v>686</v>
      </c>
      <c r="W61" s="104">
        <f t="shared" si="3"/>
        <v>881.5</v>
      </c>
      <c r="X61" s="104">
        <v>2449</v>
      </c>
      <c r="Y61" s="104">
        <f t="shared" si="4"/>
        <v>380</v>
      </c>
      <c r="Z61" s="104">
        <v>3209</v>
      </c>
      <c r="AA61" s="104">
        <f t="shared" si="5"/>
        <v>0</v>
      </c>
      <c r="AB61" s="104">
        <v>3209</v>
      </c>
      <c r="AC61" s="104">
        <f t="shared" si="6"/>
        <v>0</v>
      </c>
      <c r="AD61" s="104">
        <v>3209</v>
      </c>
      <c r="AE61" s="105">
        <f t="shared" si="7"/>
        <v>-3144</v>
      </c>
    </row>
    <row r="62" spans="14:31" ht="15.6" customHeight="1" x14ac:dyDescent="0.3">
      <c r="N62" s="212"/>
      <c r="O62" s="95" t="s">
        <v>66</v>
      </c>
      <c r="P62" s="106"/>
      <c r="Q62" s="106">
        <v>3846</v>
      </c>
      <c r="R62" s="106">
        <v>30</v>
      </c>
      <c r="S62" s="106">
        <f t="shared" si="1"/>
        <v>205.5</v>
      </c>
      <c r="T62" s="106">
        <v>441</v>
      </c>
      <c r="U62" s="106">
        <f t="shared" si="2"/>
        <v>407.5</v>
      </c>
      <c r="V62" s="106">
        <v>1256</v>
      </c>
      <c r="W62" s="106">
        <f t="shared" si="3"/>
        <v>352</v>
      </c>
      <c r="X62" s="106">
        <v>1960</v>
      </c>
      <c r="Y62" s="106">
        <f t="shared" si="4"/>
        <v>12.5</v>
      </c>
      <c r="Z62" s="106">
        <v>1985</v>
      </c>
      <c r="AA62" s="106">
        <f t="shared" si="5"/>
        <v>0</v>
      </c>
      <c r="AB62" s="106">
        <v>1985</v>
      </c>
      <c r="AC62" s="106">
        <f t="shared" si="6"/>
        <v>0</v>
      </c>
      <c r="AD62" s="106">
        <v>1985</v>
      </c>
      <c r="AE62" s="107">
        <f t="shared" si="7"/>
        <v>-1861</v>
      </c>
    </row>
    <row r="63" spans="14:31" ht="15.6" customHeight="1" x14ac:dyDescent="0.3">
      <c r="N63" s="212"/>
      <c r="O63" s="94" t="s">
        <v>67</v>
      </c>
      <c r="P63" s="108"/>
      <c r="Q63" s="108">
        <v>2741</v>
      </c>
      <c r="R63" s="108">
        <v>148</v>
      </c>
      <c r="S63" s="108">
        <f t="shared" si="1"/>
        <v>248</v>
      </c>
      <c r="T63" s="108">
        <v>644</v>
      </c>
      <c r="U63" s="108">
        <f t="shared" si="2"/>
        <v>168</v>
      </c>
      <c r="V63" s="108">
        <v>980</v>
      </c>
      <c r="W63" s="108">
        <f t="shared" si="3"/>
        <v>91.5</v>
      </c>
      <c r="X63" s="108">
        <v>1163</v>
      </c>
      <c r="Y63" s="108">
        <f t="shared" si="4"/>
        <v>89.5</v>
      </c>
      <c r="Z63" s="108">
        <v>1342</v>
      </c>
      <c r="AA63" s="108">
        <f t="shared" si="5"/>
        <v>0</v>
      </c>
      <c r="AB63" s="108">
        <v>1342</v>
      </c>
      <c r="AC63" s="108">
        <f t="shared" si="6"/>
        <v>0</v>
      </c>
      <c r="AD63" s="108">
        <v>1342</v>
      </c>
      <c r="AE63" s="109">
        <f t="shared" si="7"/>
        <v>-1399</v>
      </c>
    </row>
    <row r="64" spans="14:31" ht="15.6" customHeight="1" thickBot="1" x14ac:dyDescent="0.35">
      <c r="N64" s="213"/>
      <c r="O64" s="99" t="s">
        <v>68</v>
      </c>
      <c r="P64" s="114"/>
      <c r="Q64" s="114">
        <v>3379</v>
      </c>
      <c r="R64" s="114">
        <v>895</v>
      </c>
      <c r="S64" s="114">
        <f t="shared" si="1"/>
        <v>150.5</v>
      </c>
      <c r="T64" s="114">
        <v>1196</v>
      </c>
      <c r="U64" s="114">
        <f t="shared" si="2"/>
        <v>58.5</v>
      </c>
      <c r="V64" s="114">
        <v>1313</v>
      </c>
      <c r="W64" s="114">
        <f t="shared" si="3"/>
        <v>171</v>
      </c>
      <c r="X64" s="114">
        <v>1655</v>
      </c>
      <c r="Y64" s="114">
        <f t="shared" si="4"/>
        <v>1</v>
      </c>
      <c r="Z64" s="114">
        <v>1657</v>
      </c>
      <c r="AA64" s="114">
        <f t="shared" si="5"/>
        <v>0</v>
      </c>
      <c r="AB64" s="114">
        <v>1657</v>
      </c>
      <c r="AC64" s="114">
        <f t="shared" si="6"/>
        <v>0</v>
      </c>
      <c r="AD64" s="114">
        <v>1657</v>
      </c>
      <c r="AE64" s="115">
        <f t="shared" si="7"/>
        <v>-1722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07" priority="11" operator="lessThan">
      <formula>0</formula>
    </cfRule>
    <cfRule type="cellIs" dxfId="1006" priority="12" operator="greaterThan">
      <formula>0</formula>
    </cfRule>
  </conditionalFormatting>
  <conditionalFormatting sqref="R25:AC25">
    <cfRule type="cellIs" dxfId="1005" priority="9" operator="lessThan">
      <formula>0</formula>
    </cfRule>
    <cfRule type="cellIs" dxfId="1004" priority="10" operator="greaterThan">
      <formula>0</formula>
    </cfRule>
  </conditionalFormatting>
  <conditionalFormatting sqref="R26 T26 V26 X26 Z26 AB26">
    <cfRule type="cellIs" dxfId="1003" priority="7" operator="lessThan">
      <formula>0</formula>
    </cfRule>
    <cfRule type="cellIs" dxfId="1002" priority="8" operator="greaterThan">
      <formula>0</formula>
    </cfRule>
  </conditionalFormatting>
  <conditionalFormatting sqref="AD24:AE24">
    <cfRule type="cellIs" dxfId="1001" priority="5" operator="lessThan">
      <formula>0</formula>
    </cfRule>
    <cfRule type="cellIs" dxfId="1000" priority="6" operator="greaterThan">
      <formula>0</formula>
    </cfRule>
  </conditionalFormatting>
  <conditionalFormatting sqref="AD25:AE25">
    <cfRule type="cellIs" dxfId="999" priority="3" operator="lessThan">
      <formula>0</formula>
    </cfRule>
    <cfRule type="cellIs" dxfId="998" priority="4" operator="greaterThan">
      <formula>0</formula>
    </cfRule>
  </conditionalFormatting>
  <conditionalFormatting sqref="AD26">
    <cfRule type="cellIs" dxfId="997" priority="1" operator="lessThan">
      <formula>0</formula>
    </cfRule>
    <cfRule type="cellIs" dxfId="99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>
    <tabColor theme="1"/>
    <pageSetUpPr fitToPage="1"/>
  </sheetPr>
  <dimension ref="B1:AQ64"/>
  <sheetViews>
    <sheetView topLeftCell="I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44435</v>
      </c>
    </row>
    <row r="3" spans="2:42" ht="18.75" customHeight="1" thickBot="1" x14ac:dyDescent="0.35">
      <c r="B3" t="s">
        <v>1</v>
      </c>
      <c r="C3" s="3">
        <f>C2+1</f>
        <v>44436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19468</v>
      </c>
      <c r="G6" s="117">
        <v>15669.03925</v>
      </c>
      <c r="H6" s="117">
        <v>13310.05584792001</v>
      </c>
      <c r="I6" s="19">
        <f>G6+H6</f>
        <v>28979.09509792001</v>
      </c>
      <c r="J6" s="119">
        <v>19802</v>
      </c>
      <c r="K6" s="117">
        <v>16282.0885</v>
      </c>
      <c r="L6" s="117">
        <v>13183.884105920009</v>
      </c>
      <c r="M6" s="19">
        <f>K6+L6</f>
        <v>29465.972605920011</v>
      </c>
      <c r="N6" s="85">
        <v>66</v>
      </c>
      <c r="O6" s="85">
        <v>50</v>
      </c>
      <c r="P6" s="92"/>
      <c r="Q6" s="20">
        <f>J6-P6</f>
        <v>19802</v>
      </c>
      <c r="R6" s="21">
        <v>4977</v>
      </c>
      <c r="S6" s="20">
        <f>IF(R6&gt;0,(R6-R7-$Q6),"")</f>
        <v>-14949</v>
      </c>
      <c r="T6" s="21">
        <v>7961</v>
      </c>
      <c r="U6" s="20">
        <f>IF(T6&gt;0,(T6-T7-$Q6),"")</f>
        <v>-11977</v>
      </c>
      <c r="V6" s="21">
        <v>11202</v>
      </c>
      <c r="W6" s="20">
        <f>IF(V6&gt;0,(V6-V7-$Q6),"")</f>
        <v>-8752</v>
      </c>
      <c r="X6" s="21">
        <v>14956</v>
      </c>
      <c r="Y6" s="20">
        <f>IF(X6&gt;0,(X6-X7-$Q6),"")</f>
        <v>-5015</v>
      </c>
      <c r="Z6" s="21">
        <v>18872</v>
      </c>
      <c r="AA6" s="20">
        <f>IF(Z6&gt;0,(Z6-Z7-$Q6),"")</f>
        <v>-1221</v>
      </c>
      <c r="AB6" s="21">
        <v>18872</v>
      </c>
      <c r="AC6" s="22">
        <f>IF(AB6&gt;0,(AB6-AB7-$Q6),"")</f>
        <v>-1221</v>
      </c>
      <c r="AD6" s="21">
        <v>18872</v>
      </c>
      <c r="AE6" s="22">
        <f>IF(AD6&gt;0,(AD6-AD7-$Q6),"")</f>
        <v>-1221</v>
      </c>
    </row>
    <row r="7" spans="2:42" x14ac:dyDescent="0.3">
      <c r="B7" s="16" t="s">
        <v>23</v>
      </c>
      <c r="C7" s="17">
        <v>330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124</v>
      </c>
      <c r="S7" s="24"/>
      <c r="T7" s="25">
        <v>136</v>
      </c>
      <c r="U7" s="24"/>
      <c r="V7" s="25">
        <v>152</v>
      </c>
      <c r="W7" s="24"/>
      <c r="X7" s="25">
        <v>169</v>
      </c>
      <c r="Y7" s="24"/>
      <c r="Z7" s="25">
        <v>291</v>
      </c>
      <c r="AA7" s="24"/>
      <c r="AB7" s="25">
        <v>291</v>
      </c>
      <c r="AC7" s="26"/>
      <c r="AD7" s="25">
        <v>291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2889</v>
      </c>
      <c r="E8" s="29" t="s">
        <v>27</v>
      </c>
      <c r="F8" s="119">
        <v>9635</v>
      </c>
      <c r="G8" s="117">
        <v>3952.15</v>
      </c>
      <c r="H8" s="117">
        <v>1192.2010749999999</v>
      </c>
      <c r="I8" s="19">
        <f>G8+H8</f>
        <v>5144.3510750000005</v>
      </c>
      <c r="J8" s="119">
        <v>9363</v>
      </c>
      <c r="K8" s="117">
        <v>3842.7360000000008</v>
      </c>
      <c r="L8" s="117">
        <v>1133.2717903</v>
      </c>
      <c r="M8" s="19">
        <f>K8+L8</f>
        <v>4976.007790300001</v>
      </c>
      <c r="N8" s="87">
        <v>28</v>
      </c>
      <c r="O8" s="87">
        <v>25</v>
      </c>
      <c r="P8" s="92"/>
      <c r="Q8" s="20">
        <f>J8-P8</f>
        <v>9363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7334</v>
      </c>
      <c r="W8" s="20">
        <f>IF(V8&gt;0,(V8-V9-$Q8),"")</f>
        <v>-2029</v>
      </c>
      <c r="X8" s="21">
        <v>9363</v>
      </c>
      <c r="Y8" s="20">
        <f>IF(X8&gt;0,(X8-X9-$Q8),"")</f>
        <v>0</v>
      </c>
      <c r="Z8" s="21">
        <v>9363</v>
      </c>
      <c r="AA8" s="20">
        <f>IF(Z8&gt;0,(Z8-Z9-$Q8),"")</f>
        <v>0</v>
      </c>
      <c r="AB8" s="21">
        <v>9363</v>
      </c>
      <c r="AC8" s="22">
        <f>IF(AB8&gt;0,(AB8-AB9-$Q8),"")</f>
        <v>0</v>
      </c>
      <c r="AD8" s="21">
        <v>9363</v>
      </c>
      <c r="AE8" s="22">
        <f>IF(AD8&gt;0,(AD8-AD9-$Q8),"")</f>
        <v>0</v>
      </c>
    </row>
    <row r="9" spans="2:42" x14ac:dyDescent="0.3">
      <c r="B9" s="28" t="s">
        <v>28</v>
      </c>
      <c r="C9" s="17">
        <v>1847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3952</v>
      </c>
      <c r="E10" s="18" t="s">
        <v>31</v>
      </c>
      <c r="F10" s="119">
        <v>12446</v>
      </c>
      <c r="G10" s="117">
        <v>9584.2044687500002</v>
      </c>
      <c r="H10" s="117">
        <v>1906.6555450000001</v>
      </c>
      <c r="I10" s="19">
        <f>G10+H10</f>
        <v>11490.86001375</v>
      </c>
      <c r="J10" s="119">
        <v>12255</v>
      </c>
      <c r="K10" s="117">
        <v>9714.2002187500002</v>
      </c>
      <c r="L10" s="117">
        <v>1806.711145</v>
      </c>
      <c r="M10" s="19">
        <f>K10+L10</f>
        <v>11520.91136375</v>
      </c>
      <c r="N10" s="88">
        <v>46</v>
      </c>
      <c r="O10" s="88">
        <v>40</v>
      </c>
      <c r="P10" s="92"/>
      <c r="Q10" s="20">
        <f>J10-P10</f>
        <v>12255</v>
      </c>
      <c r="R10" s="21">
        <v>3096</v>
      </c>
      <c r="S10" s="20">
        <f>IF(R10&gt;0,(R10-R11-$Q10),"")</f>
        <v>-10026</v>
      </c>
      <c r="T10" s="21">
        <v>6313</v>
      </c>
      <c r="U10" s="20">
        <f>IF(T10&gt;0,(T10-T11-$Q10),"")</f>
        <v>-8322</v>
      </c>
      <c r="V10" s="21">
        <v>8606</v>
      </c>
      <c r="W10" s="20">
        <f>IF(V10&gt;0,(V10-V11-$Q10),"")</f>
        <v>-6797</v>
      </c>
      <c r="X10" s="21">
        <v>11861</v>
      </c>
      <c r="Y10" s="20">
        <f>IF(X10&gt;0,(X10-X11-$Q10),"")</f>
        <v>-4678</v>
      </c>
      <c r="Z10" s="21">
        <v>11917</v>
      </c>
      <c r="AA10" s="20">
        <f>IF(Z10&gt;0,(Z10-Z11-$Q10),"")</f>
        <v>-4678</v>
      </c>
      <c r="AB10" s="21">
        <v>11917</v>
      </c>
      <c r="AC10" s="22">
        <f>IF(AB10&gt;0,(AB10-AB11-$Q10),"")</f>
        <v>-4678</v>
      </c>
      <c r="AD10" s="21">
        <v>11917</v>
      </c>
      <c r="AE10" s="22">
        <f>IF(AD10&gt;0,(AD10-AD11-$Q10),"")</f>
        <v>-4678</v>
      </c>
    </row>
    <row r="11" spans="2:42" x14ac:dyDescent="0.3">
      <c r="B11" s="16" t="s">
        <v>32</v>
      </c>
      <c r="C11" s="17">
        <v>1856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867</v>
      </c>
      <c r="S11" s="24"/>
      <c r="T11" s="30">
        <v>2380</v>
      </c>
      <c r="U11" s="24"/>
      <c r="V11" s="30">
        <v>3148</v>
      </c>
      <c r="W11" s="24"/>
      <c r="X11" s="30">
        <v>4284</v>
      </c>
      <c r="Y11" s="24"/>
      <c r="Z11" s="30">
        <v>4340</v>
      </c>
      <c r="AA11" s="24"/>
      <c r="AB11" s="30">
        <v>4340</v>
      </c>
      <c r="AC11" s="26"/>
      <c r="AD11" s="30">
        <v>4340</v>
      </c>
      <c r="AE11" s="26"/>
    </row>
    <row r="12" spans="2:42" x14ac:dyDescent="0.3">
      <c r="B12" s="16" t="s">
        <v>34</v>
      </c>
      <c r="C12" s="17">
        <v>1447</v>
      </c>
      <c r="E12" s="29" t="s">
        <v>35</v>
      </c>
      <c r="F12" s="119">
        <v>11685</v>
      </c>
      <c r="G12" s="117">
        <v>11297.588750000001</v>
      </c>
      <c r="H12" s="117">
        <v>16465.039501089981</v>
      </c>
      <c r="I12" s="19">
        <f>G12+H12</f>
        <v>27762.628251089984</v>
      </c>
      <c r="J12" s="119">
        <v>12056</v>
      </c>
      <c r="K12" s="117">
        <v>11994.907499999999</v>
      </c>
      <c r="L12" s="117">
        <v>16518.889814779981</v>
      </c>
      <c r="M12" s="19">
        <f>K12+L12</f>
        <v>28513.797314779978</v>
      </c>
      <c r="N12" s="88">
        <v>53</v>
      </c>
      <c r="O12" s="88">
        <v>45</v>
      </c>
      <c r="P12" s="92"/>
      <c r="Q12" s="20">
        <f>J12-P12</f>
        <v>12056</v>
      </c>
      <c r="R12" s="21">
        <v>2549</v>
      </c>
      <c r="S12" s="20">
        <f>IF(R12&gt;0,(R12-R13-$Q12),"")</f>
        <v>-10784</v>
      </c>
      <c r="T12" s="21">
        <v>3714</v>
      </c>
      <c r="U12" s="20">
        <f>IF(T12&gt;0,(T12-T13-$Q12),"")</f>
        <v>-10059</v>
      </c>
      <c r="V12" s="21">
        <v>6393</v>
      </c>
      <c r="W12" s="20">
        <f>IF(V12&gt;0,(V12-V13-$Q12),"")</f>
        <v>-7419</v>
      </c>
      <c r="X12" s="21">
        <v>10898</v>
      </c>
      <c r="Y12" s="20">
        <f>IF(X12&gt;0,(X12-X13-$Q12),"")</f>
        <v>-3046</v>
      </c>
      <c r="Z12" s="21">
        <v>11703</v>
      </c>
      <c r="AA12" s="20">
        <f>IF(Z12&gt;0,(Z12-Z13-$Q12),"")</f>
        <v>-2120</v>
      </c>
      <c r="AB12" s="21">
        <v>11703</v>
      </c>
      <c r="AC12" s="22">
        <f>IF(AB12&gt;0,(AB12-AB13-$Q12),"")</f>
        <v>-2120</v>
      </c>
      <c r="AD12" s="21">
        <v>11703</v>
      </c>
      <c r="AE12" s="22">
        <f>IF(AD12&gt;0,(AD12-AD13-$Q12),"")</f>
        <v>-2120</v>
      </c>
    </row>
    <row r="13" spans="2:42" x14ac:dyDescent="0.3">
      <c r="B13" s="16" t="s">
        <v>36</v>
      </c>
      <c r="C13" s="17">
        <v>4096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1277</v>
      </c>
      <c r="S13" s="24"/>
      <c r="T13" s="30">
        <v>1717</v>
      </c>
      <c r="U13" s="24"/>
      <c r="V13" s="30">
        <v>1756</v>
      </c>
      <c r="W13" s="24"/>
      <c r="X13" s="30">
        <v>1888</v>
      </c>
      <c r="Y13" s="24"/>
      <c r="Z13" s="30">
        <v>1767</v>
      </c>
      <c r="AA13" s="24"/>
      <c r="AB13" s="30">
        <v>1767</v>
      </c>
      <c r="AC13" s="26"/>
      <c r="AD13" s="30">
        <v>1767</v>
      </c>
      <c r="AE13" s="26"/>
    </row>
    <row r="14" spans="2:42" x14ac:dyDescent="0.3">
      <c r="B14" s="16" t="s">
        <v>38</v>
      </c>
      <c r="C14" s="17">
        <v>11438</v>
      </c>
      <c r="E14" s="18" t="s">
        <v>39</v>
      </c>
      <c r="F14" s="119">
        <v>20706</v>
      </c>
      <c r="G14" s="117">
        <v>17344.8125</v>
      </c>
      <c r="H14" s="117">
        <v>19968.32449466499</v>
      </c>
      <c r="I14" s="19">
        <f>G14+H14</f>
        <v>37313.136994664994</v>
      </c>
      <c r="J14" s="119">
        <v>20814</v>
      </c>
      <c r="K14" s="117">
        <v>17487.75</v>
      </c>
      <c r="L14" s="117">
        <v>20004.662637944992</v>
      </c>
      <c r="M14" s="19">
        <f>K14+L14</f>
        <v>37492.412637944988</v>
      </c>
      <c r="N14" s="88">
        <v>60</v>
      </c>
      <c r="O14" s="88">
        <v>53</v>
      </c>
      <c r="P14" s="92"/>
      <c r="Q14" s="20">
        <f>J14-P14</f>
        <v>20814</v>
      </c>
      <c r="R14" s="21">
        <v>5123</v>
      </c>
      <c r="S14" s="20">
        <f>IF(R14&gt;0,(R14-R15-$Q14),"")</f>
        <v>-20303</v>
      </c>
      <c r="T14" s="21">
        <v>9228</v>
      </c>
      <c r="U14" s="20">
        <f>IF(T14&gt;0,(T14-T15-$Q14),"")</f>
        <v>-19219</v>
      </c>
      <c r="V14" s="21">
        <v>10650</v>
      </c>
      <c r="W14" s="20">
        <f>IF(V14&gt;0,(V14-V15-$Q14),"")</f>
        <v>-18908</v>
      </c>
      <c r="X14" s="21">
        <v>14609</v>
      </c>
      <c r="Y14" s="20">
        <f>IF(X14&gt;0,(X14-X15-$Q14),"")</f>
        <v>-16712</v>
      </c>
      <c r="Z14" s="21">
        <v>16976</v>
      </c>
      <c r="AA14" s="20">
        <f>IF(Z14&gt;0,(Z14-Z15-$Q14),"")</f>
        <v>-15216</v>
      </c>
      <c r="AB14" s="21">
        <v>16976</v>
      </c>
      <c r="AC14" s="22">
        <f>IF(AB14&gt;0,(AB14-AB15-$Q14),"")</f>
        <v>-15216</v>
      </c>
      <c r="AD14" s="21">
        <v>16976</v>
      </c>
      <c r="AE14" s="22">
        <f>IF(AD14&gt;0,(AD14-AD15-$Q14),"")</f>
        <v>-15216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7</v>
      </c>
      <c r="P15" s="93" t="s">
        <v>41</v>
      </c>
      <c r="Q15" s="24"/>
      <c r="R15" s="25">
        <v>4612</v>
      </c>
      <c r="S15" s="24"/>
      <c r="T15" s="25">
        <v>7633</v>
      </c>
      <c r="U15" s="24"/>
      <c r="V15" s="25">
        <v>8744</v>
      </c>
      <c r="W15" s="24"/>
      <c r="X15" s="25">
        <v>10507</v>
      </c>
      <c r="Y15" s="24"/>
      <c r="Z15" s="25">
        <v>11378</v>
      </c>
      <c r="AA15" s="24"/>
      <c r="AB15" s="25">
        <v>11378</v>
      </c>
      <c r="AC15" s="26"/>
      <c r="AD15" s="25">
        <v>11378</v>
      </c>
      <c r="AE15" s="26"/>
    </row>
    <row r="16" spans="2:42" ht="15" customHeight="1" thickBot="1" x14ac:dyDescent="0.35">
      <c r="B16" s="28" t="s">
        <v>42</v>
      </c>
      <c r="C16" s="17">
        <v>13280</v>
      </c>
      <c r="E16" s="84"/>
      <c r="F16" s="31">
        <f t="shared" ref="F16:M16" si="0">SUM(F6:F15)</f>
        <v>73940</v>
      </c>
      <c r="G16" s="31">
        <f t="shared" si="0"/>
        <v>57847.79496875</v>
      </c>
      <c r="H16" s="31">
        <f t="shared" si="0"/>
        <v>52842.276463674978</v>
      </c>
      <c r="I16" s="32">
        <f t="shared" si="0"/>
        <v>110690.071432425</v>
      </c>
      <c r="J16" s="33">
        <f t="shared" si="0"/>
        <v>74290</v>
      </c>
      <c r="K16" s="33">
        <f t="shared" si="0"/>
        <v>59321.68221875</v>
      </c>
      <c r="L16" s="33">
        <f t="shared" si="0"/>
        <v>52647.419493944981</v>
      </c>
      <c r="M16" s="33">
        <f t="shared" si="0"/>
        <v>111969.10171269497</v>
      </c>
      <c r="N16" s="31">
        <f>SUM(N14,N12,N10,N8,N6)</f>
        <v>253</v>
      </c>
      <c r="O16" s="31">
        <f>SUM(O14,O12,O10,O8,O6)</f>
        <v>213</v>
      </c>
      <c r="P16" s="34">
        <f>SUM(P6:P15)</f>
        <v>0</v>
      </c>
      <c r="Q16" s="34">
        <f>SUM(Q6:Q15)</f>
        <v>74290</v>
      </c>
      <c r="R16" s="35">
        <f>R6+R8+R10+R12+R14-R7-R9-R11-R13-R15</f>
        <v>8865</v>
      </c>
      <c r="S16" s="36">
        <f>IF(R16&gt;1,(R16-$Q16),"")</f>
        <v>-65425</v>
      </c>
      <c r="T16" s="35">
        <f>T6+T8+T10+T12+T14-T7-T9-T11-T13-T15</f>
        <v>15350</v>
      </c>
      <c r="U16" s="36">
        <f>IF(T16&gt;1,(T16-$Q16),"")</f>
        <v>-58940</v>
      </c>
      <c r="V16" s="35">
        <f>V6+V8+V10+V12+V14-V7-V9-V11-V13-V15</f>
        <v>30385</v>
      </c>
      <c r="W16" s="36">
        <f>IF(V16&gt;1,(V16-$Q16),"")</f>
        <v>-43905</v>
      </c>
      <c r="X16" s="35">
        <f>X6+X8+X10+X12+X14-X7-X9-X11-X13-X15</f>
        <v>44839</v>
      </c>
      <c r="Y16" s="36">
        <f>IF(X16&gt;1,(X16-$Q16),"")</f>
        <v>-29451</v>
      </c>
      <c r="Z16" s="35">
        <f>Z6+Z8+Z10+Z12+Z14-Z7-Z9-Z11-Z13-Z15</f>
        <v>51055</v>
      </c>
      <c r="AA16" s="36">
        <f>IF(Z16&gt;1,(Z16-$Q16),"")</f>
        <v>-23235</v>
      </c>
      <c r="AB16" s="35">
        <f>AB6+AB8+AB10+AB12+AB14-AB7-AB9-AB11-AB13-AB15</f>
        <v>51055</v>
      </c>
      <c r="AC16" s="37">
        <f>IF(AB16&gt;1,(AB16-$Q16),"")</f>
        <v>-23235</v>
      </c>
      <c r="AD16" s="35">
        <f>AD6+AD8+AD10+AD12+AD14-AD7-AD9-AD11-AD13-AD15</f>
        <v>51055</v>
      </c>
      <c r="AE16" s="37">
        <f>IF(AD16&gt;1,(AD16-$Q16),"")</f>
        <v>-23235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40</v>
      </c>
      <c r="P17" s="38" t="s">
        <v>44</v>
      </c>
      <c r="Q17" s="39"/>
      <c r="R17" s="40">
        <f>R15+R13+R11+R9+R7</f>
        <v>6880</v>
      </c>
      <c r="S17" s="41"/>
      <c r="T17" s="40">
        <f>T15+T13+T11+T9+T7</f>
        <v>11866</v>
      </c>
      <c r="U17" s="41"/>
      <c r="V17" s="40">
        <f>V15+V13+V11+V9+V7</f>
        <v>13800</v>
      </c>
      <c r="W17" s="41"/>
      <c r="X17" s="40">
        <f>X15+X13+X11+X9+X7</f>
        <v>16848</v>
      </c>
      <c r="Y17" s="41"/>
      <c r="Z17" s="40">
        <f>Z15+Z13+Z11+Z9+Z7</f>
        <v>17776</v>
      </c>
      <c r="AA17" s="41"/>
      <c r="AB17" s="40">
        <f>AB15+AB13+AB11+AB9+AB7</f>
        <v>17776</v>
      </c>
      <c r="AC17" s="42"/>
      <c r="AD17" s="40">
        <f>AD15+AD13+AD11+AD9+AD7</f>
        <v>17776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4432.5</v>
      </c>
      <c r="S18" s="46"/>
      <c r="T18" s="47">
        <f>IF(T16&gt;0,(T16-R16)/2,"")</f>
        <v>3242.5</v>
      </c>
      <c r="U18" s="46"/>
      <c r="V18" s="47">
        <f>IF(V16&gt;0,(V16-T16)/2,"")</f>
        <v>7517.5</v>
      </c>
      <c r="W18" s="46"/>
      <c r="X18" s="47">
        <f>IF(X16&gt;0,(X16-V16)/2,"")</f>
        <v>7227</v>
      </c>
      <c r="Y18" s="46"/>
      <c r="Z18" s="47">
        <f>IF(Z16&gt;0,(Z16-X16)/2,"")</f>
        <v>3108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7098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730</v>
      </c>
      <c r="L20" s="4"/>
      <c r="M20" s="4"/>
      <c r="Q20" s="51" t="s">
        <v>49</v>
      </c>
      <c r="R20" s="35">
        <v>16868</v>
      </c>
      <c r="S20" s="36">
        <v>-72992</v>
      </c>
      <c r="T20" s="35">
        <v>27049</v>
      </c>
      <c r="U20" s="36">
        <v>-62811</v>
      </c>
      <c r="V20" s="35">
        <v>40124</v>
      </c>
      <c r="W20" s="36">
        <v>-49736</v>
      </c>
      <c r="X20" s="35">
        <v>66254</v>
      </c>
      <c r="Y20" s="36">
        <v>-23606</v>
      </c>
      <c r="Z20" s="35">
        <v>73498</v>
      </c>
      <c r="AA20" s="36">
        <v>-16362</v>
      </c>
      <c r="AB20" s="35">
        <v>73498</v>
      </c>
      <c r="AC20" s="37">
        <v>-16362</v>
      </c>
      <c r="AD20" s="35">
        <v>73498</v>
      </c>
      <c r="AE20" s="37">
        <v>-16362</v>
      </c>
    </row>
    <row r="21" spans="2:43" ht="15" customHeight="1" thickBot="1" x14ac:dyDescent="0.35">
      <c r="B21" s="57" t="s">
        <v>52</v>
      </c>
      <c r="C21" s="58">
        <v>4276</v>
      </c>
      <c r="M21" s="4"/>
      <c r="Q21" s="52"/>
      <c r="R21" s="40">
        <v>534</v>
      </c>
      <c r="S21" s="41"/>
      <c r="T21" s="40">
        <v>600</v>
      </c>
      <c r="U21" s="41"/>
      <c r="V21" s="40">
        <v>702</v>
      </c>
      <c r="W21" s="41"/>
      <c r="X21" s="40">
        <v>750</v>
      </c>
      <c r="Y21" s="41"/>
      <c r="Z21" s="40">
        <v>796</v>
      </c>
      <c r="AA21" s="41"/>
      <c r="AB21" s="40">
        <v>796</v>
      </c>
      <c r="AC21" s="42"/>
      <c r="AD21" s="40">
        <v>796</v>
      </c>
      <c r="AE21" s="42"/>
    </row>
    <row r="22" spans="2:43" ht="15" customHeight="1" thickBot="1" x14ac:dyDescent="0.35">
      <c r="M22" s="4"/>
      <c r="Q22" s="54"/>
      <c r="R22" s="55">
        <v>8434</v>
      </c>
      <c r="S22" s="55"/>
      <c r="T22" s="55">
        <v>5090.5</v>
      </c>
      <c r="U22" s="55"/>
      <c r="V22" s="55">
        <v>6537.5</v>
      </c>
      <c r="W22" s="55"/>
      <c r="X22" s="55">
        <v>13065</v>
      </c>
      <c r="Y22" s="55"/>
      <c r="Z22" s="55">
        <v>3622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-8003</v>
      </c>
      <c r="S24" s="60"/>
      <c r="T24" s="60">
        <f>IF(T16&gt;0,T16-T20,"")</f>
        <v>-11699</v>
      </c>
      <c r="U24" s="60"/>
      <c r="V24" s="60">
        <f>IF(V16&gt;0,V16-V20,"")</f>
        <v>-9739</v>
      </c>
      <c r="W24" s="60"/>
      <c r="X24" s="60">
        <f>IF(X16&gt;0,X16-X20,"")</f>
        <v>-21415</v>
      </c>
      <c r="Y24" s="60"/>
      <c r="Z24" s="60">
        <f>IF(Z16&gt;0,Z16-Z20,"")</f>
        <v>-22443</v>
      </c>
      <c r="AA24" s="60"/>
      <c r="AB24" s="60">
        <f>IF(AB16&gt;0,AB16-AB20,"")</f>
        <v>-22443</v>
      </c>
      <c r="AC24" s="61"/>
      <c r="AD24" s="60">
        <f>IF(AD16&gt;0,AD16-AD20,"")</f>
        <v>-22443</v>
      </c>
      <c r="AE24" s="61"/>
    </row>
    <row r="25" spans="2:43" x14ac:dyDescent="0.3">
      <c r="J25" s="123"/>
      <c r="M25" s="4"/>
      <c r="Q25" s="62"/>
      <c r="R25" s="63">
        <f>IF(R17&gt;=0,R17-R21,"")</f>
        <v>6346</v>
      </c>
      <c r="S25" s="64"/>
      <c r="T25" s="63">
        <f>IF(T17&gt;=0,T17-T21,"")</f>
        <v>11266</v>
      </c>
      <c r="U25" s="64"/>
      <c r="V25" s="63">
        <f>IF(V17&gt;=0,V17-V21,"")</f>
        <v>13098</v>
      </c>
      <c r="W25" s="64"/>
      <c r="X25" s="63">
        <f>IF(X17&gt;=0,X17-X21,"")</f>
        <v>16098</v>
      </c>
      <c r="Y25" s="64"/>
      <c r="Z25" s="63">
        <f>IF(Z17&gt;=0,Z17-Z21,"")</f>
        <v>16980</v>
      </c>
      <c r="AA25" s="64"/>
      <c r="AB25" s="63">
        <f>IF(AB17&gt;=0,AB17-AB21,"")</f>
        <v>16980</v>
      </c>
      <c r="AC25" s="65"/>
      <c r="AD25" s="63">
        <f>IF(AD17&gt;=0,AD17-AD21,"")</f>
        <v>16980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-4001.5</v>
      </c>
      <c r="S26" s="55"/>
      <c r="T26" s="67">
        <f>IFERROR(IF(T18&gt;0,T18-T22,""),"")</f>
        <v>-1848</v>
      </c>
      <c r="U26" s="55"/>
      <c r="V26" s="67">
        <f>IFERROR(IF(V18&gt;0,V18-V22,""),"")</f>
        <v>980</v>
      </c>
      <c r="W26" s="55"/>
      <c r="X26" s="67">
        <f>IFERROR(IF(X18&gt;0,X18-X22,""),"")</f>
        <v>-5838</v>
      </c>
      <c r="Y26" s="55"/>
      <c r="Z26" s="67">
        <f>IFERROR(IF(Z18&gt;0,Z18-Z22,""),"")</f>
        <v>-514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11596</v>
      </c>
      <c r="D29" s="76">
        <f>C14</f>
        <v>11438</v>
      </c>
      <c r="E29" s="77">
        <f>D29-C29</f>
        <v>-158</v>
      </c>
      <c r="O29" s="4"/>
    </row>
    <row r="30" spans="2:43" x14ac:dyDescent="0.3">
      <c r="B30" s="74" t="s">
        <v>56</v>
      </c>
      <c r="C30" s="122">
        <v>27444</v>
      </c>
      <c r="D30" s="76">
        <f>C7+C15+C16+C17+C18</f>
        <v>13610</v>
      </c>
      <c r="E30" s="77">
        <f>D30-C30</f>
        <v>-13834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11351</v>
      </c>
      <c r="D32" s="76">
        <f>C10+C11+C12+C13</f>
        <v>11351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12665</v>
      </c>
      <c r="D33" s="76">
        <f>C19+C20+C21</f>
        <v>12104</v>
      </c>
      <c r="E33" s="77">
        <f>D33-C33</f>
        <v>-561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4736</v>
      </c>
      <c r="D34" s="80">
        <f>SUM(C8+C9)</f>
        <v>4736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>
        <v>1044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249.5</v>
      </c>
      <c r="V35" s="104">
        <v>499</v>
      </c>
      <c r="W35" s="104">
        <f t="shared" ref="W35:W64" si="3">IF(X35&gt;0,(X35-V35)/2,"")</f>
        <v>0</v>
      </c>
      <c r="X35" s="104">
        <v>499</v>
      </c>
      <c r="Y35" s="104">
        <f t="shared" ref="Y35:Y64" si="4">IF(Z35&gt;0,(Z35-X35)/2,"")</f>
        <v>0</v>
      </c>
      <c r="Z35" s="104">
        <v>499</v>
      </c>
      <c r="AA35" s="104">
        <f t="shared" ref="AA35:AA64" si="5">IF(AB35&gt;0,(AB35-Z35)/2,"")</f>
        <v>0</v>
      </c>
      <c r="AB35" s="104">
        <v>499</v>
      </c>
      <c r="AC35" s="104">
        <f t="shared" ref="AC35:AC64" si="6">IF(AD35&gt;0,(AD35-AB35)/2,"")</f>
        <v>0</v>
      </c>
      <c r="AD35" s="104">
        <v>499</v>
      </c>
      <c r="AE35" s="105">
        <f t="shared" ref="AE35:AE64" si="7">AD35-Q35</f>
        <v>-545</v>
      </c>
    </row>
    <row r="36" spans="2:31" ht="15.6" customHeight="1" x14ac:dyDescent="0.3">
      <c r="N36" s="212"/>
      <c r="O36" s="95" t="s">
        <v>66</v>
      </c>
      <c r="P36" s="106"/>
      <c r="Q36" s="106">
        <v>1111</v>
      </c>
      <c r="R36" s="106">
        <v>593</v>
      </c>
      <c r="S36" s="106">
        <f t="shared" si="1"/>
        <v>259</v>
      </c>
      <c r="T36" s="106">
        <v>1111</v>
      </c>
      <c r="U36" s="106">
        <f t="shared" si="2"/>
        <v>0</v>
      </c>
      <c r="V36" s="106">
        <v>1111</v>
      </c>
      <c r="W36" s="106">
        <f t="shared" si="3"/>
        <v>0</v>
      </c>
      <c r="X36" s="106">
        <v>1111</v>
      </c>
      <c r="Y36" s="106">
        <f t="shared" si="4"/>
        <v>0</v>
      </c>
      <c r="Z36" s="106">
        <v>1111</v>
      </c>
      <c r="AA36" s="106">
        <f t="shared" si="5"/>
        <v>0</v>
      </c>
      <c r="AB36" s="106">
        <v>1111</v>
      </c>
      <c r="AC36" s="106">
        <f t="shared" si="6"/>
        <v>0</v>
      </c>
      <c r="AD36" s="106">
        <v>1111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>
        <v>3704</v>
      </c>
      <c r="R37" s="108">
        <v>420</v>
      </c>
      <c r="S37" s="108">
        <f t="shared" si="1"/>
        <v>173</v>
      </c>
      <c r="T37" s="108">
        <v>766</v>
      </c>
      <c r="U37" s="108">
        <f t="shared" si="2"/>
        <v>431</v>
      </c>
      <c r="V37" s="108">
        <v>1628</v>
      </c>
      <c r="W37" s="108">
        <f t="shared" si="3"/>
        <v>341</v>
      </c>
      <c r="X37" s="108">
        <v>2310</v>
      </c>
      <c r="Y37" s="108">
        <f t="shared" si="4"/>
        <v>594.5</v>
      </c>
      <c r="Z37" s="108">
        <v>3499</v>
      </c>
      <c r="AA37" s="108">
        <f t="shared" si="5"/>
        <v>0</v>
      </c>
      <c r="AB37" s="108">
        <v>3499</v>
      </c>
      <c r="AC37" s="108">
        <f t="shared" si="6"/>
        <v>0</v>
      </c>
      <c r="AD37" s="108">
        <v>3499</v>
      </c>
      <c r="AE37" s="109">
        <f t="shared" si="7"/>
        <v>-205</v>
      </c>
    </row>
    <row r="38" spans="2:31" ht="15.6" customHeight="1" x14ac:dyDescent="0.3">
      <c r="N38" s="212"/>
      <c r="O38" s="95" t="s">
        <v>68</v>
      </c>
      <c r="P38" s="106"/>
      <c r="Q38" s="106">
        <v>3469</v>
      </c>
      <c r="R38" s="106">
        <v>712</v>
      </c>
      <c r="S38" s="106">
        <f t="shared" si="1"/>
        <v>286</v>
      </c>
      <c r="T38" s="106">
        <v>1284</v>
      </c>
      <c r="U38" s="106">
        <f t="shared" si="2"/>
        <v>0</v>
      </c>
      <c r="V38" s="106">
        <v>1284</v>
      </c>
      <c r="W38" s="106">
        <f t="shared" si="3"/>
        <v>498</v>
      </c>
      <c r="X38" s="106">
        <v>2280</v>
      </c>
      <c r="Y38" s="106">
        <f t="shared" si="4"/>
        <v>611</v>
      </c>
      <c r="Z38" s="106">
        <v>3502</v>
      </c>
      <c r="AA38" s="106">
        <f t="shared" si="5"/>
        <v>0</v>
      </c>
      <c r="AB38" s="106">
        <v>3502</v>
      </c>
      <c r="AC38" s="106">
        <f t="shared" si="6"/>
        <v>0</v>
      </c>
      <c r="AD38" s="106">
        <v>3502</v>
      </c>
      <c r="AE38" s="107">
        <f t="shared" si="7"/>
        <v>33</v>
      </c>
    </row>
    <row r="39" spans="2:31" ht="15.6" customHeight="1" x14ac:dyDescent="0.3">
      <c r="N39" s="212"/>
      <c r="O39" s="94" t="s">
        <v>69</v>
      </c>
      <c r="P39" s="108"/>
      <c r="Q39" s="108">
        <v>2884</v>
      </c>
      <c r="R39" s="108">
        <v>835</v>
      </c>
      <c r="S39" s="108">
        <f t="shared" si="1"/>
        <v>193</v>
      </c>
      <c r="T39" s="108">
        <v>1221</v>
      </c>
      <c r="U39" s="108">
        <f t="shared" si="2"/>
        <v>284</v>
      </c>
      <c r="V39" s="108">
        <v>1789</v>
      </c>
      <c r="W39" s="108">
        <f t="shared" si="3"/>
        <v>258</v>
      </c>
      <c r="X39" s="108">
        <v>2305</v>
      </c>
      <c r="Y39" s="108">
        <f t="shared" si="4"/>
        <v>288.5</v>
      </c>
      <c r="Z39" s="108">
        <v>2882</v>
      </c>
      <c r="AA39" s="108">
        <f t="shared" si="5"/>
        <v>0</v>
      </c>
      <c r="AB39" s="108">
        <v>2882</v>
      </c>
      <c r="AC39" s="108">
        <f t="shared" si="6"/>
        <v>0</v>
      </c>
      <c r="AD39" s="108">
        <v>2882</v>
      </c>
      <c r="AE39" s="109">
        <f t="shared" si="7"/>
        <v>-2</v>
      </c>
    </row>
    <row r="40" spans="2:31" ht="15.6" customHeight="1" x14ac:dyDescent="0.3">
      <c r="N40" s="212"/>
      <c r="O40" s="95" t="s">
        <v>70</v>
      </c>
      <c r="P40" s="106"/>
      <c r="Q40" s="106">
        <v>3365</v>
      </c>
      <c r="R40" s="106">
        <v>1004</v>
      </c>
      <c r="S40" s="106">
        <f t="shared" si="1"/>
        <v>401</v>
      </c>
      <c r="T40" s="106">
        <v>1806</v>
      </c>
      <c r="U40" s="106">
        <f t="shared" si="2"/>
        <v>123.5</v>
      </c>
      <c r="V40" s="106">
        <v>2053</v>
      </c>
      <c r="W40" s="106">
        <f t="shared" si="3"/>
        <v>440</v>
      </c>
      <c r="X40" s="106">
        <v>2933</v>
      </c>
      <c r="Y40" s="106">
        <f t="shared" si="4"/>
        <v>294</v>
      </c>
      <c r="Z40" s="106">
        <v>3521</v>
      </c>
      <c r="AA40" s="106">
        <f t="shared" si="5"/>
        <v>0</v>
      </c>
      <c r="AB40" s="106">
        <v>3521</v>
      </c>
      <c r="AC40" s="106">
        <f t="shared" si="6"/>
        <v>0</v>
      </c>
      <c r="AD40" s="106">
        <v>3521</v>
      </c>
      <c r="AE40" s="107">
        <f t="shared" si="7"/>
        <v>156</v>
      </c>
    </row>
    <row r="41" spans="2:31" ht="15.6" customHeight="1" x14ac:dyDescent="0.3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>
        <v>1974</v>
      </c>
      <c r="R42" s="106">
        <v>723</v>
      </c>
      <c r="S42" s="106">
        <f t="shared" si="1"/>
        <v>0</v>
      </c>
      <c r="T42" s="106">
        <v>723</v>
      </c>
      <c r="U42" s="106">
        <f t="shared" si="2"/>
        <v>532.5</v>
      </c>
      <c r="V42" s="106">
        <v>1788</v>
      </c>
      <c r="W42" s="106">
        <f t="shared" si="3"/>
        <v>0</v>
      </c>
      <c r="X42" s="106">
        <v>1788</v>
      </c>
      <c r="Y42" s="106">
        <f t="shared" si="4"/>
        <v>57</v>
      </c>
      <c r="Z42" s="106">
        <v>1902</v>
      </c>
      <c r="AA42" s="106">
        <f t="shared" si="5"/>
        <v>0</v>
      </c>
      <c r="AB42" s="106">
        <v>1902</v>
      </c>
      <c r="AC42" s="106">
        <f t="shared" si="6"/>
        <v>0</v>
      </c>
      <c r="AD42" s="106">
        <v>1902</v>
      </c>
      <c r="AE42" s="107">
        <f t="shared" si="7"/>
        <v>-72</v>
      </c>
    </row>
    <row r="43" spans="2:31" ht="15.6" customHeight="1" thickBot="1" x14ac:dyDescent="0.35">
      <c r="N43" s="213"/>
      <c r="O43" s="97" t="s">
        <v>73</v>
      </c>
      <c r="P43" s="110"/>
      <c r="Q43" s="110">
        <v>1713</v>
      </c>
      <c r="R43" s="110">
        <v>570</v>
      </c>
      <c r="S43" s="110">
        <f t="shared" si="1"/>
        <v>180</v>
      </c>
      <c r="T43" s="110">
        <v>930</v>
      </c>
      <c r="U43" s="110">
        <f t="shared" si="2"/>
        <v>0</v>
      </c>
      <c r="V43" s="110">
        <v>930</v>
      </c>
      <c r="W43" s="110">
        <f t="shared" si="3"/>
        <v>395</v>
      </c>
      <c r="X43" s="110">
        <v>1720</v>
      </c>
      <c r="Y43" s="110">
        <f t="shared" si="4"/>
        <v>0</v>
      </c>
      <c r="Z43" s="110">
        <v>1720</v>
      </c>
      <c r="AA43" s="110">
        <f t="shared" si="5"/>
        <v>0</v>
      </c>
      <c r="AB43" s="110">
        <v>1720</v>
      </c>
      <c r="AC43" s="110">
        <f t="shared" si="6"/>
        <v>0</v>
      </c>
      <c r="AD43" s="110">
        <v>1720</v>
      </c>
      <c r="AE43" s="111">
        <f t="shared" si="7"/>
        <v>7</v>
      </c>
    </row>
    <row r="44" spans="2:31" ht="15.6" customHeight="1" x14ac:dyDescent="0.3">
      <c r="N44" s="211" t="s">
        <v>27</v>
      </c>
      <c r="O44" s="98" t="s">
        <v>65</v>
      </c>
      <c r="P44" s="112"/>
      <c r="Q44" s="112">
        <v>2505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796.5</v>
      </c>
      <c r="V44" s="112">
        <v>1593</v>
      </c>
      <c r="W44" s="112">
        <f t="shared" si="3"/>
        <v>456</v>
      </c>
      <c r="X44" s="112">
        <v>2505</v>
      </c>
      <c r="Y44" s="112">
        <f t="shared" si="4"/>
        <v>0</v>
      </c>
      <c r="Z44" s="112">
        <v>2505</v>
      </c>
      <c r="AA44" s="112">
        <f t="shared" si="5"/>
        <v>0</v>
      </c>
      <c r="AB44" s="112">
        <v>2505</v>
      </c>
      <c r="AC44" s="112">
        <f t="shared" si="6"/>
        <v>0</v>
      </c>
      <c r="AD44" s="112">
        <v>2505</v>
      </c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>
        <v>2029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456</v>
      </c>
      <c r="V45" s="108">
        <v>912</v>
      </c>
      <c r="W45" s="108">
        <f t="shared" si="3"/>
        <v>558.5</v>
      </c>
      <c r="X45" s="108">
        <v>2029</v>
      </c>
      <c r="Y45" s="108">
        <f t="shared" si="4"/>
        <v>0</v>
      </c>
      <c r="Z45" s="108">
        <v>2029</v>
      </c>
      <c r="AA45" s="108">
        <f t="shared" si="5"/>
        <v>0</v>
      </c>
      <c r="AB45" s="108">
        <v>2029</v>
      </c>
      <c r="AC45" s="108">
        <f t="shared" si="6"/>
        <v>0</v>
      </c>
      <c r="AD45" s="108">
        <v>2029</v>
      </c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>
        <v>2299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1149.5</v>
      </c>
      <c r="V46" s="106">
        <v>2299</v>
      </c>
      <c r="W46" s="106">
        <f t="shared" si="3"/>
        <v>0</v>
      </c>
      <c r="X46" s="106">
        <v>2299</v>
      </c>
      <c r="Y46" s="106">
        <f t="shared" si="4"/>
        <v>0</v>
      </c>
      <c r="Z46" s="106">
        <v>2299</v>
      </c>
      <c r="AA46" s="106">
        <f t="shared" si="5"/>
        <v>0</v>
      </c>
      <c r="AB46" s="106">
        <v>2299</v>
      </c>
      <c r="AC46" s="106">
        <f t="shared" si="6"/>
        <v>0</v>
      </c>
      <c r="AD46" s="106">
        <v>2299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>
        <v>2530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1265</v>
      </c>
      <c r="V47" s="110">
        <v>2530</v>
      </c>
      <c r="W47" s="110">
        <f t="shared" si="3"/>
        <v>0</v>
      </c>
      <c r="X47" s="110">
        <v>2530</v>
      </c>
      <c r="Y47" s="110">
        <f t="shared" si="4"/>
        <v>0</v>
      </c>
      <c r="Z47" s="110">
        <v>2530</v>
      </c>
      <c r="AA47" s="110">
        <f t="shared" si="5"/>
        <v>0</v>
      </c>
      <c r="AB47" s="110">
        <v>2530</v>
      </c>
      <c r="AC47" s="110">
        <f t="shared" si="6"/>
        <v>0</v>
      </c>
      <c r="AD47" s="110">
        <v>2530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>
        <v>338</v>
      </c>
      <c r="R48" s="112">
        <v>0</v>
      </c>
      <c r="S48" s="112" t="str">
        <f t="shared" si="1"/>
        <v/>
      </c>
      <c r="T48" s="112">
        <v>0</v>
      </c>
      <c r="U48" s="112" t="str">
        <f t="shared" si="2"/>
        <v/>
      </c>
      <c r="V48" s="112">
        <v>0</v>
      </c>
      <c r="W48" s="112">
        <f t="shared" si="3"/>
        <v>135.5</v>
      </c>
      <c r="X48" s="112">
        <v>271</v>
      </c>
      <c r="Y48" s="112">
        <f t="shared" si="4"/>
        <v>28</v>
      </c>
      <c r="Z48" s="112">
        <v>327</v>
      </c>
      <c r="AA48" s="112">
        <f t="shared" si="5"/>
        <v>0</v>
      </c>
      <c r="AB48" s="112">
        <v>327</v>
      </c>
      <c r="AC48" s="112">
        <f t="shared" si="6"/>
        <v>0</v>
      </c>
      <c r="AD48" s="112">
        <v>327</v>
      </c>
      <c r="AE48" s="113">
        <f t="shared" si="7"/>
        <v>-11</v>
      </c>
    </row>
    <row r="49" spans="14:31" ht="15.6" customHeight="1" x14ac:dyDescent="0.3">
      <c r="N49" s="212"/>
      <c r="O49" s="94" t="s">
        <v>66</v>
      </c>
      <c r="P49" s="108"/>
      <c r="Q49" s="108">
        <v>400</v>
      </c>
      <c r="R49" s="108">
        <v>1</v>
      </c>
      <c r="S49" s="108">
        <f t="shared" si="1"/>
        <v>0</v>
      </c>
      <c r="T49" s="108">
        <v>1</v>
      </c>
      <c r="U49" s="108">
        <f t="shared" si="2"/>
        <v>166</v>
      </c>
      <c r="V49" s="108">
        <v>333</v>
      </c>
      <c r="W49" s="108">
        <f t="shared" si="3"/>
        <v>0</v>
      </c>
      <c r="X49" s="108">
        <v>333</v>
      </c>
      <c r="Y49" s="108">
        <f t="shared" si="4"/>
        <v>0</v>
      </c>
      <c r="Z49" s="108">
        <v>333</v>
      </c>
      <c r="AA49" s="108">
        <f t="shared" si="5"/>
        <v>0</v>
      </c>
      <c r="AB49" s="108">
        <v>333</v>
      </c>
      <c r="AC49" s="108">
        <f t="shared" si="6"/>
        <v>0</v>
      </c>
      <c r="AD49" s="108">
        <v>333</v>
      </c>
      <c r="AE49" s="109">
        <f t="shared" si="7"/>
        <v>-67</v>
      </c>
    </row>
    <row r="50" spans="14:31" ht="15.6" customHeight="1" x14ac:dyDescent="0.3">
      <c r="N50" s="212"/>
      <c r="O50" s="95" t="s">
        <v>67</v>
      </c>
      <c r="P50" s="106"/>
      <c r="Q50" s="106">
        <v>1770</v>
      </c>
      <c r="R50" s="106">
        <v>537</v>
      </c>
      <c r="S50" s="106">
        <f t="shared" si="1"/>
        <v>366.5</v>
      </c>
      <c r="T50" s="106">
        <v>1270</v>
      </c>
      <c r="U50" s="106">
        <f t="shared" si="2"/>
        <v>70.5</v>
      </c>
      <c r="V50" s="106">
        <v>1411</v>
      </c>
      <c r="W50" s="106">
        <f t="shared" si="3"/>
        <v>146</v>
      </c>
      <c r="X50" s="106">
        <v>1703</v>
      </c>
      <c r="Y50" s="106">
        <f t="shared" si="4"/>
        <v>0</v>
      </c>
      <c r="Z50" s="106">
        <v>1703</v>
      </c>
      <c r="AA50" s="106">
        <f t="shared" si="5"/>
        <v>0</v>
      </c>
      <c r="AB50" s="106">
        <v>1703</v>
      </c>
      <c r="AC50" s="106">
        <f t="shared" si="6"/>
        <v>0</v>
      </c>
      <c r="AD50" s="106">
        <v>1703</v>
      </c>
      <c r="AE50" s="107">
        <f t="shared" si="7"/>
        <v>-67</v>
      </c>
    </row>
    <row r="51" spans="14:31" ht="15.6" customHeight="1" x14ac:dyDescent="0.3">
      <c r="N51" s="212"/>
      <c r="O51" s="94" t="s">
        <v>68</v>
      </c>
      <c r="P51" s="108"/>
      <c r="Q51" s="108">
        <v>1645</v>
      </c>
      <c r="R51" s="108">
        <v>12</v>
      </c>
      <c r="S51" s="108">
        <f t="shared" si="1"/>
        <v>496.5</v>
      </c>
      <c r="T51" s="108">
        <v>1005</v>
      </c>
      <c r="U51" s="108">
        <f t="shared" si="2"/>
        <v>95</v>
      </c>
      <c r="V51" s="108">
        <v>1195</v>
      </c>
      <c r="W51" s="108">
        <f t="shared" si="3"/>
        <v>110.5</v>
      </c>
      <c r="X51" s="108">
        <v>1416</v>
      </c>
      <c r="Y51" s="108">
        <f t="shared" si="4"/>
        <v>0</v>
      </c>
      <c r="Z51" s="108">
        <v>1416</v>
      </c>
      <c r="AA51" s="108">
        <f t="shared" si="5"/>
        <v>0</v>
      </c>
      <c r="AB51" s="108">
        <v>1416</v>
      </c>
      <c r="AC51" s="108">
        <f t="shared" si="6"/>
        <v>0</v>
      </c>
      <c r="AD51" s="108">
        <v>1416</v>
      </c>
      <c r="AE51" s="109">
        <f t="shared" si="7"/>
        <v>-229</v>
      </c>
    </row>
    <row r="52" spans="14:31" ht="15.6" customHeight="1" x14ac:dyDescent="0.3">
      <c r="N52" s="212"/>
      <c r="O52" s="95" t="s">
        <v>69</v>
      </c>
      <c r="P52" s="106"/>
      <c r="Q52" s="106">
        <v>2057</v>
      </c>
      <c r="R52" s="106">
        <v>883</v>
      </c>
      <c r="S52" s="106">
        <f t="shared" si="1"/>
        <v>253.5</v>
      </c>
      <c r="T52" s="106">
        <v>1390</v>
      </c>
      <c r="U52" s="106">
        <f t="shared" si="2"/>
        <v>65</v>
      </c>
      <c r="V52" s="106">
        <v>1520</v>
      </c>
      <c r="W52" s="106">
        <f t="shared" si="3"/>
        <v>257.5</v>
      </c>
      <c r="X52" s="106">
        <v>2035</v>
      </c>
      <c r="Y52" s="106">
        <f t="shared" si="4"/>
        <v>0</v>
      </c>
      <c r="Z52" s="106">
        <v>2035</v>
      </c>
      <c r="AA52" s="106">
        <f t="shared" si="5"/>
        <v>0</v>
      </c>
      <c r="AB52" s="106">
        <v>2035</v>
      </c>
      <c r="AC52" s="106">
        <f t="shared" si="6"/>
        <v>0</v>
      </c>
      <c r="AD52" s="106">
        <v>2035</v>
      </c>
      <c r="AE52" s="107">
        <f t="shared" si="7"/>
        <v>-22</v>
      </c>
    </row>
    <row r="53" spans="14:31" ht="15.6" customHeight="1" x14ac:dyDescent="0.3">
      <c r="N53" s="212"/>
      <c r="O53" s="94" t="s">
        <v>70</v>
      </c>
      <c r="P53" s="108"/>
      <c r="Q53" s="108">
        <v>1338</v>
      </c>
      <c r="R53" s="108">
        <v>663</v>
      </c>
      <c r="S53" s="108">
        <f t="shared" si="1"/>
        <v>146.5</v>
      </c>
      <c r="T53" s="108">
        <v>956</v>
      </c>
      <c r="U53" s="108">
        <f t="shared" si="2"/>
        <v>91.5</v>
      </c>
      <c r="V53" s="108">
        <v>1139</v>
      </c>
      <c r="W53" s="108">
        <f t="shared" si="3"/>
        <v>48.5</v>
      </c>
      <c r="X53" s="108">
        <v>1236</v>
      </c>
      <c r="Y53" s="108">
        <f t="shared" si="4"/>
        <v>0</v>
      </c>
      <c r="Z53" s="108">
        <v>1236</v>
      </c>
      <c r="AA53" s="108">
        <f t="shared" si="5"/>
        <v>0</v>
      </c>
      <c r="AB53" s="108">
        <v>1236</v>
      </c>
      <c r="AC53" s="108">
        <f t="shared" si="6"/>
        <v>0</v>
      </c>
      <c r="AD53" s="108">
        <v>1236</v>
      </c>
      <c r="AE53" s="109">
        <f t="shared" si="7"/>
        <v>-102</v>
      </c>
    </row>
    <row r="54" spans="14:31" ht="15.6" customHeight="1" x14ac:dyDescent="0.3">
      <c r="N54" s="212"/>
      <c r="O54" s="95" t="s">
        <v>71</v>
      </c>
      <c r="P54" s="106"/>
      <c r="Q54" s="106">
        <v>3461</v>
      </c>
      <c r="R54" s="106">
        <v>1000</v>
      </c>
      <c r="S54" s="106">
        <f t="shared" si="1"/>
        <v>300</v>
      </c>
      <c r="T54" s="106">
        <v>1600</v>
      </c>
      <c r="U54" s="106">
        <f t="shared" si="2"/>
        <v>437</v>
      </c>
      <c r="V54" s="106">
        <v>2474</v>
      </c>
      <c r="W54" s="106">
        <f t="shared" si="3"/>
        <v>546.5</v>
      </c>
      <c r="X54" s="106">
        <v>3567</v>
      </c>
      <c r="Y54" s="106">
        <f t="shared" si="4"/>
        <v>0</v>
      </c>
      <c r="Z54" s="106">
        <v>3567</v>
      </c>
      <c r="AA54" s="106">
        <f t="shared" si="5"/>
        <v>0</v>
      </c>
      <c r="AB54" s="106">
        <v>3567</v>
      </c>
      <c r="AC54" s="106">
        <f t="shared" si="6"/>
        <v>0</v>
      </c>
      <c r="AD54" s="106">
        <v>3567</v>
      </c>
      <c r="AE54" s="107">
        <f t="shared" si="7"/>
        <v>106</v>
      </c>
    </row>
    <row r="55" spans="14:31" ht="15.6" customHeight="1" x14ac:dyDescent="0.3">
      <c r="N55" s="212"/>
      <c r="O55" s="94" t="s">
        <v>72</v>
      </c>
      <c r="P55" s="108"/>
      <c r="Q55" s="108">
        <v>199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99.5</v>
      </c>
      <c r="X55" s="108">
        <v>199</v>
      </c>
      <c r="Y55" s="108">
        <f t="shared" si="4"/>
        <v>0</v>
      </c>
      <c r="Z55" s="108">
        <v>199</v>
      </c>
      <c r="AA55" s="108">
        <f t="shared" si="5"/>
        <v>0</v>
      </c>
      <c r="AB55" s="108">
        <v>199</v>
      </c>
      <c r="AC55" s="108">
        <f t="shared" si="6"/>
        <v>0</v>
      </c>
      <c r="AD55" s="108">
        <v>199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1047</v>
      </c>
      <c r="R56" s="114">
        <v>0</v>
      </c>
      <c r="S56" s="114">
        <f t="shared" si="1"/>
        <v>45.5</v>
      </c>
      <c r="T56" s="114">
        <v>91</v>
      </c>
      <c r="U56" s="114">
        <f t="shared" si="2"/>
        <v>221.5</v>
      </c>
      <c r="V56" s="114">
        <v>534</v>
      </c>
      <c r="W56" s="114">
        <f t="shared" si="3"/>
        <v>283.5</v>
      </c>
      <c r="X56" s="114">
        <v>1101</v>
      </c>
      <c r="Y56" s="114">
        <f t="shared" si="4"/>
        <v>0</v>
      </c>
      <c r="Z56" s="114">
        <v>1101</v>
      </c>
      <c r="AA56" s="114">
        <f t="shared" si="5"/>
        <v>0</v>
      </c>
      <c r="AB56" s="114">
        <v>1101</v>
      </c>
      <c r="AC56" s="114">
        <f t="shared" si="6"/>
        <v>0</v>
      </c>
      <c r="AD56" s="114">
        <v>1101</v>
      </c>
      <c r="AE56" s="115">
        <f t="shared" si="7"/>
        <v>54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1715</v>
      </c>
      <c r="R57" s="104">
        <v>637</v>
      </c>
      <c r="S57" s="104">
        <f t="shared" si="1"/>
        <v>0</v>
      </c>
      <c r="T57" s="104">
        <v>637</v>
      </c>
      <c r="U57" s="104">
        <f t="shared" si="2"/>
        <v>185.5</v>
      </c>
      <c r="V57" s="104">
        <v>1008</v>
      </c>
      <c r="W57" s="104">
        <f t="shared" si="3"/>
        <v>200.5</v>
      </c>
      <c r="X57" s="104">
        <v>1409</v>
      </c>
      <c r="Y57" s="104">
        <f t="shared" si="4"/>
        <v>0</v>
      </c>
      <c r="Z57" s="104">
        <v>1409</v>
      </c>
      <c r="AA57" s="104">
        <f t="shared" si="5"/>
        <v>0</v>
      </c>
      <c r="AB57" s="104">
        <v>1409</v>
      </c>
      <c r="AC57" s="104">
        <f t="shared" si="6"/>
        <v>0</v>
      </c>
      <c r="AD57" s="104">
        <v>1409</v>
      </c>
      <c r="AE57" s="105">
        <f t="shared" si="7"/>
        <v>-306</v>
      </c>
    </row>
    <row r="58" spans="14:31" ht="15.6" customHeight="1" x14ac:dyDescent="0.3">
      <c r="N58" s="212"/>
      <c r="O58" s="95" t="s">
        <v>66</v>
      </c>
      <c r="P58" s="106"/>
      <c r="Q58" s="106">
        <v>2935</v>
      </c>
      <c r="R58" s="106">
        <v>53</v>
      </c>
      <c r="S58" s="106">
        <f t="shared" si="1"/>
        <v>325.5</v>
      </c>
      <c r="T58" s="106">
        <v>704</v>
      </c>
      <c r="U58" s="106">
        <f t="shared" si="2"/>
        <v>372.5</v>
      </c>
      <c r="V58" s="106">
        <v>1449</v>
      </c>
      <c r="W58" s="106">
        <f t="shared" si="3"/>
        <v>724</v>
      </c>
      <c r="X58" s="106">
        <v>2897</v>
      </c>
      <c r="Y58" s="106">
        <f t="shared" si="4"/>
        <v>26</v>
      </c>
      <c r="Z58" s="106">
        <v>2949</v>
      </c>
      <c r="AA58" s="106">
        <f t="shared" si="5"/>
        <v>0</v>
      </c>
      <c r="AB58" s="106">
        <v>2949</v>
      </c>
      <c r="AC58" s="106">
        <f t="shared" si="6"/>
        <v>0</v>
      </c>
      <c r="AD58" s="106">
        <v>2949</v>
      </c>
      <c r="AE58" s="107">
        <f t="shared" si="7"/>
        <v>14</v>
      </c>
    </row>
    <row r="59" spans="14:31" ht="15.6" customHeight="1" x14ac:dyDescent="0.3">
      <c r="N59" s="212"/>
      <c r="O59" s="94" t="s">
        <v>67</v>
      </c>
      <c r="P59" s="108"/>
      <c r="Q59" s="108">
        <v>3242</v>
      </c>
      <c r="R59" s="108">
        <v>1351</v>
      </c>
      <c r="S59" s="108">
        <f t="shared" si="1"/>
        <v>257</v>
      </c>
      <c r="T59" s="108">
        <v>1865</v>
      </c>
      <c r="U59" s="108">
        <f t="shared" si="2"/>
        <v>278.5</v>
      </c>
      <c r="V59" s="108">
        <v>2422</v>
      </c>
      <c r="W59" s="108">
        <f t="shared" si="3"/>
        <v>473.5</v>
      </c>
      <c r="X59" s="108">
        <v>3369</v>
      </c>
      <c r="Y59" s="108">
        <f t="shared" si="4"/>
        <v>0</v>
      </c>
      <c r="Z59" s="108">
        <v>3369</v>
      </c>
      <c r="AA59" s="108">
        <f t="shared" si="5"/>
        <v>0</v>
      </c>
      <c r="AB59" s="108">
        <v>3369</v>
      </c>
      <c r="AC59" s="108">
        <f t="shared" si="6"/>
        <v>0</v>
      </c>
      <c r="AD59" s="108">
        <v>3369</v>
      </c>
      <c r="AE59" s="109">
        <f t="shared" si="7"/>
        <v>127</v>
      </c>
    </row>
    <row r="60" spans="14:31" ht="15.6" customHeight="1" thickBot="1" x14ac:dyDescent="0.35">
      <c r="N60" s="213"/>
      <c r="O60" s="99" t="s">
        <v>68</v>
      </c>
      <c r="P60" s="114"/>
      <c r="Q60" s="114">
        <v>4164</v>
      </c>
      <c r="R60" s="114">
        <v>508</v>
      </c>
      <c r="S60" s="114">
        <f t="shared" si="1"/>
        <v>0</v>
      </c>
      <c r="T60" s="114">
        <v>508</v>
      </c>
      <c r="U60" s="114">
        <f t="shared" si="2"/>
        <v>503</v>
      </c>
      <c r="V60" s="114">
        <v>1514</v>
      </c>
      <c r="W60" s="114">
        <f t="shared" si="3"/>
        <v>854.5</v>
      </c>
      <c r="X60" s="114">
        <v>3223</v>
      </c>
      <c r="Y60" s="114">
        <f t="shared" si="4"/>
        <v>376.5</v>
      </c>
      <c r="Z60" s="114">
        <v>3976</v>
      </c>
      <c r="AA60" s="114">
        <f t="shared" si="5"/>
        <v>0</v>
      </c>
      <c r="AB60" s="114">
        <v>3976</v>
      </c>
      <c r="AC60" s="114">
        <f t="shared" si="6"/>
        <v>0</v>
      </c>
      <c r="AD60" s="114">
        <v>3976</v>
      </c>
      <c r="AE60" s="115">
        <f t="shared" si="7"/>
        <v>-188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5044</v>
      </c>
      <c r="R61" s="104">
        <v>273</v>
      </c>
      <c r="S61" s="104">
        <f t="shared" si="1"/>
        <v>717</v>
      </c>
      <c r="T61" s="104">
        <v>1707</v>
      </c>
      <c r="U61" s="104">
        <f t="shared" si="2"/>
        <v>161</v>
      </c>
      <c r="V61" s="104">
        <v>2029</v>
      </c>
      <c r="W61" s="104">
        <f t="shared" si="3"/>
        <v>389</v>
      </c>
      <c r="X61" s="104">
        <v>2807</v>
      </c>
      <c r="Y61" s="104">
        <f t="shared" si="4"/>
        <v>346.5</v>
      </c>
      <c r="Z61" s="104">
        <v>3500</v>
      </c>
      <c r="AA61" s="104">
        <f t="shared" si="5"/>
        <v>0</v>
      </c>
      <c r="AB61" s="104">
        <v>3500</v>
      </c>
      <c r="AC61" s="104">
        <f t="shared" si="6"/>
        <v>0</v>
      </c>
      <c r="AD61" s="104">
        <v>3500</v>
      </c>
      <c r="AE61" s="105">
        <f t="shared" si="7"/>
        <v>-1544</v>
      </c>
    </row>
    <row r="62" spans="14:31" ht="15.6" customHeight="1" x14ac:dyDescent="0.3">
      <c r="N62" s="212"/>
      <c r="O62" s="95" t="s">
        <v>66</v>
      </c>
      <c r="P62" s="106"/>
      <c r="Q62" s="106">
        <v>2831</v>
      </c>
      <c r="R62" s="106">
        <v>119</v>
      </c>
      <c r="S62" s="106">
        <f t="shared" si="1"/>
        <v>138</v>
      </c>
      <c r="T62" s="106">
        <v>395</v>
      </c>
      <c r="U62" s="106">
        <f t="shared" si="2"/>
        <v>57.5</v>
      </c>
      <c r="V62" s="106">
        <v>510</v>
      </c>
      <c r="W62" s="106">
        <f t="shared" si="3"/>
        <v>481</v>
      </c>
      <c r="X62" s="106">
        <v>1472</v>
      </c>
      <c r="Y62" s="106">
        <f t="shared" si="4"/>
        <v>402</v>
      </c>
      <c r="Z62" s="106">
        <v>2276</v>
      </c>
      <c r="AA62" s="106">
        <f t="shared" si="5"/>
        <v>0</v>
      </c>
      <c r="AB62" s="106">
        <v>2276</v>
      </c>
      <c r="AC62" s="106">
        <f t="shared" si="6"/>
        <v>0</v>
      </c>
      <c r="AD62" s="106">
        <v>2276</v>
      </c>
      <c r="AE62" s="107">
        <f t="shared" si="7"/>
        <v>-555</v>
      </c>
    </row>
    <row r="63" spans="14:31" ht="15.6" customHeight="1" x14ac:dyDescent="0.3">
      <c r="N63" s="212"/>
      <c r="O63" s="94" t="s">
        <v>67</v>
      </c>
      <c r="P63" s="108"/>
      <c r="Q63" s="108">
        <v>1825</v>
      </c>
      <c r="R63" s="108">
        <v>0</v>
      </c>
      <c r="S63" s="108">
        <f t="shared" si="1"/>
        <v>244.5</v>
      </c>
      <c r="T63" s="108">
        <v>489</v>
      </c>
      <c r="U63" s="108">
        <f t="shared" si="2"/>
        <v>346.5</v>
      </c>
      <c r="V63" s="108">
        <v>1182</v>
      </c>
      <c r="W63" s="108">
        <f t="shared" si="3"/>
        <v>179</v>
      </c>
      <c r="X63" s="108">
        <v>1540</v>
      </c>
      <c r="Y63" s="108">
        <f t="shared" si="4"/>
        <v>89</v>
      </c>
      <c r="Z63" s="108">
        <v>1718</v>
      </c>
      <c r="AA63" s="108">
        <f t="shared" si="5"/>
        <v>0</v>
      </c>
      <c r="AB63" s="108">
        <v>1718</v>
      </c>
      <c r="AC63" s="108">
        <f t="shared" si="6"/>
        <v>0</v>
      </c>
      <c r="AD63" s="108">
        <v>1718</v>
      </c>
      <c r="AE63" s="109">
        <f t="shared" si="7"/>
        <v>-107</v>
      </c>
    </row>
    <row r="64" spans="14:31" ht="15.6" customHeight="1" thickBot="1" x14ac:dyDescent="0.35">
      <c r="N64" s="213"/>
      <c r="O64" s="99" t="s">
        <v>68</v>
      </c>
      <c r="P64" s="114"/>
      <c r="Q64" s="114">
        <v>2348</v>
      </c>
      <c r="R64" s="114">
        <v>1051</v>
      </c>
      <c r="S64" s="114">
        <f t="shared" si="1"/>
        <v>206.5</v>
      </c>
      <c r="T64" s="114">
        <v>1464</v>
      </c>
      <c r="U64" s="114">
        <f t="shared" si="2"/>
        <v>18</v>
      </c>
      <c r="V64" s="114">
        <v>1500</v>
      </c>
      <c r="W64" s="114">
        <f t="shared" si="3"/>
        <v>173.5</v>
      </c>
      <c r="X64" s="114">
        <v>1847</v>
      </c>
      <c r="Y64" s="114">
        <f t="shared" si="4"/>
        <v>124.5</v>
      </c>
      <c r="Z64" s="114">
        <v>2096</v>
      </c>
      <c r="AA64" s="114">
        <f t="shared" si="5"/>
        <v>0</v>
      </c>
      <c r="AB64" s="114">
        <v>2096</v>
      </c>
      <c r="AC64" s="114">
        <f t="shared" si="6"/>
        <v>0</v>
      </c>
      <c r="AD64" s="114">
        <v>2096</v>
      </c>
      <c r="AE64" s="115">
        <f t="shared" si="7"/>
        <v>-252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95" priority="11" operator="lessThan">
      <formula>0</formula>
    </cfRule>
    <cfRule type="cellIs" dxfId="994" priority="12" operator="greaterThan">
      <formula>0</formula>
    </cfRule>
  </conditionalFormatting>
  <conditionalFormatting sqref="R25:AC25">
    <cfRule type="cellIs" dxfId="993" priority="9" operator="lessThan">
      <formula>0</formula>
    </cfRule>
    <cfRule type="cellIs" dxfId="992" priority="10" operator="greaterThan">
      <formula>0</formula>
    </cfRule>
  </conditionalFormatting>
  <conditionalFormatting sqref="R26 T26 V26 X26 Z26 AB26">
    <cfRule type="cellIs" dxfId="991" priority="7" operator="lessThan">
      <formula>0</formula>
    </cfRule>
    <cfRule type="cellIs" dxfId="990" priority="8" operator="greaterThan">
      <formula>0</formula>
    </cfRule>
  </conditionalFormatting>
  <conditionalFormatting sqref="AD24:AE24">
    <cfRule type="cellIs" dxfId="989" priority="5" operator="lessThan">
      <formula>0</formula>
    </cfRule>
    <cfRule type="cellIs" dxfId="988" priority="6" operator="greaterThan">
      <formula>0</formula>
    </cfRule>
  </conditionalFormatting>
  <conditionalFormatting sqref="AD25:AE25">
    <cfRule type="cellIs" dxfId="987" priority="3" operator="lessThan">
      <formula>0</formula>
    </cfRule>
    <cfRule type="cellIs" dxfId="986" priority="4" operator="greaterThan">
      <formula>0</formula>
    </cfRule>
  </conditionalFormatting>
  <conditionalFormatting sqref="AD26">
    <cfRule type="cellIs" dxfId="985" priority="1" operator="lessThan">
      <formula>0</formula>
    </cfRule>
    <cfRule type="cellIs" dxfId="98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>
    <tabColor theme="1"/>
    <pageSetUpPr fitToPage="1"/>
  </sheetPr>
  <dimension ref="B1:AQ64"/>
  <sheetViews>
    <sheetView topLeftCell="F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44436</v>
      </c>
    </row>
    <row r="3" spans="2:42" ht="18.75" customHeight="1" thickBot="1" x14ac:dyDescent="0.35">
      <c r="B3" t="s">
        <v>1</v>
      </c>
      <c r="C3" s="3">
        <f>C2+1</f>
        <v>44437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16800</v>
      </c>
      <c r="G6" s="117">
        <v>13997.204250000001</v>
      </c>
      <c r="H6" s="117">
        <v>11175.04076494</v>
      </c>
      <c r="I6" s="19">
        <f>G6+H6</f>
        <v>25172.245014940003</v>
      </c>
      <c r="J6" s="119">
        <v>16401</v>
      </c>
      <c r="K6" s="117">
        <v>13586.115</v>
      </c>
      <c r="L6" s="117">
        <v>10686.097288360001</v>
      </c>
      <c r="M6" s="19">
        <f>K6+L6</f>
        <v>24272.212288360002</v>
      </c>
      <c r="N6" s="85">
        <v>78</v>
      </c>
      <c r="O6" s="85">
        <v>63</v>
      </c>
      <c r="P6" s="92"/>
      <c r="Q6" s="20">
        <f>J6-P6</f>
        <v>16401</v>
      </c>
      <c r="R6" s="21">
        <v>4988</v>
      </c>
      <c r="S6" s="20">
        <f>IF(R6&gt;0,(R6-R7-$Q6),"")</f>
        <v>-11533</v>
      </c>
      <c r="T6" s="21">
        <v>7600</v>
      </c>
      <c r="U6" s="20">
        <f>IF(T6&gt;0,(T6-T7-$Q6),"")</f>
        <v>-8960</v>
      </c>
      <c r="V6" s="21">
        <v>12985</v>
      </c>
      <c r="W6" s="20">
        <f>IF(V6&gt;0,(V6-V7-$Q6),"")</f>
        <v>-3647</v>
      </c>
      <c r="X6" s="21">
        <v>13430</v>
      </c>
      <c r="Y6" s="20">
        <f>IF(X6&gt;0,(X6-X7-$Q6),"")</f>
        <v>-3204</v>
      </c>
      <c r="Z6" s="21">
        <v>13430</v>
      </c>
      <c r="AA6" s="20">
        <f>IF(Z6&gt;0,(Z6-Z7-$Q6),"")</f>
        <v>-3204</v>
      </c>
      <c r="AB6" s="21">
        <v>13430</v>
      </c>
      <c r="AC6" s="22">
        <f>IF(AB6&gt;0,(AB6-AB7-$Q6),"")</f>
        <v>-3204</v>
      </c>
      <c r="AD6" s="21">
        <v>13430</v>
      </c>
      <c r="AE6" s="22">
        <f>IF(AD6&gt;0,(AD6-AD7-$Q6),"")</f>
        <v>-3204</v>
      </c>
    </row>
    <row r="7" spans="2:42" x14ac:dyDescent="0.3">
      <c r="B7" s="16" t="s">
        <v>23</v>
      </c>
      <c r="C7" s="17">
        <v>2061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120</v>
      </c>
      <c r="S7" s="24"/>
      <c r="T7" s="25">
        <v>159</v>
      </c>
      <c r="U7" s="24"/>
      <c r="V7" s="25">
        <v>231</v>
      </c>
      <c r="W7" s="24"/>
      <c r="X7" s="25">
        <v>233</v>
      </c>
      <c r="Y7" s="24"/>
      <c r="Z7" s="25">
        <v>233</v>
      </c>
      <c r="AA7" s="24"/>
      <c r="AB7" s="25">
        <v>233</v>
      </c>
      <c r="AC7" s="26"/>
      <c r="AD7" s="25">
        <v>233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3197</v>
      </c>
      <c r="E8" s="29" t="s">
        <v>27</v>
      </c>
      <c r="F8" s="119">
        <v>11270</v>
      </c>
      <c r="G8" s="117">
        <v>4350.0249999999996</v>
      </c>
      <c r="H8" s="117">
        <v>1485.8370024999999</v>
      </c>
      <c r="I8" s="19">
        <f>G8+H8</f>
        <v>5835.8620025</v>
      </c>
      <c r="J8" s="119">
        <v>12219</v>
      </c>
      <c r="K8" s="117">
        <v>4717.777</v>
      </c>
      <c r="L8" s="117">
        <v>1599.4525412999999</v>
      </c>
      <c r="M8" s="19">
        <f>K8+L8</f>
        <v>6317.2295413000002</v>
      </c>
      <c r="N8" s="87">
        <v>30</v>
      </c>
      <c r="O8" s="87">
        <v>24</v>
      </c>
      <c r="P8" s="92"/>
      <c r="Q8" s="20">
        <f>J8-P8</f>
        <v>12219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11497</v>
      </c>
      <c r="W8" s="20">
        <f>IF(V8&gt;0,(V8-V9-$Q8),"")</f>
        <v>-2825</v>
      </c>
      <c r="X8" s="21">
        <v>14322</v>
      </c>
      <c r="Y8" s="20">
        <f>IF(X8&gt;0,(X8-X9-$Q8),"")</f>
        <v>0</v>
      </c>
      <c r="Z8" s="21">
        <v>14322</v>
      </c>
      <c r="AA8" s="20">
        <f>IF(Z8&gt;0,(Z8-Z9-$Q8),"")</f>
        <v>0</v>
      </c>
      <c r="AB8" s="21">
        <v>14322</v>
      </c>
      <c r="AC8" s="22">
        <f>IF(AB8&gt;0,(AB8-AB9-$Q8),"")</f>
        <v>0</v>
      </c>
      <c r="AD8" s="21">
        <v>14322</v>
      </c>
      <c r="AE8" s="22">
        <f>IF(AD8&gt;0,(AD8-AD9-$Q8),"")</f>
        <v>0</v>
      </c>
    </row>
    <row r="9" spans="2:42" x14ac:dyDescent="0.3">
      <c r="B9" s="28" t="s">
        <v>28</v>
      </c>
      <c r="C9" s="17">
        <v>1540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2103</v>
      </c>
      <c r="W9" s="24"/>
      <c r="X9" s="30">
        <v>2103</v>
      </c>
      <c r="Y9" s="24"/>
      <c r="Z9" s="30">
        <v>2103</v>
      </c>
      <c r="AA9" s="24"/>
      <c r="AB9" s="30">
        <v>2103</v>
      </c>
      <c r="AC9" s="26"/>
      <c r="AD9" s="30">
        <v>2103</v>
      </c>
      <c r="AE9" s="26"/>
    </row>
    <row r="10" spans="2:42" x14ac:dyDescent="0.3">
      <c r="B10" s="16" t="s">
        <v>30</v>
      </c>
      <c r="C10" s="17">
        <v>4261</v>
      </c>
      <c r="E10" s="18" t="s">
        <v>31</v>
      </c>
      <c r="F10" s="119">
        <v>21429</v>
      </c>
      <c r="G10" s="117">
        <v>17052.320031250001</v>
      </c>
      <c r="H10" s="117">
        <v>1479.2733000000001</v>
      </c>
      <c r="I10" s="19">
        <f>G10+H10</f>
        <v>18531.593331250002</v>
      </c>
      <c r="J10" s="119">
        <v>21565</v>
      </c>
      <c r="K10" s="117">
        <v>17422.458531249998</v>
      </c>
      <c r="L10" s="117">
        <v>1364.7765850000001</v>
      </c>
      <c r="M10" s="19">
        <f>K10+L10</f>
        <v>18787.235116249998</v>
      </c>
      <c r="N10" s="88">
        <v>62</v>
      </c>
      <c r="O10" s="88">
        <v>53</v>
      </c>
      <c r="P10" s="92"/>
      <c r="Q10" s="20">
        <f>J10-P10</f>
        <v>21565</v>
      </c>
      <c r="R10" s="21">
        <v>7077</v>
      </c>
      <c r="S10" s="20">
        <f>IF(R10&gt;0,(R10-R11-$Q10),"")</f>
        <v>-14769</v>
      </c>
      <c r="T10" s="21">
        <v>9493</v>
      </c>
      <c r="U10" s="20">
        <f>IF(T10&gt;0,(T10-T11-$Q10),"")</f>
        <v>-13059</v>
      </c>
      <c r="V10" s="21">
        <v>13928</v>
      </c>
      <c r="W10" s="20">
        <f>IF(V10&gt;0,(V10-V11-$Q10),"")</f>
        <v>-8838</v>
      </c>
      <c r="X10" s="21">
        <v>15260</v>
      </c>
      <c r="Y10" s="20">
        <f>IF(X10&gt;0,(X10-X11-$Q10),"")</f>
        <v>-7512</v>
      </c>
      <c r="Z10" s="21">
        <v>18595</v>
      </c>
      <c r="AA10" s="20">
        <f>IF(Z10&gt;0,(Z10-Z11-$Q10),"")</f>
        <v>-4285</v>
      </c>
      <c r="AB10" s="21">
        <v>18595</v>
      </c>
      <c r="AC10" s="22">
        <f>IF(AB10&gt;0,(AB10-AB11-$Q10),"")</f>
        <v>-4285</v>
      </c>
      <c r="AD10" s="21">
        <v>18595</v>
      </c>
      <c r="AE10" s="22">
        <f>IF(AD10&gt;0,(AD10-AD11-$Q10),"")</f>
        <v>-4285</v>
      </c>
    </row>
    <row r="11" spans="2:42" x14ac:dyDescent="0.3">
      <c r="B11" s="16" t="s">
        <v>32</v>
      </c>
      <c r="C11" s="17">
        <v>1422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281</v>
      </c>
      <c r="S11" s="24"/>
      <c r="T11" s="30">
        <v>987</v>
      </c>
      <c r="U11" s="24"/>
      <c r="V11" s="30">
        <v>1201</v>
      </c>
      <c r="W11" s="24"/>
      <c r="X11" s="30">
        <v>1207</v>
      </c>
      <c r="Y11" s="24"/>
      <c r="Z11" s="30">
        <v>1315</v>
      </c>
      <c r="AA11" s="24"/>
      <c r="AB11" s="30">
        <v>1315</v>
      </c>
      <c r="AC11" s="26"/>
      <c r="AD11" s="30">
        <v>1315</v>
      </c>
      <c r="AE11" s="26"/>
    </row>
    <row r="12" spans="2:42" x14ac:dyDescent="0.3">
      <c r="B12" s="16" t="s">
        <v>34</v>
      </c>
      <c r="C12" s="17">
        <v>1465</v>
      </c>
      <c r="E12" s="29" t="s">
        <v>35</v>
      </c>
      <c r="F12" s="119">
        <v>11053</v>
      </c>
      <c r="G12" s="117">
        <v>9203.1638750000002</v>
      </c>
      <c r="H12" s="117">
        <v>18181.13107852</v>
      </c>
      <c r="I12" s="19">
        <f>G12+H12</f>
        <v>27384.294953520002</v>
      </c>
      <c r="J12" s="119">
        <v>10929</v>
      </c>
      <c r="K12" s="117">
        <v>8767.925874999999</v>
      </c>
      <c r="L12" s="117">
        <v>16796.896343519998</v>
      </c>
      <c r="M12" s="19">
        <f>K12+L12</f>
        <v>25564.822218519999</v>
      </c>
      <c r="N12" s="88">
        <v>63</v>
      </c>
      <c r="O12" s="88">
        <v>46</v>
      </c>
      <c r="P12" s="92"/>
      <c r="Q12" s="20">
        <f>J12-P12</f>
        <v>10929</v>
      </c>
      <c r="R12" s="21">
        <v>4657</v>
      </c>
      <c r="S12" s="20">
        <f>IF(R12&gt;0,(R12-R13-$Q12),"")</f>
        <v>-7635</v>
      </c>
      <c r="T12" s="21">
        <v>6055</v>
      </c>
      <c r="U12" s="20">
        <f>IF(T12&gt;0,(T12-T13-$Q12),"")</f>
        <v>-6361</v>
      </c>
      <c r="V12" s="21">
        <v>8737</v>
      </c>
      <c r="W12" s="20">
        <f>IF(V12&gt;0,(V12-V13-$Q12),"")</f>
        <v>-3776</v>
      </c>
      <c r="X12" s="21">
        <v>9090</v>
      </c>
      <c r="Y12" s="20">
        <f>IF(X12&gt;0,(X12-X13-$Q12),"")</f>
        <v>-3423</v>
      </c>
      <c r="Z12" s="21">
        <v>9090</v>
      </c>
      <c r="AA12" s="20">
        <f>IF(Z12&gt;0,(Z12-Z13-$Q12),"")</f>
        <v>-3423</v>
      </c>
      <c r="AB12" s="21">
        <v>9090</v>
      </c>
      <c r="AC12" s="22">
        <f>IF(AB12&gt;0,(AB12-AB13-$Q12),"")</f>
        <v>-3423</v>
      </c>
      <c r="AD12" s="21">
        <v>9090</v>
      </c>
      <c r="AE12" s="22">
        <f>IF(AD12&gt;0,(AD12-AD13-$Q12),"")</f>
        <v>-3423</v>
      </c>
    </row>
    <row r="13" spans="2:42" x14ac:dyDescent="0.3">
      <c r="B13" s="16" t="s">
        <v>36</v>
      </c>
      <c r="C13" s="17">
        <v>4090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17</v>
      </c>
      <c r="P13" s="93" t="s">
        <v>37</v>
      </c>
      <c r="Q13" s="24"/>
      <c r="R13" s="30">
        <v>1363</v>
      </c>
      <c r="S13" s="24"/>
      <c r="T13" s="30">
        <v>1487</v>
      </c>
      <c r="U13" s="24"/>
      <c r="V13" s="30">
        <v>1584</v>
      </c>
      <c r="W13" s="24"/>
      <c r="X13" s="30">
        <v>1584</v>
      </c>
      <c r="Y13" s="24"/>
      <c r="Z13" s="30">
        <v>1584</v>
      </c>
      <c r="AA13" s="24"/>
      <c r="AB13" s="30">
        <v>1584</v>
      </c>
      <c r="AC13" s="26"/>
      <c r="AD13" s="30">
        <v>1584</v>
      </c>
      <c r="AE13" s="26"/>
    </row>
    <row r="14" spans="2:42" x14ac:dyDescent="0.3">
      <c r="B14" s="16" t="s">
        <v>38</v>
      </c>
      <c r="C14" s="17">
        <v>7748</v>
      </c>
      <c r="E14" s="18" t="s">
        <v>39</v>
      </c>
      <c r="F14" s="119">
        <v>21767</v>
      </c>
      <c r="G14" s="117">
        <v>19158.4375</v>
      </c>
      <c r="H14" s="117">
        <v>21741.5392436</v>
      </c>
      <c r="I14" s="19">
        <f>G14+H14</f>
        <v>40899.976743599997</v>
      </c>
      <c r="J14" s="119">
        <v>21767</v>
      </c>
      <c r="K14" s="117">
        <v>19158.4375</v>
      </c>
      <c r="L14" s="117">
        <v>21605.486643600001</v>
      </c>
      <c r="M14" s="19">
        <f>K14+L14</f>
        <v>40763.924143600001</v>
      </c>
      <c r="N14" s="88">
        <v>74</v>
      </c>
      <c r="O14" s="88">
        <v>60</v>
      </c>
      <c r="P14" s="92"/>
      <c r="Q14" s="20">
        <f>J14-P14</f>
        <v>21767</v>
      </c>
      <c r="R14" s="21">
        <v>5241</v>
      </c>
      <c r="S14" s="20">
        <f>IF(R14&gt;0,(R14-R15-$Q14),"")</f>
        <v>-21237</v>
      </c>
      <c r="T14" s="21">
        <v>10034</v>
      </c>
      <c r="U14" s="20">
        <f>IF(T14&gt;0,(T14-T15-$Q14),"")</f>
        <v>-20603</v>
      </c>
      <c r="V14" s="21">
        <v>11659</v>
      </c>
      <c r="W14" s="20">
        <f>IF(V14&gt;0,(V14-V15-$Q14),"")</f>
        <v>-19740</v>
      </c>
      <c r="X14" s="21">
        <v>15211</v>
      </c>
      <c r="Y14" s="20">
        <f>IF(X14&gt;0,(X14-X15-$Q14),"")</f>
        <v>-17127</v>
      </c>
      <c r="Z14" s="21">
        <v>16186</v>
      </c>
      <c r="AA14" s="20">
        <f>IF(Z14&gt;0,(Z14-Z15-$Q14),"")</f>
        <v>-16157</v>
      </c>
      <c r="AB14" s="21">
        <v>16186</v>
      </c>
      <c r="AC14" s="22">
        <f>IF(AB14&gt;0,(AB14-AB15-$Q14),"")</f>
        <v>-16157</v>
      </c>
      <c r="AD14" s="21">
        <v>16186</v>
      </c>
      <c r="AE14" s="22">
        <f>IF(AD14&gt;0,(AD14-AD15-$Q14),"")</f>
        <v>-16157</v>
      </c>
    </row>
    <row r="15" spans="2:42" ht="15" customHeight="1" thickBot="1" x14ac:dyDescent="0.35">
      <c r="B15" s="16" t="s">
        <v>40</v>
      </c>
      <c r="C15" s="17">
        <v>2884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4711</v>
      </c>
      <c r="S15" s="24"/>
      <c r="T15" s="25">
        <v>8870</v>
      </c>
      <c r="U15" s="24"/>
      <c r="V15" s="25">
        <v>9632</v>
      </c>
      <c r="W15" s="24"/>
      <c r="X15" s="25">
        <v>10571</v>
      </c>
      <c r="Y15" s="24"/>
      <c r="Z15" s="25">
        <v>10576</v>
      </c>
      <c r="AA15" s="24"/>
      <c r="AB15" s="25">
        <v>10576</v>
      </c>
      <c r="AC15" s="26"/>
      <c r="AD15" s="25">
        <v>10576</v>
      </c>
      <c r="AE15" s="26"/>
    </row>
    <row r="16" spans="2:42" ht="15" customHeight="1" thickBot="1" x14ac:dyDescent="0.35">
      <c r="B16" s="28" t="s">
        <v>42</v>
      </c>
      <c r="C16" s="17">
        <v>11819</v>
      </c>
      <c r="E16" s="84"/>
      <c r="F16" s="31">
        <f t="shared" ref="F16:M16" si="0">SUM(F6:F15)</f>
        <v>82319</v>
      </c>
      <c r="G16" s="31">
        <f t="shared" si="0"/>
        <v>63761.15065625</v>
      </c>
      <c r="H16" s="31">
        <f t="shared" si="0"/>
        <v>54062.821389560006</v>
      </c>
      <c r="I16" s="32">
        <f t="shared" si="0"/>
        <v>117823.97204581001</v>
      </c>
      <c r="J16" s="33">
        <f t="shared" si="0"/>
        <v>82881</v>
      </c>
      <c r="K16" s="33">
        <f t="shared" si="0"/>
        <v>63652.713906249999</v>
      </c>
      <c r="L16" s="33">
        <f t="shared" si="0"/>
        <v>52052.709401779997</v>
      </c>
      <c r="M16" s="33">
        <f t="shared" si="0"/>
        <v>115705.42330803</v>
      </c>
      <c r="N16" s="31">
        <f>SUM(N14,N12,N10,N8,N6)</f>
        <v>307</v>
      </c>
      <c r="O16" s="31">
        <f>SUM(O14,O12,O10,O8,O6)</f>
        <v>246</v>
      </c>
      <c r="P16" s="34">
        <f>SUM(P6:P15)</f>
        <v>0</v>
      </c>
      <c r="Q16" s="34">
        <f>SUM(Q6:Q15)</f>
        <v>82881</v>
      </c>
      <c r="R16" s="35">
        <f>R6+R8+R10+R12+R14-R7-R9-R11-R13-R15</f>
        <v>15488</v>
      </c>
      <c r="S16" s="36">
        <f>IF(R16&gt;1,(R16-$Q16),"")</f>
        <v>-67393</v>
      </c>
      <c r="T16" s="35">
        <f>T6+T8+T10+T12+T14-T7-T9-T11-T13-T15</f>
        <v>21679</v>
      </c>
      <c r="U16" s="36">
        <f>IF(T16&gt;1,(T16-$Q16),"")</f>
        <v>-61202</v>
      </c>
      <c r="V16" s="35">
        <f>V6+V8+V10+V12+V14-V7-V9-V11-V13-V15</f>
        <v>44055</v>
      </c>
      <c r="W16" s="36">
        <f>IF(V16&gt;1,(V16-$Q16),"")</f>
        <v>-38826</v>
      </c>
      <c r="X16" s="35">
        <f>X6+X8+X10+X12+X14-X7-X9-X11-X13-X15</f>
        <v>51615</v>
      </c>
      <c r="Y16" s="36">
        <f>IF(X16&gt;1,(X16-$Q16),"")</f>
        <v>-31266</v>
      </c>
      <c r="Z16" s="35">
        <f>Z6+Z8+Z10+Z12+Z14-Z7-Z9-Z11-Z13-Z15</f>
        <v>55812</v>
      </c>
      <c r="AA16" s="36">
        <f>IF(Z16&gt;1,(Z16-$Q16),"")</f>
        <v>-27069</v>
      </c>
      <c r="AB16" s="35">
        <f>AB6+AB8+AB10+AB12+AB14-AB7-AB9-AB11-AB13-AB15</f>
        <v>55812</v>
      </c>
      <c r="AC16" s="37">
        <f>IF(AB16&gt;1,(AB16-$Q16),"")</f>
        <v>-27069</v>
      </c>
      <c r="AD16" s="35">
        <f>AD6+AD8+AD10+AD12+AD14-AD7-AD9-AD11-AD13-AD15</f>
        <v>55812</v>
      </c>
      <c r="AE16" s="37">
        <f>IF(AD16&gt;1,(AD16-$Q16),"")</f>
        <v>-27069</v>
      </c>
    </row>
    <row r="17" spans="2:43" s="4" customFormat="1" ht="15" customHeight="1" thickBot="1" x14ac:dyDescent="0.35">
      <c r="B17" s="43" t="s">
        <v>47</v>
      </c>
      <c r="C17" s="17">
        <v>1697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6475</v>
      </c>
      <c r="S17" s="41"/>
      <c r="T17" s="40">
        <f>T15+T13+T11+T9+T7</f>
        <v>11503</v>
      </c>
      <c r="U17" s="41"/>
      <c r="V17" s="40">
        <f>V15+V13+V11+V9+V7</f>
        <v>14751</v>
      </c>
      <c r="W17" s="41"/>
      <c r="X17" s="40">
        <f>X15+X13+X11+X9+X7</f>
        <v>15698</v>
      </c>
      <c r="Y17" s="41"/>
      <c r="Z17" s="40">
        <f>Z15+Z13+Z11+Z9+Z7</f>
        <v>15811</v>
      </c>
      <c r="AA17" s="41"/>
      <c r="AB17" s="40">
        <f>AB15+AB13+AB11+AB9+AB7</f>
        <v>15811</v>
      </c>
      <c r="AC17" s="42"/>
      <c r="AD17" s="40">
        <f>AD15+AD13+AD11+AD9+AD7</f>
        <v>15811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535</v>
      </c>
      <c r="P18" s="45" t="s">
        <v>46</v>
      </c>
      <c r="Q18" s="46"/>
      <c r="R18" s="47">
        <f>IF(R16&gt;0,(R16)/2,"")</f>
        <v>7744</v>
      </c>
      <c r="S18" s="46"/>
      <c r="T18" s="47">
        <f>IF(T16&gt;0,(T16-R16)/2,"")</f>
        <v>3095.5</v>
      </c>
      <c r="U18" s="46"/>
      <c r="V18" s="47">
        <f>IF(V16&gt;0,(V16-T16)/2,"")</f>
        <v>11188</v>
      </c>
      <c r="W18" s="46"/>
      <c r="X18" s="47">
        <f>IF(X16&gt;0,(X16-V16)/2,"")</f>
        <v>3780</v>
      </c>
      <c r="Y18" s="46"/>
      <c r="Z18" s="47">
        <f>IF(Z16&gt;0,(Z16-X16)/2,"")</f>
        <v>2098.5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9653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2511</v>
      </c>
      <c r="L20" s="4"/>
      <c r="M20" s="4"/>
      <c r="Q20" s="51" t="s">
        <v>49</v>
      </c>
      <c r="R20" s="35">
        <v>8865</v>
      </c>
      <c r="S20" s="36">
        <v>-65425</v>
      </c>
      <c r="T20" s="35">
        <v>15350</v>
      </c>
      <c r="U20" s="36">
        <v>-58940</v>
      </c>
      <c r="V20" s="35">
        <v>30385</v>
      </c>
      <c r="W20" s="36">
        <v>-43905</v>
      </c>
      <c r="X20" s="35">
        <v>44839</v>
      </c>
      <c r="Y20" s="36">
        <v>-29451</v>
      </c>
      <c r="Z20" s="35">
        <v>51055</v>
      </c>
      <c r="AA20" s="36">
        <v>-23235</v>
      </c>
      <c r="AB20" s="35">
        <v>51055</v>
      </c>
      <c r="AC20" s="37">
        <v>-23235</v>
      </c>
      <c r="AD20" s="35">
        <v>51055</v>
      </c>
      <c r="AE20" s="37">
        <v>-23235</v>
      </c>
    </row>
    <row r="21" spans="2:43" ht="15" customHeight="1" thickBot="1" x14ac:dyDescent="0.35">
      <c r="B21" s="57" t="s">
        <v>52</v>
      </c>
      <c r="C21" s="58">
        <v>4507</v>
      </c>
      <c r="M21" s="4"/>
      <c r="Q21" s="52"/>
      <c r="R21" s="40">
        <v>6880</v>
      </c>
      <c r="S21" s="41"/>
      <c r="T21" s="40">
        <v>11866</v>
      </c>
      <c r="U21" s="41"/>
      <c r="V21" s="40">
        <v>13800</v>
      </c>
      <c r="W21" s="41"/>
      <c r="X21" s="40">
        <v>16848</v>
      </c>
      <c r="Y21" s="41"/>
      <c r="Z21" s="40">
        <v>17776</v>
      </c>
      <c r="AA21" s="41"/>
      <c r="AB21" s="40">
        <v>17776</v>
      </c>
      <c r="AC21" s="42"/>
      <c r="AD21" s="40">
        <v>17776</v>
      </c>
      <c r="AE21" s="42"/>
    </row>
    <row r="22" spans="2:43" ht="15" customHeight="1" thickBot="1" x14ac:dyDescent="0.35">
      <c r="M22" s="4"/>
      <c r="Q22" s="54"/>
      <c r="R22" s="55">
        <v>4432.5</v>
      </c>
      <c r="S22" s="55"/>
      <c r="T22" s="55">
        <v>3242.5</v>
      </c>
      <c r="U22" s="55"/>
      <c r="V22" s="55">
        <v>7517.5</v>
      </c>
      <c r="W22" s="55"/>
      <c r="X22" s="55">
        <v>7227</v>
      </c>
      <c r="Y22" s="55"/>
      <c r="Z22" s="55">
        <v>3108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6623</v>
      </c>
      <c r="S24" s="60"/>
      <c r="T24" s="60">
        <f>IF(T16&gt;0,T16-T20,"")</f>
        <v>6329</v>
      </c>
      <c r="U24" s="60"/>
      <c r="V24" s="60">
        <f>IF(V16&gt;0,V16-V20,"")</f>
        <v>13670</v>
      </c>
      <c r="W24" s="60"/>
      <c r="X24" s="60">
        <f>IF(X16&gt;0,X16-X20,"")</f>
        <v>6776</v>
      </c>
      <c r="Y24" s="60"/>
      <c r="Z24" s="60">
        <f>IF(Z16&gt;0,Z16-Z20,"")</f>
        <v>4757</v>
      </c>
      <c r="AA24" s="60"/>
      <c r="AB24" s="60">
        <f>IF(AB16&gt;0,AB16-AB20,"")</f>
        <v>4757</v>
      </c>
      <c r="AC24" s="61"/>
      <c r="AD24" s="60">
        <f>IF(AD16&gt;0,AD16-AD20,"")</f>
        <v>4757</v>
      </c>
      <c r="AE24" s="61"/>
    </row>
    <row r="25" spans="2:43" x14ac:dyDescent="0.3">
      <c r="J25" s="123"/>
      <c r="M25" s="4"/>
      <c r="Q25" s="62"/>
      <c r="R25" s="63">
        <f>IF(R17&gt;=0,R17-R21,"")</f>
        <v>-405</v>
      </c>
      <c r="S25" s="64"/>
      <c r="T25" s="63">
        <f>IF(T17&gt;=0,T17-T21,"")</f>
        <v>-363</v>
      </c>
      <c r="U25" s="64"/>
      <c r="V25" s="63">
        <f>IF(V17&gt;=0,V17-V21,"")</f>
        <v>951</v>
      </c>
      <c r="W25" s="64"/>
      <c r="X25" s="63">
        <f>IF(X17&gt;=0,X17-X21,"")</f>
        <v>-1150</v>
      </c>
      <c r="Y25" s="64"/>
      <c r="Z25" s="63">
        <f>IF(Z17&gt;=0,Z17-Z21,"")</f>
        <v>-1965</v>
      </c>
      <c r="AA25" s="64"/>
      <c r="AB25" s="63">
        <f>IF(AB17&gt;=0,AB17-AB21,"")</f>
        <v>-1965</v>
      </c>
      <c r="AC25" s="65"/>
      <c r="AD25" s="63">
        <f>IF(AD17&gt;=0,AD17-AD21,"")</f>
        <v>-1965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3311.5</v>
      </c>
      <c r="S26" s="55"/>
      <c r="T26" s="67">
        <f>IFERROR(IF(T18&gt;0,T18-T22,""),"")</f>
        <v>-147</v>
      </c>
      <c r="U26" s="55"/>
      <c r="V26" s="67">
        <f>IFERROR(IF(V18&gt;0,V18-V22,""),"")</f>
        <v>3670.5</v>
      </c>
      <c r="W26" s="55"/>
      <c r="X26" s="67">
        <f>IFERROR(IF(X18&gt;0,X18-X22,""),"")</f>
        <v>-3447</v>
      </c>
      <c r="Y26" s="55"/>
      <c r="Z26" s="67">
        <f>IFERROR(IF(Z18&gt;0,Z18-Z22,""),"")</f>
        <v>-1009.5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8115</v>
      </c>
      <c r="D29" s="76">
        <f>C14</f>
        <v>7748</v>
      </c>
      <c r="E29" s="77">
        <f>D29-C29</f>
        <v>-367</v>
      </c>
      <c r="O29" s="4"/>
    </row>
    <row r="30" spans="2:43" x14ac:dyDescent="0.3">
      <c r="B30" s="74" t="s">
        <v>56</v>
      </c>
      <c r="C30" s="122">
        <v>35420</v>
      </c>
      <c r="D30" s="76">
        <f>C7+C15+C16+C17+C18</f>
        <v>18996</v>
      </c>
      <c r="E30" s="77">
        <f>D30-C30</f>
        <v>-16424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11238</v>
      </c>
      <c r="D32" s="76">
        <f>C10+C11+C12+C13</f>
        <v>11238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15432</v>
      </c>
      <c r="D33" s="76">
        <f>C19+C20+C21</f>
        <v>16671</v>
      </c>
      <c r="E33" s="77">
        <f>D33-C33</f>
        <v>1239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4737</v>
      </c>
      <c r="D34" s="80">
        <f>SUM(C8+C9)</f>
        <v>4737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 t="str">
        <f t="shared" si="4"/>
        <v/>
      </c>
      <c r="Z36" s="106">
        <v>0</v>
      </c>
      <c r="AA36" s="106" t="str">
        <f t="shared" si="5"/>
        <v/>
      </c>
      <c r="AB36" s="106">
        <v>0</v>
      </c>
      <c r="AC36" s="106" t="str">
        <f t="shared" si="6"/>
        <v/>
      </c>
      <c r="AD36" s="106">
        <v>0</v>
      </c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1084</v>
      </c>
      <c r="S37" s="108">
        <f t="shared" si="1"/>
        <v>446.5</v>
      </c>
      <c r="T37" s="108">
        <v>1977</v>
      </c>
      <c r="U37" s="108">
        <f t="shared" si="2"/>
        <v>560</v>
      </c>
      <c r="V37" s="108">
        <v>3097</v>
      </c>
      <c r="W37" s="108">
        <f t="shared" si="3"/>
        <v>0</v>
      </c>
      <c r="X37" s="108">
        <v>3097</v>
      </c>
      <c r="Y37" s="108">
        <f t="shared" si="4"/>
        <v>0</v>
      </c>
      <c r="Z37" s="108">
        <v>3097</v>
      </c>
      <c r="AA37" s="108">
        <f t="shared" si="5"/>
        <v>0</v>
      </c>
      <c r="AB37" s="108">
        <v>3097</v>
      </c>
      <c r="AC37" s="108">
        <f t="shared" si="6"/>
        <v>0</v>
      </c>
      <c r="AD37" s="108">
        <v>3097</v>
      </c>
      <c r="AE37" s="109">
        <f t="shared" si="7"/>
        <v>3097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642</v>
      </c>
      <c r="S38" s="106">
        <f t="shared" si="1"/>
        <v>174</v>
      </c>
      <c r="T38" s="106">
        <v>990</v>
      </c>
      <c r="U38" s="106">
        <f t="shared" si="2"/>
        <v>923</v>
      </c>
      <c r="V38" s="106">
        <v>2836</v>
      </c>
      <c r="W38" s="106">
        <f t="shared" si="3"/>
        <v>113</v>
      </c>
      <c r="X38" s="106">
        <v>3062</v>
      </c>
      <c r="Y38" s="106">
        <f t="shared" si="4"/>
        <v>0</v>
      </c>
      <c r="Z38" s="106">
        <v>3062</v>
      </c>
      <c r="AA38" s="106">
        <f t="shared" si="5"/>
        <v>0</v>
      </c>
      <c r="AB38" s="106">
        <v>3062</v>
      </c>
      <c r="AC38" s="106">
        <f t="shared" si="6"/>
        <v>0</v>
      </c>
      <c r="AD38" s="106">
        <v>3062</v>
      </c>
      <c r="AE38" s="107">
        <f t="shared" si="7"/>
        <v>3062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975</v>
      </c>
      <c r="S39" s="108">
        <f t="shared" si="1"/>
        <v>180.5</v>
      </c>
      <c r="T39" s="108">
        <v>1336</v>
      </c>
      <c r="U39" s="108">
        <f t="shared" si="2"/>
        <v>326.5</v>
      </c>
      <c r="V39" s="108">
        <v>1989</v>
      </c>
      <c r="W39" s="108">
        <f t="shared" si="3"/>
        <v>0</v>
      </c>
      <c r="X39" s="108">
        <v>1989</v>
      </c>
      <c r="Y39" s="108">
        <f t="shared" si="4"/>
        <v>0</v>
      </c>
      <c r="Z39" s="108">
        <v>1989</v>
      </c>
      <c r="AA39" s="108">
        <f t="shared" si="5"/>
        <v>0</v>
      </c>
      <c r="AB39" s="108">
        <v>1989</v>
      </c>
      <c r="AC39" s="108">
        <f t="shared" si="6"/>
        <v>0</v>
      </c>
      <c r="AD39" s="108">
        <v>1989</v>
      </c>
      <c r="AE39" s="109">
        <f t="shared" si="7"/>
        <v>1989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765</v>
      </c>
      <c r="S40" s="106">
        <f t="shared" si="1"/>
        <v>312.5</v>
      </c>
      <c r="T40" s="106">
        <v>1390</v>
      </c>
      <c r="U40" s="106">
        <f t="shared" si="2"/>
        <v>531.5</v>
      </c>
      <c r="V40" s="106">
        <v>2453</v>
      </c>
      <c r="W40" s="106">
        <f t="shared" si="3"/>
        <v>0</v>
      </c>
      <c r="X40" s="106">
        <v>2453</v>
      </c>
      <c r="Y40" s="106">
        <f t="shared" si="4"/>
        <v>0</v>
      </c>
      <c r="Z40" s="106">
        <v>2453</v>
      </c>
      <c r="AA40" s="106">
        <f t="shared" si="5"/>
        <v>0</v>
      </c>
      <c r="AB40" s="106">
        <v>2453</v>
      </c>
      <c r="AC40" s="106">
        <f t="shared" si="6"/>
        <v>0</v>
      </c>
      <c r="AD40" s="106">
        <v>2453</v>
      </c>
      <c r="AE40" s="107">
        <f t="shared" si="7"/>
        <v>2453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13</v>
      </c>
      <c r="S42" s="106">
        <f t="shared" si="1"/>
        <v>0</v>
      </c>
      <c r="T42" s="106">
        <v>13</v>
      </c>
      <c r="U42" s="106">
        <f t="shared" si="2"/>
        <v>314</v>
      </c>
      <c r="V42" s="106">
        <v>641</v>
      </c>
      <c r="W42" s="106">
        <f t="shared" si="3"/>
        <v>58.5</v>
      </c>
      <c r="X42" s="106">
        <v>758</v>
      </c>
      <c r="Y42" s="106">
        <f t="shared" si="4"/>
        <v>0</v>
      </c>
      <c r="Z42" s="106">
        <v>758</v>
      </c>
      <c r="AA42" s="106">
        <f t="shared" si="5"/>
        <v>0</v>
      </c>
      <c r="AB42" s="106">
        <v>758</v>
      </c>
      <c r="AC42" s="106">
        <f t="shared" si="6"/>
        <v>0</v>
      </c>
      <c r="AD42" s="106">
        <v>758</v>
      </c>
      <c r="AE42" s="107">
        <f t="shared" si="7"/>
        <v>758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1384</v>
      </c>
      <c r="S43" s="110">
        <f t="shared" si="1"/>
        <v>182.5</v>
      </c>
      <c r="T43" s="110">
        <v>1749</v>
      </c>
      <c r="U43" s="110">
        <f t="shared" si="2"/>
        <v>0</v>
      </c>
      <c r="V43" s="110">
        <v>1749</v>
      </c>
      <c r="W43" s="110">
        <f t="shared" si="3"/>
        <v>0</v>
      </c>
      <c r="X43" s="110">
        <v>1749</v>
      </c>
      <c r="Y43" s="110">
        <f t="shared" si="4"/>
        <v>0</v>
      </c>
      <c r="Z43" s="110">
        <v>1749</v>
      </c>
      <c r="AA43" s="110">
        <f t="shared" si="5"/>
        <v>0</v>
      </c>
      <c r="AB43" s="110">
        <v>1749</v>
      </c>
      <c r="AC43" s="110">
        <f t="shared" si="6"/>
        <v>0</v>
      </c>
      <c r="AD43" s="110">
        <v>1749</v>
      </c>
      <c r="AE43" s="111">
        <f t="shared" si="7"/>
        <v>1749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>
        <f t="shared" si="2"/>
        <v>2108</v>
      </c>
      <c r="V44" s="112">
        <v>4216</v>
      </c>
      <c r="W44" s="112">
        <f t="shared" si="3"/>
        <v>635.5</v>
      </c>
      <c r="X44" s="112">
        <v>5487</v>
      </c>
      <c r="Y44" s="112">
        <f t="shared" si="4"/>
        <v>0</v>
      </c>
      <c r="Z44" s="112">
        <v>5487</v>
      </c>
      <c r="AA44" s="112">
        <f t="shared" si="5"/>
        <v>0</v>
      </c>
      <c r="AB44" s="112">
        <v>5487</v>
      </c>
      <c r="AC44" s="112">
        <f t="shared" si="6"/>
        <v>0</v>
      </c>
      <c r="AD44" s="112">
        <v>5487</v>
      </c>
      <c r="AE44" s="113">
        <f t="shared" si="7"/>
        <v>5487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>
        <f t="shared" si="2"/>
        <v>628.5</v>
      </c>
      <c r="V45" s="108">
        <v>1257</v>
      </c>
      <c r="W45" s="108">
        <f t="shared" si="3"/>
        <v>777</v>
      </c>
      <c r="X45" s="108">
        <v>2811</v>
      </c>
      <c r="Y45" s="108">
        <f t="shared" si="4"/>
        <v>0</v>
      </c>
      <c r="Z45" s="108">
        <v>2811</v>
      </c>
      <c r="AA45" s="108">
        <f t="shared" si="5"/>
        <v>0</v>
      </c>
      <c r="AB45" s="108">
        <v>2811</v>
      </c>
      <c r="AC45" s="108">
        <f t="shared" si="6"/>
        <v>0</v>
      </c>
      <c r="AD45" s="108">
        <v>2811</v>
      </c>
      <c r="AE45" s="109">
        <f t="shared" si="7"/>
        <v>2811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>
        <f t="shared" si="2"/>
        <v>1564.5</v>
      </c>
      <c r="V46" s="106">
        <v>3129</v>
      </c>
      <c r="W46" s="106">
        <f t="shared" si="3"/>
        <v>0</v>
      </c>
      <c r="X46" s="106">
        <v>3129</v>
      </c>
      <c r="Y46" s="106">
        <f t="shared" si="4"/>
        <v>0</v>
      </c>
      <c r="Z46" s="106">
        <v>3129</v>
      </c>
      <c r="AA46" s="106">
        <f t="shared" si="5"/>
        <v>0</v>
      </c>
      <c r="AB46" s="106">
        <v>3129</v>
      </c>
      <c r="AC46" s="106">
        <f t="shared" si="6"/>
        <v>0</v>
      </c>
      <c r="AD46" s="106">
        <v>3129</v>
      </c>
      <c r="AE46" s="107">
        <f t="shared" si="7"/>
        <v>3129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>
        <f t="shared" si="2"/>
        <v>1447.5</v>
      </c>
      <c r="V47" s="110">
        <v>2895</v>
      </c>
      <c r="W47" s="110">
        <f t="shared" si="3"/>
        <v>0</v>
      </c>
      <c r="X47" s="110">
        <v>2895</v>
      </c>
      <c r="Y47" s="110">
        <f t="shared" si="4"/>
        <v>0</v>
      </c>
      <c r="Z47" s="110">
        <v>2895</v>
      </c>
      <c r="AA47" s="110">
        <f t="shared" si="5"/>
        <v>0</v>
      </c>
      <c r="AB47" s="110">
        <v>2895</v>
      </c>
      <c r="AC47" s="110">
        <f t="shared" si="6"/>
        <v>0</v>
      </c>
      <c r="AD47" s="110">
        <v>2895</v>
      </c>
      <c r="AE47" s="111">
        <f t="shared" si="7"/>
        <v>2895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491</v>
      </c>
      <c r="T48" s="112">
        <v>982</v>
      </c>
      <c r="U48" s="112">
        <f t="shared" si="2"/>
        <v>36</v>
      </c>
      <c r="V48" s="112">
        <v>1054</v>
      </c>
      <c r="W48" s="112">
        <f t="shared" si="3"/>
        <v>3.5</v>
      </c>
      <c r="X48" s="112">
        <v>1061</v>
      </c>
      <c r="Y48" s="112">
        <f t="shared" si="4"/>
        <v>89.5</v>
      </c>
      <c r="Z48" s="112">
        <v>1240</v>
      </c>
      <c r="AA48" s="112">
        <f t="shared" si="5"/>
        <v>0</v>
      </c>
      <c r="AB48" s="112">
        <v>1240</v>
      </c>
      <c r="AC48" s="112">
        <f t="shared" si="6"/>
        <v>0</v>
      </c>
      <c r="AD48" s="112">
        <v>1240</v>
      </c>
      <c r="AE48" s="113">
        <f t="shared" si="7"/>
        <v>1240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1200</v>
      </c>
      <c r="S49" s="108">
        <f t="shared" si="1"/>
        <v>156</v>
      </c>
      <c r="T49" s="108">
        <v>1512</v>
      </c>
      <c r="U49" s="108">
        <f t="shared" si="2"/>
        <v>913</v>
      </c>
      <c r="V49" s="108">
        <v>3338</v>
      </c>
      <c r="W49" s="108">
        <f t="shared" si="3"/>
        <v>15</v>
      </c>
      <c r="X49" s="108">
        <v>3368</v>
      </c>
      <c r="Y49" s="108">
        <f t="shared" si="4"/>
        <v>899</v>
      </c>
      <c r="Z49" s="108">
        <v>5166</v>
      </c>
      <c r="AA49" s="108">
        <f t="shared" si="5"/>
        <v>0</v>
      </c>
      <c r="AB49" s="108">
        <v>5166</v>
      </c>
      <c r="AC49" s="108">
        <f t="shared" si="6"/>
        <v>0</v>
      </c>
      <c r="AD49" s="108">
        <v>5166</v>
      </c>
      <c r="AE49" s="109">
        <f t="shared" si="7"/>
        <v>5166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103</v>
      </c>
      <c r="S50" s="106">
        <f t="shared" si="1"/>
        <v>121</v>
      </c>
      <c r="T50" s="106">
        <v>345</v>
      </c>
      <c r="U50" s="106">
        <f t="shared" si="2"/>
        <v>17</v>
      </c>
      <c r="V50" s="106">
        <v>379</v>
      </c>
      <c r="W50" s="106">
        <f t="shared" si="3"/>
        <v>77.5</v>
      </c>
      <c r="X50" s="106">
        <v>534</v>
      </c>
      <c r="Y50" s="106">
        <f t="shared" si="4"/>
        <v>0</v>
      </c>
      <c r="Z50" s="106">
        <v>534</v>
      </c>
      <c r="AA50" s="106">
        <f t="shared" si="5"/>
        <v>0</v>
      </c>
      <c r="AB50" s="106">
        <v>534</v>
      </c>
      <c r="AC50" s="106">
        <f t="shared" si="6"/>
        <v>0</v>
      </c>
      <c r="AD50" s="106">
        <v>534</v>
      </c>
      <c r="AE50" s="107">
        <f t="shared" si="7"/>
        <v>534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1184</v>
      </c>
      <c r="S51" s="108">
        <f t="shared" si="1"/>
        <v>4.5</v>
      </c>
      <c r="T51" s="108">
        <v>1193</v>
      </c>
      <c r="U51" s="108">
        <f t="shared" si="2"/>
        <v>45</v>
      </c>
      <c r="V51" s="108">
        <v>1283</v>
      </c>
      <c r="W51" s="108">
        <f t="shared" si="3"/>
        <v>132.5</v>
      </c>
      <c r="X51" s="108">
        <v>1548</v>
      </c>
      <c r="Y51" s="108">
        <f t="shared" si="4"/>
        <v>0</v>
      </c>
      <c r="Z51" s="108">
        <v>1548</v>
      </c>
      <c r="AA51" s="108">
        <f t="shared" si="5"/>
        <v>0</v>
      </c>
      <c r="AB51" s="108">
        <v>1548</v>
      </c>
      <c r="AC51" s="108">
        <f t="shared" si="6"/>
        <v>0</v>
      </c>
      <c r="AD51" s="108">
        <v>1548</v>
      </c>
      <c r="AE51" s="109">
        <f t="shared" si="7"/>
        <v>1548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643</v>
      </c>
      <c r="S52" s="106">
        <f t="shared" si="1"/>
        <v>71.5</v>
      </c>
      <c r="T52" s="106">
        <v>786</v>
      </c>
      <c r="U52" s="106">
        <f t="shared" si="2"/>
        <v>58.5</v>
      </c>
      <c r="V52" s="106">
        <v>903</v>
      </c>
      <c r="W52" s="106">
        <f t="shared" si="3"/>
        <v>92</v>
      </c>
      <c r="X52" s="106">
        <v>1087</v>
      </c>
      <c r="Y52" s="106">
        <f t="shared" si="4"/>
        <v>0</v>
      </c>
      <c r="Z52" s="106">
        <v>1087</v>
      </c>
      <c r="AA52" s="106">
        <f t="shared" si="5"/>
        <v>0</v>
      </c>
      <c r="AB52" s="106">
        <v>1087</v>
      </c>
      <c r="AC52" s="106">
        <f t="shared" si="6"/>
        <v>0</v>
      </c>
      <c r="AD52" s="106">
        <v>1087</v>
      </c>
      <c r="AE52" s="107">
        <f t="shared" si="7"/>
        <v>1087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605</v>
      </c>
      <c r="S53" s="108">
        <f t="shared" si="1"/>
        <v>208</v>
      </c>
      <c r="T53" s="108">
        <v>1021</v>
      </c>
      <c r="U53" s="108">
        <f t="shared" si="2"/>
        <v>0</v>
      </c>
      <c r="V53" s="108">
        <v>1021</v>
      </c>
      <c r="W53" s="108">
        <f t="shared" si="3"/>
        <v>34</v>
      </c>
      <c r="X53" s="108">
        <v>1089</v>
      </c>
      <c r="Y53" s="108">
        <f t="shared" si="4"/>
        <v>0</v>
      </c>
      <c r="Z53" s="108">
        <v>1089</v>
      </c>
      <c r="AA53" s="108">
        <f t="shared" si="5"/>
        <v>0</v>
      </c>
      <c r="AB53" s="108">
        <v>1089</v>
      </c>
      <c r="AC53" s="108">
        <f t="shared" si="6"/>
        <v>0</v>
      </c>
      <c r="AD53" s="108">
        <v>1089</v>
      </c>
      <c r="AE53" s="109">
        <f t="shared" si="7"/>
        <v>1089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1900</v>
      </c>
      <c r="S54" s="106">
        <f t="shared" si="1"/>
        <v>0</v>
      </c>
      <c r="T54" s="106">
        <v>1900</v>
      </c>
      <c r="U54" s="106">
        <f t="shared" si="2"/>
        <v>350.5</v>
      </c>
      <c r="V54" s="106">
        <v>2601</v>
      </c>
      <c r="W54" s="106">
        <f t="shared" si="3"/>
        <v>311.5</v>
      </c>
      <c r="X54" s="106">
        <v>3224</v>
      </c>
      <c r="Y54" s="106">
        <f t="shared" si="4"/>
        <v>79</v>
      </c>
      <c r="Z54" s="106">
        <v>3382</v>
      </c>
      <c r="AA54" s="106">
        <f t="shared" si="5"/>
        <v>0</v>
      </c>
      <c r="AB54" s="106">
        <v>3382</v>
      </c>
      <c r="AC54" s="106">
        <f t="shared" si="6"/>
        <v>0</v>
      </c>
      <c r="AD54" s="106">
        <v>3382</v>
      </c>
      <c r="AE54" s="107">
        <f t="shared" si="7"/>
        <v>3382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1200</v>
      </c>
      <c r="S55" s="108">
        <f t="shared" si="1"/>
        <v>0</v>
      </c>
      <c r="T55" s="108">
        <v>1200</v>
      </c>
      <c r="U55" s="108">
        <f t="shared" si="2"/>
        <v>797.5</v>
      </c>
      <c r="V55" s="108">
        <v>2795</v>
      </c>
      <c r="W55" s="108">
        <f t="shared" si="3"/>
        <v>0</v>
      </c>
      <c r="X55" s="108">
        <v>2795</v>
      </c>
      <c r="Y55" s="108">
        <f t="shared" si="4"/>
        <v>600</v>
      </c>
      <c r="Z55" s="108">
        <v>3995</v>
      </c>
      <c r="AA55" s="108">
        <f t="shared" si="5"/>
        <v>0</v>
      </c>
      <c r="AB55" s="108">
        <v>3995</v>
      </c>
      <c r="AC55" s="108">
        <f t="shared" si="6"/>
        <v>0</v>
      </c>
      <c r="AD55" s="108">
        <v>3995</v>
      </c>
      <c r="AE55" s="109">
        <f t="shared" si="7"/>
        <v>3995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242</v>
      </c>
      <c r="S56" s="114">
        <f t="shared" si="1"/>
        <v>156</v>
      </c>
      <c r="T56" s="114">
        <v>554</v>
      </c>
      <c r="U56" s="114">
        <f t="shared" si="2"/>
        <v>0</v>
      </c>
      <c r="V56" s="114">
        <v>554</v>
      </c>
      <c r="W56" s="114">
        <f t="shared" si="3"/>
        <v>0</v>
      </c>
      <c r="X56" s="114">
        <v>554</v>
      </c>
      <c r="Y56" s="114">
        <f t="shared" si="4"/>
        <v>0</v>
      </c>
      <c r="Z56" s="114">
        <v>554</v>
      </c>
      <c r="AA56" s="114">
        <f t="shared" si="5"/>
        <v>0</v>
      </c>
      <c r="AB56" s="114">
        <v>554</v>
      </c>
      <c r="AC56" s="114">
        <f t="shared" si="6"/>
        <v>0</v>
      </c>
      <c r="AD56" s="114">
        <v>554</v>
      </c>
      <c r="AE56" s="115">
        <f t="shared" si="7"/>
        <v>554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0</v>
      </c>
      <c r="S57" s="104">
        <f t="shared" si="1"/>
        <v>67</v>
      </c>
      <c r="T57" s="104">
        <v>134</v>
      </c>
      <c r="U57" s="104">
        <f t="shared" si="2"/>
        <v>259.5</v>
      </c>
      <c r="V57" s="104">
        <v>653</v>
      </c>
      <c r="W57" s="104">
        <f t="shared" si="3"/>
        <v>176.5</v>
      </c>
      <c r="X57" s="104">
        <v>1006</v>
      </c>
      <c r="Y57" s="104">
        <f t="shared" si="4"/>
        <v>0</v>
      </c>
      <c r="Z57" s="104">
        <v>1006</v>
      </c>
      <c r="AA57" s="104">
        <f t="shared" si="5"/>
        <v>0</v>
      </c>
      <c r="AB57" s="104">
        <v>1006</v>
      </c>
      <c r="AC57" s="104">
        <f t="shared" si="6"/>
        <v>0</v>
      </c>
      <c r="AD57" s="104">
        <v>1006</v>
      </c>
      <c r="AE57" s="105">
        <f t="shared" si="7"/>
        <v>1006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1648</v>
      </c>
      <c r="S58" s="106">
        <f t="shared" si="1"/>
        <v>265</v>
      </c>
      <c r="T58" s="106">
        <v>2178</v>
      </c>
      <c r="U58" s="106">
        <f t="shared" si="2"/>
        <v>0</v>
      </c>
      <c r="V58" s="106">
        <v>2178</v>
      </c>
      <c r="W58" s="106">
        <f t="shared" si="3"/>
        <v>0</v>
      </c>
      <c r="X58" s="106">
        <v>2178</v>
      </c>
      <c r="Y58" s="106">
        <f t="shared" si="4"/>
        <v>0</v>
      </c>
      <c r="Z58" s="106">
        <v>2178</v>
      </c>
      <c r="AA58" s="106">
        <f t="shared" si="5"/>
        <v>0</v>
      </c>
      <c r="AB58" s="106">
        <v>2178</v>
      </c>
      <c r="AC58" s="106">
        <f t="shared" si="6"/>
        <v>0</v>
      </c>
      <c r="AD58" s="106">
        <v>2178</v>
      </c>
      <c r="AE58" s="107">
        <f t="shared" si="7"/>
        <v>2178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1540</v>
      </c>
      <c r="S59" s="108">
        <f t="shared" si="1"/>
        <v>225</v>
      </c>
      <c r="T59" s="108">
        <v>1990</v>
      </c>
      <c r="U59" s="108">
        <f t="shared" si="2"/>
        <v>621.5</v>
      </c>
      <c r="V59" s="108">
        <v>3233</v>
      </c>
      <c r="W59" s="108">
        <f t="shared" si="3"/>
        <v>0</v>
      </c>
      <c r="X59" s="108">
        <v>3233</v>
      </c>
      <c r="Y59" s="108">
        <f t="shared" si="4"/>
        <v>0</v>
      </c>
      <c r="Z59" s="108">
        <v>3233</v>
      </c>
      <c r="AA59" s="108">
        <f t="shared" si="5"/>
        <v>0</v>
      </c>
      <c r="AB59" s="108">
        <v>3233</v>
      </c>
      <c r="AC59" s="108">
        <f t="shared" si="6"/>
        <v>0</v>
      </c>
      <c r="AD59" s="108">
        <v>3233</v>
      </c>
      <c r="AE59" s="109">
        <f t="shared" si="7"/>
        <v>3233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1469</v>
      </c>
      <c r="S60" s="114">
        <f t="shared" si="1"/>
        <v>142</v>
      </c>
      <c r="T60" s="114">
        <v>1753</v>
      </c>
      <c r="U60" s="114">
        <f t="shared" si="2"/>
        <v>460</v>
      </c>
      <c r="V60" s="114">
        <v>2673</v>
      </c>
      <c r="W60" s="114">
        <f t="shared" si="3"/>
        <v>0</v>
      </c>
      <c r="X60" s="114">
        <v>2673</v>
      </c>
      <c r="Y60" s="114">
        <f t="shared" si="4"/>
        <v>0</v>
      </c>
      <c r="Z60" s="114">
        <v>2673</v>
      </c>
      <c r="AA60" s="114">
        <f t="shared" si="5"/>
        <v>0</v>
      </c>
      <c r="AB60" s="114">
        <v>2673</v>
      </c>
      <c r="AC60" s="114">
        <f t="shared" si="6"/>
        <v>0</v>
      </c>
      <c r="AD60" s="114">
        <v>2673</v>
      </c>
      <c r="AE60" s="115">
        <f t="shared" si="7"/>
        <v>2673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782</v>
      </c>
      <c r="S61" s="104">
        <f t="shared" si="1"/>
        <v>787.5</v>
      </c>
      <c r="T61" s="104">
        <v>2357</v>
      </c>
      <c r="U61" s="104">
        <f t="shared" si="2"/>
        <v>183</v>
      </c>
      <c r="V61" s="104">
        <v>2723</v>
      </c>
      <c r="W61" s="104">
        <f t="shared" si="3"/>
        <v>360</v>
      </c>
      <c r="X61" s="104">
        <v>3443</v>
      </c>
      <c r="Y61" s="104">
        <f t="shared" si="4"/>
        <v>82</v>
      </c>
      <c r="Z61" s="104">
        <v>3607</v>
      </c>
      <c r="AA61" s="104">
        <f t="shared" si="5"/>
        <v>0</v>
      </c>
      <c r="AB61" s="104">
        <v>3607</v>
      </c>
      <c r="AC61" s="104">
        <f t="shared" si="6"/>
        <v>0</v>
      </c>
      <c r="AD61" s="104">
        <v>3607</v>
      </c>
      <c r="AE61" s="105">
        <f t="shared" si="7"/>
        <v>3607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108</v>
      </c>
      <c r="S62" s="106">
        <f t="shared" si="1"/>
        <v>217.5</v>
      </c>
      <c r="T62" s="106">
        <v>543</v>
      </c>
      <c r="U62" s="106">
        <f t="shared" si="2"/>
        <v>251.5</v>
      </c>
      <c r="V62" s="106">
        <v>1046</v>
      </c>
      <c r="W62" s="106">
        <f t="shared" si="3"/>
        <v>557.5</v>
      </c>
      <c r="X62" s="106">
        <v>2161</v>
      </c>
      <c r="Y62" s="106">
        <f t="shared" si="4"/>
        <v>0</v>
      </c>
      <c r="Z62" s="106">
        <v>2161</v>
      </c>
      <c r="AA62" s="106">
        <f t="shared" si="5"/>
        <v>0</v>
      </c>
      <c r="AB62" s="106">
        <v>2161</v>
      </c>
      <c r="AC62" s="106">
        <f t="shared" si="6"/>
        <v>0</v>
      </c>
      <c r="AD62" s="106">
        <v>2161</v>
      </c>
      <c r="AE62" s="107">
        <f t="shared" si="7"/>
        <v>2161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36</v>
      </c>
      <c r="S63" s="108">
        <f t="shared" si="1"/>
        <v>464.5</v>
      </c>
      <c r="T63" s="108">
        <v>965</v>
      </c>
      <c r="U63" s="108">
        <f t="shared" si="2"/>
        <v>135.5</v>
      </c>
      <c r="V63" s="108">
        <v>1236</v>
      </c>
      <c r="W63" s="108">
        <f t="shared" si="3"/>
        <v>102.5</v>
      </c>
      <c r="X63" s="108">
        <v>1441</v>
      </c>
      <c r="Y63" s="108">
        <f t="shared" si="4"/>
        <v>0</v>
      </c>
      <c r="Z63" s="108">
        <v>1441</v>
      </c>
      <c r="AA63" s="108">
        <f t="shared" si="5"/>
        <v>0</v>
      </c>
      <c r="AB63" s="108">
        <v>1441</v>
      </c>
      <c r="AC63" s="108">
        <f t="shared" si="6"/>
        <v>0</v>
      </c>
      <c r="AD63" s="108">
        <v>1441</v>
      </c>
      <c r="AE63" s="109">
        <f t="shared" si="7"/>
        <v>1441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962</v>
      </c>
      <c r="S64" s="114">
        <f t="shared" si="1"/>
        <v>104.5</v>
      </c>
      <c r="T64" s="114">
        <v>1171</v>
      </c>
      <c r="U64" s="114">
        <f t="shared" si="2"/>
        <v>144.5</v>
      </c>
      <c r="V64" s="114">
        <v>1460</v>
      </c>
      <c r="W64" s="114">
        <f t="shared" si="3"/>
        <v>203</v>
      </c>
      <c r="X64" s="114">
        <v>1866</v>
      </c>
      <c r="Y64" s="114">
        <f t="shared" si="4"/>
        <v>1</v>
      </c>
      <c r="Z64" s="114">
        <v>1868</v>
      </c>
      <c r="AA64" s="114">
        <f t="shared" si="5"/>
        <v>0</v>
      </c>
      <c r="AB64" s="114">
        <v>1868</v>
      </c>
      <c r="AC64" s="114">
        <f t="shared" si="6"/>
        <v>0</v>
      </c>
      <c r="AD64" s="114">
        <v>1868</v>
      </c>
      <c r="AE64" s="115">
        <f t="shared" si="7"/>
        <v>1868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83" priority="11" operator="lessThan">
      <formula>0</formula>
    </cfRule>
    <cfRule type="cellIs" dxfId="982" priority="12" operator="greaterThan">
      <formula>0</formula>
    </cfRule>
  </conditionalFormatting>
  <conditionalFormatting sqref="R25:AC25">
    <cfRule type="cellIs" dxfId="981" priority="9" operator="lessThan">
      <formula>0</formula>
    </cfRule>
    <cfRule type="cellIs" dxfId="980" priority="10" operator="greaterThan">
      <formula>0</formula>
    </cfRule>
  </conditionalFormatting>
  <conditionalFormatting sqref="R26 T26 V26 X26 Z26 AB26">
    <cfRule type="cellIs" dxfId="979" priority="7" operator="lessThan">
      <formula>0</formula>
    </cfRule>
    <cfRule type="cellIs" dxfId="978" priority="8" operator="greaterThan">
      <formula>0</formula>
    </cfRule>
  </conditionalFormatting>
  <conditionalFormatting sqref="AD24:AE24">
    <cfRule type="cellIs" dxfId="977" priority="5" operator="lessThan">
      <formula>0</formula>
    </cfRule>
    <cfRule type="cellIs" dxfId="976" priority="6" operator="greaterThan">
      <formula>0</formula>
    </cfRule>
  </conditionalFormatting>
  <conditionalFormatting sqref="AD25:AE25">
    <cfRule type="cellIs" dxfId="975" priority="3" operator="lessThan">
      <formula>0</formula>
    </cfRule>
    <cfRule type="cellIs" dxfId="974" priority="4" operator="greaterThan">
      <formula>0</formula>
    </cfRule>
  </conditionalFormatting>
  <conditionalFormatting sqref="AD26">
    <cfRule type="cellIs" dxfId="973" priority="1" operator="lessThan">
      <formula>0</formula>
    </cfRule>
    <cfRule type="cellIs" dxfId="9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44437</v>
      </c>
    </row>
    <row r="3" spans="2:42" ht="18.75" customHeight="1" thickBot="1" x14ac:dyDescent="0.35">
      <c r="B3" t="s">
        <v>1</v>
      </c>
      <c r="C3" s="3">
        <f>C2+1</f>
        <v>44438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3608</v>
      </c>
      <c r="E6" s="18" t="s">
        <v>22</v>
      </c>
      <c r="F6" s="119">
        <v>19671</v>
      </c>
      <c r="G6" s="117">
        <v>15877.231124999989</v>
      </c>
      <c r="H6" s="117">
        <v>13477.01523056</v>
      </c>
      <c r="I6" s="19">
        <f>G6+H6</f>
        <v>29354.24635555999</v>
      </c>
      <c r="J6" s="119">
        <v>19074</v>
      </c>
      <c r="K6" s="117">
        <v>15706.5725</v>
      </c>
      <c r="L6" s="117">
        <v>12857.691105559999</v>
      </c>
      <c r="M6" s="19">
        <f>K6+L6</f>
        <v>28564.263605560001</v>
      </c>
      <c r="N6" s="85">
        <v>73</v>
      </c>
      <c r="O6" s="85">
        <v>58</v>
      </c>
      <c r="P6" s="92"/>
      <c r="Q6" s="20">
        <f>J6-P6</f>
        <v>19074</v>
      </c>
      <c r="R6" s="21">
        <v>4886</v>
      </c>
      <c r="S6" s="20">
        <f>IF(R6&gt;0,(R6-R7-$Q6),"")</f>
        <v>-14343</v>
      </c>
      <c r="T6" s="21">
        <v>7948</v>
      </c>
      <c r="U6" s="20">
        <f>IF(T6&gt;0,(T6-T7-$Q6),"")</f>
        <v>-11374</v>
      </c>
      <c r="V6" s="21">
        <v>11636</v>
      </c>
      <c r="W6" s="20">
        <f>IF(V6&gt;0,(V6-V7-$Q6),"")</f>
        <v>-7697</v>
      </c>
      <c r="X6" s="21">
        <v>14702</v>
      </c>
      <c r="Y6" s="20">
        <f>IF(X6&gt;0,(X6-X7-$Q6),"")</f>
        <v>-4662</v>
      </c>
      <c r="Z6" s="21">
        <v>14702</v>
      </c>
      <c r="AA6" s="20">
        <f>IF(Z6&gt;0,(Z6-Z7-$Q6),"")</f>
        <v>-4662</v>
      </c>
      <c r="AB6" s="21">
        <v>14702</v>
      </c>
      <c r="AC6" s="22">
        <f>IF(AB6&gt;0,(AB6-AB7-$Q6),"")</f>
        <v>-4662</v>
      </c>
      <c r="AD6" s="21">
        <v>14702</v>
      </c>
      <c r="AE6" s="22">
        <f>IF(AD6&gt;0,(AD6-AD7-$Q6),"")</f>
        <v>-4662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155</v>
      </c>
      <c r="S7" s="24"/>
      <c r="T7" s="25">
        <v>248</v>
      </c>
      <c r="U7" s="24"/>
      <c r="V7" s="25">
        <v>259</v>
      </c>
      <c r="W7" s="24"/>
      <c r="X7" s="25">
        <v>290</v>
      </c>
      <c r="Y7" s="24"/>
      <c r="Z7" s="25">
        <v>290</v>
      </c>
      <c r="AA7" s="24"/>
      <c r="AB7" s="25">
        <v>290</v>
      </c>
      <c r="AC7" s="26"/>
      <c r="AD7" s="25">
        <v>290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2329</v>
      </c>
      <c r="E8" s="29" t="s">
        <v>27</v>
      </c>
      <c r="F8" s="119">
        <v>10101</v>
      </c>
      <c r="G8" s="117">
        <v>3888.15</v>
      </c>
      <c r="H8" s="117">
        <v>1327.7075359999999</v>
      </c>
      <c r="I8" s="19">
        <f>G8+H8</f>
        <v>5215.8575359999995</v>
      </c>
      <c r="J8" s="119">
        <v>10228</v>
      </c>
      <c r="K8" s="117">
        <v>3930.7910000000002</v>
      </c>
      <c r="L8" s="117">
        <v>1327.7964807000001</v>
      </c>
      <c r="M8" s="19">
        <f>K8+L8</f>
        <v>5258.5874807</v>
      </c>
      <c r="N8" s="87">
        <v>30</v>
      </c>
      <c r="O8" s="87">
        <v>19</v>
      </c>
      <c r="P8" s="92"/>
      <c r="Q8" s="20">
        <f>J8-P8</f>
        <v>10228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2678</v>
      </c>
      <c r="W8" s="20">
        <f>IF(V8&gt;0,(V8-V9-$Q8),"")</f>
        <v>-7550</v>
      </c>
      <c r="X8" s="21">
        <v>10228</v>
      </c>
      <c r="Y8" s="20">
        <f>IF(X8&gt;0,(X8-X9-$Q8),"")</f>
        <v>0</v>
      </c>
      <c r="Z8" s="21">
        <v>10228</v>
      </c>
      <c r="AA8" s="20">
        <f>IF(Z8&gt;0,(Z8-Z9-$Q8),"")</f>
        <v>0</v>
      </c>
      <c r="AB8" s="21">
        <v>10228</v>
      </c>
      <c r="AC8" s="22">
        <f>IF(AB8&gt;0,(AB8-AB9-$Q8),"")</f>
        <v>0</v>
      </c>
      <c r="AD8" s="21">
        <v>10228</v>
      </c>
      <c r="AE8" s="22">
        <f>IF(AD8&gt;0,(AD8-AD9-$Q8),"")</f>
        <v>0</v>
      </c>
    </row>
    <row r="9" spans="2:42" x14ac:dyDescent="0.3">
      <c r="B9" s="28" t="s">
        <v>28</v>
      </c>
      <c r="C9" s="17">
        <v>1482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4211</v>
      </c>
      <c r="E10" s="18" t="s">
        <v>31</v>
      </c>
      <c r="F10" s="119">
        <v>14219</v>
      </c>
      <c r="G10" s="117">
        <v>10698.9565</v>
      </c>
      <c r="H10" s="117">
        <v>1797.0401125000001</v>
      </c>
      <c r="I10" s="19">
        <f>G10+H10</f>
        <v>12495.996612500001</v>
      </c>
      <c r="J10" s="119">
        <v>13759</v>
      </c>
      <c r="K10" s="117">
        <v>10416.709875</v>
      </c>
      <c r="L10" s="117">
        <v>1702.3586525000001</v>
      </c>
      <c r="M10" s="19">
        <f>K10+L10</f>
        <v>12119.0685275</v>
      </c>
      <c r="N10" s="88">
        <v>47</v>
      </c>
      <c r="O10" s="88">
        <v>45</v>
      </c>
      <c r="P10" s="92"/>
      <c r="Q10" s="20">
        <f>J10-P10</f>
        <v>13759</v>
      </c>
      <c r="R10" s="21">
        <v>5045</v>
      </c>
      <c r="S10" s="20">
        <f>IF(R10&gt;0,(R10-R11-$Q10),"")</f>
        <v>-10915</v>
      </c>
      <c r="T10" s="21">
        <v>5847</v>
      </c>
      <c r="U10" s="20">
        <f>IF(T10&gt;0,(T10-T11-$Q10),"")</f>
        <v>-10502</v>
      </c>
      <c r="V10" s="21">
        <v>8795</v>
      </c>
      <c r="W10" s="20">
        <f>IF(V10&gt;0,(V10-V11-$Q10),"")</f>
        <v>-8252</v>
      </c>
      <c r="X10" s="21">
        <v>11484</v>
      </c>
      <c r="Y10" s="20">
        <f>IF(X10&gt;0,(X10-X11-$Q10),"")</f>
        <v>-6335</v>
      </c>
      <c r="Z10" s="21">
        <v>11804</v>
      </c>
      <c r="AA10" s="20">
        <f>IF(Z10&gt;0,(Z10-Z11-$Q10),"")</f>
        <v>-6335</v>
      </c>
      <c r="AB10" s="21">
        <v>11804</v>
      </c>
      <c r="AC10" s="22">
        <f>IF(AB10&gt;0,(AB10-AB11-$Q10),"")</f>
        <v>-6335</v>
      </c>
      <c r="AD10" s="21">
        <v>11804</v>
      </c>
      <c r="AE10" s="22">
        <f>IF(AD10&gt;0,(AD10-AD11-$Q10),"")</f>
        <v>-6335</v>
      </c>
    </row>
    <row r="11" spans="2:42" x14ac:dyDescent="0.3">
      <c r="B11" s="16" t="s">
        <v>32</v>
      </c>
      <c r="C11" s="17">
        <v>1851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2201</v>
      </c>
      <c r="S11" s="24"/>
      <c r="T11" s="30">
        <v>2590</v>
      </c>
      <c r="U11" s="24"/>
      <c r="V11" s="30">
        <v>3288</v>
      </c>
      <c r="W11" s="24"/>
      <c r="X11" s="30">
        <v>4060</v>
      </c>
      <c r="Y11" s="24"/>
      <c r="Z11" s="30">
        <v>4380</v>
      </c>
      <c r="AA11" s="24"/>
      <c r="AB11" s="30">
        <v>4380</v>
      </c>
      <c r="AC11" s="26"/>
      <c r="AD11" s="30">
        <v>4380</v>
      </c>
      <c r="AE11" s="26"/>
    </row>
    <row r="12" spans="2:42" x14ac:dyDescent="0.3">
      <c r="B12" s="16" t="s">
        <v>34</v>
      </c>
      <c r="C12" s="17">
        <v>1410</v>
      </c>
      <c r="E12" s="29" t="s">
        <v>35</v>
      </c>
      <c r="F12" s="119">
        <v>12077</v>
      </c>
      <c r="G12" s="117">
        <v>10192.991</v>
      </c>
      <c r="H12" s="117">
        <v>15073.991628559999</v>
      </c>
      <c r="I12" s="19">
        <f>G12+H12</f>
        <v>25266.982628559999</v>
      </c>
      <c r="J12" s="119">
        <v>11873</v>
      </c>
      <c r="K12" s="117">
        <v>9887.3615000000027</v>
      </c>
      <c r="L12" s="117">
        <v>13886.97782349</v>
      </c>
      <c r="M12" s="19">
        <f>K12+L12</f>
        <v>23774.339323490003</v>
      </c>
      <c r="N12" s="88">
        <v>59</v>
      </c>
      <c r="O12" s="88">
        <v>43</v>
      </c>
      <c r="P12" s="92"/>
      <c r="Q12" s="20">
        <f>J12-P12</f>
        <v>11873</v>
      </c>
      <c r="R12" s="21">
        <v>3467</v>
      </c>
      <c r="S12" s="20">
        <f>IF(R12&gt;0,(R12-R13-$Q12),"")</f>
        <v>-9216</v>
      </c>
      <c r="T12" s="21">
        <v>4199</v>
      </c>
      <c r="U12" s="20">
        <f>IF(T12&gt;0,(T12-T13-$Q12),"")</f>
        <v>-8497</v>
      </c>
      <c r="V12" s="21">
        <v>7516</v>
      </c>
      <c r="W12" s="20">
        <f>IF(V12&gt;0,(V12-V13-$Q12),"")</f>
        <v>-5673</v>
      </c>
      <c r="X12" s="21">
        <v>8981</v>
      </c>
      <c r="Y12" s="20">
        <f>IF(X12&gt;0,(X12-X13-$Q12),"")</f>
        <v>-4223</v>
      </c>
      <c r="Z12" s="21">
        <v>8981</v>
      </c>
      <c r="AA12" s="20">
        <f>IF(Z12&gt;0,(Z12-Z13-$Q12),"")</f>
        <v>-4223</v>
      </c>
      <c r="AB12" s="21">
        <v>8981</v>
      </c>
      <c r="AC12" s="22">
        <f>IF(AB12&gt;0,(AB12-AB13-$Q12),"")</f>
        <v>-4223</v>
      </c>
      <c r="AD12" s="21">
        <v>8981</v>
      </c>
      <c r="AE12" s="22">
        <f>IF(AD12&gt;0,(AD12-AD13-$Q12),"")</f>
        <v>-4223</v>
      </c>
    </row>
    <row r="13" spans="2:42" x14ac:dyDescent="0.3">
      <c r="B13" s="16" t="s">
        <v>36</v>
      </c>
      <c r="C13" s="17">
        <v>4124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16</v>
      </c>
      <c r="P13" s="93" t="s">
        <v>37</v>
      </c>
      <c r="Q13" s="24"/>
      <c r="R13" s="30">
        <v>810</v>
      </c>
      <c r="S13" s="24"/>
      <c r="T13" s="30">
        <v>823</v>
      </c>
      <c r="U13" s="24"/>
      <c r="V13" s="30">
        <v>1316</v>
      </c>
      <c r="W13" s="24"/>
      <c r="X13" s="30">
        <v>1331</v>
      </c>
      <c r="Y13" s="24"/>
      <c r="Z13" s="30">
        <v>1331</v>
      </c>
      <c r="AA13" s="24"/>
      <c r="AB13" s="30">
        <v>1331</v>
      </c>
      <c r="AC13" s="26"/>
      <c r="AD13" s="30">
        <v>1331</v>
      </c>
      <c r="AE13" s="26"/>
    </row>
    <row r="14" spans="2:42" x14ac:dyDescent="0.3">
      <c r="B14" s="16" t="s">
        <v>38</v>
      </c>
      <c r="C14" s="17">
        <v>10509</v>
      </c>
      <c r="E14" s="18" t="s">
        <v>39</v>
      </c>
      <c r="F14" s="119">
        <v>20443</v>
      </c>
      <c r="G14" s="117">
        <v>17334.0625</v>
      </c>
      <c r="H14" s="117">
        <v>20197.312196800009</v>
      </c>
      <c r="I14" s="19">
        <f>G14+H14</f>
        <v>37531.374696800005</v>
      </c>
      <c r="J14" s="119">
        <v>20535</v>
      </c>
      <c r="K14" s="117">
        <v>17459.4375</v>
      </c>
      <c r="L14" s="117">
        <v>20203.14743067999</v>
      </c>
      <c r="M14" s="19">
        <f>K14+L14</f>
        <v>37662.584930679994</v>
      </c>
      <c r="N14" s="88">
        <v>72</v>
      </c>
      <c r="O14" s="88">
        <v>52</v>
      </c>
      <c r="P14" s="92"/>
      <c r="Q14" s="20">
        <f>J14-P14</f>
        <v>20535</v>
      </c>
      <c r="R14" s="21">
        <v>5093</v>
      </c>
      <c r="S14" s="20">
        <f>IF(R14&gt;0,(R14-R15-$Q14),"")</f>
        <v>-19898</v>
      </c>
      <c r="T14" s="21">
        <v>7379</v>
      </c>
      <c r="U14" s="20">
        <f>IF(T14&gt;0,(T14-T15-$Q14),"")</f>
        <v>-19306</v>
      </c>
      <c r="V14" s="21">
        <v>9597</v>
      </c>
      <c r="W14" s="20">
        <f>IF(V14&gt;0,(V14-V15-$Q14),"")</f>
        <v>-18561</v>
      </c>
      <c r="X14" s="21">
        <v>13227</v>
      </c>
      <c r="Y14" s="20">
        <f>IF(X14&gt;0,(X14-X15-$Q14),"")</f>
        <v>-16637</v>
      </c>
      <c r="Z14" s="21">
        <v>14780</v>
      </c>
      <c r="AA14" s="20">
        <f>IF(Z14&gt;0,(Z14-Z15-$Q14),"")</f>
        <v>-15472</v>
      </c>
      <c r="AB14" s="21">
        <v>14780</v>
      </c>
      <c r="AC14" s="22">
        <f>IF(AB14&gt;0,(AB14-AB15-$Q14),"")</f>
        <v>-15472</v>
      </c>
      <c r="AD14" s="21">
        <v>14780</v>
      </c>
      <c r="AE14" s="22">
        <f>IF(AD14&gt;0,(AD14-AD15-$Q14),"")</f>
        <v>-15472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4456</v>
      </c>
      <c r="S15" s="24"/>
      <c r="T15" s="25">
        <v>6150</v>
      </c>
      <c r="U15" s="24"/>
      <c r="V15" s="25">
        <v>7623</v>
      </c>
      <c r="W15" s="24"/>
      <c r="X15" s="25">
        <v>9329</v>
      </c>
      <c r="Y15" s="24"/>
      <c r="Z15" s="25">
        <v>9717</v>
      </c>
      <c r="AA15" s="24"/>
      <c r="AB15" s="25">
        <v>9717</v>
      </c>
      <c r="AC15" s="26"/>
      <c r="AD15" s="25">
        <v>9717</v>
      </c>
      <c r="AE15" s="26"/>
    </row>
    <row r="16" spans="2:42" ht="15" customHeight="1" thickBot="1" x14ac:dyDescent="0.35">
      <c r="B16" s="28" t="s">
        <v>42</v>
      </c>
      <c r="C16" s="17">
        <v>9834</v>
      </c>
      <c r="E16" s="84"/>
      <c r="F16" s="31">
        <f t="shared" ref="F16:M16" si="0">SUM(F6:F15)</f>
        <v>76511</v>
      </c>
      <c r="G16" s="31">
        <f t="shared" si="0"/>
        <v>57991.391124999987</v>
      </c>
      <c r="H16" s="31">
        <f t="shared" si="0"/>
        <v>51873.066704420009</v>
      </c>
      <c r="I16" s="32">
        <f t="shared" si="0"/>
        <v>109864.45782942</v>
      </c>
      <c r="J16" s="33">
        <f t="shared" si="0"/>
        <v>75469</v>
      </c>
      <c r="K16" s="33">
        <f t="shared" si="0"/>
        <v>57400.872375000006</v>
      </c>
      <c r="L16" s="33">
        <f t="shared" si="0"/>
        <v>49977.971492929995</v>
      </c>
      <c r="M16" s="33">
        <f t="shared" si="0"/>
        <v>107378.84386793</v>
      </c>
      <c r="N16" s="31">
        <f>SUM(N14,N12,N10,N8,N6)</f>
        <v>281</v>
      </c>
      <c r="O16" s="31">
        <f>SUM(O14,O12,O10,O8,O6)</f>
        <v>217</v>
      </c>
      <c r="P16" s="34">
        <f>SUM(P6:P15)</f>
        <v>0</v>
      </c>
      <c r="Q16" s="34">
        <f>SUM(Q6:Q15)</f>
        <v>75469</v>
      </c>
      <c r="R16" s="35">
        <f>R6+R8+R10+R12+R14-R7-R9-R11-R13-R15</f>
        <v>10869</v>
      </c>
      <c r="S16" s="36">
        <f>IF(R16&gt;1,(R16-$Q16),"")</f>
        <v>-64600</v>
      </c>
      <c r="T16" s="35">
        <f>T6+T8+T10+T12+T14-T7-T9-T11-T13-T15</f>
        <v>15562</v>
      </c>
      <c r="U16" s="36">
        <f>IF(T16&gt;1,(T16-$Q16),"")</f>
        <v>-59907</v>
      </c>
      <c r="V16" s="35">
        <f>V6+V8+V10+V12+V14-V7-V9-V11-V13-V15</f>
        <v>27736</v>
      </c>
      <c r="W16" s="36">
        <f>IF(V16&gt;1,(V16-$Q16),"")</f>
        <v>-47733</v>
      </c>
      <c r="X16" s="35">
        <f>X6+X8+X10+X12+X14-X7-X9-X11-X13-X15</f>
        <v>43612</v>
      </c>
      <c r="Y16" s="36">
        <f>IF(X16&gt;1,(X16-$Q16),"")</f>
        <v>-31857</v>
      </c>
      <c r="Z16" s="35">
        <f>Z6+Z8+Z10+Z12+Z14-Z7-Z9-Z11-Z13-Z15</f>
        <v>44777</v>
      </c>
      <c r="AA16" s="36">
        <f>IF(Z16&gt;1,(Z16-$Q16),"")</f>
        <v>-30692</v>
      </c>
      <c r="AB16" s="35">
        <f>AB6+AB8+AB10+AB12+AB14-AB7-AB9-AB11-AB13-AB15</f>
        <v>44777</v>
      </c>
      <c r="AC16" s="37">
        <f>IF(AB16&gt;1,(AB16-$Q16),"")</f>
        <v>-30692</v>
      </c>
      <c r="AD16" s="35">
        <f>AD6+AD8+AD10+AD12+AD14-AD7-AD9-AD11-AD13-AD15</f>
        <v>44777</v>
      </c>
      <c r="AE16" s="37">
        <f>IF(AD16&gt;1,(AD16-$Q16),"")</f>
        <v>-30692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7622</v>
      </c>
      <c r="S17" s="41"/>
      <c r="T17" s="40">
        <f>T15+T13+T11+T9+T7</f>
        <v>9811</v>
      </c>
      <c r="U17" s="41"/>
      <c r="V17" s="40">
        <f>V15+V13+V11+V9+V7</f>
        <v>12486</v>
      </c>
      <c r="W17" s="41"/>
      <c r="X17" s="40">
        <f>X15+X13+X11+X9+X7</f>
        <v>15010</v>
      </c>
      <c r="Y17" s="41"/>
      <c r="Z17" s="40">
        <f>Z15+Z13+Z11+Z9+Z7</f>
        <v>15718</v>
      </c>
      <c r="AA17" s="41"/>
      <c r="AB17" s="40">
        <f>AB15+AB13+AB11+AB9+AB7</f>
        <v>15718</v>
      </c>
      <c r="AC17" s="42"/>
      <c r="AD17" s="40">
        <f>AD15+AD13+AD11+AD9+AD7</f>
        <v>15718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5434.5</v>
      </c>
      <c r="S18" s="46"/>
      <c r="T18" s="47">
        <f>IF(T16&gt;0,(T16-R16)/2,"")</f>
        <v>2346.5</v>
      </c>
      <c r="U18" s="46"/>
      <c r="V18" s="47">
        <f>IF(V16&gt;0,(V16-T16)/2,"")</f>
        <v>6087</v>
      </c>
      <c r="W18" s="46"/>
      <c r="X18" s="47">
        <f>IF(X16&gt;0,(X16-V16)/2,"")</f>
        <v>7938</v>
      </c>
      <c r="Y18" s="46"/>
      <c r="Z18" s="47">
        <f>IF(Z16&gt;0,(Z16-X16)/2,"")</f>
        <v>582.5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8470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886</v>
      </c>
      <c r="L20" s="4"/>
      <c r="M20" s="4"/>
      <c r="Q20" s="51" t="s">
        <v>49</v>
      </c>
      <c r="R20" s="35">
        <v>15488</v>
      </c>
      <c r="S20" s="36">
        <v>-67393</v>
      </c>
      <c r="T20" s="35">
        <v>21679</v>
      </c>
      <c r="U20" s="36">
        <v>-61202</v>
      </c>
      <c r="V20" s="35">
        <v>44055</v>
      </c>
      <c r="W20" s="36">
        <v>-38826</v>
      </c>
      <c r="X20" s="35">
        <v>51615</v>
      </c>
      <c r="Y20" s="36">
        <v>-31266</v>
      </c>
      <c r="Z20" s="35">
        <v>55812</v>
      </c>
      <c r="AA20" s="36">
        <v>-27069</v>
      </c>
      <c r="AB20" s="35">
        <v>55812</v>
      </c>
      <c r="AC20" s="37">
        <v>-27069</v>
      </c>
      <c r="AD20" s="35">
        <v>55812</v>
      </c>
      <c r="AE20" s="37"/>
    </row>
    <row r="21" spans="2:43" ht="15" customHeight="1" thickBot="1" x14ac:dyDescent="0.35">
      <c r="B21" s="57" t="s">
        <v>52</v>
      </c>
      <c r="C21" s="58">
        <v>4483</v>
      </c>
      <c r="M21" s="4"/>
      <c r="Q21" s="52"/>
      <c r="R21" s="40">
        <v>6475</v>
      </c>
      <c r="S21" s="41"/>
      <c r="T21" s="40">
        <v>11503</v>
      </c>
      <c r="U21" s="41"/>
      <c r="V21" s="40">
        <v>14751</v>
      </c>
      <c r="W21" s="41"/>
      <c r="X21" s="40">
        <v>15698</v>
      </c>
      <c r="Y21" s="41"/>
      <c r="Z21" s="40">
        <v>15811</v>
      </c>
      <c r="AA21" s="41"/>
      <c r="AB21" s="40">
        <v>15811</v>
      </c>
      <c r="AC21" s="42"/>
      <c r="AD21" s="40">
        <v>15811</v>
      </c>
      <c r="AE21" s="42"/>
    </row>
    <row r="22" spans="2:43" ht="15" customHeight="1" thickBot="1" x14ac:dyDescent="0.35">
      <c r="M22" s="4"/>
      <c r="Q22" s="54"/>
      <c r="R22" s="55">
        <v>7744</v>
      </c>
      <c r="S22" s="55"/>
      <c r="T22" s="55">
        <v>3095.5</v>
      </c>
      <c r="U22" s="55"/>
      <c r="V22" s="55">
        <v>11188</v>
      </c>
      <c r="W22" s="55"/>
      <c r="X22" s="55">
        <v>3780</v>
      </c>
      <c r="Y22" s="55"/>
      <c r="Z22" s="55">
        <v>2098.5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-4619</v>
      </c>
      <c r="S24" s="60"/>
      <c r="T24" s="60">
        <f>IF(T16&gt;0,T16-T20,"")</f>
        <v>-6117</v>
      </c>
      <c r="U24" s="60"/>
      <c r="V24" s="60">
        <f>IF(V16&gt;0,V16-V20,"")</f>
        <v>-16319</v>
      </c>
      <c r="W24" s="60"/>
      <c r="X24" s="60">
        <f>IF(X16&gt;0,X16-X20,"")</f>
        <v>-8003</v>
      </c>
      <c r="Y24" s="60"/>
      <c r="Z24" s="60">
        <f>IF(Z16&gt;0,Z16-Z20,"")</f>
        <v>-11035</v>
      </c>
      <c r="AA24" s="60"/>
      <c r="AB24" s="60">
        <f>IF(AB16&gt;0,AB16-AB20,"")</f>
        <v>-11035</v>
      </c>
      <c r="AC24" s="61"/>
      <c r="AD24" s="60">
        <f>IF(AD16&gt;0,AD16-AD20,"")</f>
        <v>-11035</v>
      </c>
      <c r="AE24" s="61"/>
    </row>
    <row r="25" spans="2:43" x14ac:dyDescent="0.3">
      <c r="J25" s="123"/>
      <c r="M25" s="4"/>
      <c r="Q25" s="62"/>
      <c r="R25" s="63">
        <f>IF(R17&gt;=0,R17-R21,"")</f>
        <v>1147</v>
      </c>
      <c r="S25" s="64"/>
      <c r="T25" s="63">
        <f>IF(T17&gt;=0,T17-T21,"")</f>
        <v>-1692</v>
      </c>
      <c r="U25" s="64"/>
      <c r="V25" s="63">
        <f>IF(V17&gt;=0,V17-V21,"")</f>
        <v>-2265</v>
      </c>
      <c r="W25" s="64"/>
      <c r="X25" s="63">
        <f>IF(X17&gt;=0,X17-X21,"")</f>
        <v>-688</v>
      </c>
      <c r="Y25" s="64"/>
      <c r="Z25" s="63">
        <f>IF(Z17&gt;=0,Z17-Z21,"")</f>
        <v>-93</v>
      </c>
      <c r="AA25" s="64"/>
      <c r="AB25" s="63">
        <f>IF(AB17&gt;=0,AB17-AB21,"")</f>
        <v>-93</v>
      </c>
      <c r="AC25" s="65"/>
      <c r="AD25" s="63">
        <f>IF(AD17&gt;=0,AD17-AD21,"")</f>
        <v>-93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-2309.5</v>
      </c>
      <c r="S26" s="55"/>
      <c r="T26" s="67">
        <f>IFERROR(IF(T18&gt;0,T18-T22,""),"")</f>
        <v>-749</v>
      </c>
      <c r="U26" s="55"/>
      <c r="V26" s="67">
        <f>IFERROR(IF(V18&gt;0,V18-V22,""),"")</f>
        <v>-5101</v>
      </c>
      <c r="W26" s="55"/>
      <c r="X26" s="67">
        <f>IFERROR(IF(X18&gt;0,X18-X22,""),"")</f>
        <v>4158</v>
      </c>
      <c r="Y26" s="55"/>
      <c r="Z26" s="67">
        <f>IFERROR(IF(Z18&gt;0,Z18-Z22,""),"")</f>
        <v>-1516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11819</v>
      </c>
      <c r="D29" s="76">
        <f>C14</f>
        <v>10509</v>
      </c>
      <c r="E29" s="77">
        <f>D29-C29</f>
        <v>-1310</v>
      </c>
      <c r="O29" s="4"/>
    </row>
    <row r="30" spans="2:43" x14ac:dyDescent="0.3">
      <c r="B30" s="74" t="s">
        <v>56</v>
      </c>
      <c r="C30" s="122">
        <v>24781</v>
      </c>
      <c r="D30" s="76">
        <f>C7+C15+C16+C17+C18</f>
        <v>9834</v>
      </c>
      <c r="E30" s="77">
        <f>D30-C30</f>
        <v>-14947</v>
      </c>
      <c r="J30" s="53"/>
      <c r="O30" s="4"/>
    </row>
    <row r="31" spans="2:43" x14ac:dyDescent="0.3">
      <c r="B31" s="74" t="s">
        <v>21</v>
      </c>
      <c r="C31" s="122">
        <v>3608</v>
      </c>
      <c r="D31" s="76">
        <f>C6</f>
        <v>3608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11596</v>
      </c>
      <c r="D32" s="76">
        <f>C10+C11+C12+C13</f>
        <v>11596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13931</v>
      </c>
      <c r="D33" s="76">
        <f>C19+C20+C21</f>
        <v>13839</v>
      </c>
      <c r="E33" s="77">
        <f>D33-C33</f>
        <v>-92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3811</v>
      </c>
      <c r="D34" s="80">
        <f>SUM(C8+C9)</f>
        <v>3811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8.5</v>
      </c>
      <c r="X36" s="106">
        <v>17</v>
      </c>
      <c r="Y36" s="106">
        <f t="shared" si="4"/>
        <v>0</v>
      </c>
      <c r="Z36" s="106">
        <v>17</v>
      </c>
      <c r="AA36" s="106">
        <f t="shared" si="5"/>
        <v>0</v>
      </c>
      <c r="AB36" s="106">
        <v>17</v>
      </c>
      <c r="AC36" s="106">
        <f t="shared" si="6"/>
        <v>0</v>
      </c>
      <c r="AD36" s="106">
        <v>17</v>
      </c>
      <c r="AE36" s="107">
        <f t="shared" si="7"/>
        <v>17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868</v>
      </c>
      <c r="S37" s="108">
        <f t="shared" si="1"/>
        <v>326.5</v>
      </c>
      <c r="T37" s="108">
        <v>1521</v>
      </c>
      <c r="U37" s="108">
        <f t="shared" si="2"/>
        <v>304.5</v>
      </c>
      <c r="V37" s="108">
        <v>2130</v>
      </c>
      <c r="W37" s="108">
        <f t="shared" si="3"/>
        <v>368.5</v>
      </c>
      <c r="X37" s="108">
        <v>2867</v>
      </c>
      <c r="Y37" s="108">
        <f t="shared" si="4"/>
        <v>0</v>
      </c>
      <c r="Z37" s="108">
        <v>2867</v>
      </c>
      <c r="AA37" s="108">
        <f t="shared" si="5"/>
        <v>0</v>
      </c>
      <c r="AB37" s="108">
        <v>2867</v>
      </c>
      <c r="AC37" s="108">
        <f t="shared" si="6"/>
        <v>0</v>
      </c>
      <c r="AD37" s="108">
        <v>2867</v>
      </c>
      <c r="AE37" s="109">
        <f t="shared" si="7"/>
        <v>2867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1259</v>
      </c>
      <c r="S38" s="106">
        <f t="shared" si="1"/>
        <v>238.5</v>
      </c>
      <c r="T38" s="106">
        <v>1736</v>
      </c>
      <c r="U38" s="106">
        <f t="shared" si="2"/>
        <v>264.5</v>
      </c>
      <c r="V38" s="106">
        <v>2265</v>
      </c>
      <c r="W38" s="106">
        <f t="shared" si="3"/>
        <v>392.5</v>
      </c>
      <c r="X38" s="106">
        <v>3050</v>
      </c>
      <c r="Y38" s="106">
        <f t="shared" si="4"/>
        <v>0</v>
      </c>
      <c r="Z38" s="106">
        <v>3050</v>
      </c>
      <c r="AA38" s="106">
        <f t="shared" si="5"/>
        <v>0</v>
      </c>
      <c r="AB38" s="106">
        <v>3050</v>
      </c>
      <c r="AC38" s="106">
        <f t="shared" si="6"/>
        <v>0</v>
      </c>
      <c r="AD38" s="106">
        <v>3050</v>
      </c>
      <c r="AE38" s="107">
        <f t="shared" si="7"/>
        <v>3050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913</v>
      </c>
      <c r="S39" s="108">
        <f t="shared" si="1"/>
        <v>0</v>
      </c>
      <c r="T39" s="108">
        <v>913</v>
      </c>
      <c r="U39" s="108">
        <f t="shared" si="2"/>
        <v>541.5</v>
      </c>
      <c r="V39" s="108">
        <v>1996</v>
      </c>
      <c r="W39" s="108">
        <f t="shared" si="3"/>
        <v>153</v>
      </c>
      <c r="X39" s="108">
        <v>2302</v>
      </c>
      <c r="Y39" s="108">
        <f t="shared" si="4"/>
        <v>0</v>
      </c>
      <c r="Z39" s="108">
        <v>2302</v>
      </c>
      <c r="AA39" s="108">
        <f t="shared" si="5"/>
        <v>0</v>
      </c>
      <c r="AB39" s="108">
        <v>2302</v>
      </c>
      <c r="AC39" s="108">
        <f t="shared" si="6"/>
        <v>0</v>
      </c>
      <c r="AD39" s="108">
        <v>2302</v>
      </c>
      <c r="AE39" s="109">
        <f t="shared" si="7"/>
        <v>2302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737</v>
      </c>
      <c r="S40" s="106">
        <f t="shared" si="1"/>
        <v>441.5</v>
      </c>
      <c r="T40" s="106">
        <v>1620</v>
      </c>
      <c r="U40" s="106">
        <f t="shared" si="2"/>
        <v>233</v>
      </c>
      <c r="V40" s="106">
        <v>2086</v>
      </c>
      <c r="W40" s="106">
        <f t="shared" si="3"/>
        <v>471.5</v>
      </c>
      <c r="X40" s="106">
        <v>3029</v>
      </c>
      <c r="Y40" s="106">
        <f t="shared" si="4"/>
        <v>0</v>
      </c>
      <c r="Z40" s="106">
        <v>3029</v>
      </c>
      <c r="AA40" s="106">
        <f t="shared" si="5"/>
        <v>0</v>
      </c>
      <c r="AB40" s="106">
        <v>3029</v>
      </c>
      <c r="AC40" s="106">
        <f t="shared" si="6"/>
        <v>0</v>
      </c>
      <c r="AD40" s="106">
        <v>3029</v>
      </c>
      <c r="AE40" s="107">
        <f t="shared" si="7"/>
        <v>3029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400</v>
      </c>
      <c r="S42" s="106">
        <f t="shared" si="1"/>
        <v>299.5</v>
      </c>
      <c r="T42" s="106">
        <v>999</v>
      </c>
      <c r="U42" s="106">
        <f t="shared" si="2"/>
        <v>258</v>
      </c>
      <c r="V42" s="106">
        <v>1515</v>
      </c>
      <c r="W42" s="106">
        <f t="shared" si="3"/>
        <v>68</v>
      </c>
      <c r="X42" s="106">
        <v>1651</v>
      </c>
      <c r="Y42" s="106">
        <f t="shared" si="4"/>
        <v>0</v>
      </c>
      <c r="Z42" s="106">
        <v>1651</v>
      </c>
      <c r="AA42" s="106">
        <f t="shared" si="5"/>
        <v>0</v>
      </c>
      <c r="AB42" s="106">
        <v>1651</v>
      </c>
      <c r="AC42" s="106">
        <f t="shared" si="6"/>
        <v>0</v>
      </c>
      <c r="AD42" s="106">
        <v>1651</v>
      </c>
      <c r="AE42" s="107">
        <f t="shared" si="7"/>
        <v>1651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559</v>
      </c>
      <c r="S43" s="110">
        <f t="shared" si="1"/>
        <v>204</v>
      </c>
      <c r="T43" s="110">
        <v>967</v>
      </c>
      <c r="U43" s="110">
        <f t="shared" si="2"/>
        <v>201.5</v>
      </c>
      <c r="V43" s="110">
        <v>1370</v>
      </c>
      <c r="W43" s="110">
        <f t="shared" si="3"/>
        <v>0</v>
      </c>
      <c r="X43" s="110">
        <v>1370</v>
      </c>
      <c r="Y43" s="110">
        <f t="shared" si="4"/>
        <v>0</v>
      </c>
      <c r="Z43" s="110">
        <v>1370</v>
      </c>
      <c r="AA43" s="110">
        <f t="shared" si="5"/>
        <v>0</v>
      </c>
      <c r="AB43" s="110">
        <v>1370</v>
      </c>
      <c r="AC43" s="110">
        <f t="shared" si="6"/>
        <v>0</v>
      </c>
      <c r="AD43" s="110">
        <v>1370</v>
      </c>
      <c r="AE43" s="111">
        <f t="shared" si="7"/>
        <v>1370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1426</v>
      </c>
      <c r="X44" s="112">
        <v>2852</v>
      </c>
      <c r="Y44" s="112">
        <f t="shared" si="4"/>
        <v>0</v>
      </c>
      <c r="Z44" s="112">
        <v>2852</v>
      </c>
      <c r="AA44" s="112">
        <f t="shared" si="5"/>
        <v>0</v>
      </c>
      <c r="AB44" s="112">
        <v>2852</v>
      </c>
      <c r="AC44" s="112">
        <f t="shared" si="6"/>
        <v>0</v>
      </c>
      <c r="AD44" s="112">
        <v>2852</v>
      </c>
      <c r="AE44" s="113">
        <f t="shared" si="7"/>
        <v>2852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1143.5</v>
      </c>
      <c r="X45" s="108">
        <v>2287</v>
      </c>
      <c r="Y45" s="108">
        <f t="shared" si="4"/>
        <v>0</v>
      </c>
      <c r="Z45" s="108">
        <v>2287</v>
      </c>
      <c r="AA45" s="108">
        <f t="shared" si="5"/>
        <v>0</v>
      </c>
      <c r="AB45" s="108">
        <v>2287</v>
      </c>
      <c r="AC45" s="108">
        <f t="shared" si="6"/>
        <v>0</v>
      </c>
      <c r="AD45" s="108">
        <v>2287</v>
      </c>
      <c r="AE45" s="109">
        <f t="shared" si="7"/>
        <v>2287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>
        <f t="shared" si="2"/>
        <v>860</v>
      </c>
      <c r="V46" s="106">
        <v>1720</v>
      </c>
      <c r="W46" s="106">
        <f t="shared" si="3"/>
        <v>446</v>
      </c>
      <c r="X46" s="106">
        <v>2612</v>
      </c>
      <c r="Y46" s="106">
        <f t="shared" si="4"/>
        <v>0</v>
      </c>
      <c r="Z46" s="106">
        <v>2612</v>
      </c>
      <c r="AA46" s="106">
        <f t="shared" si="5"/>
        <v>0</v>
      </c>
      <c r="AB46" s="106">
        <v>2612</v>
      </c>
      <c r="AC46" s="106">
        <f t="shared" si="6"/>
        <v>0</v>
      </c>
      <c r="AD46" s="106">
        <v>2612</v>
      </c>
      <c r="AE46" s="107">
        <f t="shared" si="7"/>
        <v>2612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>
        <f t="shared" si="2"/>
        <v>479</v>
      </c>
      <c r="V47" s="110">
        <v>958</v>
      </c>
      <c r="W47" s="110">
        <f t="shared" si="3"/>
        <v>759.5</v>
      </c>
      <c r="X47" s="110">
        <v>2477</v>
      </c>
      <c r="Y47" s="110">
        <f t="shared" si="4"/>
        <v>0</v>
      </c>
      <c r="Z47" s="110">
        <v>2477</v>
      </c>
      <c r="AA47" s="110">
        <f t="shared" si="5"/>
        <v>0</v>
      </c>
      <c r="AB47" s="110">
        <v>2477</v>
      </c>
      <c r="AC47" s="110">
        <f t="shared" si="6"/>
        <v>0</v>
      </c>
      <c r="AD47" s="110">
        <v>2477</v>
      </c>
      <c r="AE47" s="111">
        <f t="shared" si="7"/>
        <v>2477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77</v>
      </c>
      <c r="S48" s="112">
        <f t="shared" si="1"/>
        <v>0</v>
      </c>
      <c r="T48" s="112">
        <v>77</v>
      </c>
      <c r="U48" s="112">
        <f t="shared" si="2"/>
        <v>19</v>
      </c>
      <c r="V48" s="112">
        <v>115</v>
      </c>
      <c r="W48" s="112">
        <f t="shared" si="3"/>
        <v>103.5</v>
      </c>
      <c r="X48" s="112">
        <v>322</v>
      </c>
      <c r="Y48" s="112">
        <f t="shared" si="4"/>
        <v>0</v>
      </c>
      <c r="Z48" s="112">
        <v>322</v>
      </c>
      <c r="AA48" s="112">
        <f t="shared" si="5"/>
        <v>0</v>
      </c>
      <c r="AB48" s="112">
        <v>322</v>
      </c>
      <c r="AC48" s="112">
        <f t="shared" si="6"/>
        <v>0</v>
      </c>
      <c r="AD48" s="112">
        <v>322</v>
      </c>
      <c r="AE48" s="113">
        <f t="shared" si="7"/>
        <v>322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0</v>
      </c>
      <c r="S49" s="108" t="str">
        <f t="shared" si="1"/>
        <v/>
      </c>
      <c r="T49" s="108">
        <v>0</v>
      </c>
      <c r="U49" s="108">
        <f t="shared" si="2"/>
        <v>80.5</v>
      </c>
      <c r="V49" s="108">
        <v>161</v>
      </c>
      <c r="W49" s="108">
        <f t="shared" si="3"/>
        <v>136</v>
      </c>
      <c r="X49" s="108">
        <v>433</v>
      </c>
      <c r="Y49" s="108">
        <f t="shared" si="4"/>
        <v>-67</v>
      </c>
      <c r="Z49" s="108">
        <v>299</v>
      </c>
      <c r="AA49" s="108">
        <f t="shared" si="5"/>
        <v>0</v>
      </c>
      <c r="AB49" s="108">
        <v>299</v>
      </c>
      <c r="AC49" s="108">
        <f t="shared" si="6"/>
        <v>0</v>
      </c>
      <c r="AD49" s="108">
        <v>299</v>
      </c>
      <c r="AE49" s="109">
        <f t="shared" si="7"/>
        <v>299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905</v>
      </c>
      <c r="S50" s="106">
        <f t="shared" si="1"/>
        <v>156</v>
      </c>
      <c r="T50" s="106">
        <v>1217</v>
      </c>
      <c r="U50" s="106">
        <f t="shared" si="2"/>
        <v>-34.5</v>
      </c>
      <c r="V50" s="106">
        <v>1148</v>
      </c>
      <c r="W50" s="106">
        <f t="shared" si="3"/>
        <v>22</v>
      </c>
      <c r="X50" s="106">
        <v>1192</v>
      </c>
      <c r="Y50" s="106">
        <f t="shared" si="4"/>
        <v>169.5</v>
      </c>
      <c r="Z50" s="106">
        <v>1531</v>
      </c>
      <c r="AA50" s="106">
        <f t="shared" si="5"/>
        <v>0</v>
      </c>
      <c r="AB50" s="106">
        <v>1531</v>
      </c>
      <c r="AC50" s="106">
        <f t="shared" si="6"/>
        <v>0</v>
      </c>
      <c r="AD50" s="106">
        <v>1531</v>
      </c>
      <c r="AE50" s="107">
        <f t="shared" si="7"/>
        <v>1531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540</v>
      </c>
      <c r="S51" s="108">
        <f t="shared" si="1"/>
        <v>12.5</v>
      </c>
      <c r="T51" s="108">
        <v>565</v>
      </c>
      <c r="U51" s="108">
        <f t="shared" si="2"/>
        <v>413.5</v>
      </c>
      <c r="V51" s="108">
        <v>1392</v>
      </c>
      <c r="W51" s="108">
        <f t="shared" si="3"/>
        <v>130.5</v>
      </c>
      <c r="X51" s="108">
        <v>1653</v>
      </c>
      <c r="Y51" s="108">
        <f t="shared" si="4"/>
        <v>0</v>
      </c>
      <c r="Z51" s="108">
        <v>1653</v>
      </c>
      <c r="AA51" s="108">
        <f t="shared" si="5"/>
        <v>0</v>
      </c>
      <c r="AB51" s="108">
        <v>1653</v>
      </c>
      <c r="AC51" s="108">
        <f t="shared" si="6"/>
        <v>0</v>
      </c>
      <c r="AD51" s="108">
        <v>1653</v>
      </c>
      <c r="AE51" s="109">
        <f t="shared" si="7"/>
        <v>1653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968</v>
      </c>
      <c r="S52" s="106">
        <f t="shared" si="1"/>
        <v>0</v>
      </c>
      <c r="T52" s="106">
        <v>968</v>
      </c>
      <c r="U52" s="106">
        <f t="shared" si="2"/>
        <v>281.5</v>
      </c>
      <c r="V52" s="106">
        <v>1531</v>
      </c>
      <c r="W52" s="106">
        <f t="shared" si="3"/>
        <v>172</v>
      </c>
      <c r="X52" s="106">
        <v>1875</v>
      </c>
      <c r="Y52" s="106">
        <f t="shared" si="4"/>
        <v>57.5</v>
      </c>
      <c r="Z52" s="106">
        <v>1990</v>
      </c>
      <c r="AA52" s="106">
        <f t="shared" si="5"/>
        <v>0</v>
      </c>
      <c r="AB52" s="106">
        <v>1990</v>
      </c>
      <c r="AC52" s="106">
        <f t="shared" si="6"/>
        <v>0</v>
      </c>
      <c r="AD52" s="106">
        <v>1990</v>
      </c>
      <c r="AE52" s="107">
        <f t="shared" si="7"/>
        <v>1990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650</v>
      </c>
      <c r="S53" s="108">
        <f t="shared" si="1"/>
        <v>191.5</v>
      </c>
      <c r="T53" s="108">
        <v>1033</v>
      </c>
      <c r="U53" s="108">
        <f t="shared" si="2"/>
        <v>57.5</v>
      </c>
      <c r="V53" s="108">
        <v>1148</v>
      </c>
      <c r="W53" s="108">
        <f t="shared" si="3"/>
        <v>0</v>
      </c>
      <c r="X53" s="108">
        <v>1148</v>
      </c>
      <c r="Y53" s="108">
        <f t="shared" si="4"/>
        <v>0</v>
      </c>
      <c r="Z53" s="108">
        <v>1148</v>
      </c>
      <c r="AA53" s="108">
        <f t="shared" si="5"/>
        <v>0</v>
      </c>
      <c r="AB53" s="108">
        <v>1148</v>
      </c>
      <c r="AC53" s="108">
        <f t="shared" si="6"/>
        <v>0</v>
      </c>
      <c r="AD53" s="108">
        <v>1148</v>
      </c>
      <c r="AE53" s="109">
        <f t="shared" si="7"/>
        <v>1148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1765</v>
      </c>
      <c r="S54" s="106">
        <f t="shared" si="1"/>
        <v>0</v>
      </c>
      <c r="T54" s="106">
        <v>1765</v>
      </c>
      <c r="U54" s="106">
        <f t="shared" si="2"/>
        <v>202</v>
      </c>
      <c r="V54" s="106">
        <v>2169</v>
      </c>
      <c r="W54" s="106">
        <f t="shared" si="3"/>
        <v>692.5</v>
      </c>
      <c r="X54" s="106">
        <v>3554</v>
      </c>
      <c r="Y54" s="106">
        <f t="shared" si="4"/>
        <v>0</v>
      </c>
      <c r="Z54" s="106">
        <v>3554</v>
      </c>
      <c r="AA54" s="106">
        <f t="shared" si="5"/>
        <v>0</v>
      </c>
      <c r="AB54" s="106">
        <v>3554</v>
      </c>
      <c r="AC54" s="106">
        <f t="shared" si="6"/>
        <v>0</v>
      </c>
      <c r="AD54" s="106">
        <v>3554</v>
      </c>
      <c r="AE54" s="107">
        <f t="shared" si="7"/>
        <v>3554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>
        <f t="shared" si="2"/>
        <v>89.5</v>
      </c>
      <c r="V55" s="108">
        <v>179</v>
      </c>
      <c r="W55" s="108">
        <f t="shared" si="3"/>
        <v>0</v>
      </c>
      <c r="X55" s="108">
        <v>179</v>
      </c>
      <c r="Y55" s="108">
        <f t="shared" si="4"/>
        <v>0</v>
      </c>
      <c r="Z55" s="108">
        <v>179</v>
      </c>
      <c r="AA55" s="108">
        <f t="shared" si="5"/>
        <v>0</v>
      </c>
      <c r="AB55" s="108">
        <v>179</v>
      </c>
      <c r="AC55" s="108">
        <f t="shared" si="6"/>
        <v>0</v>
      </c>
      <c r="AD55" s="108">
        <v>179</v>
      </c>
      <c r="AE55" s="109">
        <f t="shared" si="7"/>
        <v>179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140</v>
      </c>
      <c r="S56" s="114">
        <f t="shared" si="1"/>
        <v>41</v>
      </c>
      <c r="T56" s="114">
        <v>222</v>
      </c>
      <c r="U56" s="114">
        <f t="shared" si="2"/>
        <v>365</v>
      </c>
      <c r="V56" s="114">
        <v>952</v>
      </c>
      <c r="W56" s="114">
        <f t="shared" si="3"/>
        <v>88</v>
      </c>
      <c r="X56" s="114">
        <v>1128</v>
      </c>
      <c r="Y56" s="114">
        <f t="shared" si="4"/>
        <v>0</v>
      </c>
      <c r="Z56" s="114">
        <v>1128</v>
      </c>
      <c r="AA56" s="114">
        <f t="shared" si="5"/>
        <v>0</v>
      </c>
      <c r="AB56" s="114">
        <v>1128</v>
      </c>
      <c r="AC56" s="114">
        <f t="shared" si="6"/>
        <v>0</v>
      </c>
      <c r="AD56" s="114">
        <v>1128</v>
      </c>
      <c r="AE56" s="115">
        <f t="shared" si="7"/>
        <v>1128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32</v>
      </c>
      <c r="S57" s="104">
        <f t="shared" si="1"/>
        <v>0</v>
      </c>
      <c r="T57" s="104">
        <v>32</v>
      </c>
      <c r="U57" s="104">
        <f t="shared" si="2"/>
        <v>257</v>
      </c>
      <c r="V57" s="104">
        <v>546</v>
      </c>
      <c r="W57" s="104">
        <f t="shared" si="3"/>
        <v>138.5</v>
      </c>
      <c r="X57" s="104">
        <v>823</v>
      </c>
      <c r="Y57" s="104">
        <f t="shared" si="4"/>
        <v>0</v>
      </c>
      <c r="Z57" s="104">
        <v>823</v>
      </c>
      <c r="AA57" s="104">
        <f t="shared" si="5"/>
        <v>0</v>
      </c>
      <c r="AB57" s="104">
        <v>823</v>
      </c>
      <c r="AC57" s="104">
        <f t="shared" si="6"/>
        <v>0</v>
      </c>
      <c r="AD57" s="104">
        <v>823</v>
      </c>
      <c r="AE57" s="105">
        <f t="shared" si="7"/>
        <v>823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1132</v>
      </c>
      <c r="S58" s="106">
        <f t="shared" si="1"/>
        <v>6.5</v>
      </c>
      <c r="T58" s="106">
        <v>1145</v>
      </c>
      <c r="U58" s="106">
        <f t="shared" si="2"/>
        <v>463</v>
      </c>
      <c r="V58" s="106">
        <v>2071</v>
      </c>
      <c r="W58" s="106">
        <f t="shared" si="3"/>
        <v>0</v>
      </c>
      <c r="X58" s="106">
        <v>2071</v>
      </c>
      <c r="Y58" s="106">
        <f t="shared" si="4"/>
        <v>0</v>
      </c>
      <c r="Z58" s="106">
        <v>2071</v>
      </c>
      <c r="AA58" s="106">
        <f t="shared" si="5"/>
        <v>0</v>
      </c>
      <c r="AB58" s="106">
        <v>2071</v>
      </c>
      <c r="AC58" s="106">
        <f t="shared" si="6"/>
        <v>0</v>
      </c>
      <c r="AD58" s="106">
        <v>2071</v>
      </c>
      <c r="AE58" s="107">
        <f t="shared" si="7"/>
        <v>2071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834</v>
      </c>
      <c r="S59" s="108">
        <f t="shared" si="1"/>
        <v>139.5</v>
      </c>
      <c r="T59" s="108">
        <v>1113</v>
      </c>
      <c r="U59" s="108">
        <f t="shared" si="2"/>
        <v>353.5</v>
      </c>
      <c r="V59" s="108">
        <v>1820</v>
      </c>
      <c r="W59" s="108">
        <f t="shared" si="3"/>
        <v>549</v>
      </c>
      <c r="X59" s="108">
        <v>2918</v>
      </c>
      <c r="Y59" s="108">
        <f t="shared" si="4"/>
        <v>0</v>
      </c>
      <c r="Z59" s="108">
        <v>2918</v>
      </c>
      <c r="AA59" s="108">
        <f t="shared" si="5"/>
        <v>0</v>
      </c>
      <c r="AB59" s="108">
        <v>2918</v>
      </c>
      <c r="AC59" s="108">
        <f t="shared" si="6"/>
        <v>0</v>
      </c>
      <c r="AD59" s="108">
        <v>2918</v>
      </c>
      <c r="AE59" s="109">
        <f t="shared" si="7"/>
        <v>2918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1469</v>
      </c>
      <c r="S60" s="114">
        <f t="shared" si="1"/>
        <v>220</v>
      </c>
      <c r="T60" s="114">
        <v>1909</v>
      </c>
      <c r="U60" s="114">
        <f t="shared" si="2"/>
        <v>585</v>
      </c>
      <c r="V60" s="114">
        <v>3079</v>
      </c>
      <c r="W60" s="114">
        <f t="shared" si="3"/>
        <v>45</v>
      </c>
      <c r="X60" s="114">
        <v>3169</v>
      </c>
      <c r="Y60" s="114">
        <f t="shared" si="4"/>
        <v>0</v>
      </c>
      <c r="Z60" s="114">
        <v>3169</v>
      </c>
      <c r="AA60" s="114">
        <f t="shared" si="5"/>
        <v>0</v>
      </c>
      <c r="AB60" s="114">
        <v>3169</v>
      </c>
      <c r="AC60" s="114">
        <f t="shared" si="6"/>
        <v>0</v>
      </c>
      <c r="AD60" s="114">
        <v>3169</v>
      </c>
      <c r="AE60" s="115">
        <f t="shared" si="7"/>
        <v>3169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1073</v>
      </c>
      <c r="S61" s="104">
        <f t="shared" si="1"/>
        <v>388</v>
      </c>
      <c r="T61" s="104">
        <v>1849</v>
      </c>
      <c r="U61" s="104">
        <f t="shared" si="2"/>
        <v>260</v>
      </c>
      <c r="V61" s="104">
        <v>2369</v>
      </c>
      <c r="W61" s="104">
        <f t="shared" si="3"/>
        <v>358</v>
      </c>
      <c r="X61" s="104">
        <v>3085</v>
      </c>
      <c r="Y61" s="104">
        <f t="shared" si="4"/>
        <v>87</v>
      </c>
      <c r="Z61" s="104">
        <v>3259</v>
      </c>
      <c r="AA61" s="104">
        <f t="shared" si="5"/>
        <v>0</v>
      </c>
      <c r="AB61" s="104">
        <v>3259</v>
      </c>
      <c r="AC61" s="104">
        <f t="shared" si="6"/>
        <v>0</v>
      </c>
      <c r="AD61" s="104">
        <v>3259</v>
      </c>
      <c r="AE61" s="105">
        <f t="shared" si="7"/>
        <v>3259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122</v>
      </c>
      <c r="S62" s="106">
        <f t="shared" si="1"/>
        <v>64</v>
      </c>
      <c r="T62" s="106">
        <v>250</v>
      </c>
      <c r="U62" s="106">
        <f t="shared" si="2"/>
        <v>108</v>
      </c>
      <c r="V62" s="106">
        <v>466</v>
      </c>
      <c r="W62" s="106">
        <f t="shared" si="3"/>
        <v>455.5</v>
      </c>
      <c r="X62" s="106">
        <v>1377</v>
      </c>
      <c r="Y62" s="106">
        <f t="shared" si="4"/>
        <v>374.5</v>
      </c>
      <c r="Z62" s="106">
        <v>2126</v>
      </c>
      <c r="AA62" s="106">
        <f t="shared" si="5"/>
        <v>0</v>
      </c>
      <c r="AB62" s="106">
        <v>2126</v>
      </c>
      <c r="AC62" s="106">
        <f t="shared" si="6"/>
        <v>0</v>
      </c>
      <c r="AD62" s="106">
        <v>2126</v>
      </c>
      <c r="AE62" s="107">
        <f t="shared" si="7"/>
        <v>2126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90</v>
      </c>
      <c r="S63" s="108">
        <f t="shared" si="1"/>
        <v>291.5</v>
      </c>
      <c r="T63" s="108">
        <v>673</v>
      </c>
      <c r="U63" s="108">
        <f t="shared" si="2"/>
        <v>325.5</v>
      </c>
      <c r="V63" s="108">
        <v>1324</v>
      </c>
      <c r="W63" s="108">
        <f t="shared" si="3"/>
        <v>139</v>
      </c>
      <c r="X63" s="108">
        <v>1602</v>
      </c>
      <c r="Y63" s="108">
        <f t="shared" si="4"/>
        <v>0</v>
      </c>
      <c r="Z63" s="108">
        <v>1602</v>
      </c>
      <c r="AA63" s="108">
        <f t="shared" si="5"/>
        <v>0</v>
      </c>
      <c r="AB63" s="108">
        <v>1602</v>
      </c>
      <c r="AC63" s="108">
        <f t="shared" si="6"/>
        <v>0</v>
      </c>
      <c r="AD63" s="108">
        <v>1602</v>
      </c>
      <c r="AE63" s="109">
        <f t="shared" si="7"/>
        <v>1602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865</v>
      </c>
      <c r="S64" s="114">
        <f t="shared" si="1"/>
        <v>43.5</v>
      </c>
      <c r="T64" s="114">
        <v>952</v>
      </c>
      <c r="U64" s="114">
        <f t="shared" si="2"/>
        <v>82.5</v>
      </c>
      <c r="V64" s="114">
        <v>1117</v>
      </c>
      <c r="W64" s="114">
        <f t="shared" si="3"/>
        <v>373</v>
      </c>
      <c r="X64" s="114">
        <v>1863</v>
      </c>
      <c r="Y64" s="114">
        <f t="shared" si="4"/>
        <v>0</v>
      </c>
      <c r="Z64" s="114">
        <v>1863</v>
      </c>
      <c r="AA64" s="114">
        <f t="shared" si="5"/>
        <v>0</v>
      </c>
      <c r="AB64" s="114">
        <v>1863</v>
      </c>
      <c r="AC64" s="114">
        <f t="shared" si="6"/>
        <v>0</v>
      </c>
      <c r="AD64" s="114">
        <v>1863</v>
      </c>
      <c r="AE64" s="115">
        <f t="shared" si="7"/>
        <v>1863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71" priority="11" operator="lessThan">
      <formula>0</formula>
    </cfRule>
    <cfRule type="cellIs" dxfId="970" priority="12" operator="greaterThan">
      <formula>0</formula>
    </cfRule>
  </conditionalFormatting>
  <conditionalFormatting sqref="R25:AC25">
    <cfRule type="cellIs" dxfId="969" priority="9" operator="lessThan">
      <formula>0</formula>
    </cfRule>
    <cfRule type="cellIs" dxfId="968" priority="10" operator="greaterThan">
      <formula>0</formula>
    </cfRule>
  </conditionalFormatting>
  <conditionalFormatting sqref="R26 T26 V26 X26 Z26 AB26">
    <cfRule type="cellIs" dxfId="967" priority="7" operator="lessThan">
      <formula>0</formula>
    </cfRule>
    <cfRule type="cellIs" dxfId="966" priority="8" operator="greaterThan">
      <formula>0</formula>
    </cfRule>
  </conditionalFormatting>
  <conditionalFormatting sqref="AD24:AE24">
    <cfRule type="cellIs" dxfId="965" priority="5" operator="lessThan">
      <formula>0</formula>
    </cfRule>
    <cfRule type="cellIs" dxfId="964" priority="6" operator="greaterThan">
      <formula>0</formula>
    </cfRule>
  </conditionalFormatting>
  <conditionalFormatting sqref="AD25:AE25">
    <cfRule type="cellIs" dxfId="963" priority="3" operator="lessThan">
      <formula>0</formula>
    </cfRule>
    <cfRule type="cellIs" dxfId="962" priority="4" operator="greaterThan">
      <formula>0</formula>
    </cfRule>
  </conditionalFormatting>
  <conditionalFormatting sqref="AD26">
    <cfRule type="cellIs" dxfId="961" priority="1" operator="lessThan">
      <formula>0</formula>
    </cfRule>
    <cfRule type="cellIs" dxfId="9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>
    <tabColor theme="1"/>
    <pageSetUpPr fitToPage="1"/>
  </sheetPr>
  <dimension ref="B1:AQ64"/>
  <sheetViews>
    <sheetView topLeftCell="I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44438</v>
      </c>
    </row>
    <row r="3" spans="2:42" ht="18.75" customHeight="1" thickBot="1" x14ac:dyDescent="0.35">
      <c r="B3" t="s">
        <v>1</v>
      </c>
      <c r="C3" s="3">
        <f>C2+1</f>
        <v>44439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2554</v>
      </c>
      <c r="E6" s="18" t="s">
        <v>22</v>
      </c>
      <c r="F6" s="119">
        <v>18652</v>
      </c>
      <c r="G6" s="117">
        <v>15244.720499999999</v>
      </c>
      <c r="H6" s="117">
        <v>12960.720619280009</v>
      </c>
      <c r="I6" s="19">
        <f>G6+H6</f>
        <v>28205.441119280011</v>
      </c>
      <c r="J6" s="119">
        <v>20109</v>
      </c>
      <c r="K6" s="117">
        <v>17322.742875</v>
      </c>
      <c r="L6" s="117">
        <v>13703.1891036</v>
      </c>
      <c r="M6" s="19">
        <f>K6+L6</f>
        <v>31025.931978599998</v>
      </c>
      <c r="N6" s="85">
        <v>62</v>
      </c>
      <c r="O6" s="85">
        <v>48</v>
      </c>
      <c r="P6" s="92"/>
      <c r="Q6" s="20">
        <f>J6-P6</f>
        <v>20109</v>
      </c>
      <c r="R6" s="21">
        <v>5400</v>
      </c>
      <c r="S6" s="20">
        <f>IF(R6&gt;0,(R6-R7-$Q6),"")</f>
        <v>-14758</v>
      </c>
      <c r="T6" s="21">
        <v>6105</v>
      </c>
      <c r="U6" s="20">
        <f>IF(T6&gt;0,(T6-T7-$Q6),"")</f>
        <v>-14053</v>
      </c>
      <c r="V6" s="21">
        <v>8266</v>
      </c>
      <c r="W6" s="20">
        <f>IF(V6&gt;0,(V6-V7-$Q6),"")</f>
        <v>-11887</v>
      </c>
      <c r="X6" s="21">
        <v>11946</v>
      </c>
      <c r="Y6" s="20">
        <f>IF(X6&gt;0,(X6-X7-$Q6),"")</f>
        <v>-8224</v>
      </c>
      <c r="Z6" s="21">
        <v>14306</v>
      </c>
      <c r="AA6" s="20">
        <f>IF(Z6&gt;0,(Z6-Z7-$Q6),"")</f>
        <v>-5873</v>
      </c>
      <c r="AB6" s="21">
        <v>14306</v>
      </c>
      <c r="AC6" s="22">
        <f>IF(AB6&gt;0,(AB6-AB7-$Q6),"")</f>
        <v>-5873</v>
      </c>
      <c r="AD6" s="21">
        <v>14306</v>
      </c>
      <c r="AE6" s="22">
        <f>IF(AD6&gt;0,(AD6-AD7-$Q6),"")</f>
        <v>-5873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49</v>
      </c>
      <c r="S7" s="24"/>
      <c r="T7" s="25">
        <v>49</v>
      </c>
      <c r="U7" s="24"/>
      <c r="V7" s="25">
        <v>44</v>
      </c>
      <c r="W7" s="24"/>
      <c r="X7" s="25">
        <v>61</v>
      </c>
      <c r="Y7" s="24"/>
      <c r="Z7" s="25">
        <v>70</v>
      </c>
      <c r="AA7" s="24"/>
      <c r="AB7" s="25">
        <v>70</v>
      </c>
      <c r="AC7" s="26"/>
      <c r="AD7" s="25">
        <v>70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2510</v>
      </c>
      <c r="E8" s="29" t="s">
        <v>27</v>
      </c>
      <c r="F8" s="119">
        <v>11275</v>
      </c>
      <c r="G8" s="117">
        <v>4340.0399999999991</v>
      </c>
      <c r="H8" s="117">
        <v>1466.177066</v>
      </c>
      <c r="I8" s="19">
        <f>G8+H8</f>
        <v>5806.2170659999992</v>
      </c>
      <c r="J8" s="119">
        <v>12069</v>
      </c>
      <c r="K8" s="117">
        <v>4643.8639999999996</v>
      </c>
      <c r="L8" s="117">
        <v>1546.4125535999999</v>
      </c>
      <c r="M8" s="19">
        <f>K8+L8</f>
        <v>6190.2765535999997</v>
      </c>
      <c r="N8" s="87">
        <v>27</v>
      </c>
      <c r="O8" s="87">
        <v>23</v>
      </c>
      <c r="P8" s="92"/>
      <c r="Q8" s="20">
        <f>J8-P8</f>
        <v>12069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7830</v>
      </c>
      <c r="Y8" s="20">
        <f>IF(X8&gt;0,(X8-X9-$Q8),"")</f>
        <v>-4239</v>
      </c>
      <c r="Z8" s="21">
        <v>7830</v>
      </c>
      <c r="AA8" s="20">
        <f>IF(Z8&gt;0,(Z8-Z9-$Q8),"")</f>
        <v>-4239</v>
      </c>
      <c r="AB8" s="21">
        <v>7830</v>
      </c>
      <c r="AC8" s="22">
        <f>IF(AB8&gt;0,(AB8-AB9-$Q8),"")</f>
        <v>-4239</v>
      </c>
      <c r="AD8" s="21">
        <v>7830</v>
      </c>
      <c r="AE8" s="22">
        <f>IF(AD8&gt;0,(AD8-AD9-$Q8),"")</f>
        <v>-4239</v>
      </c>
    </row>
    <row r="9" spans="2:42" x14ac:dyDescent="0.3">
      <c r="B9" s="28" t="s">
        <v>28</v>
      </c>
      <c r="C9" s="17">
        <v>1421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5441</v>
      </c>
      <c r="E10" s="18" t="s">
        <v>31</v>
      </c>
      <c r="F10" s="119">
        <v>13956</v>
      </c>
      <c r="G10" s="117">
        <v>10601.29853125</v>
      </c>
      <c r="H10" s="117">
        <v>1812.8426899999999</v>
      </c>
      <c r="I10" s="19">
        <f>G10+H10</f>
        <v>12414.14122125</v>
      </c>
      <c r="J10" s="119">
        <v>18044</v>
      </c>
      <c r="K10" s="117">
        <v>13476.50003125</v>
      </c>
      <c r="L10" s="117">
        <v>1819.4475749999999</v>
      </c>
      <c r="M10" s="19">
        <f>K10+L10</f>
        <v>15295.94760625</v>
      </c>
      <c r="N10" s="88">
        <v>49</v>
      </c>
      <c r="O10" s="88">
        <v>45</v>
      </c>
      <c r="P10" s="92"/>
      <c r="Q10" s="20">
        <f>J10-P10</f>
        <v>18044</v>
      </c>
      <c r="R10" s="21">
        <v>3167</v>
      </c>
      <c r="S10" s="20">
        <f>IF(R10&gt;0,(R10-R11-$Q10),"")</f>
        <v>-14877</v>
      </c>
      <c r="T10" s="21">
        <v>4858</v>
      </c>
      <c r="U10" s="20">
        <f>IF(T10&gt;0,(T10-T11-$Q10),"")</f>
        <v>-13186</v>
      </c>
      <c r="V10" s="21">
        <v>9334</v>
      </c>
      <c r="W10" s="20">
        <f>IF(V10&gt;0,(V10-V11-$Q10),"")</f>
        <v>-8710</v>
      </c>
      <c r="X10" s="21">
        <v>12343</v>
      </c>
      <c r="Y10" s="20">
        <f>IF(X10&gt;0,(X10-X11-$Q10),"")</f>
        <v>-5713</v>
      </c>
      <c r="Z10" s="21">
        <v>12321</v>
      </c>
      <c r="AA10" s="20">
        <f>IF(Z10&gt;0,(Z10-Z11-$Q10),"")</f>
        <v>-5785</v>
      </c>
      <c r="AB10" s="21">
        <v>12321</v>
      </c>
      <c r="AC10" s="22">
        <f>IF(AB10&gt;0,(AB10-AB11-$Q10),"")</f>
        <v>-5785</v>
      </c>
      <c r="AD10" s="21">
        <v>12321</v>
      </c>
      <c r="AE10" s="22">
        <f>IF(AD10&gt;0,(AD10-AD11-$Q10),"")</f>
        <v>-5785</v>
      </c>
    </row>
    <row r="11" spans="2:42" x14ac:dyDescent="0.3">
      <c r="B11" s="16" t="s">
        <v>32</v>
      </c>
      <c r="C11" s="17">
        <v>1889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0</v>
      </c>
      <c r="W11" s="24"/>
      <c r="X11" s="30">
        <v>12</v>
      </c>
      <c r="Y11" s="24"/>
      <c r="Z11" s="30">
        <v>62</v>
      </c>
      <c r="AA11" s="24"/>
      <c r="AB11" s="30">
        <v>62</v>
      </c>
      <c r="AC11" s="26"/>
      <c r="AD11" s="30">
        <v>62</v>
      </c>
      <c r="AE11" s="26"/>
    </row>
    <row r="12" spans="2:42" x14ac:dyDescent="0.3">
      <c r="B12" s="16" t="s">
        <v>34</v>
      </c>
      <c r="C12" s="17">
        <v>1416</v>
      </c>
      <c r="E12" s="29" t="s">
        <v>35</v>
      </c>
      <c r="F12" s="119">
        <v>13451</v>
      </c>
      <c r="G12" s="117">
        <v>12333.366249999999</v>
      </c>
      <c r="H12" s="117">
        <v>15858.40196710001</v>
      </c>
      <c r="I12" s="19">
        <f>G12+H12</f>
        <v>28191.768217100009</v>
      </c>
      <c r="J12" s="119">
        <v>14569</v>
      </c>
      <c r="K12" s="117">
        <v>12230.781000000001</v>
      </c>
      <c r="L12" s="117">
        <v>18185.67377619999</v>
      </c>
      <c r="M12" s="19">
        <f>K12+L12</f>
        <v>30416.454776199993</v>
      </c>
      <c r="N12" s="88">
        <v>47</v>
      </c>
      <c r="O12" s="88">
        <v>40</v>
      </c>
      <c r="P12" s="92"/>
      <c r="Q12" s="20">
        <f>J12-P12</f>
        <v>14569</v>
      </c>
      <c r="R12" s="21">
        <v>1494</v>
      </c>
      <c r="S12" s="20">
        <f>IF(R12&gt;0,(R12-R13-$Q12),"")</f>
        <v>-13115</v>
      </c>
      <c r="T12" s="21">
        <v>3362</v>
      </c>
      <c r="U12" s="20">
        <f>IF(T12&gt;0,(T12-T13-$Q12),"")</f>
        <v>-11247</v>
      </c>
      <c r="V12" s="21">
        <v>5858</v>
      </c>
      <c r="W12" s="20">
        <f>IF(V12&gt;0,(V12-V13-$Q12),"")</f>
        <v>-8752</v>
      </c>
      <c r="X12" s="21">
        <v>10002</v>
      </c>
      <c r="Y12" s="20">
        <f>IF(X12&gt;0,(X12-X13-$Q12),"")</f>
        <v>-4645</v>
      </c>
      <c r="Z12" s="21">
        <v>10877</v>
      </c>
      <c r="AA12" s="20">
        <f>IF(Z12&gt;0,(Z12-Z13-$Q12),"")</f>
        <v>-3770</v>
      </c>
      <c r="AB12" s="21">
        <v>10877</v>
      </c>
      <c r="AC12" s="22">
        <f>IF(AB12&gt;0,(AB12-AB13-$Q12),"")</f>
        <v>-3770</v>
      </c>
      <c r="AD12" s="21">
        <v>10877</v>
      </c>
      <c r="AE12" s="22">
        <f>IF(AD12&gt;0,(AD12-AD13-$Q12),"")</f>
        <v>-3770</v>
      </c>
    </row>
    <row r="13" spans="2:42" x14ac:dyDescent="0.3">
      <c r="B13" s="16" t="s">
        <v>36</v>
      </c>
      <c r="C13" s="17">
        <v>4057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40</v>
      </c>
      <c r="S13" s="24"/>
      <c r="T13" s="30">
        <v>40</v>
      </c>
      <c r="U13" s="24"/>
      <c r="V13" s="30">
        <v>41</v>
      </c>
      <c r="W13" s="24"/>
      <c r="X13" s="30">
        <v>78</v>
      </c>
      <c r="Y13" s="24"/>
      <c r="Z13" s="30">
        <v>78</v>
      </c>
      <c r="AA13" s="24"/>
      <c r="AB13" s="30">
        <v>78</v>
      </c>
      <c r="AC13" s="26"/>
      <c r="AD13" s="30">
        <v>78</v>
      </c>
      <c r="AE13" s="26"/>
    </row>
    <row r="14" spans="2:42" x14ac:dyDescent="0.3">
      <c r="B14" s="16" t="s">
        <v>38</v>
      </c>
      <c r="C14" s="17">
        <v>11005</v>
      </c>
      <c r="E14" s="18" t="s">
        <v>39</v>
      </c>
      <c r="F14" s="119">
        <v>24155</v>
      </c>
      <c r="G14" s="117">
        <v>17386.09375</v>
      </c>
      <c r="H14" s="117">
        <v>21320.215808230001</v>
      </c>
      <c r="I14" s="19">
        <f>G14+H14</f>
        <v>38706.309558230001</v>
      </c>
      <c r="J14" s="119">
        <v>33730</v>
      </c>
      <c r="K14" s="117">
        <v>30633.8125</v>
      </c>
      <c r="L14" s="117">
        <v>35087.165983460007</v>
      </c>
      <c r="M14" s="19">
        <f>K14+L14</f>
        <v>65720.97848346</v>
      </c>
      <c r="N14" s="88">
        <v>64</v>
      </c>
      <c r="O14" s="88">
        <v>46</v>
      </c>
      <c r="P14" s="92"/>
      <c r="Q14" s="20">
        <f>J14-P14</f>
        <v>33730</v>
      </c>
      <c r="R14" s="21">
        <v>4193</v>
      </c>
      <c r="S14" s="20">
        <f>IF(R14&gt;0,(R14-R15-$Q14),"")</f>
        <v>-29592</v>
      </c>
      <c r="T14" s="21">
        <v>8073</v>
      </c>
      <c r="U14" s="20">
        <f>IF(T14&gt;0,(T14-T15-$Q14),"")</f>
        <v>-25751</v>
      </c>
      <c r="V14" s="21">
        <v>9732</v>
      </c>
      <c r="W14" s="20">
        <f>IF(V14&gt;0,(V14-V15-$Q14),"")</f>
        <v>-24092</v>
      </c>
      <c r="X14" s="21">
        <v>11731</v>
      </c>
      <c r="Y14" s="20">
        <f>IF(X14&gt;0,(X14-X15-$Q14),"")</f>
        <v>-22099</v>
      </c>
      <c r="Z14" s="21">
        <v>13967</v>
      </c>
      <c r="AA14" s="20">
        <f>IF(Z14&gt;0,(Z14-Z15-$Q14),"")</f>
        <v>-19868</v>
      </c>
      <c r="AB14" s="21">
        <v>15898</v>
      </c>
      <c r="AC14" s="22">
        <f>IF(AB14&gt;0,(AB14-AB15-$Q14),"")</f>
        <v>-17944</v>
      </c>
      <c r="AD14" s="21">
        <v>15898</v>
      </c>
      <c r="AE14" s="22">
        <f>IF(AD14&gt;0,(AD14-AD15-$Q14),"")</f>
        <v>-17944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55</v>
      </c>
      <c r="S15" s="24"/>
      <c r="T15" s="25">
        <v>94</v>
      </c>
      <c r="U15" s="24"/>
      <c r="V15" s="25">
        <v>94</v>
      </c>
      <c r="W15" s="24"/>
      <c r="X15" s="25">
        <v>100</v>
      </c>
      <c r="Y15" s="24"/>
      <c r="Z15" s="25">
        <v>105</v>
      </c>
      <c r="AA15" s="24"/>
      <c r="AB15" s="25">
        <v>112</v>
      </c>
      <c r="AC15" s="26"/>
      <c r="AD15" s="25">
        <v>112</v>
      </c>
      <c r="AE15" s="26"/>
    </row>
    <row r="16" spans="2:42" ht="15" customHeight="1" thickBot="1" x14ac:dyDescent="0.35">
      <c r="B16" s="28" t="s">
        <v>42</v>
      </c>
      <c r="C16" s="17">
        <v>12982</v>
      </c>
      <c r="E16" s="84"/>
      <c r="F16" s="31">
        <f t="shared" ref="F16:M16" si="0">SUM(F6:F15)</f>
        <v>81489</v>
      </c>
      <c r="G16" s="31">
        <f t="shared" si="0"/>
        <v>59905.519031249998</v>
      </c>
      <c r="H16" s="31">
        <f t="shared" si="0"/>
        <v>53418.358150610016</v>
      </c>
      <c r="I16" s="32">
        <f t="shared" si="0"/>
        <v>113323.87718186002</v>
      </c>
      <c r="J16" s="33">
        <f t="shared" si="0"/>
        <v>98521</v>
      </c>
      <c r="K16" s="33">
        <f t="shared" si="0"/>
        <v>78307.700406249991</v>
      </c>
      <c r="L16" s="33">
        <f t="shared" si="0"/>
        <v>70341.888991860003</v>
      </c>
      <c r="M16" s="33">
        <f t="shared" si="0"/>
        <v>148649.58939810999</v>
      </c>
      <c r="N16" s="31">
        <f>SUM(N14,N12,N10,N8,N6)</f>
        <v>249</v>
      </c>
      <c r="O16" s="31">
        <f>SUM(O14,O12,O10,O8,O6)</f>
        <v>202</v>
      </c>
      <c r="P16" s="34">
        <f>SUM(P6:P15)</f>
        <v>0</v>
      </c>
      <c r="Q16" s="34">
        <f>SUM(Q6:Q15)</f>
        <v>98521</v>
      </c>
      <c r="R16" s="35">
        <f>R6+R8+R10+R12+R14-R7-R9-R11-R13-R15</f>
        <v>14110</v>
      </c>
      <c r="S16" s="36">
        <f>IF(R16&gt;1,(R16-$Q16),"")</f>
        <v>-84411</v>
      </c>
      <c r="T16" s="35">
        <f>T6+T8+T10+T12+T14-T7-T9-T11-T13-T15</f>
        <v>22215</v>
      </c>
      <c r="U16" s="36">
        <f>IF(T16&gt;1,(T16-$Q16),"")</f>
        <v>-76306</v>
      </c>
      <c r="V16" s="35">
        <f>V6+V8+V10+V12+V14-V7-V9-V11-V13-V15</f>
        <v>33011</v>
      </c>
      <c r="W16" s="36">
        <f>IF(V16&gt;1,(V16-$Q16),"")</f>
        <v>-65510</v>
      </c>
      <c r="X16" s="35">
        <f>X6+X8+X10+X12+X14-X7-X9-X11-X13-X15</f>
        <v>53601</v>
      </c>
      <c r="Y16" s="36">
        <f>IF(X16&gt;1,(X16-$Q16),"")</f>
        <v>-44920</v>
      </c>
      <c r="Z16" s="35">
        <f>Z6+Z8+Z10+Z12+Z14-Z7-Z9-Z11-Z13-Z15</f>
        <v>58986</v>
      </c>
      <c r="AA16" s="36">
        <f>IF(Z16&gt;1,(Z16-$Q16),"")</f>
        <v>-39535</v>
      </c>
      <c r="AB16" s="35">
        <f>AB6+AB8+AB10+AB12+AB14-AB7-AB9-AB11-AB13-AB15</f>
        <v>60910</v>
      </c>
      <c r="AC16" s="37">
        <f>IF(AB16&gt;1,(AB16-$Q16),"")</f>
        <v>-37611</v>
      </c>
      <c r="AD16" s="35">
        <f>AD6+AD8+AD10+AD12+AD14-AD7-AD9-AD11-AD13-AD15</f>
        <v>60910</v>
      </c>
      <c r="AE16" s="37">
        <f>IF(AD16&gt;1,(AD16-$Q16),"")</f>
        <v>-37611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144</v>
      </c>
      <c r="S17" s="41"/>
      <c r="T17" s="40">
        <f>T15+T13+T11+T9+T7</f>
        <v>183</v>
      </c>
      <c r="U17" s="41"/>
      <c r="V17" s="40">
        <f>V15+V13+V11+V9+V7</f>
        <v>179</v>
      </c>
      <c r="W17" s="41"/>
      <c r="X17" s="40">
        <f>X15+X13+X11+X9+X7</f>
        <v>251</v>
      </c>
      <c r="Y17" s="41"/>
      <c r="Z17" s="40">
        <f>Z15+Z13+Z11+Z9+Z7</f>
        <v>315</v>
      </c>
      <c r="AA17" s="41"/>
      <c r="AB17" s="40">
        <f>AB15+AB13+AB11+AB9+AB7</f>
        <v>322</v>
      </c>
      <c r="AC17" s="42"/>
      <c r="AD17" s="40">
        <f>AD15+AD13+AD11+AD9+AD7</f>
        <v>322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O18" s="1" t="s">
        <v>76</v>
      </c>
      <c r="P18" s="45" t="s">
        <v>46</v>
      </c>
      <c r="Q18" s="46"/>
      <c r="R18" s="47">
        <f>IF(R16&gt;0,(R16)/2,"")</f>
        <v>7055</v>
      </c>
      <c r="S18" s="46"/>
      <c r="T18" s="47">
        <f>IF(T16&gt;0,(T16-R16)/2,"")</f>
        <v>4052.5</v>
      </c>
      <c r="U18" s="46"/>
      <c r="V18" s="47">
        <f>IF(V16&gt;0,(V16-T16)/2,"")</f>
        <v>5398</v>
      </c>
      <c r="W18" s="46"/>
      <c r="X18" s="47">
        <f>IF(X16&gt;0,(X16-V16)/2,"")</f>
        <v>10295</v>
      </c>
      <c r="Y18" s="46"/>
      <c r="Z18" s="47">
        <f>IF(Z16&gt;0,(Z16-X16)/2,"")</f>
        <v>2692.5</v>
      </c>
      <c r="AA18" s="46"/>
      <c r="AB18" s="47">
        <f>IF(AB16&gt;0,(AB16-Z16)/2,"")</f>
        <v>962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9882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1964</v>
      </c>
      <c r="L20" s="4"/>
      <c r="M20" s="4"/>
      <c r="Q20" s="51" t="s">
        <v>49</v>
      </c>
      <c r="R20" s="35">
        <v>10869</v>
      </c>
      <c r="S20" s="36">
        <v>-64600</v>
      </c>
      <c r="T20" s="35">
        <v>15562</v>
      </c>
      <c r="U20" s="36">
        <v>-59907</v>
      </c>
      <c r="V20" s="35">
        <v>27736</v>
      </c>
      <c r="W20" s="36">
        <v>-47733</v>
      </c>
      <c r="X20" s="35">
        <v>43612</v>
      </c>
      <c r="Y20" s="36">
        <v>-31857</v>
      </c>
      <c r="Z20" s="35">
        <v>44777</v>
      </c>
      <c r="AA20" s="36">
        <v>-30692</v>
      </c>
      <c r="AB20" s="35">
        <v>44777</v>
      </c>
      <c r="AC20" s="37">
        <v>-30692</v>
      </c>
      <c r="AD20" s="35">
        <v>44777</v>
      </c>
      <c r="AE20" s="37">
        <v>-30692</v>
      </c>
    </row>
    <row r="21" spans="2:43" ht="15" customHeight="1" thickBot="1" x14ac:dyDescent="0.35">
      <c r="B21" s="57" t="s">
        <v>52</v>
      </c>
      <c r="C21" s="58">
        <v>4636</v>
      </c>
      <c r="M21" s="4"/>
      <c r="Q21" s="52"/>
      <c r="R21" s="40">
        <v>7622</v>
      </c>
      <c r="S21" s="41"/>
      <c r="T21" s="40">
        <v>9811</v>
      </c>
      <c r="U21" s="41"/>
      <c r="V21" s="40">
        <v>12486</v>
      </c>
      <c r="W21" s="41"/>
      <c r="X21" s="40">
        <v>15010</v>
      </c>
      <c r="Y21" s="41"/>
      <c r="Z21" s="40">
        <v>15718</v>
      </c>
      <c r="AA21" s="41"/>
      <c r="AB21" s="40">
        <v>15718</v>
      </c>
      <c r="AC21" s="42"/>
      <c r="AD21" s="40">
        <v>15718</v>
      </c>
      <c r="AE21" s="42"/>
    </row>
    <row r="22" spans="2:43" ht="15" customHeight="1" thickBot="1" x14ac:dyDescent="0.35">
      <c r="M22" s="4"/>
      <c r="Q22" s="54"/>
      <c r="R22" s="47">
        <v>5434.5</v>
      </c>
      <c r="S22" s="46"/>
      <c r="T22" s="47">
        <v>2346.5</v>
      </c>
      <c r="U22" s="46"/>
      <c r="V22" s="47">
        <v>6087</v>
      </c>
      <c r="W22" s="46"/>
      <c r="X22" s="47">
        <v>7938</v>
      </c>
      <c r="Y22" s="46"/>
      <c r="Z22" s="47">
        <v>582.5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3241</v>
      </c>
      <c r="S24" s="60"/>
      <c r="T24" s="60">
        <f>IF(T16&gt;0,T16-T20,"")</f>
        <v>6653</v>
      </c>
      <c r="U24" s="60"/>
      <c r="V24" s="60">
        <f>IF(V16&gt;0,V16-V20,"")</f>
        <v>5275</v>
      </c>
      <c r="W24" s="60"/>
      <c r="X24" s="60">
        <f>IF(X16&gt;0,X16-X20,"")</f>
        <v>9989</v>
      </c>
      <c r="Y24" s="60"/>
      <c r="Z24" s="60">
        <f>IF(Z16&gt;0,Z16-Z20,"")</f>
        <v>14209</v>
      </c>
      <c r="AA24" s="60"/>
      <c r="AB24" s="60">
        <f>IF(AB16&gt;0,AB16-AB20,"")</f>
        <v>16133</v>
      </c>
      <c r="AC24" s="61"/>
      <c r="AD24" s="60">
        <f>IF(AD16&gt;0,AD16-AD20,"")</f>
        <v>16133</v>
      </c>
      <c r="AE24" s="61"/>
    </row>
    <row r="25" spans="2:43" x14ac:dyDescent="0.3">
      <c r="J25" s="123"/>
      <c r="M25" s="4"/>
      <c r="Q25" s="62"/>
      <c r="R25" s="63">
        <f>IF(R17&gt;=0,R17-R21,"")</f>
        <v>-7478</v>
      </c>
      <c r="S25" s="64"/>
      <c r="T25" s="63">
        <f>IF(T17&gt;=0,T17-T21,"")</f>
        <v>-9628</v>
      </c>
      <c r="U25" s="64"/>
      <c r="V25" s="63">
        <f>IF(V17&gt;=0,V17-V21,"")</f>
        <v>-12307</v>
      </c>
      <c r="W25" s="64"/>
      <c r="X25" s="63">
        <f>IF(X17&gt;=0,X17-X21,"")</f>
        <v>-14759</v>
      </c>
      <c r="Y25" s="64"/>
      <c r="Z25" s="63">
        <f>IF(Z17&gt;=0,Z17-Z21,"")</f>
        <v>-15403</v>
      </c>
      <c r="AA25" s="64"/>
      <c r="AB25" s="63">
        <f>IF(AB17&gt;=0,AB17-AB21,"")</f>
        <v>-15396</v>
      </c>
      <c r="AC25" s="65"/>
      <c r="AD25" s="63">
        <f>IF(AD17&gt;=0,AD17-AD21,"")</f>
        <v>-15396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1620.5</v>
      </c>
      <c r="S26" s="55"/>
      <c r="T26" s="67">
        <f>IFERROR(IF(T18&gt;0,T18-T22,""),"")</f>
        <v>1706</v>
      </c>
      <c r="U26" s="55"/>
      <c r="V26" s="67">
        <f>IFERROR(IF(V18&gt;0,V18-V22,""),"")</f>
        <v>-689</v>
      </c>
      <c r="W26" s="55"/>
      <c r="X26" s="67">
        <f>IFERROR(IF(X18&gt;0,X18-X22,""),"")</f>
        <v>2357</v>
      </c>
      <c r="Y26" s="55"/>
      <c r="Z26" s="67">
        <f>IFERROR(IF(Z18&gt;0,Z18-Z22,""),"")</f>
        <v>2110</v>
      </c>
      <c r="AA26" s="55"/>
      <c r="AB26" s="67">
        <f>IFERROR(IF(AB18&gt;0,AB18-AB22,""),"")</f>
        <v>962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10100</v>
      </c>
      <c r="D29" s="76">
        <f>C14</f>
        <v>11005</v>
      </c>
      <c r="E29" s="77">
        <f>D29-C29</f>
        <v>905</v>
      </c>
      <c r="O29" s="4"/>
    </row>
    <row r="30" spans="2:43" x14ac:dyDescent="0.3">
      <c r="B30" s="74" t="s">
        <v>56</v>
      </c>
      <c r="C30" s="122">
        <v>26806</v>
      </c>
      <c r="D30" s="76">
        <f>C7+C15+C16+C17+C18</f>
        <v>12982</v>
      </c>
      <c r="E30" s="77">
        <f>D30-C30</f>
        <v>-13824</v>
      </c>
      <c r="J30" s="53"/>
      <c r="O30" s="4"/>
    </row>
    <row r="31" spans="2:43" x14ac:dyDescent="0.3">
      <c r="B31" s="74" t="s">
        <v>21</v>
      </c>
      <c r="C31" s="122">
        <v>2554</v>
      </c>
      <c r="D31" s="76">
        <f>C6</f>
        <v>2554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12803</v>
      </c>
      <c r="D32" s="76">
        <f>C10+C11+C12+C13</f>
        <v>12803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15545</v>
      </c>
      <c r="D33" s="76">
        <f>C19+C20+C21</f>
        <v>16482</v>
      </c>
      <c r="E33" s="77">
        <f>D33-C33</f>
        <v>937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3931</v>
      </c>
      <c r="D34" s="80">
        <f>SUM(C8+C9)</f>
        <v>3931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5.5</v>
      </c>
      <c r="X36" s="106">
        <v>11</v>
      </c>
      <c r="Y36" s="106">
        <f t="shared" si="4"/>
        <v>0</v>
      </c>
      <c r="Z36" s="106">
        <v>11</v>
      </c>
      <c r="AA36" s="106">
        <f t="shared" si="5"/>
        <v>0</v>
      </c>
      <c r="AB36" s="106">
        <v>11</v>
      </c>
      <c r="AC36" s="106">
        <f t="shared" si="6"/>
        <v>0</v>
      </c>
      <c r="AD36" s="106">
        <v>11</v>
      </c>
      <c r="AE36" s="107">
        <f t="shared" si="7"/>
        <v>11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1016</v>
      </c>
      <c r="S37" s="108">
        <f t="shared" si="1"/>
        <v>0</v>
      </c>
      <c r="T37" s="108">
        <v>1016</v>
      </c>
      <c r="U37" s="108">
        <f t="shared" si="2"/>
        <v>210</v>
      </c>
      <c r="V37" s="108">
        <v>1436</v>
      </c>
      <c r="W37" s="108">
        <f t="shared" si="3"/>
        <v>115.5</v>
      </c>
      <c r="X37" s="108">
        <v>1667</v>
      </c>
      <c r="Y37" s="108">
        <f t="shared" si="4"/>
        <v>498</v>
      </c>
      <c r="Z37" s="108">
        <v>2663</v>
      </c>
      <c r="AA37" s="108">
        <f t="shared" si="5"/>
        <v>0</v>
      </c>
      <c r="AB37" s="108">
        <v>2663</v>
      </c>
      <c r="AC37" s="108">
        <f t="shared" si="6"/>
        <v>0</v>
      </c>
      <c r="AD37" s="108">
        <v>2663</v>
      </c>
      <c r="AE37" s="109">
        <f t="shared" si="7"/>
        <v>2663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1041</v>
      </c>
      <c r="S38" s="106">
        <f t="shared" si="1"/>
        <v>0</v>
      </c>
      <c r="T38" s="106">
        <v>1041</v>
      </c>
      <c r="U38" s="106">
        <f t="shared" si="2"/>
        <v>378</v>
      </c>
      <c r="V38" s="106">
        <v>1797</v>
      </c>
      <c r="W38" s="106">
        <f t="shared" si="3"/>
        <v>448.5</v>
      </c>
      <c r="X38" s="106">
        <v>2694</v>
      </c>
      <c r="Y38" s="106">
        <f t="shared" si="4"/>
        <v>0</v>
      </c>
      <c r="Z38" s="106">
        <v>2694</v>
      </c>
      <c r="AA38" s="106">
        <f t="shared" si="5"/>
        <v>0</v>
      </c>
      <c r="AB38" s="106">
        <v>2694</v>
      </c>
      <c r="AC38" s="106">
        <f t="shared" si="6"/>
        <v>0</v>
      </c>
      <c r="AD38" s="106">
        <v>2694</v>
      </c>
      <c r="AE38" s="107">
        <f t="shared" si="7"/>
        <v>2694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816</v>
      </c>
      <c r="S39" s="108">
        <f t="shared" si="1"/>
        <v>0</v>
      </c>
      <c r="T39" s="108">
        <v>816</v>
      </c>
      <c r="U39" s="108">
        <f t="shared" si="2"/>
        <v>76.5</v>
      </c>
      <c r="V39" s="108">
        <v>969</v>
      </c>
      <c r="W39" s="108">
        <f t="shared" si="3"/>
        <v>378</v>
      </c>
      <c r="X39" s="108">
        <v>1725</v>
      </c>
      <c r="Y39" s="108">
        <f t="shared" si="4"/>
        <v>437</v>
      </c>
      <c r="Z39" s="108">
        <v>2599</v>
      </c>
      <c r="AA39" s="108">
        <f t="shared" si="5"/>
        <v>0</v>
      </c>
      <c r="AB39" s="108">
        <v>2599</v>
      </c>
      <c r="AC39" s="108">
        <f t="shared" si="6"/>
        <v>0</v>
      </c>
      <c r="AD39" s="108">
        <v>2599</v>
      </c>
      <c r="AE39" s="109">
        <f t="shared" si="7"/>
        <v>2599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861</v>
      </c>
      <c r="S40" s="106">
        <f t="shared" si="1"/>
        <v>352.5</v>
      </c>
      <c r="T40" s="106">
        <v>1566</v>
      </c>
      <c r="U40" s="106">
        <f t="shared" si="2"/>
        <v>157</v>
      </c>
      <c r="V40" s="106">
        <v>1880</v>
      </c>
      <c r="W40" s="106">
        <f t="shared" si="3"/>
        <v>605.5</v>
      </c>
      <c r="X40" s="106">
        <v>3091</v>
      </c>
      <c r="Y40" s="106">
        <f t="shared" si="4"/>
        <v>3</v>
      </c>
      <c r="Z40" s="106">
        <v>3097</v>
      </c>
      <c r="AA40" s="106">
        <f t="shared" si="5"/>
        <v>0</v>
      </c>
      <c r="AB40" s="106">
        <v>3097</v>
      </c>
      <c r="AC40" s="106">
        <f t="shared" si="6"/>
        <v>0</v>
      </c>
      <c r="AD40" s="106">
        <v>3097</v>
      </c>
      <c r="AE40" s="107">
        <f t="shared" si="7"/>
        <v>3097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733</v>
      </c>
      <c r="S42" s="106">
        <f t="shared" si="1"/>
        <v>0</v>
      </c>
      <c r="T42" s="106">
        <v>733</v>
      </c>
      <c r="U42" s="106">
        <f t="shared" si="2"/>
        <v>178.5</v>
      </c>
      <c r="V42" s="106">
        <v>1090</v>
      </c>
      <c r="W42" s="106">
        <f t="shared" si="3"/>
        <v>198.5</v>
      </c>
      <c r="X42" s="106">
        <v>1487</v>
      </c>
      <c r="Y42" s="106">
        <f t="shared" si="4"/>
        <v>39</v>
      </c>
      <c r="Z42" s="106">
        <v>1565</v>
      </c>
      <c r="AA42" s="106">
        <f t="shared" si="5"/>
        <v>0</v>
      </c>
      <c r="AB42" s="106">
        <v>1565</v>
      </c>
      <c r="AC42" s="106">
        <f t="shared" si="6"/>
        <v>0</v>
      </c>
      <c r="AD42" s="106">
        <v>1565</v>
      </c>
      <c r="AE42" s="107">
        <f t="shared" si="7"/>
        <v>1565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801</v>
      </c>
      <c r="S43" s="110">
        <f t="shared" si="1"/>
        <v>0</v>
      </c>
      <c r="T43" s="110">
        <v>801</v>
      </c>
      <c r="U43" s="110">
        <f t="shared" si="2"/>
        <v>0</v>
      </c>
      <c r="V43" s="110">
        <v>801</v>
      </c>
      <c r="W43" s="110">
        <f t="shared" si="3"/>
        <v>0</v>
      </c>
      <c r="X43" s="110">
        <v>801</v>
      </c>
      <c r="Y43" s="110">
        <f t="shared" si="4"/>
        <v>0</v>
      </c>
      <c r="Z43" s="110">
        <v>801</v>
      </c>
      <c r="AA43" s="110">
        <f t="shared" si="5"/>
        <v>0</v>
      </c>
      <c r="AB43" s="110">
        <v>801</v>
      </c>
      <c r="AC43" s="110">
        <f t="shared" si="6"/>
        <v>0</v>
      </c>
      <c r="AD43" s="110">
        <v>801</v>
      </c>
      <c r="AE43" s="111">
        <f t="shared" si="7"/>
        <v>801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-882</v>
      </c>
      <c r="Y44" s="112" t="str">
        <f t="shared" si="4"/>
        <v/>
      </c>
      <c r="Z44" s="112">
        <v>-882</v>
      </c>
      <c r="AA44" s="112" t="str">
        <f t="shared" si="5"/>
        <v/>
      </c>
      <c r="AB44" s="112">
        <v>-882</v>
      </c>
      <c r="AC44" s="112" t="str">
        <f t="shared" si="6"/>
        <v/>
      </c>
      <c r="AD44" s="112">
        <v>-882</v>
      </c>
      <c r="AE44" s="113">
        <f t="shared" si="7"/>
        <v>-882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1390</v>
      </c>
      <c r="X45" s="108">
        <v>2780</v>
      </c>
      <c r="Y45" s="108">
        <f t="shared" si="4"/>
        <v>0</v>
      </c>
      <c r="Z45" s="108">
        <v>2780</v>
      </c>
      <c r="AA45" s="108">
        <f t="shared" si="5"/>
        <v>0</v>
      </c>
      <c r="AB45" s="108">
        <v>2780</v>
      </c>
      <c r="AC45" s="108">
        <f t="shared" si="6"/>
        <v>0</v>
      </c>
      <c r="AD45" s="108">
        <v>2780</v>
      </c>
      <c r="AE45" s="109">
        <f t="shared" si="7"/>
        <v>2780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1549</v>
      </c>
      <c r="X46" s="106">
        <v>3098</v>
      </c>
      <c r="Y46" s="106">
        <f t="shared" si="4"/>
        <v>0</v>
      </c>
      <c r="Z46" s="106">
        <v>3098</v>
      </c>
      <c r="AA46" s="106">
        <f t="shared" si="5"/>
        <v>0</v>
      </c>
      <c r="AB46" s="106">
        <v>3098</v>
      </c>
      <c r="AC46" s="106">
        <f t="shared" si="6"/>
        <v>0</v>
      </c>
      <c r="AD46" s="106">
        <v>3098</v>
      </c>
      <c r="AE46" s="107">
        <f t="shared" si="7"/>
        <v>3098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1417</v>
      </c>
      <c r="X47" s="110">
        <v>2834</v>
      </c>
      <c r="Y47" s="110">
        <f t="shared" si="4"/>
        <v>0</v>
      </c>
      <c r="Z47" s="110">
        <v>2834</v>
      </c>
      <c r="AA47" s="110">
        <f t="shared" si="5"/>
        <v>0</v>
      </c>
      <c r="AB47" s="110">
        <v>2834</v>
      </c>
      <c r="AC47" s="110">
        <f t="shared" si="6"/>
        <v>0</v>
      </c>
      <c r="AD47" s="110">
        <v>2834</v>
      </c>
      <c r="AE47" s="111">
        <f t="shared" si="7"/>
        <v>2834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96</v>
      </c>
      <c r="S48" s="112">
        <f t="shared" si="1"/>
        <v>37</v>
      </c>
      <c r="T48" s="112">
        <v>170</v>
      </c>
      <c r="U48" s="112">
        <f t="shared" si="2"/>
        <v>0</v>
      </c>
      <c r="V48" s="112">
        <v>170</v>
      </c>
      <c r="W48" s="112">
        <f t="shared" si="3"/>
        <v>74.5</v>
      </c>
      <c r="X48" s="112">
        <v>319</v>
      </c>
      <c r="Y48" s="112">
        <f t="shared" si="4"/>
        <v>1</v>
      </c>
      <c r="Z48" s="112">
        <v>321</v>
      </c>
      <c r="AA48" s="112">
        <f t="shared" si="5"/>
        <v>0</v>
      </c>
      <c r="AB48" s="112">
        <v>321</v>
      </c>
      <c r="AC48" s="112">
        <f t="shared" si="6"/>
        <v>0</v>
      </c>
      <c r="AD48" s="112">
        <v>321</v>
      </c>
      <c r="AE48" s="113">
        <f t="shared" si="7"/>
        <v>321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0</v>
      </c>
      <c r="S49" s="108">
        <f t="shared" si="1"/>
        <v>168</v>
      </c>
      <c r="T49" s="108">
        <v>336</v>
      </c>
      <c r="U49" s="108">
        <f t="shared" si="2"/>
        <v>280</v>
      </c>
      <c r="V49" s="108">
        <v>896</v>
      </c>
      <c r="W49" s="108">
        <f t="shared" si="3"/>
        <v>65.5</v>
      </c>
      <c r="X49" s="108">
        <v>1027</v>
      </c>
      <c r="Y49" s="108">
        <f t="shared" si="4"/>
        <v>2</v>
      </c>
      <c r="Z49" s="108">
        <v>1031</v>
      </c>
      <c r="AA49" s="108">
        <f t="shared" si="5"/>
        <v>0</v>
      </c>
      <c r="AB49" s="108">
        <v>1031</v>
      </c>
      <c r="AC49" s="108">
        <f t="shared" si="6"/>
        <v>0</v>
      </c>
      <c r="AD49" s="108">
        <v>1031</v>
      </c>
      <c r="AE49" s="109">
        <f t="shared" si="7"/>
        <v>1031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1022</v>
      </c>
      <c r="S50" s="106">
        <f t="shared" si="1"/>
        <v>0</v>
      </c>
      <c r="T50" s="106">
        <v>1022</v>
      </c>
      <c r="U50" s="106">
        <f t="shared" si="2"/>
        <v>269.5</v>
      </c>
      <c r="V50" s="106">
        <v>1561</v>
      </c>
      <c r="W50" s="106">
        <f t="shared" si="3"/>
        <v>37.5</v>
      </c>
      <c r="X50" s="106">
        <v>1636</v>
      </c>
      <c r="Y50" s="106">
        <f t="shared" si="4"/>
        <v>-29.5</v>
      </c>
      <c r="Z50" s="106">
        <v>1577</v>
      </c>
      <c r="AA50" s="106">
        <f t="shared" si="5"/>
        <v>0</v>
      </c>
      <c r="AB50" s="106">
        <v>1577</v>
      </c>
      <c r="AC50" s="106">
        <f t="shared" si="6"/>
        <v>0</v>
      </c>
      <c r="AD50" s="106">
        <v>1577</v>
      </c>
      <c r="AE50" s="107">
        <f t="shared" si="7"/>
        <v>1577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>
        <f t="shared" si="1"/>
        <v>13.5</v>
      </c>
      <c r="T51" s="108">
        <v>27</v>
      </c>
      <c r="U51" s="108">
        <f t="shared" si="2"/>
        <v>641</v>
      </c>
      <c r="V51" s="108">
        <v>1309</v>
      </c>
      <c r="W51" s="108">
        <f t="shared" si="3"/>
        <v>204.5</v>
      </c>
      <c r="X51" s="108">
        <v>1718</v>
      </c>
      <c r="Y51" s="108">
        <f t="shared" si="4"/>
        <v>4</v>
      </c>
      <c r="Z51" s="108">
        <v>1726</v>
      </c>
      <c r="AA51" s="108">
        <f t="shared" si="5"/>
        <v>0</v>
      </c>
      <c r="AB51" s="108">
        <v>1726</v>
      </c>
      <c r="AC51" s="108">
        <f t="shared" si="6"/>
        <v>0</v>
      </c>
      <c r="AD51" s="108">
        <v>1726</v>
      </c>
      <c r="AE51" s="109">
        <f t="shared" si="7"/>
        <v>1726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498</v>
      </c>
      <c r="S52" s="106">
        <f t="shared" si="1"/>
        <v>58</v>
      </c>
      <c r="T52" s="106">
        <v>614</v>
      </c>
      <c r="U52" s="106">
        <f t="shared" si="2"/>
        <v>396</v>
      </c>
      <c r="V52" s="106">
        <v>1406</v>
      </c>
      <c r="W52" s="106">
        <f t="shared" si="3"/>
        <v>248.5</v>
      </c>
      <c r="X52" s="106">
        <v>1903</v>
      </c>
      <c r="Y52" s="106">
        <f t="shared" si="4"/>
        <v>6</v>
      </c>
      <c r="Z52" s="106">
        <v>1915</v>
      </c>
      <c r="AA52" s="106">
        <f t="shared" si="5"/>
        <v>0</v>
      </c>
      <c r="AB52" s="106">
        <v>1915</v>
      </c>
      <c r="AC52" s="106">
        <f t="shared" si="6"/>
        <v>0</v>
      </c>
      <c r="AD52" s="106">
        <v>1915</v>
      </c>
      <c r="AE52" s="107">
        <f t="shared" si="7"/>
        <v>1915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464</v>
      </c>
      <c r="S53" s="108">
        <f t="shared" si="1"/>
        <v>0</v>
      </c>
      <c r="T53" s="108">
        <v>464</v>
      </c>
      <c r="U53" s="108">
        <f t="shared" si="2"/>
        <v>0</v>
      </c>
      <c r="V53" s="108">
        <v>464</v>
      </c>
      <c r="W53" s="108">
        <f t="shared" si="3"/>
        <v>52</v>
      </c>
      <c r="X53" s="108">
        <v>568</v>
      </c>
      <c r="Y53" s="108">
        <f t="shared" si="4"/>
        <v>1</v>
      </c>
      <c r="Z53" s="108">
        <v>570</v>
      </c>
      <c r="AA53" s="108">
        <f t="shared" si="5"/>
        <v>0</v>
      </c>
      <c r="AB53" s="108">
        <v>570</v>
      </c>
      <c r="AC53" s="108">
        <f t="shared" si="6"/>
        <v>0</v>
      </c>
      <c r="AD53" s="108">
        <v>570</v>
      </c>
      <c r="AE53" s="109">
        <f t="shared" si="7"/>
        <v>570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1000</v>
      </c>
      <c r="S54" s="106">
        <f t="shared" si="1"/>
        <v>518</v>
      </c>
      <c r="T54" s="106">
        <v>2036</v>
      </c>
      <c r="U54" s="106">
        <f t="shared" si="2"/>
        <v>237</v>
      </c>
      <c r="V54" s="106">
        <v>2510</v>
      </c>
      <c r="W54" s="106">
        <f t="shared" si="3"/>
        <v>706</v>
      </c>
      <c r="X54" s="106">
        <v>3922</v>
      </c>
      <c r="Y54" s="106">
        <f t="shared" si="4"/>
        <v>0</v>
      </c>
      <c r="Z54" s="106">
        <v>3922</v>
      </c>
      <c r="AA54" s="106">
        <f t="shared" si="5"/>
        <v>0</v>
      </c>
      <c r="AB54" s="106">
        <v>3922</v>
      </c>
      <c r="AC54" s="106">
        <f t="shared" si="6"/>
        <v>0</v>
      </c>
      <c r="AD54" s="106">
        <v>3922</v>
      </c>
      <c r="AE54" s="107">
        <f t="shared" si="7"/>
        <v>3922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108</v>
      </c>
      <c r="X55" s="108">
        <v>216</v>
      </c>
      <c r="Y55" s="108">
        <f t="shared" si="4"/>
        <v>0</v>
      </c>
      <c r="Z55" s="108">
        <v>216</v>
      </c>
      <c r="AA55" s="108">
        <f t="shared" si="5"/>
        <v>0</v>
      </c>
      <c r="AB55" s="108">
        <v>216</v>
      </c>
      <c r="AC55" s="108">
        <f t="shared" si="6"/>
        <v>0</v>
      </c>
      <c r="AD55" s="108">
        <v>216</v>
      </c>
      <c r="AE55" s="109">
        <f t="shared" si="7"/>
        <v>216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87</v>
      </c>
      <c r="S56" s="114">
        <f t="shared" si="1"/>
        <v>51</v>
      </c>
      <c r="T56" s="114">
        <v>189</v>
      </c>
      <c r="U56" s="114">
        <f t="shared" si="2"/>
        <v>414.5</v>
      </c>
      <c r="V56" s="114">
        <v>1018</v>
      </c>
      <c r="W56" s="114">
        <f t="shared" si="3"/>
        <v>8</v>
      </c>
      <c r="X56" s="114">
        <v>1034</v>
      </c>
      <c r="Y56" s="114">
        <f t="shared" si="4"/>
        <v>4.5</v>
      </c>
      <c r="Z56" s="114">
        <v>1043</v>
      </c>
      <c r="AA56" s="114">
        <f t="shared" si="5"/>
        <v>0</v>
      </c>
      <c r="AB56" s="114">
        <v>1043</v>
      </c>
      <c r="AC56" s="114">
        <f t="shared" si="6"/>
        <v>0</v>
      </c>
      <c r="AD56" s="114">
        <v>1043</v>
      </c>
      <c r="AE56" s="115">
        <f t="shared" si="7"/>
        <v>1043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9</v>
      </c>
      <c r="S57" s="104">
        <f t="shared" si="1"/>
        <v>7.5</v>
      </c>
      <c r="T57" s="104">
        <v>24</v>
      </c>
      <c r="U57" s="104">
        <f t="shared" si="2"/>
        <v>166.5</v>
      </c>
      <c r="V57" s="104">
        <v>357</v>
      </c>
      <c r="W57" s="104">
        <f t="shared" si="3"/>
        <v>321.5</v>
      </c>
      <c r="X57" s="104">
        <v>1000</v>
      </c>
      <c r="Y57" s="104">
        <f t="shared" si="4"/>
        <v>162.5</v>
      </c>
      <c r="Z57" s="104">
        <v>1325</v>
      </c>
      <c r="AA57" s="104">
        <f t="shared" si="5"/>
        <v>0</v>
      </c>
      <c r="AB57" s="104">
        <v>1325</v>
      </c>
      <c r="AC57" s="104">
        <f t="shared" si="6"/>
        <v>0</v>
      </c>
      <c r="AD57" s="104">
        <v>1325</v>
      </c>
      <c r="AE57" s="105">
        <f t="shared" si="7"/>
        <v>1325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0</v>
      </c>
      <c r="S58" s="106">
        <f t="shared" si="1"/>
        <v>239.5</v>
      </c>
      <c r="T58" s="106">
        <v>479</v>
      </c>
      <c r="U58" s="106">
        <f t="shared" si="2"/>
        <v>612.5</v>
      </c>
      <c r="V58" s="106">
        <v>1704</v>
      </c>
      <c r="W58" s="106">
        <f t="shared" si="3"/>
        <v>537</v>
      </c>
      <c r="X58" s="106">
        <v>2778</v>
      </c>
      <c r="Y58" s="106">
        <f t="shared" si="4"/>
        <v>0</v>
      </c>
      <c r="Z58" s="106">
        <v>2778</v>
      </c>
      <c r="AA58" s="106">
        <f t="shared" si="5"/>
        <v>0</v>
      </c>
      <c r="AB58" s="106">
        <v>2778</v>
      </c>
      <c r="AC58" s="106">
        <f t="shared" si="6"/>
        <v>0</v>
      </c>
      <c r="AD58" s="106">
        <v>2778</v>
      </c>
      <c r="AE58" s="107">
        <f t="shared" si="7"/>
        <v>2778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981</v>
      </c>
      <c r="S59" s="108">
        <f t="shared" si="1"/>
        <v>75.5</v>
      </c>
      <c r="T59" s="108">
        <v>1132</v>
      </c>
      <c r="U59" s="108">
        <f t="shared" si="2"/>
        <v>120</v>
      </c>
      <c r="V59" s="108">
        <v>1372</v>
      </c>
      <c r="W59" s="108">
        <f t="shared" si="3"/>
        <v>538.5</v>
      </c>
      <c r="X59" s="108">
        <v>2449</v>
      </c>
      <c r="Y59" s="108">
        <f t="shared" si="4"/>
        <v>275</v>
      </c>
      <c r="Z59" s="108">
        <v>2999</v>
      </c>
      <c r="AA59" s="108">
        <f t="shared" si="5"/>
        <v>0</v>
      </c>
      <c r="AB59" s="108">
        <v>2999</v>
      </c>
      <c r="AC59" s="108">
        <f t="shared" si="6"/>
        <v>0</v>
      </c>
      <c r="AD59" s="108">
        <v>2999</v>
      </c>
      <c r="AE59" s="109">
        <f t="shared" si="7"/>
        <v>2999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504</v>
      </c>
      <c r="S60" s="114">
        <f t="shared" si="1"/>
        <v>611.5</v>
      </c>
      <c r="T60" s="114">
        <v>1727</v>
      </c>
      <c r="U60" s="114">
        <f t="shared" si="2"/>
        <v>349</v>
      </c>
      <c r="V60" s="114">
        <v>2425</v>
      </c>
      <c r="W60" s="114">
        <f t="shared" si="3"/>
        <v>675</v>
      </c>
      <c r="X60" s="114">
        <v>3775</v>
      </c>
      <c r="Y60" s="114">
        <f t="shared" si="4"/>
        <v>0</v>
      </c>
      <c r="Z60" s="114">
        <v>3775</v>
      </c>
      <c r="AA60" s="114">
        <f t="shared" si="5"/>
        <v>0</v>
      </c>
      <c r="AB60" s="114">
        <v>3775</v>
      </c>
      <c r="AC60" s="114">
        <f t="shared" si="6"/>
        <v>0</v>
      </c>
      <c r="AD60" s="114">
        <v>3775</v>
      </c>
      <c r="AE60" s="115">
        <f t="shared" si="7"/>
        <v>3775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797</v>
      </c>
      <c r="S61" s="104">
        <f t="shared" si="1"/>
        <v>644</v>
      </c>
      <c r="T61" s="104">
        <v>2085</v>
      </c>
      <c r="U61" s="104">
        <f t="shared" si="2"/>
        <v>186</v>
      </c>
      <c r="V61" s="104">
        <v>2457</v>
      </c>
      <c r="W61" s="104">
        <f t="shared" si="3"/>
        <v>113</v>
      </c>
      <c r="X61" s="104">
        <v>2683</v>
      </c>
      <c r="Y61" s="104">
        <f t="shared" si="4"/>
        <v>87.5</v>
      </c>
      <c r="Z61" s="104">
        <v>2858</v>
      </c>
      <c r="AA61" s="104">
        <f t="shared" si="5"/>
        <v>459.5</v>
      </c>
      <c r="AB61" s="104">
        <v>3777</v>
      </c>
      <c r="AC61" s="104">
        <f t="shared" si="6"/>
        <v>0</v>
      </c>
      <c r="AD61" s="104">
        <v>3777</v>
      </c>
      <c r="AE61" s="105">
        <f t="shared" si="7"/>
        <v>3777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30</v>
      </c>
      <c r="S62" s="106">
        <f t="shared" si="1"/>
        <v>157.5</v>
      </c>
      <c r="T62" s="106">
        <v>345</v>
      </c>
      <c r="U62" s="106">
        <f t="shared" si="2"/>
        <v>194.5</v>
      </c>
      <c r="V62" s="106">
        <v>734</v>
      </c>
      <c r="W62" s="106">
        <f t="shared" si="3"/>
        <v>349</v>
      </c>
      <c r="X62" s="106">
        <v>1432</v>
      </c>
      <c r="Y62" s="106">
        <f t="shared" si="4"/>
        <v>333</v>
      </c>
      <c r="Z62" s="106">
        <v>2098</v>
      </c>
      <c r="AA62" s="106">
        <f t="shared" si="5"/>
        <v>74.5</v>
      </c>
      <c r="AB62" s="106">
        <v>2247</v>
      </c>
      <c r="AC62" s="106">
        <f t="shared" si="6"/>
        <v>0</v>
      </c>
      <c r="AD62" s="106">
        <v>2247</v>
      </c>
      <c r="AE62" s="107">
        <f t="shared" si="7"/>
        <v>2247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0</v>
      </c>
      <c r="S63" s="108">
        <f t="shared" si="1"/>
        <v>144</v>
      </c>
      <c r="T63" s="108">
        <v>288</v>
      </c>
      <c r="U63" s="108">
        <f t="shared" si="2"/>
        <v>96.5</v>
      </c>
      <c r="V63" s="108">
        <v>481</v>
      </c>
      <c r="W63" s="108">
        <f t="shared" si="3"/>
        <v>179.5</v>
      </c>
      <c r="X63" s="108">
        <v>840</v>
      </c>
      <c r="Y63" s="108">
        <f t="shared" si="4"/>
        <v>273</v>
      </c>
      <c r="Z63" s="108">
        <v>1386</v>
      </c>
      <c r="AA63" s="108">
        <f t="shared" si="5"/>
        <v>113.5</v>
      </c>
      <c r="AB63" s="108">
        <v>1613</v>
      </c>
      <c r="AC63" s="108">
        <f t="shared" si="6"/>
        <v>0</v>
      </c>
      <c r="AD63" s="108">
        <v>1613</v>
      </c>
      <c r="AE63" s="109">
        <f t="shared" si="7"/>
        <v>1613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793</v>
      </c>
      <c r="S64" s="114">
        <f t="shared" si="1"/>
        <v>32.5</v>
      </c>
      <c r="T64" s="114">
        <v>858</v>
      </c>
      <c r="U64" s="114">
        <f t="shared" si="2"/>
        <v>172</v>
      </c>
      <c r="V64" s="114">
        <v>1202</v>
      </c>
      <c r="W64" s="114">
        <f t="shared" si="3"/>
        <v>64</v>
      </c>
      <c r="X64" s="114">
        <v>1330</v>
      </c>
      <c r="Y64" s="114">
        <f t="shared" si="4"/>
        <v>31.5</v>
      </c>
      <c r="Z64" s="114">
        <v>1393</v>
      </c>
      <c r="AA64" s="114">
        <f t="shared" si="5"/>
        <v>148.5</v>
      </c>
      <c r="AB64" s="114">
        <v>1690</v>
      </c>
      <c r="AC64" s="114">
        <f t="shared" si="6"/>
        <v>0</v>
      </c>
      <c r="AD64" s="114">
        <v>1690</v>
      </c>
      <c r="AE64" s="115">
        <f t="shared" si="7"/>
        <v>1690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59" priority="11" operator="lessThan">
      <formula>0</formula>
    </cfRule>
    <cfRule type="cellIs" dxfId="958" priority="12" operator="greaterThan">
      <formula>0</formula>
    </cfRule>
  </conditionalFormatting>
  <conditionalFormatting sqref="R25:AC25">
    <cfRule type="cellIs" dxfId="957" priority="9" operator="lessThan">
      <formula>0</formula>
    </cfRule>
    <cfRule type="cellIs" dxfId="956" priority="10" operator="greaterThan">
      <formula>0</formula>
    </cfRule>
  </conditionalFormatting>
  <conditionalFormatting sqref="R26 T26 V26 X26 Z26 AB26">
    <cfRule type="cellIs" dxfId="955" priority="7" operator="lessThan">
      <formula>0</formula>
    </cfRule>
    <cfRule type="cellIs" dxfId="954" priority="8" operator="greaterThan">
      <formula>0</formula>
    </cfRule>
  </conditionalFormatting>
  <conditionalFormatting sqref="AD24:AE24">
    <cfRule type="cellIs" dxfId="953" priority="5" operator="lessThan">
      <formula>0</formula>
    </cfRule>
    <cfRule type="cellIs" dxfId="952" priority="6" operator="greaterThan">
      <formula>0</formula>
    </cfRule>
  </conditionalFormatting>
  <conditionalFormatting sqref="AD25:AE25">
    <cfRule type="cellIs" dxfId="951" priority="3" operator="lessThan">
      <formula>0</formula>
    </cfRule>
    <cfRule type="cellIs" dxfId="950" priority="4" operator="greaterThan">
      <formula>0</formula>
    </cfRule>
  </conditionalFormatting>
  <conditionalFormatting sqref="AD26">
    <cfRule type="cellIs" dxfId="949" priority="1" operator="lessThan">
      <formula>0</formula>
    </cfRule>
    <cfRule type="cellIs" dxfId="94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>
    <tabColor theme="1"/>
    <pageSetUpPr fitToPage="1"/>
  </sheetPr>
  <dimension ref="B1:AQ64"/>
  <sheetViews>
    <sheetView topLeftCell="F1" zoomScale="85" zoomScaleNormal="85" zoomScaleSheetLayoutView="70" workbookViewId="0">
      <selection activeCell="R16" sqref="R16:AE1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44439</v>
      </c>
    </row>
    <row r="3" spans="2:42" ht="18.75" customHeight="1" thickBot="1" x14ac:dyDescent="0.35">
      <c r="B3" t="s">
        <v>1</v>
      </c>
      <c r="C3" s="3">
        <f>C2+1</f>
        <v>44440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3388</v>
      </c>
      <c r="E6" s="18" t="s">
        <v>22</v>
      </c>
      <c r="F6" s="119">
        <v>12043</v>
      </c>
      <c r="G6" s="117">
        <v>10455.740750000001</v>
      </c>
      <c r="H6" s="117">
        <v>12834.29372496</v>
      </c>
      <c r="I6" s="19">
        <f>G6+H6</f>
        <v>23290.034474960001</v>
      </c>
      <c r="J6" s="119">
        <v>12070</v>
      </c>
      <c r="K6" s="117">
        <v>7317.5236250000007</v>
      </c>
      <c r="L6" s="117">
        <v>13793.18818106001</v>
      </c>
      <c r="M6" s="19">
        <f>K6+L6</f>
        <v>21110.711806060011</v>
      </c>
      <c r="N6" s="85">
        <v>60</v>
      </c>
      <c r="O6" s="85">
        <v>54</v>
      </c>
      <c r="P6" s="92"/>
      <c r="Q6" s="20">
        <f>J6-P6</f>
        <v>12070</v>
      </c>
      <c r="R6" s="21">
        <v>3470</v>
      </c>
      <c r="S6" s="20">
        <f>IF(R6&gt;0,(R6-R7-$Q6),"")</f>
        <v>-8600</v>
      </c>
      <c r="T6" s="21">
        <v>3937</v>
      </c>
      <c r="U6" s="20">
        <f>IF(T6&gt;0,(T6-T7-$Q6),"")</f>
        <v>-8362</v>
      </c>
      <c r="V6" s="21">
        <v>7441</v>
      </c>
      <c r="W6" s="20">
        <f>IF(V6&gt;0,(V6-V7-$Q6),"")</f>
        <v>-4861</v>
      </c>
      <c r="X6" s="21">
        <v>12099</v>
      </c>
      <c r="Y6" s="20">
        <f>IF(X6&gt;0,(X6-X7-$Q6),"")</f>
        <v>-810</v>
      </c>
      <c r="Z6" s="21">
        <v>12246</v>
      </c>
      <c r="AA6" s="20">
        <f>IF(Z6&gt;0,(Z6-Z7-$Q6),"")</f>
        <v>-668</v>
      </c>
      <c r="AB6" s="21">
        <v>12246</v>
      </c>
      <c r="AC6" s="22">
        <f>IF(AB6&gt;0,(AB6-AB7-$Q6),"")</f>
        <v>-668</v>
      </c>
      <c r="AD6" s="21">
        <v>12246</v>
      </c>
      <c r="AE6" s="22">
        <f>IF(AD6&gt;0,(AD6-AD7-$Q6),"")</f>
        <v>-668</v>
      </c>
    </row>
    <row r="7" spans="2:42" x14ac:dyDescent="0.3">
      <c r="B7" s="16" t="s">
        <v>23</v>
      </c>
      <c r="C7" s="17">
        <v>2928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6</v>
      </c>
      <c r="P7" s="93" t="s">
        <v>24</v>
      </c>
      <c r="Q7" s="24"/>
      <c r="R7" s="25">
        <v>0</v>
      </c>
      <c r="S7" s="24"/>
      <c r="T7" s="25">
        <v>229</v>
      </c>
      <c r="U7" s="24"/>
      <c r="V7" s="25">
        <v>232</v>
      </c>
      <c r="W7" s="24"/>
      <c r="X7" s="25">
        <v>839</v>
      </c>
      <c r="Y7" s="24"/>
      <c r="Z7" s="25">
        <v>844</v>
      </c>
      <c r="AA7" s="24"/>
      <c r="AB7" s="25">
        <v>844</v>
      </c>
      <c r="AC7" s="26"/>
      <c r="AD7" s="25">
        <v>844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2703</v>
      </c>
      <c r="E8" s="29" t="s">
        <v>27</v>
      </c>
      <c r="F8" s="119">
        <v>10936</v>
      </c>
      <c r="G8" s="117">
        <v>4202.0370000000003</v>
      </c>
      <c r="H8" s="117">
        <v>1430.6781309999999</v>
      </c>
      <c r="I8" s="19">
        <f>G8+H8</f>
        <v>5632.7151309999999</v>
      </c>
      <c r="J8" s="119">
        <v>12099</v>
      </c>
      <c r="K8" s="117">
        <v>8677.3049999999967</v>
      </c>
      <c r="L8" s="117">
        <v>1406.8404250999999</v>
      </c>
      <c r="M8" s="19">
        <f>K8+L8</f>
        <v>10084.145425099996</v>
      </c>
      <c r="N8" s="87">
        <v>28</v>
      </c>
      <c r="O8" s="87">
        <v>23</v>
      </c>
      <c r="P8" s="92"/>
      <c r="Q8" s="20">
        <f>J8-P8</f>
        <v>12099</v>
      </c>
      <c r="R8" s="21">
        <v>154</v>
      </c>
      <c r="S8" s="20">
        <f>IF(R8&gt;0,(R8-R9-$Q8),"")</f>
        <v>-11945</v>
      </c>
      <c r="T8" s="21">
        <v>4535</v>
      </c>
      <c r="U8" s="20">
        <f>IF(T8&gt;0,(T8-T9-$Q8),"")</f>
        <v>-7564</v>
      </c>
      <c r="V8" s="21">
        <v>7486</v>
      </c>
      <c r="W8" s="20">
        <f>IF(V8&gt;0,(V8-V9-$Q8),"")</f>
        <v>-4613</v>
      </c>
      <c r="X8" s="21">
        <v>12000.16</v>
      </c>
      <c r="Y8" s="20">
        <f>IF(X8&gt;0,(X8-X9-$Q8),"")</f>
        <v>-98.840000000000146</v>
      </c>
      <c r="Z8" s="21">
        <v>11975.16</v>
      </c>
      <c r="AA8" s="20">
        <f>IF(Z8&gt;0,(Z8-Z9-$Q8),"")</f>
        <v>-123.84000000000015</v>
      </c>
      <c r="AB8" s="21">
        <v>11975.16</v>
      </c>
      <c r="AC8" s="22">
        <f>IF(AB8&gt;0,(AB8-AB9-$Q8),"")</f>
        <v>-123.84000000000015</v>
      </c>
      <c r="AD8" s="21">
        <v>11975.16</v>
      </c>
      <c r="AE8" s="22">
        <f>IF(AD8&gt;0,(AD8-AD9-$Q8),"")</f>
        <v>-123.84000000000015</v>
      </c>
    </row>
    <row r="9" spans="2:42" x14ac:dyDescent="0.3">
      <c r="B9" s="28" t="s">
        <v>28</v>
      </c>
      <c r="C9" s="17">
        <v>1747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2307</v>
      </c>
      <c r="E10" s="18" t="s">
        <v>31</v>
      </c>
      <c r="F10" s="119">
        <v>22354</v>
      </c>
      <c r="G10" s="117">
        <v>17567.125687499989</v>
      </c>
      <c r="H10" s="117">
        <v>883.18639999999994</v>
      </c>
      <c r="I10" s="19">
        <f>G10+H10</f>
        <v>18450.312087499988</v>
      </c>
      <c r="J10" s="119">
        <v>28346</v>
      </c>
      <c r="K10" s="117">
        <v>22224.936062500001</v>
      </c>
      <c r="L10" s="117">
        <v>968.94710500000008</v>
      </c>
      <c r="M10" s="19">
        <f>K10+L10</f>
        <v>23193.8831675</v>
      </c>
      <c r="N10" s="88">
        <v>47</v>
      </c>
      <c r="O10" s="88">
        <v>43</v>
      </c>
      <c r="P10" s="92"/>
      <c r="Q10" s="20">
        <f>J10-P10</f>
        <v>28346</v>
      </c>
      <c r="R10" s="21">
        <v>5301</v>
      </c>
      <c r="S10" s="20">
        <f>IF(R10&gt;0,(R10-R11-$Q10),"")</f>
        <v>-23045</v>
      </c>
      <c r="T10" s="21">
        <v>8359</v>
      </c>
      <c r="U10" s="20">
        <f>IF(T10&gt;0,(T10-T11-$Q10),"")</f>
        <v>-20110</v>
      </c>
      <c r="V10" s="21">
        <v>14397</v>
      </c>
      <c r="W10" s="20">
        <f>IF(V10&gt;0,(V10-V11-$Q10),"")</f>
        <v>-14746</v>
      </c>
      <c r="X10" s="21">
        <v>18024</v>
      </c>
      <c r="Y10" s="20">
        <f>IF(X10&gt;0,(X10-X11-$Q10),"")</f>
        <v>-11119</v>
      </c>
      <c r="Z10" s="21">
        <v>22018</v>
      </c>
      <c r="AA10" s="20">
        <f>IF(Z10&gt;0,(Z10-Z11-$Q10),"")</f>
        <v>-7135</v>
      </c>
      <c r="AB10" s="21">
        <v>22231</v>
      </c>
      <c r="AC10" s="22">
        <f>IF(AB10&gt;0,(AB10-AB11-$Q10),"")</f>
        <v>-7028</v>
      </c>
      <c r="AD10" s="21">
        <v>22231</v>
      </c>
      <c r="AE10" s="22">
        <f>IF(AD10&gt;0,(AD10-AD11-$Q10),"")</f>
        <v>-7028</v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123</v>
      </c>
      <c r="U11" s="24"/>
      <c r="V11" s="30">
        <v>797</v>
      </c>
      <c r="W11" s="24"/>
      <c r="X11" s="30">
        <v>797</v>
      </c>
      <c r="Y11" s="24"/>
      <c r="Z11" s="30">
        <v>807</v>
      </c>
      <c r="AA11" s="24"/>
      <c r="AB11" s="30">
        <v>913</v>
      </c>
      <c r="AC11" s="26"/>
      <c r="AD11" s="30">
        <v>913</v>
      </c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13176</v>
      </c>
      <c r="G12" s="117">
        <v>10858.741249999999</v>
      </c>
      <c r="H12" s="117">
        <v>18093.03425991999</v>
      </c>
      <c r="I12" s="19">
        <f>G12+H12</f>
        <v>28951.775509919989</v>
      </c>
      <c r="J12" s="119">
        <v>14240</v>
      </c>
      <c r="K12" s="117">
        <v>11784.902249999999</v>
      </c>
      <c r="L12" s="117">
        <v>21896.319508939989</v>
      </c>
      <c r="M12" s="19">
        <f>K12+L12</f>
        <v>33681.221758939988</v>
      </c>
      <c r="N12" s="88">
        <v>49</v>
      </c>
      <c r="O12" s="88">
        <v>45</v>
      </c>
      <c r="P12" s="92"/>
      <c r="Q12" s="20">
        <f>J12-P12</f>
        <v>14240</v>
      </c>
      <c r="R12" s="21">
        <v>3215</v>
      </c>
      <c r="S12" s="20">
        <f>IF(R12&gt;0,(R12-R13-$Q12),"")</f>
        <v>-11050</v>
      </c>
      <c r="T12" s="21">
        <v>5402</v>
      </c>
      <c r="U12" s="20">
        <f>IF(T12&gt;0,(T12-T13-$Q12),"")</f>
        <v>-8864</v>
      </c>
      <c r="V12" s="21">
        <v>8049</v>
      </c>
      <c r="W12" s="20">
        <f>IF(V12&gt;0,(V12-V13-$Q12),"")</f>
        <v>-6235</v>
      </c>
      <c r="X12" s="21">
        <v>10251</v>
      </c>
      <c r="Y12" s="20">
        <f>IF(X12&gt;0,(X12-X13-$Q12),"")</f>
        <v>-4054</v>
      </c>
      <c r="Z12" s="21">
        <v>10251</v>
      </c>
      <c r="AA12" s="20">
        <f>IF(Z12&gt;0,(Z12-Z13-$Q12),"")</f>
        <v>-4054</v>
      </c>
      <c r="AB12" s="21">
        <v>10251</v>
      </c>
      <c r="AC12" s="22">
        <f>IF(AB12&gt;0,(AB12-AB13-$Q12),"")</f>
        <v>-4054</v>
      </c>
      <c r="AD12" s="21">
        <v>10251</v>
      </c>
      <c r="AE12" s="22">
        <f>IF(AD12&gt;0,(AD12-AD13-$Q12),"")</f>
        <v>-4054</v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4</v>
      </c>
      <c r="P13" s="93" t="s">
        <v>37</v>
      </c>
      <c r="Q13" s="24"/>
      <c r="R13" s="30">
        <v>25</v>
      </c>
      <c r="S13" s="24"/>
      <c r="T13" s="30">
        <v>26</v>
      </c>
      <c r="U13" s="24"/>
      <c r="V13" s="30">
        <v>44</v>
      </c>
      <c r="W13" s="24"/>
      <c r="X13" s="30">
        <v>65</v>
      </c>
      <c r="Y13" s="24"/>
      <c r="Z13" s="30">
        <v>65</v>
      </c>
      <c r="AA13" s="24"/>
      <c r="AB13" s="30">
        <v>65</v>
      </c>
      <c r="AC13" s="26"/>
      <c r="AD13" s="30">
        <v>65</v>
      </c>
      <c r="AE13" s="26"/>
    </row>
    <row r="14" spans="2:42" x14ac:dyDescent="0.3">
      <c r="B14" s="16" t="s">
        <v>38</v>
      </c>
      <c r="C14" s="17">
        <v>11921</v>
      </c>
      <c r="E14" s="18" t="s">
        <v>39</v>
      </c>
      <c r="F14" s="119">
        <v>19069</v>
      </c>
      <c r="G14" s="117">
        <v>15906.90625</v>
      </c>
      <c r="H14" s="117">
        <v>18622.530391659999</v>
      </c>
      <c r="I14" s="19">
        <f>G14+H14</f>
        <v>34529.436641659995</v>
      </c>
      <c r="J14" s="119">
        <v>30071</v>
      </c>
      <c r="K14" s="117">
        <v>31373.53125</v>
      </c>
      <c r="L14" s="117">
        <v>34773.597419539998</v>
      </c>
      <c r="M14" s="19">
        <f>K14+L14</f>
        <v>66147.12866953999</v>
      </c>
      <c r="N14" s="88">
        <v>61</v>
      </c>
      <c r="O14" s="88">
        <v>42</v>
      </c>
      <c r="P14" s="92"/>
      <c r="Q14" s="20">
        <f>J14-P14</f>
        <v>30071</v>
      </c>
      <c r="R14" s="21">
        <v>4163</v>
      </c>
      <c r="S14" s="20">
        <f>IF(R14&gt;0,(R14-R15-$Q14),"")</f>
        <v>-25908</v>
      </c>
      <c r="T14" s="21">
        <v>8241</v>
      </c>
      <c r="U14" s="20">
        <f>IF(T14&gt;0,(T14-T15-$Q14),"")</f>
        <v>-21837</v>
      </c>
      <c r="V14" s="21">
        <v>10897</v>
      </c>
      <c r="W14" s="20">
        <f>IF(V14&gt;0,(V14-V15-$Q14),"")</f>
        <v>-19240</v>
      </c>
      <c r="X14" s="21">
        <v>14324</v>
      </c>
      <c r="Y14" s="20">
        <f>IF(X14&gt;0,(X14-X15-$Q14),"")</f>
        <v>-15838</v>
      </c>
      <c r="Z14" s="21">
        <v>16050</v>
      </c>
      <c r="AA14" s="20">
        <f>IF(Z14&gt;0,(Z14-Z15-$Q14),"")</f>
        <v>-14128</v>
      </c>
      <c r="AB14" s="21">
        <v>16050</v>
      </c>
      <c r="AC14" s="22">
        <f>IF(AB14&gt;0,(AB14-AB15-$Q14),"")</f>
        <v>-14128</v>
      </c>
      <c r="AD14" s="21">
        <v>16050</v>
      </c>
      <c r="AE14" s="22">
        <f>IF(AD14&gt;0,(AD14-AD15-$Q14),"")</f>
        <v>-14128</v>
      </c>
    </row>
    <row r="15" spans="2:42" ht="15" customHeight="1" thickBot="1" x14ac:dyDescent="0.35">
      <c r="B15" s="16" t="s">
        <v>40</v>
      </c>
      <c r="C15" s="17">
        <v>3328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0</v>
      </c>
      <c r="S15" s="24"/>
      <c r="T15" s="25">
        <v>7</v>
      </c>
      <c r="U15" s="24"/>
      <c r="V15" s="25">
        <v>66</v>
      </c>
      <c r="W15" s="24"/>
      <c r="X15" s="25">
        <v>91</v>
      </c>
      <c r="Y15" s="24"/>
      <c r="Z15" s="25">
        <v>107</v>
      </c>
      <c r="AA15" s="24"/>
      <c r="AB15" s="25">
        <v>107</v>
      </c>
      <c r="AC15" s="26"/>
      <c r="AD15" s="25">
        <v>107</v>
      </c>
      <c r="AE15" s="26"/>
    </row>
    <row r="16" spans="2:42" ht="15" customHeight="1" thickBot="1" x14ac:dyDescent="0.35">
      <c r="B16" s="28" t="s">
        <v>42</v>
      </c>
      <c r="C16" s="17">
        <v>15364</v>
      </c>
      <c r="E16" s="84"/>
      <c r="F16" s="31">
        <f t="shared" ref="F16:M16" si="0">SUM(F6:F15)</f>
        <v>77578</v>
      </c>
      <c r="G16" s="31">
        <f t="shared" si="0"/>
        <v>58990.550937499989</v>
      </c>
      <c r="H16" s="31">
        <f t="shared" si="0"/>
        <v>51863.722907539996</v>
      </c>
      <c r="I16" s="32">
        <f t="shared" si="0"/>
        <v>110854.27384503998</v>
      </c>
      <c r="J16" s="33">
        <f t="shared" si="0"/>
        <v>96826</v>
      </c>
      <c r="K16" s="33">
        <f t="shared" si="0"/>
        <v>81378.198187500006</v>
      </c>
      <c r="L16" s="33">
        <f t="shared" si="0"/>
        <v>72838.892639639991</v>
      </c>
      <c r="M16" s="33">
        <f t="shared" si="0"/>
        <v>154217.09082714</v>
      </c>
      <c r="N16" s="31">
        <f>SUM(N14,N12,N10,N8,N6)</f>
        <v>245</v>
      </c>
      <c r="O16" s="31">
        <f>SUM(O14,O12,O10,O8,O6)</f>
        <v>207</v>
      </c>
      <c r="P16" s="34">
        <f>SUM(P6:P15)</f>
        <v>0</v>
      </c>
      <c r="Q16" s="34">
        <f>SUM(Q6:Q15)</f>
        <v>96826</v>
      </c>
      <c r="R16" s="35">
        <f>R6+R8+R10+R12+R14-R7-R9-R11-R13-R15</f>
        <v>16278</v>
      </c>
      <c r="S16" s="36">
        <f>IF(R16&gt;1,(R16-$Q16),"")</f>
        <v>-80548</v>
      </c>
      <c r="T16" s="35">
        <f>T6+T8+T10+T12+T14-T7-T9-T11-T13-T15</f>
        <v>30089</v>
      </c>
      <c r="U16" s="36">
        <f>IF(T16&gt;1,(T16-$Q16),"")</f>
        <v>-66737</v>
      </c>
      <c r="V16" s="35">
        <f>V6+V8+V10+V12+V14-V7-V9-V11-V13-V15</f>
        <v>47131</v>
      </c>
      <c r="W16" s="36">
        <f>IF(V16&gt;1,(V16-$Q16),"")</f>
        <v>-49695</v>
      </c>
      <c r="X16" s="35">
        <f>X6+X8+X10+X12+X14-X7-X9-X11-X13-X15</f>
        <v>64906.16</v>
      </c>
      <c r="Y16" s="36">
        <f>IF(X16&gt;1,(X16-$Q16),"")</f>
        <v>-31919.839999999997</v>
      </c>
      <c r="Z16" s="35">
        <f>Z6+Z8+Z10+Z12+Z14-Z7-Z9-Z11-Z13-Z15</f>
        <v>70717.16</v>
      </c>
      <c r="AA16" s="36">
        <f>IF(Z16&gt;1,(Z16-$Q16),"")</f>
        <v>-26108.839999999997</v>
      </c>
      <c r="AB16" s="35">
        <f>AB6+AB8+AB10+AB12+AB14-AB7-AB9-AB11-AB13-AB15</f>
        <v>70824.160000000003</v>
      </c>
      <c r="AC16" s="37">
        <f>IF(AB16&gt;1,(AB16-$Q16),"")</f>
        <v>-26001.839999999997</v>
      </c>
      <c r="AD16" s="35">
        <f>AD6+AD8+AD10+AD12+AD14-AD7-AD9-AD11-AD13-AD15</f>
        <v>70824.160000000003</v>
      </c>
      <c r="AE16" s="37">
        <f>IF(AD16&gt;1,(AD16-$Q16),"")</f>
        <v>-26001.839999999997</v>
      </c>
    </row>
    <row r="17" spans="2:43" s="4" customFormat="1" ht="15" customHeight="1" thickBot="1" x14ac:dyDescent="0.35">
      <c r="B17" s="43" t="s">
        <v>47</v>
      </c>
      <c r="C17" s="17">
        <v>1551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38</v>
      </c>
      <c r="P17" s="38" t="s">
        <v>44</v>
      </c>
      <c r="Q17" s="39"/>
      <c r="R17" s="40">
        <f>R15+R13+R11+R9+R7</f>
        <v>25</v>
      </c>
      <c r="S17" s="41"/>
      <c r="T17" s="40">
        <f>T15+T13+T11+T9+T7</f>
        <v>385</v>
      </c>
      <c r="U17" s="41"/>
      <c r="V17" s="40">
        <f>V15+V13+V11+V9+V7</f>
        <v>1139</v>
      </c>
      <c r="W17" s="41"/>
      <c r="X17" s="40">
        <f>X15+X13+X11+X9+X7</f>
        <v>1792</v>
      </c>
      <c r="Y17" s="41"/>
      <c r="Z17" s="40">
        <f>Z15+Z13+Z11+Z9+Z7</f>
        <v>1823</v>
      </c>
      <c r="AA17" s="41"/>
      <c r="AB17" s="40">
        <f>AB15+AB13+AB11+AB9+AB7</f>
        <v>1929</v>
      </c>
      <c r="AC17" s="42"/>
      <c r="AD17" s="40">
        <f>AD15+AD13+AD11+AD9+AD7</f>
        <v>1929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571</v>
      </c>
      <c r="O18" s="1" t="s">
        <v>76</v>
      </c>
      <c r="P18" s="45" t="s">
        <v>46</v>
      </c>
      <c r="Q18" s="46"/>
      <c r="R18" s="47">
        <f>IF(R16&gt;0,(R16)/2,"")</f>
        <v>8139</v>
      </c>
      <c r="S18" s="46"/>
      <c r="T18" s="47">
        <f>IF(T16&gt;0,(T16-R16)/2,"")</f>
        <v>6905.5</v>
      </c>
      <c r="U18" s="46"/>
      <c r="V18" s="47">
        <f>IF(V16&gt;0,(V16-T16)/2,"")</f>
        <v>8521</v>
      </c>
      <c r="W18" s="46"/>
      <c r="X18" s="47">
        <f>IF(X16&gt;0,(X16-V16)/2,"")</f>
        <v>8887.5800000000017</v>
      </c>
      <c r="Y18" s="46"/>
      <c r="Z18" s="47">
        <f>IF(Z16&gt;0,(Z16-X16)/2,"")</f>
        <v>2905.5</v>
      </c>
      <c r="AA18" s="46"/>
      <c r="AB18" s="47">
        <f>IF(AB16&gt;0,(AB16-Z16)/2,"")</f>
        <v>53.5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8800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1068</v>
      </c>
      <c r="L20" s="4"/>
      <c r="M20" s="4"/>
      <c r="Q20" s="51" t="s">
        <v>49</v>
      </c>
      <c r="R20" s="35">
        <v>14110</v>
      </c>
      <c r="S20" s="36">
        <v>-84411</v>
      </c>
      <c r="T20" s="35">
        <v>22215</v>
      </c>
      <c r="U20" s="36">
        <v>-76306</v>
      </c>
      <c r="V20" s="35">
        <v>33011</v>
      </c>
      <c r="W20" s="36">
        <v>-65510</v>
      </c>
      <c r="X20" s="35">
        <v>53601</v>
      </c>
      <c r="Y20" s="36">
        <v>-44920</v>
      </c>
      <c r="Z20" s="35">
        <v>58986</v>
      </c>
      <c r="AA20" s="36">
        <v>-39535</v>
      </c>
      <c r="AB20" s="35">
        <v>60910</v>
      </c>
      <c r="AC20" s="37">
        <v>-37611</v>
      </c>
      <c r="AD20" s="35">
        <v>60910</v>
      </c>
      <c r="AE20" s="37"/>
    </row>
    <row r="21" spans="2:43" ht="15" customHeight="1" thickBot="1" x14ac:dyDescent="0.35">
      <c r="B21" s="57" t="s">
        <v>52</v>
      </c>
      <c r="C21" s="58">
        <v>4913</v>
      </c>
      <c r="M21" s="4"/>
      <c r="Q21" s="52"/>
      <c r="R21" s="40">
        <v>144</v>
      </c>
      <c r="S21" s="41"/>
      <c r="T21" s="40">
        <v>183</v>
      </c>
      <c r="U21" s="41"/>
      <c r="V21" s="40">
        <v>179</v>
      </c>
      <c r="W21" s="41"/>
      <c r="X21" s="40">
        <v>251</v>
      </c>
      <c r="Y21" s="41"/>
      <c r="Z21" s="40">
        <v>315</v>
      </c>
      <c r="AA21" s="41"/>
      <c r="AB21" s="40">
        <v>322</v>
      </c>
      <c r="AC21" s="42"/>
      <c r="AD21" s="40">
        <v>322</v>
      </c>
      <c r="AE21" s="42"/>
    </row>
    <row r="22" spans="2:43" ht="15" customHeight="1" thickBot="1" x14ac:dyDescent="0.35">
      <c r="M22" s="4"/>
      <c r="Q22" s="54"/>
      <c r="R22" s="47">
        <v>7055</v>
      </c>
      <c r="S22" s="46"/>
      <c r="T22" s="47">
        <v>4052.5</v>
      </c>
      <c r="U22" s="46"/>
      <c r="V22" s="47">
        <v>5398</v>
      </c>
      <c r="W22" s="46"/>
      <c r="X22" s="47">
        <v>10295</v>
      </c>
      <c r="Y22" s="46"/>
      <c r="Z22" s="47">
        <v>2692.5</v>
      </c>
      <c r="AA22" s="46"/>
      <c r="AB22" s="47">
        <v>962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2168</v>
      </c>
      <c r="S24" s="60"/>
      <c r="T24" s="60">
        <f>IF(T16&gt;0,T16-T20,"")</f>
        <v>7874</v>
      </c>
      <c r="U24" s="60"/>
      <c r="V24" s="60">
        <f>IF(V16&gt;0,V16-V20,"")</f>
        <v>14120</v>
      </c>
      <c r="W24" s="60"/>
      <c r="X24" s="60">
        <f>IF(X16&gt;0,X16-X20,"")</f>
        <v>11305.160000000003</v>
      </c>
      <c r="Y24" s="60"/>
      <c r="Z24" s="60">
        <f>IF(Z16&gt;0,Z16-Z20,"")</f>
        <v>11731.160000000003</v>
      </c>
      <c r="AA24" s="60"/>
      <c r="AB24" s="60">
        <f>IF(AB16&gt;0,AB16-AB20,"")</f>
        <v>9914.1600000000035</v>
      </c>
      <c r="AC24" s="61"/>
      <c r="AD24" s="60">
        <f>IF(AD16&gt;0,AD16-AD20,"")</f>
        <v>9914.1600000000035</v>
      </c>
      <c r="AE24" s="61"/>
    </row>
    <row r="25" spans="2:43" x14ac:dyDescent="0.3">
      <c r="J25" s="123"/>
      <c r="M25" s="4"/>
      <c r="Q25" s="62"/>
      <c r="R25" s="63">
        <f>IF(R17&gt;=0,R17-R21,"")</f>
        <v>-119</v>
      </c>
      <c r="S25" s="64"/>
      <c r="T25" s="63">
        <f>IF(T17&gt;=0,T17-T21,"")</f>
        <v>202</v>
      </c>
      <c r="U25" s="64"/>
      <c r="V25" s="63">
        <f>IF(V17&gt;=0,V17-V21,"")</f>
        <v>960</v>
      </c>
      <c r="W25" s="64"/>
      <c r="X25" s="63">
        <f>IF(X17&gt;=0,X17-X21,"")</f>
        <v>1541</v>
      </c>
      <c r="Y25" s="64"/>
      <c r="Z25" s="63">
        <f>IF(Z17&gt;=0,Z17-Z21,"")</f>
        <v>1508</v>
      </c>
      <c r="AA25" s="64"/>
      <c r="AB25" s="63">
        <f>IF(AB17&gt;=0,AB17-AB21,"")</f>
        <v>1607</v>
      </c>
      <c r="AC25" s="65"/>
      <c r="AD25" s="63">
        <f>IF(AD17&gt;=0,AD17-AD21,"")</f>
        <v>1607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1084</v>
      </c>
      <c r="S26" s="55"/>
      <c r="T26" s="67">
        <f>IFERROR(IF(T18&gt;0,T18-T22,""),"")</f>
        <v>2853</v>
      </c>
      <c r="U26" s="55"/>
      <c r="V26" s="67">
        <f>IFERROR(IF(V18&gt;0,V18-V22,""),"")</f>
        <v>3123</v>
      </c>
      <c r="W26" s="55"/>
      <c r="X26" s="67">
        <f>IFERROR(IF(X18&gt;0,X18-X22,""),"")</f>
        <v>-1407.4199999999983</v>
      </c>
      <c r="Y26" s="55"/>
      <c r="Z26" s="67">
        <f>IFERROR(IF(Z18&gt;0,Z18-Z22,""),"")</f>
        <v>213</v>
      </c>
      <c r="AA26" s="55"/>
      <c r="AB26" s="67">
        <f>IFERROR(IF(AB18&gt;0,AB18-AB22,""),"")</f>
        <v>-908.5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11307</v>
      </c>
      <c r="D29" s="76">
        <f>C14</f>
        <v>11921</v>
      </c>
      <c r="E29" s="77">
        <f>D29-C29</f>
        <v>614</v>
      </c>
      <c r="O29" s="4"/>
    </row>
    <row r="30" spans="2:43" x14ac:dyDescent="0.3">
      <c r="B30" s="74" t="s">
        <v>56</v>
      </c>
      <c r="C30" s="122">
        <v>34740</v>
      </c>
      <c r="D30" s="76">
        <f>C7+C15+C16+C17+C18</f>
        <v>23742</v>
      </c>
      <c r="E30" s="77">
        <f>D30-C30</f>
        <v>-10998</v>
      </c>
      <c r="J30" s="53"/>
      <c r="O30" s="4"/>
    </row>
    <row r="31" spans="2:43" x14ac:dyDescent="0.3">
      <c r="B31" s="74" t="s">
        <v>21</v>
      </c>
      <c r="C31" s="122">
        <v>3388</v>
      </c>
      <c r="D31" s="76">
        <f>C6</f>
        <v>3388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2307</v>
      </c>
      <c r="D32" s="76">
        <f>C10+C11+C12+C13</f>
        <v>2307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15058</v>
      </c>
      <c r="D33" s="76">
        <f>C19+C20+C21</f>
        <v>14781</v>
      </c>
      <c r="E33" s="77">
        <f>D33-C33</f>
        <v>-277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4450</v>
      </c>
      <c r="D34" s="80">
        <f>SUM(C8+C9)</f>
        <v>4450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16</v>
      </c>
      <c r="S36" s="106">
        <f t="shared" si="1"/>
        <v>0</v>
      </c>
      <c r="T36" s="106">
        <v>16</v>
      </c>
      <c r="U36" s="106">
        <f t="shared" si="2"/>
        <v>0</v>
      </c>
      <c r="V36" s="106">
        <v>16</v>
      </c>
      <c r="W36" s="106">
        <f t="shared" si="3"/>
        <v>0</v>
      </c>
      <c r="X36" s="106">
        <v>16</v>
      </c>
      <c r="Y36" s="106">
        <f t="shared" si="4"/>
        <v>0</v>
      </c>
      <c r="Z36" s="106">
        <v>16</v>
      </c>
      <c r="AA36" s="106">
        <f t="shared" si="5"/>
        <v>0</v>
      </c>
      <c r="AB36" s="106">
        <v>16</v>
      </c>
      <c r="AC36" s="106">
        <f t="shared" si="6"/>
        <v>0</v>
      </c>
      <c r="AD36" s="106">
        <v>16</v>
      </c>
      <c r="AE36" s="107">
        <f t="shared" si="7"/>
        <v>16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487</v>
      </c>
      <c r="S37" s="108">
        <f t="shared" si="1"/>
        <v>233.5</v>
      </c>
      <c r="T37" s="108">
        <v>954</v>
      </c>
      <c r="U37" s="108">
        <f t="shared" si="2"/>
        <v>30</v>
      </c>
      <c r="V37" s="108">
        <v>1014</v>
      </c>
      <c r="W37" s="108">
        <f t="shared" si="3"/>
        <v>207</v>
      </c>
      <c r="X37" s="108">
        <v>1428</v>
      </c>
      <c r="Y37" s="108">
        <f t="shared" si="4"/>
        <v>0</v>
      </c>
      <c r="Z37" s="108">
        <v>1428</v>
      </c>
      <c r="AA37" s="108">
        <f t="shared" si="5"/>
        <v>0</v>
      </c>
      <c r="AB37" s="108">
        <v>1428</v>
      </c>
      <c r="AC37" s="108">
        <f t="shared" si="6"/>
        <v>0</v>
      </c>
      <c r="AD37" s="108">
        <v>1428</v>
      </c>
      <c r="AE37" s="109">
        <f t="shared" si="7"/>
        <v>1428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594</v>
      </c>
      <c r="S38" s="106">
        <f t="shared" si="1"/>
        <v>0</v>
      </c>
      <c r="T38" s="106">
        <v>594</v>
      </c>
      <c r="U38" s="106">
        <f t="shared" si="2"/>
        <v>580.5</v>
      </c>
      <c r="V38" s="106">
        <v>1755</v>
      </c>
      <c r="W38" s="106">
        <f t="shared" si="3"/>
        <v>230.5</v>
      </c>
      <c r="X38" s="106">
        <v>2216</v>
      </c>
      <c r="Y38" s="106">
        <f t="shared" si="4"/>
        <v>21.5</v>
      </c>
      <c r="Z38" s="106">
        <v>2259</v>
      </c>
      <c r="AA38" s="106">
        <f t="shared" si="5"/>
        <v>0</v>
      </c>
      <c r="AB38" s="106">
        <v>2259</v>
      </c>
      <c r="AC38" s="106">
        <f t="shared" si="6"/>
        <v>0</v>
      </c>
      <c r="AD38" s="106">
        <v>2259</v>
      </c>
      <c r="AE38" s="107">
        <f t="shared" si="7"/>
        <v>2259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801</v>
      </c>
      <c r="S39" s="108">
        <f t="shared" si="1"/>
        <v>0</v>
      </c>
      <c r="T39" s="108">
        <v>801</v>
      </c>
      <c r="U39" s="108">
        <f t="shared" si="2"/>
        <v>0</v>
      </c>
      <c r="V39" s="108">
        <v>801</v>
      </c>
      <c r="W39" s="108">
        <f t="shared" si="3"/>
        <v>1138.5</v>
      </c>
      <c r="X39" s="108">
        <v>3078</v>
      </c>
      <c r="Y39" s="108">
        <f t="shared" si="4"/>
        <v>2.5</v>
      </c>
      <c r="Z39" s="108">
        <v>3083</v>
      </c>
      <c r="AA39" s="108">
        <f t="shared" si="5"/>
        <v>0</v>
      </c>
      <c r="AB39" s="108">
        <v>3083</v>
      </c>
      <c r="AC39" s="108">
        <f t="shared" si="6"/>
        <v>0</v>
      </c>
      <c r="AD39" s="108">
        <v>3083</v>
      </c>
      <c r="AE39" s="109">
        <f t="shared" si="7"/>
        <v>3083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857</v>
      </c>
      <c r="S40" s="106">
        <f t="shared" si="1"/>
        <v>0</v>
      </c>
      <c r="T40" s="106">
        <v>857</v>
      </c>
      <c r="U40" s="106">
        <f t="shared" si="2"/>
        <v>891.5</v>
      </c>
      <c r="V40" s="106">
        <v>2640</v>
      </c>
      <c r="W40" s="106">
        <f t="shared" si="3"/>
        <v>450</v>
      </c>
      <c r="X40" s="106">
        <v>3540</v>
      </c>
      <c r="Y40" s="106">
        <f t="shared" si="4"/>
        <v>0</v>
      </c>
      <c r="Z40" s="106">
        <v>3540</v>
      </c>
      <c r="AA40" s="106">
        <f t="shared" si="5"/>
        <v>0</v>
      </c>
      <c r="AB40" s="106">
        <v>3540</v>
      </c>
      <c r="AC40" s="106">
        <f t="shared" si="6"/>
        <v>0</v>
      </c>
      <c r="AD40" s="106">
        <v>3540</v>
      </c>
      <c r="AE40" s="107">
        <f t="shared" si="7"/>
        <v>3540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715</v>
      </c>
      <c r="S42" s="106">
        <f t="shared" si="1"/>
        <v>0</v>
      </c>
      <c r="T42" s="106">
        <v>715</v>
      </c>
      <c r="U42" s="106">
        <f t="shared" si="2"/>
        <v>250</v>
      </c>
      <c r="V42" s="106">
        <v>1215</v>
      </c>
      <c r="W42" s="106">
        <f t="shared" si="3"/>
        <v>303</v>
      </c>
      <c r="X42" s="106">
        <v>1821</v>
      </c>
      <c r="Y42" s="106">
        <f t="shared" si="4"/>
        <v>49.5</v>
      </c>
      <c r="Z42" s="106">
        <v>1920</v>
      </c>
      <c r="AA42" s="106">
        <f t="shared" si="5"/>
        <v>0</v>
      </c>
      <c r="AB42" s="106">
        <v>1920</v>
      </c>
      <c r="AC42" s="106">
        <f t="shared" si="6"/>
        <v>0</v>
      </c>
      <c r="AD42" s="106">
        <v>1920</v>
      </c>
      <c r="AE42" s="107">
        <f t="shared" si="7"/>
        <v>1920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154</v>
      </c>
      <c r="S44" s="112">
        <f t="shared" si="1"/>
        <v>63</v>
      </c>
      <c r="T44" s="112">
        <v>280</v>
      </c>
      <c r="U44" s="112">
        <f t="shared" si="2"/>
        <v>961</v>
      </c>
      <c r="V44" s="112">
        <v>2202</v>
      </c>
      <c r="W44" s="112">
        <f t="shared" si="3"/>
        <v>969.07999999999993</v>
      </c>
      <c r="X44" s="112">
        <v>4140.16</v>
      </c>
      <c r="Y44" s="112">
        <f t="shared" si="4"/>
        <v>-12.5</v>
      </c>
      <c r="Z44" s="112">
        <v>4115.16</v>
      </c>
      <c r="AA44" s="112">
        <f t="shared" si="5"/>
        <v>0</v>
      </c>
      <c r="AB44" s="112">
        <v>4115.16</v>
      </c>
      <c r="AC44" s="112">
        <f t="shared" si="6"/>
        <v>0</v>
      </c>
      <c r="AD44" s="112">
        <v>4115.16</v>
      </c>
      <c r="AE44" s="113">
        <f t="shared" si="7"/>
        <v>4115.16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0</v>
      </c>
      <c r="S45" s="108">
        <f t="shared" si="1"/>
        <v>546.5</v>
      </c>
      <c r="T45" s="108">
        <v>1093</v>
      </c>
      <c r="U45" s="108">
        <f t="shared" si="2"/>
        <v>0</v>
      </c>
      <c r="V45" s="108">
        <v>1093</v>
      </c>
      <c r="W45" s="108">
        <f t="shared" si="3"/>
        <v>677</v>
      </c>
      <c r="X45" s="108">
        <v>2447</v>
      </c>
      <c r="Y45" s="108">
        <f t="shared" si="4"/>
        <v>0</v>
      </c>
      <c r="Z45" s="108">
        <v>2447</v>
      </c>
      <c r="AA45" s="108">
        <f t="shared" si="5"/>
        <v>0</v>
      </c>
      <c r="AB45" s="108">
        <v>2447</v>
      </c>
      <c r="AC45" s="108">
        <f t="shared" si="6"/>
        <v>0</v>
      </c>
      <c r="AD45" s="108">
        <v>2447</v>
      </c>
      <c r="AE45" s="109">
        <f t="shared" si="7"/>
        <v>2447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0</v>
      </c>
      <c r="S46" s="106">
        <f t="shared" si="1"/>
        <v>768.5</v>
      </c>
      <c r="T46" s="106">
        <v>1537</v>
      </c>
      <c r="U46" s="106">
        <f t="shared" si="2"/>
        <v>0</v>
      </c>
      <c r="V46" s="106">
        <v>1537</v>
      </c>
      <c r="W46" s="106">
        <f t="shared" si="3"/>
        <v>611</v>
      </c>
      <c r="X46" s="106">
        <v>2759</v>
      </c>
      <c r="Y46" s="106">
        <f t="shared" si="4"/>
        <v>0</v>
      </c>
      <c r="Z46" s="106">
        <v>2759</v>
      </c>
      <c r="AA46" s="106">
        <f t="shared" si="5"/>
        <v>0</v>
      </c>
      <c r="AB46" s="106">
        <v>2759</v>
      </c>
      <c r="AC46" s="106">
        <f t="shared" si="6"/>
        <v>0</v>
      </c>
      <c r="AD46" s="106">
        <v>2759</v>
      </c>
      <c r="AE46" s="107">
        <f t="shared" si="7"/>
        <v>2759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>
        <f t="shared" si="1"/>
        <v>812.5</v>
      </c>
      <c r="T47" s="110">
        <v>1625</v>
      </c>
      <c r="U47" s="110">
        <f t="shared" si="2"/>
        <v>514.5</v>
      </c>
      <c r="V47" s="110">
        <v>2654</v>
      </c>
      <c r="W47" s="110">
        <f t="shared" si="3"/>
        <v>0</v>
      </c>
      <c r="X47" s="110">
        <v>2654</v>
      </c>
      <c r="Y47" s="110">
        <f t="shared" si="4"/>
        <v>0</v>
      </c>
      <c r="Z47" s="110">
        <v>2654</v>
      </c>
      <c r="AA47" s="110">
        <f t="shared" si="5"/>
        <v>0</v>
      </c>
      <c r="AB47" s="110">
        <v>2654</v>
      </c>
      <c r="AC47" s="110">
        <f t="shared" si="6"/>
        <v>0</v>
      </c>
      <c r="AD47" s="110">
        <v>2654</v>
      </c>
      <c r="AE47" s="111">
        <f t="shared" si="7"/>
        <v>2654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969</v>
      </c>
      <c r="S48" s="112">
        <f t="shared" si="1"/>
        <v>0</v>
      </c>
      <c r="T48" s="112">
        <v>969</v>
      </c>
      <c r="U48" s="112">
        <f t="shared" si="2"/>
        <v>727</v>
      </c>
      <c r="V48" s="112">
        <v>2423</v>
      </c>
      <c r="W48" s="112">
        <f t="shared" si="3"/>
        <v>59</v>
      </c>
      <c r="X48" s="112">
        <v>2541</v>
      </c>
      <c r="Y48" s="112">
        <f t="shared" si="4"/>
        <v>461.5</v>
      </c>
      <c r="Z48" s="112">
        <v>3464</v>
      </c>
      <c r="AA48" s="112">
        <f t="shared" si="5"/>
        <v>53.5</v>
      </c>
      <c r="AB48" s="112">
        <v>3571</v>
      </c>
      <c r="AC48" s="112">
        <f t="shared" si="6"/>
        <v>0</v>
      </c>
      <c r="AD48" s="112">
        <v>3571</v>
      </c>
      <c r="AE48" s="113">
        <f t="shared" si="7"/>
        <v>3571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1050</v>
      </c>
      <c r="S49" s="108">
        <f t="shared" si="1"/>
        <v>162.5</v>
      </c>
      <c r="T49" s="108">
        <v>1375</v>
      </c>
      <c r="U49" s="108">
        <f t="shared" si="2"/>
        <v>525</v>
      </c>
      <c r="V49" s="108">
        <v>2425</v>
      </c>
      <c r="W49" s="108">
        <f t="shared" si="3"/>
        <v>525</v>
      </c>
      <c r="X49" s="108">
        <v>3475</v>
      </c>
      <c r="Y49" s="108">
        <f t="shared" si="4"/>
        <v>647.5</v>
      </c>
      <c r="Z49" s="108">
        <v>4770</v>
      </c>
      <c r="AA49" s="108">
        <f t="shared" si="5"/>
        <v>38</v>
      </c>
      <c r="AB49" s="108">
        <v>4846</v>
      </c>
      <c r="AC49" s="108">
        <f t="shared" si="6"/>
        <v>0</v>
      </c>
      <c r="AD49" s="108">
        <v>4846</v>
      </c>
      <c r="AE49" s="109">
        <f t="shared" si="7"/>
        <v>4846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753</v>
      </c>
      <c r="S50" s="106">
        <f t="shared" si="1"/>
        <v>113.5</v>
      </c>
      <c r="T50" s="106">
        <v>980</v>
      </c>
      <c r="U50" s="106">
        <f t="shared" si="2"/>
        <v>175</v>
      </c>
      <c r="V50" s="106">
        <v>1330</v>
      </c>
      <c r="W50" s="106">
        <f t="shared" si="3"/>
        <v>11.5</v>
      </c>
      <c r="X50" s="106">
        <v>1353</v>
      </c>
      <c r="Y50" s="106">
        <f t="shared" si="4"/>
        <v>167.5</v>
      </c>
      <c r="Z50" s="106">
        <v>1688</v>
      </c>
      <c r="AA50" s="106">
        <f t="shared" si="5"/>
        <v>0</v>
      </c>
      <c r="AB50" s="106">
        <v>1688</v>
      </c>
      <c r="AC50" s="106">
        <f t="shared" si="6"/>
        <v>0</v>
      </c>
      <c r="AD50" s="106">
        <v>1688</v>
      </c>
      <c r="AE50" s="107">
        <f t="shared" si="7"/>
        <v>1688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160</v>
      </c>
      <c r="S51" s="108">
        <f t="shared" si="1"/>
        <v>226</v>
      </c>
      <c r="T51" s="108">
        <v>612</v>
      </c>
      <c r="U51" s="108">
        <f t="shared" si="2"/>
        <v>389</v>
      </c>
      <c r="V51" s="108">
        <v>1390</v>
      </c>
      <c r="W51" s="108">
        <f t="shared" si="3"/>
        <v>236</v>
      </c>
      <c r="X51" s="108">
        <v>1862</v>
      </c>
      <c r="Y51" s="108">
        <f t="shared" si="4"/>
        <v>39</v>
      </c>
      <c r="Z51" s="108">
        <v>1940</v>
      </c>
      <c r="AA51" s="108">
        <f t="shared" si="5"/>
        <v>8.5</v>
      </c>
      <c r="AB51" s="108">
        <v>1957</v>
      </c>
      <c r="AC51" s="108">
        <f t="shared" si="6"/>
        <v>0</v>
      </c>
      <c r="AD51" s="108">
        <v>1957</v>
      </c>
      <c r="AE51" s="109">
        <f t="shared" si="7"/>
        <v>1957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169</v>
      </c>
      <c r="S52" s="106">
        <f t="shared" si="1"/>
        <v>391</v>
      </c>
      <c r="T52" s="106">
        <v>951</v>
      </c>
      <c r="U52" s="106">
        <f t="shared" si="2"/>
        <v>187.5</v>
      </c>
      <c r="V52" s="106">
        <v>1326</v>
      </c>
      <c r="W52" s="106">
        <f t="shared" si="3"/>
        <v>203</v>
      </c>
      <c r="X52" s="106">
        <v>1732</v>
      </c>
      <c r="Y52" s="106">
        <f t="shared" si="4"/>
        <v>179</v>
      </c>
      <c r="Z52" s="106">
        <v>2090</v>
      </c>
      <c r="AA52" s="106">
        <f t="shared" si="5"/>
        <v>0</v>
      </c>
      <c r="AB52" s="106">
        <v>2090</v>
      </c>
      <c r="AC52" s="106">
        <f t="shared" si="6"/>
        <v>0</v>
      </c>
      <c r="AD52" s="106">
        <v>2090</v>
      </c>
      <c r="AE52" s="107">
        <f t="shared" si="7"/>
        <v>2090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132.5</v>
      </c>
      <c r="T53" s="108">
        <v>265</v>
      </c>
      <c r="U53" s="108">
        <f t="shared" si="2"/>
        <v>0</v>
      </c>
      <c r="V53" s="108">
        <v>265</v>
      </c>
      <c r="W53" s="108">
        <f t="shared" si="3"/>
        <v>0</v>
      </c>
      <c r="X53" s="108">
        <v>265</v>
      </c>
      <c r="Y53" s="108">
        <f t="shared" si="4"/>
        <v>60</v>
      </c>
      <c r="Z53" s="108">
        <v>385</v>
      </c>
      <c r="AA53" s="108">
        <f t="shared" si="5"/>
        <v>0</v>
      </c>
      <c r="AB53" s="108">
        <v>385</v>
      </c>
      <c r="AC53" s="108">
        <f t="shared" si="6"/>
        <v>0</v>
      </c>
      <c r="AD53" s="108">
        <v>385</v>
      </c>
      <c r="AE53" s="109">
        <f t="shared" si="7"/>
        <v>385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1000</v>
      </c>
      <c r="S54" s="106">
        <f t="shared" si="1"/>
        <v>460</v>
      </c>
      <c r="T54" s="106">
        <v>1920</v>
      </c>
      <c r="U54" s="106">
        <f t="shared" si="2"/>
        <v>353</v>
      </c>
      <c r="V54" s="106">
        <v>2626</v>
      </c>
      <c r="W54" s="106">
        <f t="shared" si="3"/>
        <v>321.5</v>
      </c>
      <c r="X54" s="106">
        <v>3269</v>
      </c>
      <c r="Y54" s="106">
        <f t="shared" si="4"/>
        <v>238</v>
      </c>
      <c r="Z54" s="106">
        <v>3745</v>
      </c>
      <c r="AA54" s="106">
        <f t="shared" si="5"/>
        <v>5</v>
      </c>
      <c r="AB54" s="106">
        <v>3755</v>
      </c>
      <c r="AC54" s="106">
        <f t="shared" si="6"/>
        <v>0</v>
      </c>
      <c r="AD54" s="106">
        <v>3755</v>
      </c>
      <c r="AE54" s="107">
        <f t="shared" si="7"/>
        <v>3755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1200</v>
      </c>
      <c r="S55" s="108">
        <f t="shared" si="1"/>
        <v>0</v>
      </c>
      <c r="T55" s="108">
        <v>1200</v>
      </c>
      <c r="U55" s="108">
        <f t="shared" si="2"/>
        <v>600</v>
      </c>
      <c r="V55" s="108">
        <v>2400</v>
      </c>
      <c r="W55" s="108">
        <f t="shared" si="3"/>
        <v>0</v>
      </c>
      <c r="X55" s="108">
        <v>2400</v>
      </c>
      <c r="Y55" s="108">
        <f t="shared" si="4"/>
        <v>195</v>
      </c>
      <c r="Z55" s="108">
        <v>2790</v>
      </c>
      <c r="AA55" s="108">
        <f t="shared" si="5"/>
        <v>1.5</v>
      </c>
      <c r="AB55" s="108">
        <v>2793</v>
      </c>
      <c r="AC55" s="108">
        <f t="shared" si="6"/>
        <v>0</v>
      </c>
      <c r="AD55" s="108">
        <v>2793</v>
      </c>
      <c r="AE55" s="109">
        <f t="shared" si="7"/>
        <v>2793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>
        <f t="shared" si="1"/>
        <v>43.5</v>
      </c>
      <c r="T56" s="114">
        <v>87</v>
      </c>
      <c r="U56" s="114">
        <f t="shared" si="2"/>
        <v>62.5</v>
      </c>
      <c r="V56" s="114">
        <v>212</v>
      </c>
      <c r="W56" s="114">
        <f t="shared" si="3"/>
        <v>457.5</v>
      </c>
      <c r="X56" s="114">
        <v>1127</v>
      </c>
      <c r="Y56" s="114">
        <f t="shared" si="4"/>
        <v>9.5</v>
      </c>
      <c r="Z56" s="114">
        <v>1146</v>
      </c>
      <c r="AA56" s="114">
        <f t="shared" si="5"/>
        <v>0</v>
      </c>
      <c r="AB56" s="114">
        <v>1146</v>
      </c>
      <c r="AC56" s="114">
        <f t="shared" si="6"/>
        <v>0</v>
      </c>
      <c r="AD56" s="114">
        <v>1146</v>
      </c>
      <c r="AE56" s="115">
        <f t="shared" si="7"/>
        <v>1146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34</v>
      </c>
      <c r="S57" s="104">
        <f t="shared" si="1"/>
        <v>91</v>
      </c>
      <c r="T57" s="104">
        <v>216</v>
      </c>
      <c r="U57" s="104">
        <f t="shared" si="2"/>
        <v>372</v>
      </c>
      <c r="V57" s="104">
        <v>960</v>
      </c>
      <c r="W57" s="104">
        <f t="shared" si="3"/>
        <v>0</v>
      </c>
      <c r="X57" s="104">
        <v>960</v>
      </c>
      <c r="Y57" s="104">
        <f t="shared" si="4"/>
        <v>0</v>
      </c>
      <c r="Z57" s="104">
        <v>960</v>
      </c>
      <c r="AA57" s="104">
        <f t="shared" si="5"/>
        <v>0</v>
      </c>
      <c r="AB57" s="104">
        <v>960</v>
      </c>
      <c r="AC57" s="104">
        <f t="shared" si="6"/>
        <v>0</v>
      </c>
      <c r="AD57" s="104">
        <v>960</v>
      </c>
      <c r="AE57" s="105">
        <f t="shared" si="7"/>
        <v>960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755</v>
      </c>
      <c r="S58" s="106">
        <f t="shared" si="1"/>
        <v>301</v>
      </c>
      <c r="T58" s="106">
        <v>1357</v>
      </c>
      <c r="U58" s="106">
        <f t="shared" si="2"/>
        <v>456.5</v>
      </c>
      <c r="V58" s="106">
        <v>2270</v>
      </c>
      <c r="W58" s="106">
        <f t="shared" si="3"/>
        <v>30.5</v>
      </c>
      <c r="X58" s="106">
        <v>2331</v>
      </c>
      <c r="Y58" s="106">
        <f t="shared" si="4"/>
        <v>0</v>
      </c>
      <c r="Z58" s="106">
        <v>2331</v>
      </c>
      <c r="AA58" s="106">
        <f t="shared" si="5"/>
        <v>0</v>
      </c>
      <c r="AB58" s="106">
        <v>2331</v>
      </c>
      <c r="AC58" s="106">
        <f t="shared" si="6"/>
        <v>0</v>
      </c>
      <c r="AD58" s="106">
        <v>2331</v>
      </c>
      <c r="AE58" s="107">
        <f t="shared" si="7"/>
        <v>2331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726</v>
      </c>
      <c r="S59" s="108">
        <f t="shared" si="1"/>
        <v>363</v>
      </c>
      <c r="T59" s="108">
        <v>1452</v>
      </c>
      <c r="U59" s="108">
        <f t="shared" si="2"/>
        <v>243</v>
      </c>
      <c r="V59" s="108">
        <v>1938</v>
      </c>
      <c r="W59" s="108">
        <f t="shared" si="3"/>
        <v>733</v>
      </c>
      <c r="X59" s="108">
        <v>3404</v>
      </c>
      <c r="Y59" s="108">
        <f t="shared" si="4"/>
        <v>0</v>
      </c>
      <c r="Z59" s="108">
        <v>3404</v>
      </c>
      <c r="AA59" s="108">
        <f t="shared" si="5"/>
        <v>0</v>
      </c>
      <c r="AB59" s="108">
        <v>3404</v>
      </c>
      <c r="AC59" s="108">
        <f t="shared" si="6"/>
        <v>0</v>
      </c>
      <c r="AD59" s="108">
        <v>3404</v>
      </c>
      <c r="AE59" s="109">
        <f t="shared" si="7"/>
        <v>3404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1700</v>
      </c>
      <c r="S60" s="114">
        <f t="shared" si="1"/>
        <v>338.5</v>
      </c>
      <c r="T60" s="114">
        <v>2377</v>
      </c>
      <c r="U60" s="114">
        <f t="shared" si="2"/>
        <v>252</v>
      </c>
      <c r="V60" s="114">
        <v>2881</v>
      </c>
      <c r="W60" s="114">
        <f t="shared" si="3"/>
        <v>337.5</v>
      </c>
      <c r="X60" s="114">
        <v>3556</v>
      </c>
      <c r="Y60" s="114">
        <f t="shared" si="4"/>
        <v>0</v>
      </c>
      <c r="Z60" s="114">
        <v>3556</v>
      </c>
      <c r="AA60" s="114">
        <f t="shared" si="5"/>
        <v>0</v>
      </c>
      <c r="AB60" s="114">
        <v>3556</v>
      </c>
      <c r="AC60" s="114">
        <f t="shared" si="6"/>
        <v>0</v>
      </c>
      <c r="AD60" s="114">
        <v>3556</v>
      </c>
      <c r="AE60" s="115">
        <f t="shared" si="7"/>
        <v>3556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372</v>
      </c>
      <c r="S61" s="104">
        <f t="shared" si="1"/>
        <v>150</v>
      </c>
      <c r="T61" s="104">
        <v>672</v>
      </c>
      <c r="U61" s="104">
        <f t="shared" si="2"/>
        <v>682</v>
      </c>
      <c r="V61" s="104">
        <v>2036</v>
      </c>
      <c r="W61" s="104">
        <f t="shared" si="3"/>
        <v>417.5</v>
      </c>
      <c r="X61" s="104">
        <v>2871</v>
      </c>
      <c r="Y61" s="104">
        <f t="shared" si="4"/>
        <v>382.5</v>
      </c>
      <c r="Z61" s="104">
        <v>3636</v>
      </c>
      <c r="AA61" s="104">
        <f t="shared" si="5"/>
        <v>0</v>
      </c>
      <c r="AB61" s="104">
        <v>3636</v>
      </c>
      <c r="AC61" s="104">
        <f t="shared" si="6"/>
        <v>0</v>
      </c>
      <c r="AD61" s="104">
        <v>3636</v>
      </c>
      <c r="AE61" s="105">
        <f t="shared" si="7"/>
        <v>3636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63</v>
      </c>
      <c r="S62" s="106">
        <f t="shared" si="1"/>
        <v>515.5</v>
      </c>
      <c r="T62" s="106">
        <v>1094</v>
      </c>
      <c r="U62" s="106">
        <f t="shared" si="2"/>
        <v>49.5</v>
      </c>
      <c r="V62" s="106">
        <v>1193</v>
      </c>
      <c r="W62" s="106">
        <f t="shared" si="3"/>
        <v>690.5</v>
      </c>
      <c r="X62" s="106">
        <v>2574</v>
      </c>
      <c r="Y62" s="106">
        <f t="shared" si="4"/>
        <v>1</v>
      </c>
      <c r="Z62" s="106">
        <v>2576</v>
      </c>
      <c r="AA62" s="106">
        <f t="shared" si="5"/>
        <v>0</v>
      </c>
      <c r="AB62" s="106">
        <v>2576</v>
      </c>
      <c r="AC62" s="106">
        <f t="shared" si="6"/>
        <v>0</v>
      </c>
      <c r="AD62" s="106">
        <v>2576</v>
      </c>
      <c r="AE62" s="107">
        <f t="shared" si="7"/>
        <v>2576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41</v>
      </c>
      <c r="S63" s="108">
        <f t="shared" si="1"/>
        <v>408</v>
      </c>
      <c r="T63" s="108">
        <v>857</v>
      </c>
      <c r="U63" s="108">
        <f t="shared" si="2"/>
        <v>105</v>
      </c>
      <c r="V63" s="108">
        <v>1067</v>
      </c>
      <c r="W63" s="108">
        <f t="shared" si="3"/>
        <v>92</v>
      </c>
      <c r="X63" s="108">
        <v>1251</v>
      </c>
      <c r="Y63" s="108">
        <f t="shared" si="4"/>
        <v>120.5</v>
      </c>
      <c r="Z63" s="108">
        <v>1492</v>
      </c>
      <c r="AA63" s="108">
        <f t="shared" si="5"/>
        <v>0</v>
      </c>
      <c r="AB63" s="108">
        <v>1492</v>
      </c>
      <c r="AC63" s="108">
        <f t="shared" si="6"/>
        <v>0</v>
      </c>
      <c r="AD63" s="108">
        <v>1492</v>
      </c>
      <c r="AE63" s="109">
        <f t="shared" si="7"/>
        <v>1492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934</v>
      </c>
      <c r="S64" s="114">
        <f t="shared" si="1"/>
        <v>12</v>
      </c>
      <c r="T64" s="114">
        <v>958</v>
      </c>
      <c r="U64" s="114">
        <f t="shared" si="2"/>
        <v>86.5</v>
      </c>
      <c r="V64" s="114">
        <v>1131</v>
      </c>
      <c r="W64" s="114">
        <f t="shared" si="3"/>
        <v>171.5</v>
      </c>
      <c r="X64" s="114">
        <v>1474</v>
      </c>
      <c r="Y64" s="114">
        <f t="shared" si="4"/>
        <v>166</v>
      </c>
      <c r="Z64" s="114">
        <v>1806</v>
      </c>
      <c r="AA64" s="114">
        <f t="shared" si="5"/>
        <v>0</v>
      </c>
      <c r="AB64" s="114">
        <v>1806</v>
      </c>
      <c r="AC64" s="114">
        <f t="shared" si="6"/>
        <v>0</v>
      </c>
      <c r="AD64" s="114">
        <v>1806</v>
      </c>
      <c r="AE64" s="115">
        <f t="shared" si="7"/>
        <v>1806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47" priority="11" operator="lessThan">
      <formula>0</formula>
    </cfRule>
    <cfRule type="cellIs" dxfId="946" priority="12" operator="greaterThan">
      <formula>0</formula>
    </cfRule>
  </conditionalFormatting>
  <conditionalFormatting sqref="R25:AC25">
    <cfRule type="cellIs" dxfId="945" priority="9" operator="lessThan">
      <formula>0</formula>
    </cfRule>
    <cfRule type="cellIs" dxfId="944" priority="10" operator="greaterThan">
      <formula>0</formula>
    </cfRule>
  </conditionalFormatting>
  <conditionalFormatting sqref="R26 T26 V26 X26 Z26 AB26">
    <cfRule type="cellIs" dxfId="943" priority="7" operator="lessThan">
      <formula>0</formula>
    </cfRule>
    <cfRule type="cellIs" dxfId="942" priority="8" operator="greaterThan">
      <formula>0</formula>
    </cfRule>
  </conditionalFormatting>
  <conditionalFormatting sqref="AD24:AE24">
    <cfRule type="cellIs" dxfId="941" priority="5" operator="lessThan">
      <formula>0</formula>
    </cfRule>
    <cfRule type="cellIs" dxfId="940" priority="6" operator="greaterThan">
      <formula>0</formula>
    </cfRule>
  </conditionalFormatting>
  <conditionalFormatting sqref="AD25:AE25">
    <cfRule type="cellIs" dxfId="939" priority="3" operator="lessThan">
      <formula>0</formula>
    </cfRule>
    <cfRule type="cellIs" dxfId="938" priority="4" operator="greaterThan">
      <formula>0</formula>
    </cfRule>
  </conditionalFormatting>
  <conditionalFormatting sqref="AD26">
    <cfRule type="cellIs" dxfId="937" priority="1" operator="lessThan">
      <formula>0</formula>
    </cfRule>
    <cfRule type="cellIs" dxfId="93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44440</v>
      </c>
    </row>
    <row r="3" spans="2:42" ht="18.75" customHeight="1" thickBot="1" x14ac:dyDescent="0.35">
      <c r="B3" t="s">
        <v>1</v>
      </c>
      <c r="C3" s="3">
        <f>C2+1</f>
        <v>44441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19395</v>
      </c>
      <c r="G6" s="117">
        <v>9410.4091250000001</v>
      </c>
      <c r="H6" s="117">
        <v>11601.931667360001</v>
      </c>
      <c r="I6" s="19">
        <f>G6+H6</f>
        <v>21012.340792360003</v>
      </c>
      <c r="J6" s="119">
        <v>20770</v>
      </c>
      <c r="K6" s="117">
        <v>10325.501375</v>
      </c>
      <c r="L6" s="117">
        <v>12533.881355660011</v>
      </c>
      <c r="M6" s="19">
        <f>K6+L6</f>
        <v>22859.382730660011</v>
      </c>
      <c r="N6" s="85">
        <v>61</v>
      </c>
      <c r="O6" s="85">
        <v>49</v>
      </c>
      <c r="P6" s="92"/>
      <c r="Q6" s="20">
        <f>J6-P6</f>
        <v>20770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2601</v>
      </c>
      <c r="E8" s="29" t="s">
        <v>27</v>
      </c>
      <c r="F8" s="119">
        <v>935</v>
      </c>
      <c r="G8" s="117">
        <v>3464.35</v>
      </c>
      <c r="H8" s="117">
        <v>0</v>
      </c>
      <c r="I8" s="19">
        <f>G8+H8</f>
        <v>3464.35</v>
      </c>
      <c r="J8" s="119">
        <v>1242</v>
      </c>
      <c r="K8" s="117">
        <v>4496.54</v>
      </c>
      <c r="L8" s="117">
        <v>0</v>
      </c>
      <c r="M8" s="19">
        <f>K8+L8</f>
        <v>4496.54</v>
      </c>
      <c r="N8" s="87">
        <v>26</v>
      </c>
      <c r="O8" s="87">
        <v>20</v>
      </c>
      <c r="P8" s="92"/>
      <c r="Q8" s="20">
        <f>J8-P8</f>
        <v>1242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2035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4582</v>
      </c>
      <c r="E10" s="18" t="s">
        <v>31</v>
      </c>
      <c r="F10" s="119">
        <v>15306</v>
      </c>
      <c r="G10" s="117">
        <v>10656.03275</v>
      </c>
      <c r="H10" s="117">
        <v>2169.0215680000001</v>
      </c>
      <c r="I10" s="19">
        <f>G10+H10</f>
        <v>12825.054318</v>
      </c>
      <c r="J10" s="119">
        <v>19390</v>
      </c>
      <c r="K10" s="117">
        <v>13529.1315</v>
      </c>
      <c r="L10" s="117">
        <v>2198.5348631000011</v>
      </c>
      <c r="M10" s="19">
        <f>K10+L10</f>
        <v>15727.666363100001</v>
      </c>
      <c r="N10" s="88">
        <v>45</v>
      </c>
      <c r="O10" s="88">
        <v>40</v>
      </c>
      <c r="P10" s="92"/>
      <c r="Q10" s="20">
        <f>J10-P10</f>
        <v>19390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9929</v>
      </c>
      <c r="G12" s="117">
        <v>8126.6815000000006</v>
      </c>
      <c r="H12" s="117">
        <v>13761.71479898</v>
      </c>
      <c r="I12" s="19">
        <f>G12+H12</f>
        <v>21888.396298979998</v>
      </c>
      <c r="J12" s="119">
        <v>12531</v>
      </c>
      <c r="K12" s="117">
        <v>11339.043750000001</v>
      </c>
      <c r="L12" s="117">
        <v>18484.652908160009</v>
      </c>
      <c r="M12" s="19">
        <f>K12+L12</f>
        <v>29823.69665816001</v>
      </c>
      <c r="N12" s="88">
        <v>55</v>
      </c>
      <c r="O12" s="88">
        <v>52</v>
      </c>
      <c r="P12" s="92"/>
      <c r="Q12" s="20">
        <f>J12-P12</f>
        <v>12531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3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11411</v>
      </c>
      <c r="E14" s="18" t="s">
        <v>39</v>
      </c>
      <c r="F14" s="119">
        <v>28307</v>
      </c>
      <c r="G14" s="117">
        <v>17790.53125</v>
      </c>
      <c r="H14" s="117">
        <v>21833.9209672</v>
      </c>
      <c r="I14" s="19">
        <f>G14+H14</f>
        <v>39624.4522172</v>
      </c>
      <c r="J14" s="119">
        <v>28906</v>
      </c>
      <c r="K14" s="117">
        <v>18417.90625</v>
      </c>
      <c r="L14" s="117">
        <v>22505.284689920001</v>
      </c>
      <c r="M14" s="19">
        <f>K14+L14</f>
        <v>40923.190939920001</v>
      </c>
      <c r="N14" s="88">
        <v>63</v>
      </c>
      <c r="O14" s="88">
        <v>45</v>
      </c>
      <c r="P14" s="92"/>
      <c r="Q14" s="20">
        <f>J14-P14</f>
        <v>28906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13221</v>
      </c>
      <c r="E16" s="84"/>
      <c r="F16" s="31">
        <f t="shared" ref="F16:M16" si="0">SUM(F6:F15)</f>
        <v>73872</v>
      </c>
      <c r="G16" s="31">
        <f t="shared" si="0"/>
        <v>49448.004625000001</v>
      </c>
      <c r="H16" s="31">
        <f t="shared" si="0"/>
        <v>49366.58900154</v>
      </c>
      <c r="I16" s="32">
        <f t="shared" si="0"/>
        <v>98814.593626540009</v>
      </c>
      <c r="J16" s="33">
        <f t="shared" si="0"/>
        <v>82839</v>
      </c>
      <c r="K16" s="33">
        <f t="shared" si="0"/>
        <v>58108.122875000001</v>
      </c>
      <c r="L16" s="33">
        <f t="shared" si="0"/>
        <v>55722.353816840019</v>
      </c>
      <c r="M16" s="33">
        <f t="shared" si="0"/>
        <v>113830.47669184001</v>
      </c>
      <c r="N16" s="31">
        <f>SUM(N14,N12,N10,N8,N6)</f>
        <v>250</v>
      </c>
      <c r="O16" s="31">
        <f>SUM(O14,O12,O10,O8,O6)</f>
        <v>206</v>
      </c>
      <c r="P16" s="34">
        <f>SUM(P6:P15)</f>
        <v>0</v>
      </c>
      <c r="Q16" s="34">
        <f>SUM(Q6:Q15)</f>
        <v>82839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10363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2470</v>
      </c>
      <c r="L20" s="4"/>
      <c r="M20" s="4"/>
      <c r="Q20" s="51" t="s">
        <v>49</v>
      </c>
      <c r="R20" s="35">
        <v>16278</v>
      </c>
      <c r="S20" s="36">
        <v>-80548</v>
      </c>
      <c r="T20" s="35">
        <v>30089</v>
      </c>
      <c r="U20" s="36">
        <v>-66737</v>
      </c>
      <c r="V20" s="35">
        <v>47131</v>
      </c>
      <c r="W20" s="36">
        <v>-49695</v>
      </c>
      <c r="X20" s="35">
        <v>64906.16</v>
      </c>
      <c r="Y20" s="36">
        <v>-31919.84</v>
      </c>
      <c r="Z20" s="35">
        <v>70717.16</v>
      </c>
      <c r="AA20" s="36">
        <v>-26108.84</v>
      </c>
      <c r="AB20" s="35">
        <v>70824.160000000003</v>
      </c>
      <c r="AC20" s="37">
        <v>-26001.84</v>
      </c>
      <c r="AD20" s="35">
        <v>70824.160000000003</v>
      </c>
      <c r="AE20" s="37">
        <v>-26001.84</v>
      </c>
    </row>
    <row r="21" spans="2:43" ht="15" customHeight="1" thickBot="1" x14ac:dyDescent="0.35">
      <c r="B21" s="57" t="s">
        <v>52</v>
      </c>
      <c r="C21" s="58">
        <v>4836</v>
      </c>
      <c r="M21" s="4"/>
      <c r="Q21" s="52"/>
      <c r="R21" s="40">
        <v>25</v>
      </c>
      <c r="S21" s="41"/>
      <c r="T21" s="40">
        <v>385</v>
      </c>
      <c r="U21" s="41"/>
      <c r="V21" s="40">
        <v>1139</v>
      </c>
      <c r="W21" s="41"/>
      <c r="X21" s="40">
        <v>1792</v>
      </c>
      <c r="Y21" s="41"/>
      <c r="Z21" s="40">
        <v>1823</v>
      </c>
      <c r="AA21" s="41"/>
      <c r="AB21" s="40">
        <v>1929</v>
      </c>
      <c r="AC21" s="42"/>
      <c r="AD21" s="40">
        <v>1929</v>
      </c>
      <c r="AE21" s="42"/>
    </row>
    <row r="22" spans="2:43" ht="15" customHeight="1" thickBot="1" x14ac:dyDescent="0.35">
      <c r="M22" s="4"/>
      <c r="Q22" s="54"/>
      <c r="R22" s="47">
        <v>8139</v>
      </c>
      <c r="S22" s="46"/>
      <c r="T22" s="47">
        <v>6905.5</v>
      </c>
      <c r="U22" s="46"/>
      <c r="V22" s="47">
        <v>8521</v>
      </c>
      <c r="W22" s="46"/>
      <c r="X22" s="47">
        <v>8887.5800000000017</v>
      </c>
      <c r="Y22" s="46"/>
      <c r="Z22" s="47">
        <v>2905.5</v>
      </c>
      <c r="AA22" s="46"/>
      <c r="AB22" s="47">
        <v>53.5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-25</v>
      </c>
      <c r="S25" s="64"/>
      <c r="T25" s="63">
        <f>IF(T17&gt;=0,T17-T21,"")</f>
        <v>-385</v>
      </c>
      <c r="U25" s="64"/>
      <c r="V25" s="63">
        <f>IF(V17&gt;=0,V17-V21,"")</f>
        <v>-1139</v>
      </c>
      <c r="W25" s="64"/>
      <c r="X25" s="63">
        <f>IF(X17&gt;=0,X17-X21,"")</f>
        <v>-1792</v>
      </c>
      <c r="Y25" s="64"/>
      <c r="Z25" s="63">
        <f>IF(Z17&gt;=0,Z17-Z21,"")</f>
        <v>-1823</v>
      </c>
      <c r="AA25" s="64"/>
      <c r="AB25" s="63">
        <f>IF(AB17&gt;=0,AB17-AB21,"")</f>
        <v>-1929</v>
      </c>
      <c r="AC25" s="65"/>
      <c r="AD25" s="63">
        <f>IF(AD17&gt;=0,AD17-AD21,"")</f>
        <v>-1929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11010</v>
      </c>
      <c r="D29" s="76">
        <f>C14</f>
        <v>11411</v>
      </c>
      <c r="E29" s="77">
        <f>D29-C29</f>
        <v>401</v>
      </c>
      <c r="O29" s="4"/>
    </row>
    <row r="30" spans="2:43" x14ac:dyDescent="0.3">
      <c r="B30" s="74" t="s">
        <v>56</v>
      </c>
      <c r="C30" s="122">
        <v>25181</v>
      </c>
      <c r="D30" s="76">
        <f>C7+C15+C16+C17+C18</f>
        <v>13221</v>
      </c>
      <c r="E30" s="77">
        <f>D30-C30</f>
        <v>-11960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4582</v>
      </c>
      <c r="D32" s="76">
        <f>C10+C11+C12+C13</f>
        <v>4582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16454</v>
      </c>
      <c r="D33" s="76">
        <f>C19+C20+C21</f>
        <v>17669</v>
      </c>
      <c r="E33" s="77">
        <f>D33-C33</f>
        <v>1215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4379</v>
      </c>
      <c r="D34" s="80">
        <f>SUM(C8+C9)</f>
        <v>4636</v>
      </c>
      <c r="E34" s="81">
        <f>C34-D34</f>
        <v>-257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35" priority="11" operator="lessThan">
      <formula>0</formula>
    </cfRule>
    <cfRule type="cellIs" dxfId="934" priority="12" operator="greaterThan">
      <formula>0</formula>
    </cfRule>
  </conditionalFormatting>
  <conditionalFormatting sqref="R25:AC25">
    <cfRule type="cellIs" dxfId="933" priority="9" operator="lessThan">
      <formula>0</formula>
    </cfRule>
    <cfRule type="cellIs" dxfId="932" priority="10" operator="greaterThan">
      <formula>0</formula>
    </cfRule>
  </conditionalFormatting>
  <conditionalFormatting sqref="R26 T26 V26 X26 Z26 AB26">
    <cfRule type="cellIs" dxfId="931" priority="7" operator="lessThan">
      <formula>0</formula>
    </cfRule>
    <cfRule type="cellIs" dxfId="930" priority="8" operator="greaterThan">
      <formula>0</formula>
    </cfRule>
  </conditionalFormatting>
  <conditionalFormatting sqref="AD24:AE24">
    <cfRule type="cellIs" dxfId="929" priority="5" operator="lessThan">
      <formula>0</formula>
    </cfRule>
    <cfRule type="cellIs" dxfId="928" priority="6" operator="greaterThan">
      <formula>0</formula>
    </cfRule>
  </conditionalFormatting>
  <conditionalFormatting sqref="AD25:AE25">
    <cfRule type="cellIs" dxfId="927" priority="3" operator="lessThan">
      <formula>0</formula>
    </cfRule>
    <cfRule type="cellIs" dxfId="926" priority="4" operator="greaterThan">
      <formula>0</formula>
    </cfRule>
  </conditionalFormatting>
  <conditionalFormatting sqref="AD26">
    <cfRule type="cellIs" dxfId="925" priority="1" operator="lessThan">
      <formula>0</formula>
    </cfRule>
    <cfRule type="cellIs" dxfId="92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hidden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44441</v>
      </c>
    </row>
    <row r="3" spans="2:42" ht="18.75" customHeight="1" thickBot="1" x14ac:dyDescent="0.35">
      <c r="B3" t="s">
        <v>1</v>
      </c>
      <c r="C3" s="3">
        <f>C2+1</f>
        <v>44442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4946</v>
      </c>
      <c r="E6" s="18" t="s">
        <v>22</v>
      </c>
      <c r="F6" s="119">
        <v>20147</v>
      </c>
      <c r="G6" s="117">
        <v>10010.666999999999</v>
      </c>
      <c r="H6" s="117">
        <v>13760.799476339989</v>
      </c>
      <c r="I6" s="19">
        <f>G6+H6</f>
        <v>23771.466476339989</v>
      </c>
      <c r="J6" s="119">
        <v>21655</v>
      </c>
      <c r="K6" s="117">
        <v>11171.66</v>
      </c>
      <c r="L6" s="117">
        <v>13130.46000784</v>
      </c>
      <c r="M6" s="19">
        <f>K6+L6</f>
        <v>24302.12000784</v>
      </c>
      <c r="N6" s="85">
        <v>76</v>
      </c>
      <c r="O6" s="85">
        <v>59</v>
      </c>
      <c r="P6" s="92"/>
      <c r="Q6" s="20">
        <f>J6-P6</f>
        <v>21655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2424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2159</v>
      </c>
      <c r="E8" s="29" t="s">
        <v>27</v>
      </c>
      <c r="F8" s="119">
        <v>1018</v>
      </c>
      <c r="G8" s="117">
        <v>3890.73</v>
      </c>
      <c r="H8" s="117">
        <v>0</v>
      </c>
      <c r="I8" s="19">
        <f>G8+H8</f>
        <v>3890.73</v>
      </c>
      <c r="J8" s="119">
        <v>1229</v>
      </c>
      <c r="K8" s="117">
        <v>4813.3549999999996</v>
      </c>
      <c r="L8" s="117">
        <v>2046.728519999999</v>
      </c>
      <c r="M8" s="19">
        <f>K8+L8</f>
        <v>6860.0835199999983</v>
      </c>
      <c r="N8" s="87">
        <v>13</v>
      </c>
      <c r="O8" s="87">
        <v>7</v>
      </c>
      <c r="P8" s="92"/>
      <c r="Q8" s="20">
        <f>J8-P8</f>
        <v>1229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1617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4621</v>
      </c>
      <c r="E10" s="18" t="s">
        <v>31</v>
      </c>
      <c r="F10" s="119">
        <v>25787</v>
      </c>
      <c r="G10" s="117">
        <v>19029.072124999999</v>
      </c>
      <c r="H10" s="117">
        <v>2071.3479124999999</v>
      </c>
      <c r="I10" s="19">
        <f>G10+H10</f>
        <v>21100.4200375</v>
      </c>
      <c r="J10" s="119">
        <v>26450</v>
      </c>
      <c r="K10" s="117">
        <v>19648.885125000001</v>
      </c>
      <c r="L10" s="117">
        <v>2234.110051600001</v>
      </c>
      <c r="M10" s="19">
        <f>K10+L10</f>
        <v>21882.995176600001</v>
      </c>
      <c r="N10" s="88">
        <v>47</v>
      </c>
      <c r="O10" s="88">
        <v>45</v>
      </c>
      <c r="P10" s="92"/>
      <c r="Q10" s="20">
        <f>J10-P10</f>
        <v>26450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14596</v>
      </c>
      <c r="G12" s="117">
        <v>12060.133750000001</v>
      </c>
      <c r="H12" s="117">
        <v>17607.44688019</v>
      </c>
      <c r="I12" s="19">
        <f>G12+H12</f>
        <v>29667.580630190001</v>
      </c>
      <c r="J12" s="119">
        <v>15814</v>
      </c>
      <c r="K12" s="117">
        <v>13693.52075</v>
      </c>
      <c r="L12" s="117">
        <v>18997.564844650002</v>
      </c>
      <c r="M12" s="19">
        <f>K12+L12</f>
        <v>32691.085594650001</v>
      </c>
      <c r="N12" s="88">
        <v>51</v>
      </c>
      <c r="O12" s="88">
        <v>45</v>
      </c>
      <c r="P12" s="92"/>
      <c r="Q12" s="20">
        <f>J12-P12</f>
        <v>15814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12995</v>
      </c>
      <c r="E14" s="18" t="s">
        <v>39</v>
      </c>
      <c r="F14" s="119">
        <v>26541</v>
      </c>
      <c r="G14" s="117">
        <v>17144.84375</v>
      </c>
      <c r="H14" s="117">
        <v>21632.666640309992</v>
      </c>
      <c r="I14" s="19">
        <f>G14+H14</f>
        <v>38777.510390309995</v>
      </c>
      <c r="J14" s="119">
        <v>26639</v>
      </c>
      <c r="K14" s="117">
        <v>17293.4375</v>
      </c>
      <c r="L14" s="117">
        <v>21707.865324189999</v>
      </c>
      <c r="M14" s="19">
        <f>K14+L14</f>
        <v>39001.302824190003</v>
      </c>
      <c r="N14" s="88">
        <v>59</v>
      </c>
      <c r="O14" s="88">
        <v>46</v>
      </c>
      <c r="P14" s="92"/>
      <c r="Q14" s="20">
        <f>J14-P14</f>
        <v>26639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2783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16630</v>
      </c>
      <c r="E16" s="84"/>
      <c r="F16" s="31">
        <f t="shared" ref="F16:M16" si="0">SUM(F6:F15)</f>
        <v>88089</v>
      </c>
      <c r="G16" s="31">
        <f t="shared" si="0"/>
        <v>62135.446624999997</v>
      </c>
      <c r="H16" s="31">
        <f t="shared" si="0"/>
        <v>55072.260909339981</v>
      </c>
      <c r="I16" s="32">
        <f t="shared" si="0"/>
        <v>117207.70753433998</v>
      </c>
      <c r="J16" s="33">
        <f t="shared" si="0"/>
        <v>91787</v>
      </c>
      <c r="K16" s="33">
        <f t="shared" si="0"/>
        <v>66620.858374999996</v>
      </c>
      <c r="L16" s="33">
        <f t="shared" si="0"/>
        <v>58116.728748280002</v>
      </c>
      <c r="M16" s="33">
        <f t="shared" si="0"/>
        <v>124737.58712328001</v>
      </c>
      <c r="N16" s="31">
        <f>SUM(N14,N12,N10,N8,N6)</f>
        <v>246</v>
      </c>
      <c r="O16" s="31">
        <f>SUM(O14,O12,O10,O8,O6)</f>
        <v>202</v>
      </c>
      <c r="P16" s="34">
        <f>SUM(P6:P15)</f>
        <v>0</v>
      </c>
      <c r="Q16" s="34">
        <f>SUM(Q6:Q15)</f>
        <v>91787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1797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520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8138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3207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4608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11852</v>
      </c>
      <c r="D29" s="76">
        <f>C14</f>
        <v>12995</v>
      </c>
      <c r="E29" s="77">
        <f>D29-C29</f>
        <v>1143</v>
      </c>
      <c r="O29" s="4"/>
    </row>
    <row r="30" spans="2:43" x14ac:dyDescent="0.3">
      <c r="B30" s="74" t="s">
        <v>56</v>
      </c>
      <c r="C30" s="122">
        <v>35297</v>
      </c>
      <c r="D30" s="76">
        <f>C7+C15+C16+C17+C18</f>
        <v>24154</v>
      </c>
      <c r="E30" s="77">
        <f>D30-C30</f>
        <v>-11143</v>
      </c>
      <c r="J30" s="53"/>
      <c r="O30" s="4"/>
    </row>
    <row r="31" spans="2:43" x14ac:dyDescent="0.3">
      <c r="B31" s="74" t="s">
        <v>21</v>
      </c>
      <c r="C31" s="122">
        <v>4946</v>
      </c>
      <c r="D31" s="76">
        <f>C6</f>
        <v>4946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4621</v>
      </c>
      <c r="D32" s="76">
        <f>C10+C11+C12+C13</f>
        <v>4621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15447</v>
      </c>
      <c r="D33" s="76">
        <f>C19+C20+C21</f>
        <v>15953</v>
      </c>
      <c r="E33" s="77">
        <f>D33-C33</f>
        <v>506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3776</v>
      </c>
      <c r="D34" s="80">
        <f>SUM(C8+C9)</f>
        <v>3776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23" priority="11" operator="lessThan">
      <formula>0</formula>
    </cfRule>
    <cfRule type="cellIs" dxfId="922" priority="12" operator="greaterThan">
      <formula>0</formula>
    </cfRule>
  </conditionalFormatting>
  <conditionalFormatting sqref="R25:AC25">
    <cfRule type="cellIs" dxfId="921" priority="9" operator="lessThan">
      <formula>0</formula>
    </cfRule>
    <cfRule type="cellIs" dxfId="920" priority="10" operator="greaterThan">
      <formula>0</formula>
    </cfRule>
  </conditionalFormatting>
  <conditionalFormatting sqref="R26 T26 V26 X26 Z26 AB26">
    <cfRule type="cellIs" dxfId="919" priority="7" operator="lessThan">
      <formula>0</formula>
    </cfRule>
    <cfRule type="cellIs" dxfId="918" priority="8" operator="greaterThan">
      <formula>0</formula>
    </cfRule>
  </conditionalFormatting>
  <conditionalFormatting sqref="AD24:AE24">
    <cfRule type="cellIs" dxfId="917" priority="5" operator="lessThan">
      <formula>0</formula>
    </cfRule>
    <cfRule type="cellIs" dxfId="916" priority="6" operator="greaterThan">
      <formula>0</formula>
    </cfRule>
  </conditionalFormatting>
  <conditionalFormatting sqref="AD25:AE25">
    <cfRule type="cellIs" dxfId="915" priority="3" operator="lessThan">
      <formula>0</formula>
    </cfRule>
    <cfRule type="cellIs" dxfId="914" priority="4" operator="greaterThan">
      <formula>0</formula>
    </cfRule>
  </conditionalFormatting>
  <conditionalFormatting sqref="AD26">
    <cfRule type="cellIs" dxfId="913" priority="1" operator="lessThan">
      <formula>0</formula>
    </cfRule>
    <cfRule type="cellIs" dxfId="912" priority="2" operator="greaterThan">
      <formula>0</formula>
    </cfRule>
  </conditionalFormatting>
  <printOptions horizontalCentered="1"/>
  <pageMargins left="0.7" right="0.7" top="0.75" bottom="0.75" header="0.3" footer="0.3"/>
  <pageSetup scale="33" orientation="landscape"/>
  <rowBreaks count="1" manualBreakCount="1">
    <brk id="1" min="1" max="30" man="1"/>
  </rowBreaks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44442</v>
      </c>
    </row>
    <row r="3" spans="2:42" ht="18.75" customHeight="1" thickBot="1" x14ac:dyDescent="0.35">
      <c r="B3" t="s">
        <v>1</v>
      </c>
      <c r="C3" s="3">
        <f>C2+1</f>
        <v>44443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17586</v>
      </c>
      <c r="G6" s="117">
        <v>8928.248625000002</v>
      </c>
      <c r="H6" s="117">
        <v>10128.537400560001</v>
      </c>
      <c r="I6" s="19">
        <f>G6+H6</f>
        <v>19056.786025560003</v>
      </c>
      <c r="J6" s="119">
        <v>18547</v>
      </c>
      <c r="K6" s="117">
        <v>9724.9298750000016</v>
      </c>
      <c r="L6" s="117">
        <v>10730.975160759999</v>
      </c>
      <c r="M6" s="19">
        <f>K6+L6</f>
        <v>20455.905035759999</v>
      </c>
      <c r="N6" s="85">
        <v>74</v>
      </c>
      <c r="O6" s="85">
        <v>55</v>
      </c>
      <c r="P6" s="92"/>
      <c r="Q6" s="20">
        <f>J6-P6</f>
        <v>18547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628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2551</v>
      </c>
      <c r="E8" s="29" t="s">
        <v>27</v>
      </c>
      <c r="F8" s="119">
        <v>993</v>
      </c>
      <c r="G8" s="117">
        <v>3712.0749999999998</v>
      </c>
      <c r="H8" s="117">
        <v>1591.1894049999989</v>
      </c>
      <c r="I8" s="19">
        <f>G8+H8</f>
        <v>5303.264404999999</v>
      </c>
      <c r="J8" s="119">
        <v>1181</v>
      </c>
      <c r="K8" s="117">
        <v>4772.8599999999997</v>
      </c>
      <c r="L8" s="117">
        <v>2204.2632074999992</v>
      </c>
      <c r="M8" s="19">
        <f>K8+L8</f>
        <v>6977.1232074999989</v>
      </c>
      <c r="N8" s="87">
        <v>14</v>
      </c>
      <c r="O8" s="87">
        <v>3</v>
      </c>
      <c r="P8" s="92"/>
      <c r="Q8" s="20">
        <f>J8-P8</f>
        <v>1181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1512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2296</v>
      </c>
      <c r="E10" s="18" t="s">
        <v>31</v>
      </c>
      <c r="F10" s="119">
        <v>13952</v>
      </c>
      <c r="G10" s="117">
        <v>10292.55859375</v>
      </c>
      <c r="H10" s="117">
        <v>1754.10743</v>
      </c>
      <c r="I10" s="19">
        <f>G10+H10</f>
        <v>12046.66602375</v>
      </c>
      <c r="J10" s="119">
        <v>14677</v>
      </c>
      <c r="K10" s="117">
        <v>10793.95859375</v>
      </c>
      <c r="L10" s="117">
        <v>1920.7154995000001</v>
      </c>
      <c r="M10" s="19">
        <f>K10+L10</f>
        <v>12714.67409325</v>
      </c>
      <c r="N10" s="88">
        <v>45</v>
      </c>
      <c r="O10" s="88">
        <v>41</v>
      </c>
      <c r="P10" s="92"/>
      <c r="Q10" s="20">
        <f>J10-P10</f>
        <v>14677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10779</v>
      </c>
      <c r="G12" s="117">
        <v>9669.1822499999998</v>
      </c>
      <c r="H12" s="117">
        <v>15095.73439901</v>
      </c>
      <c r="I12" s="19">
        <f>G12+H12</f>
        <v>24764.91664901</v>
      </c>
      <c r="J12" s="119">
        <v>12242</v>
      </c>
      <c r="K12" s="117">
        <v>11902.400750000001</v>
      </c>
      <c r="L12" s="117">
        <v>17439.868684969999</v>
      </c>
      <c r="M12" s="19">
        <f>K12+L12</f>
        <v>29342.26943497</v>
      </c>
      <c r="N12" s="88">
        <v>51</v>
      </c>
      <c r="O12" s="88">
        <v>45</v>
      </c>
      <c r="P12" s="92"/>
      <c r="Q12" s="20">
        <f>J12-P12</f>
        <v>12242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11461</v>
      </c>
      <c r="E14" s="18" t="s">
        <v>39</v>
      </c>
      <c r="F14" s="119">
        <v>20560</v>
      </c>
      <c r="G14" s="117">
        <v>18671.875</v>
      </c>
      <c r="H14" s="117">
        <v>21238.577556184999</v>
      </c>
      <c r="I14" s="19">
        <f>G14+H14</f>
        <v>39910.452556185002</v>
      </c>
      <c r="J14" s="119">
        <v>20814</v>
      </c>
      <c r="K14" s="117">
        <v>18994.34375</v>
      </c>
      <c r="L14" s="117">
        <v>21486.545734215</v>
      </c>
      <c r="M14" s="19">
        <f>K14+L14</f>
        <v>40480.889484215004</v>
      </c>
      <c r="N14" s="88">
        <v>59</v>
      </c>
      <c r="O14" s="88">
        <v>52</v>
      </c>
      <c r="P14" s="92"/>
      <c r="Q14" s="20">
        <f>J14-P14</f>
        <v>20814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13724</v>
      </c>
      <c r="E16" s="84"/>
      <c r="F16" s="31">
        <f t="shared" ref="F16:M16" si="0">SUM(F6:F15)</f>
        <v>63870</v>
      </c>
      <c r="G16" s="31">
        <f t="shared" si="0"/>
        <v>51273.939468750003</v>
      </c>
      <c r="H16" s="31">
        <f t="shared" si="0"/>
        <v>49808.146190754996</v>
      </c>
      <c r="I16" s="32">
        <f t="shared" si="0"/>
        <v>101082.085659505</v>
      </c>
      <c r="J16" s="33">
        <f t="shared" si="0"/>
        <v>67461</v>
      </c>
      <c r="K16" s="33">
        <f t="shared" si="0"/>
        <v>56188.492968750004</v>
      </c>
      <c r="L16" s="33">
        <f t="shared" si="0"/>
        <v>53782.368286944999</v>
      </c>
      <c r="M16" s="33">
        <f t="shared" si="0"/>
        <v>109970.86125569501</v>
      </c>
      <c r="N16" s="31">
        <f>SUM(N14,N12,N10,N8,N6)</f>
        <v>243</v>
      </c>
      <c r="O16" s="31">
        <f>SUM(O14,O12,O10,O8,O6)</f>
        <v>196</v>
      </c>
      <c r="P16" s="34">
        <f>SUM(P6:P15)</f>
        <v>0</v>
      </c>
      <c r="Q16" s="34">
        <f>SUM(Q6:Q15)</f>
        <v>67461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8142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803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4230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11408</v>
      </c>
      <c r="D29" s="76">
        <f>C14</f>
        <v>11461</v>
      </c>
      <c r="E29" s="77">
        <f>D29-C29</f>
        <v>53</v>
      </c>
      <c r="O29" s="4"/>
    </row>
    <row r="30" spans="2:43" x14ac:dyDescent="0.3">
      <c r="B30" s="74" t="s">
        <v>56</v>
      </c>
      <c r="C30" s="122">
        <v>27602</v>
      </c>
      <c r="D30" s="76">
        <f>C7+C15+C16+C17+C18</f>
        <v>14352</v>
      </c>
      <c r="E30" s="77">
        <f>D30-C30</f>
        <v>-13250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2296</v>
      </c>
      <c r="D32" s="76">
        <f>C10+C11+C12+C13</f>
        <v>2296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12165</v>
      </c>
      <c r="D33" s="76">
        <f>C19+C20+C21</f>
        <v>13175</v>
      </c>
      <c r="E33" s="77">
        <f>D33-C33</f>
        <v>1010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4063</v>
      </c>
      <c r="D34" s="80">
        <f>SUM(C8+C9)</f>
        <v>4063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11" priority="11" operator="lessThan">
      <formula>0</formula>
    </cfRule>
    <cfRule type="cellIs" dxfId="910" priority="12" operator="greaterThan">
      <formula>0</formula>
    </cfRule>
  </conditionalFormatting>
  <conditionalFormatting sqref="R25:AC25">
    <cfRule type="cellIs" dxfId="909" priority="9" operator="lessThan">
      <formula>0</formula>
    </cfRule>
    <cfRule type="cellIs" dxfId="908" priority="10" operator="greaterThan">
      <formula>0</formula>
    </cfRule>
  </conditionalFormatting>
  <conditionalFormatting sqref="R26 T26 V26 X26 Z26 AB26">
    <cfRule type="cellIs" dxfId="907" priority="7" operator="lessThan">
      <formula>0</formula>
    </cfRule>
    <cfRule type="cellIs" dxfId="906" priority="8" operator="greaterThan">
      <formula>0</formula>
    </cfRule>
  </conditionalFormatting>
  <conditionalFormatting sqref="AD24:AE24">
    <cfRule type="cellIs" dxfId="905" priority="5" operator="lessThan">
      <formula>0</formula>
    </cfRule>
    <cfRule type="cellIs" dxfId="904" priority="6" operator="greaterThan">
      <formula>0</formula>
    </cfRule>
  </conditionalFormatting>
  <conditionalFormatting sqref="AD25:AE25">
    <cfRule type="cellIs" dxfId="903" priority="3" operator="lessThan">
      <formula>0</formula>
    </cfRule>
    <cfRule type="cellIs" dxfId="902" priority="4" operator="greaterThan">
      <formula>0</formula>
    </cfRule>
  </conditionalFormatting>
  <conditionalFormatting sqref="AD26">
    <cfRule type="cellIs" dxfId="901" priority="1" operator="lessThan">
      <formula>0</formula>
    </cfRule>
    <cfRule type="cellIs" dxfId="90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44443</v>
      </c>
    </row>
    <row r="3" spans="2:42" ht="18.75" customHeight="1" thickBot="1" x14ac:dyDescent="0.35">
      <c r="B3" t="s">
        <v>1</v>
      </c>
      <c r="C3" s="3">
        <f>C2+1</f>
        <v>44444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16995</v>
      </c>
      <c r="G6" s="117">
        <v>8209.4508749999986</v>
      </c>
      <c r="H6" s="117">
        <v>8287.1089754199966</v>
      </c>
      <c r="I6" s="19">
        <f>G6+H6</f>
        <v>16496.559850419995</v>
      </c>
      <c r="J6" s="119">
        <v>18059</v>
      </c>
      <c r="K6" s="117">
        <v>9061.4336249999997</v>
      </c>
      <c r="L6" s="117">
        <v>9499.2885071600031</v>
      </c>
      <c r="M6" s="19">
        <f>K6+L6</f>
        <v>18560.722132160001</v>
      </c>
      <c r="N6" s="85">
        <v>95</v>
      </c>
      <c r="O6" s="85">
        <v>79</v>
      </c>
      <c r="P6" s="92"/>
      <c r="Q6" s="20">
        <f>J6-P6</f>
        <v>18059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2364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2650</v>
      </c>
      <c r="E8" s="29" t="s">
        <v>27</v>
      </c>
      <c r="F8" s="119">
        <v>748</v>
      </c>
      <c r="G8" s="117">
        <v>2947.2849999999989</v>
      </c>
      <c r="H8" s="117">
        <v>1323.710797500001</v>
      </c>
      <c r="I8" s="19">
        <f>G8+H8</f>
        <v>4270.9957974999998</v>
      </c>
      <c r="J8" s="119">
        <v>905</v>
      </c>
      <c r="K8" s="117">
        <v>3763.585</v>
      </c>
      <c r="L8" s="117">
        <v>1707.554245</v>
      </c>
      <c r="M8" s="19">
        <f>K8+L8</f>
        <v>5471.1392450000003</v>
      </c>
      <c r="N8" s="87">
        <v>15</v>
      </c>
      <c r="O8" s="87">
        <v>6</v>
      </c>
      <c r="P8" s="92"/>
      <c r="Q8" s="20">
        <f>J8-P8</f>
        <v>905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1197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2272</v>
      </c>
      <c r="E10" s="18" t="s">
        <v>31</v>
      </c>
      <c r="F10" s="119">
        <v>23201</v>
      </c>
      <c r="G10" s="117">
        <v>17582.5523125</v>
      </c>
      <c r="H10" s="117">
        <v>1808.5659324999999</v>
      </c>
      <c r="I10" s="19">
        <f>G10+H10</f>
        <v>19391.118245000001</v>
      </c>
      <c r="J10" s="119">
        <v>25228</v>
      </c>
      <c r="K10" s="117">
        <v>19407.584812500001</v>
      </c>
      <c r="L10" s="117">
        <v>1928.3094521999999</v>
      </c>
      <c r="M10" s="19">
        <f>K10+L10</f>
        <v>21335.8942647</v>
      </c>
      <c r="N10" s="88">
        <v>60</v>
      </c>
      <c r="O10" s="88">
        <v>51</v>
      </c>
      <c r="P10" s="92"/>
      <c r="Q10" s="20">
        <f>J10-P10</f>
        <v>25228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11044</v>
      </c>
      <c r="G12" s="117">
        <v>9602.5992500000011</v>
      </c>
      <c r="H12" s="117">
        <v>16796.732099429999</v>
      </c>
      <c r="I12" s="19">
        <f>G12+H12</f>
        <v>26399.331349430002</v>
      </c>
      <c r="J12" s="119">
        <v>13288</v>
      </c>
      <c r="K12" s="117">
        <v>12739.446749999999</v>
      </c>
      <c r="L12" s="117">
        <v>19461.25159991</v>
      </c>
      <c r="M12" s="19">
        <f>K12+L12</f>
        <v>32200.698349909999</v>
      </c>
      <c r="N12" s="88">
        <v>60</v>
      </c>
      <c r="O12" s="88">
        <v>52</v>
      </c>
      <c r="P12" s="92"/>
      <c r="Q12" s="20">
        <f>J12-P12</f>
        <v>13288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8847</v>
      </c>
      <c r="E14" s="18" t="s">
        <v>39</v>
      </c>
      <c r="F14" s="119">
        <v>20309</v>
      </c>
      <c r="G14" s="117">
        <v>18055.5</v>
      </c>
      <c r="H14" s="117">
        <v>20561.829305690011</v>
      </c>
      <c r="I14" s="19">
        <f>G14+H14</f>
        <v>38617.329305690015</v>
      </c>
      <c r="J14" s="119">
        <v>20306</v>
      </c>
      <c r="K14" s="117">
        <v>18047.5</v>
      </c>
      <c r="L14" s="117">
        <v>20441.934505689998</v>
      </c>
      <c r="M14" s="19">
        <f>K14+L14</f>
        <v>38489.434505689998</v>
      </c>
      <c r="N14" s="88">
        <v>71</v>
      </c>
      <c r="O14" s="88">
        <v>60</v>
      </c>
      <c r="P14" s="92"/>
      <c r="Q14" s="20">
        <f>J14-P14</f>
        <v>20306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2931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16765</v>
      </c>
      <c r="E16" s="84"/>
      <c r="F16" s="31">
        <f t="shared" ref="F16:M16" si="0">SUM(F6:F15)</f>
        <v>72297</v>
      </c>
      <c r="G16" s="31">
        <f t="shared" si="0"/>
        <v>56397.387437500001</v>
      </c>
      <c r="H16" s="31">
        <f t="shared" si="0"/>
        <v>48777.947110540008</v>
      </c>
      <c r="I16" s="32">
        <f t="shared" si="0"/>
        <v>105175.33454804</v>
      </c>
      <c r="J16" s="33">
        <f t="shared" si="0"/>
        <v>77786</v>
      </c>
      <c r="K16" s="33">
        <f t="shared" si="0"/>
        <v>63019.550187500005</v>
      </c>
      <c r="L16" s="33">
        <f t="shared" si="0"/>
        <v>53038.338309960003</v>
      </c>
      <c r="M16" s="33">
        <f t="shared" si="0"/>
        <v>116057.88849745999</v>
      </c>
      <c r="N16" s="31">
        <f>SUM(N14,N12,N10,N8,N6)</f>
        <v>301</v>
      </c>
      <c r="O16" s="31">
        <f>SUM(O14,O12,O10,O8,O6)</f>
        <v>248</v>
      </c>
      <c r="P16" s="34">
        <f>SUM(P6:P15)</f>
        <v>0</v>
      </c>
      <c r="Q16" s="34">
        <f>SUM(Q6:Q15)</f>
        <v>77786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2538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532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8693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2357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4538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7962</v>
      </c>
      <c r="D29" s="76">
        <f>C14</f>
        <v>8847</v>
      </c>
      <c r="E29" s="77">
        <f>D29-C29</f>
        <v>885</v>
      </c>
      <c r="O29" s="4"/>
    </row>
    <row r="30" spans="2:43" x14ac:dyDescent="0.3">
      <c r="B30" s="74" t="s">
        <v>56</v>
      </c>
      <c r="C30" s="122">
        <v>35794</v>
      </c>
      <c r="D30" s="76">
        <f>C7+C15+C16+C17+C18</f>
        <v>25130</v>
      </c>
      <c r="E30" s="77">
        <f>D30-C30</f>
        <v>-10664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2272</v>
      </c>
      <c r="D32" s="76">
        <f>C10+C11+C12+C13</f>
        <v>2272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16020</v>
      </c>
      <c r="D33" s="76">
        <f>C19+C20+C21</f>
        <v>15588</v>
      </c>
      <c r="E33" s="77">
        <f>D33-C33</f>
        <v>-432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3847</v>
      </c>
      <c r="D34" s="80">
        <f>SUM(C8+C9)</f>
        <v>3847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99" priority="11" operator="lessThan">
      <formula>0</formula>
    </cfRule>
    <cfRule type="cellIs" dxfId="898" priority="12" operator="greaterThan">
      <formula>0</formula>
    </cfRule>
  </conditionalFormatting>
  <conditionalFormatting sqref="R25:AC25">
    <cfRule type="cellIs" dxfId="897" priority="9" operator="lessThan">
      <formula>0</formula>
    </cfRule>
    <cfRule type="cellIs" dxfId="896" priority="10" operator="greaterThan">
      <formula>0</formula>
    </cfRule>
  </conditionalFormatting>
  <conditionalFormatting sqref="R26 T26 V26 X26 Z26 AB26">
    <cfRule type="cellIs" dxfId="895" priority="7" operator="lessThan">
      <formula>0</formula>
    </cfRule>
    <cfRule type="cellIs" dxfId="894" priority="8" operator="greaterThan">
      <formula>0</formula>
    </cfRule>
  </conditionalFormatting>
  <conditionalFormatting sqref="AD24:AE24">
    <cfRule type="cellIs" dxfId="893" priority="5" operator="lessThan">
      <formula>0</formula>
    </cfRule>
    <cfRule type="cellIs" dxfId="892" priority="6" operator="greaterThan">
      <formula>0</formula>
    </cfRule>
  </conditionalFormatting>
  <conditionalFormatting sqref="AD25:AE25">
    <cfRule type="cellIs" dxfId="891" priority="3" operator="lessThan">
      <formula>0</formula>
    </cfRule>
    <cfRule type="cellIs" dxfId="890" priority="4" operator="greaterThan">
      <formula>0</formula>
    </cfRule>
  </conditionalFormatting>
  <conditionalFormatting sqref="AD26">
    <cfRule type="cellIs" dxfId="889" priority="1" operator="lessThan">
      <formula>0</formula>
    </cfRule>
    <cfRule type="cellIs" dxfId="88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44444</v>
      </c>
    </row>
    <row r="3" spans="2:42" ht="18.75" customHeight="1" thickBot="1" x14ac:dyDescent="0.35">
      <c r="B3" t="s">
        <v>1</v>
      </c>
      <c r="C3" s="3">
        <f>C2+1</f>
        <v>44445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2820</v>
      </c>
      <c r="E6" s="18" t="s">
        <v>22</v>
      </c>
      <c r="F6" s="119">
        <v>18001</v>
      </c>
      <c r="G6" s="117">
        <v>8971.3174999999992</v>
      </c>
      <c r="H6" s="117">
        <v>10185.932691739999</v>
      </c>
      <c r="I6" s="19">
        <f>G6+H6</f>
        <v>19157.25019174</v>
      </c>
      <c r="J6" s="119">
        <v>18985</v>
      </c>
      <c r="K6" s="117">
        <v>9416.0081250000039</v>
      </c>
      <c r="L6" s="117">
        <v>10453.06838158</v>
      </c>
      <c r="M6" s="19">
        <f>K6+L6</f>
        <v>19869.076506580004</v>
      </c>
      <c r="N6" s="85">
        <v>81</v>
      </c>
      <c r="O6" s="85">
        <v>62</v>
      </c>
      <c r="P6" s="92"/>
      <c r="Q6" s="20">
        <f>J6-P6</f>
        <v>18985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98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2092</v>
      </c>
      <c r="E8" s="29" t="s">
        <v>27</v>
      </c>
      <c r="F8" s="119">
        <v>839</v>
      </c>
      <c r="G8" s="117">
        <v>3375.69</v>
      </c>
      <c r="H8" s="117">
        <v>1647.1351550000011</v>
      </c>
      <c r="I8" s="19">
        <f>G8+H8</f>
        <v>5022.8251550000014</v>
      </c>
      <c r="J8" s="119">
        <v>719</v>
      </c>
      <c r="K8" s="117">
        <v>2932.3849999999989</v>
      </c>
      <c r="L8" s="117">
        <v>1515.4942175000001</v>
      </c>
      <c r="M8" s="19">
        <f>K8+L8</f>
        <v>4447.879217499999</v>
      </c>
      <c r="N8" s="87">
        <v>17</v>
      </c>
      <c r="O8" s="87">
        <v>10</v>
      </c>
      <c r="P8" s="92"/>
      <c r="Q8" s="20">
        <f>J8-P8</f>
        <v>719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1423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2452</v>
      </c>
      <c r="E10" s="18" t="s">
        <v>31</v>
      </c>
      <c r="F10" s="119">
        <v>15600</v>
      </c>
      <c r="G10" s="117">
        <v>11013.390031250001</v>
      </c>
      <c r="H10" s="117">
        <v>1864.3670099999999</v>
      </c>
      <c r="I10" s="19">
        <f>G10+H10</f>
        <v>12877.757041250001</v>
      </c>
      <c r="J10" s="119">
        <v>20235</v>
      </c>
      <c r="K10" s="117">
        <v>14565.029656250001</v>
      </c>
      <c r="L10" s="117">
        <v>1913.8576005</v>
      </c>
      <c r="M10" s="19">
        <f>K10+L10</f>
        <v>16478.88725675</v>
      </c>
      <c r="N10" s="88">
        <v>43</v>
      </c>
      <c r="O10" s="88">
        <v>35</v>
      </c>
      <c r="P10" s="92"/>
      <c r="Q10" s="20">
        <f>J10-P10</f>
        <v>20235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11098</v>
      </c>
      <c r="G12" s="117">
        <v>9114.2320000000018</v>
      </c>
      <c r="H12" s="117">
        <v>14260.145035510001</v>
      </c>
      <c r="I12" s="19">
        <f>G12+H12</f>
        <v>23374.377035510002</v>
      </c>
      <c r="J12" s="119">
        <v>13025</v>
      </c>
      <c r="K12" s="117">
        <v>10267.576499999999</v>
      </c>
      <c r="L12" s="117">
        <v>16543.809818739999</v>
      </c>
      <c r="M12" s="19">
        <f>K12+L12</f>
        <v>26811.386318739998</v>
      </c>
      <c r="N12" s="88">
        <v>57</v>
      </c>
      <c r="O12" s="88">
        <v>47</v>
      </c>
      <c r="P12" s="92"/>
      <c r="Q12" s="20">
        <f>J12-P12</f>
        <v>13025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11702</v>
      </c>
      <c r="E14" s="18" t="s">
        <v>39</v>
      </c>
      <c r="F14" s="119">
        <v>20306</v>
      </c>
      <c r="G14" s="117">
        <v>17850.5625</v>
      </c>
      <c r="H14" s="117">
        <v>20635.31727950499</v>
      </c>
      <c r="I14" s="19">
        <f>G14+H14</f>
        <v>38485.87977950499</v>
      </c>
      <c r="J14" s="119">
        <v>31977</v>
      </c>
      <c r="K14" s="117">
        <v>34725.96875</v>
      </c>
      <c r="L14" s="117">
        <v>38203.618860734983</v>
      </c>
      <c r="M14" s="19">
        <f>K14+L14</f>
        <v>72929.587610734976</v>
      </c>
      <c r="N14" s="88">
        <v>67</v>
      </c>
      <c r="O14" s="88">
        <v>54</v>
      </c>
      <c r="P14" s="92"/>
      <c r="Q14" s="20">
        <f>J14-P14</f>
        <v>31977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9940</v>
      </c>
      <c r="E16" s="84"/>
      <c r="F16" s="31">
        <f t="shared" ref="F16:M16" si="0">SUM(F6:F15)</f>
        <v>65844</v>
      </c>
      <c r="G16" s="31">
        <f t="shared" si="0"/>
        <v>50325.192031250001</v>
      </c>
      <c r="H16" s="31">
        <f t="shared" si="0"/>
        <v>48592.897171754994</v>
      </c>
      <c r="I16" s="32">
        <f t="shared" si="0"/>
        <v>98918.089203005002</v>
      </c>
      <c r="J16" s="33">
        <f t="shared" si="0"/>
        <v>84941</v>
      </c>
      <c r="K16" s="33">
        <f t="shared" si="0"/>
        <v>71906.968031249999</v>
      </c>
      <c r="L16" s="33">
        <f t="shared" si="0"/>
        <v>68629.848879054975</v>
      </c>
      <c r="M16" s="33">
        <f t="shared" si="0"/>
        <v>140536.81691030497</v>
      </c>
      <c r="N16" s="31">
        <f>SUM(N14,N12,N10,N8,N6)</f>
        <v>265</v>
      </c>
      <c r="O16" s="31">
        <f>SUM(O14,O12,O10,O8,O6)</f>
        <v>208</v>
      </c>
      <c r="P16" s="34">
        <f>SUM(P6:P15)</f>
        <v>0</v>
      </c>
      <c r="Q16" s="34">
        <f>SUM(Q6:Q15)</f>
        <v>84941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9189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971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4453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11121</v>
      </c>
      <c r="D29" s="76">
        <f>C14</f>
        <v>11702</v>
      </c>
      <c r="E29" s="77">
        <f>D29-C29</f>
        <v>581</v>
      </c>
      <c r="O29" s="4"/>
    </row>
    <row r="30" spans="2:43" x14ac:dyDescent="0.3">
      <c r="B30" s="74" t="s">
        <v>56</v>
      </c>
      <c r="C30" s="122">
        <v>29343</v>
      </c>
      <c r="D30" s="76">
        <f>C7+C15+C16+C17+C18</f>
        <v>10038</v>
      </c>
      <c r="E30" s="77">
        <f>D30-C30</f>
        <v>-19305</v>
      </c>
      <c r="J30" s="53"/>
      <c r="O30" s="4"/>
    </row>
    <row r="31" spans="2:43" x14ac:dyDescent="0.3">
      <c r="B31" s="74" t="s">
        <v>21</v>
      </c>
      <c r="C31" s="122">
        <v>2820</v>
      </c>
      <c r="D31" s="76">
        <f>C6</f>
        <v>2820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2452</v>
      </c>
      <c r="D32" s="76">
        <f>C10+C11+C12+C13</f>
        <v>2452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13830</v>
      </c>
      <c r="D33" s="76">
        <f>C19+C20+C21</f>
        <v>14613</v>
      </c>
      <c r="E33" s="77">
        <f>D33-C33</f>
        <v>783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3515</v>
      </c>
      <c r="D34" s="80">
        <f>SUM(C8+C9)</f>
        <v>3515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87" priority="11" operator="lessThan">
      <formula>0</formula>
    </cfRule>
    <cfRule type="cellIs" dxfId="886" priority="12" operator="greaterThan">
      <formula>0</formula>
    </cfRule>
  </conditionalFormatting>
  <conditionalFormatting sqref="R25:AC25">
    <cfRule type="cellIs" dxfId="885" priority="9" operator="lessThan">
      <formula>0</formula>
    </cfRule>
    <cfRule type="cellIs" dxfId="884" priority="10" operator="greaterThan">
      <formula>0</formula>
    </cfRule>
  </conditionalFormatting>
  <conditionalFormatting sqref="R26 T26 V26 X26 Z26 AB26">
    <cfRule type="cellIs" dxfId="883" priority="7" operator="lessThan">
      <formula>0</formula>
    </cfRule>
    <cfRule type="cellIs" dxfId="882" priority="8" operator="greaterThan">
      <formula>0</formula>
    </cfRule>
  </conditionalFormatting>
  <conditionalFormatting sqref="AD24:AE24">
    <cfRule type="cellIs" dxfId="881" priority="5" operator="lessThan">
      <formula>0</formula>
    </cfRule>
    <cfRule type="cellIs" dxfId="880" priority="6" operator="greaterThan">
      <formula>0</formula>
    </cfRule>
  </conditionalFormatting>
  <conditionalFormatting sqref="AD25:AE25">
    <cfRule type="cellIs" dxfId="879" priority="3" operator="lessThan">
      <formula>0</formula>
    </cfRule>
    <cfRule type="cellIs" dxfId="878" priority="4" operator="greaterThan">
      <formula>0</formula>
    </cfRule>
  </conditionalFormatting>
  <conditionalFormatting sqref="AD26">
    <cfRule type="cellIs" dxfId="877" priority="1" operator="lessThan">
      <formula>0</formula>
    </cfRule>
    <cfRule type="cellIs" dxfId="87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44445</v>
      </c>
    </row>
    <row r="3" spans="2:42" ht="18.75" customHeight="1" thickBot="1" x14ac:dyDescent="0.35">
      <c r="B3" t="s">
        <v>1</v>
      </c>
      <c r="C3" s="3">
        <f>C2+1</f>
        <v>44446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2332</v>
      </c>
      <c r="E6" s="18" t="s">
        <v>22</v>
      </c>
      <c r="F6" s="119">
        <v>19128</v>
      </c>
      <c r="G6" s="117">
        <v>9367.7257499999978</v>
      </c>
      <c r="H6" s="117">
        <v>10315.647761239999</v>
      </c>
      <c r="I6" s="19">
        <f>G6+H6</f>
        <v>19683.373511239995</v>
      </c>
      <c r="J6" s="119">
        <v>17811</v>
      </c>
      <c r="K6" s="117">
        <v>8664.0252499999988</v>
      </c>
      <c r="L6" s="117">
        <v>9146.2571280600023</v>
      </c>
      <c r="M6" s="19">
        <f>K6+L6</f>
        <v>17810.282378060001</v>
      </c>
      <c r="N6" s="85">
        <v>72</v>
      </c>
      <c r="O6" s="85">
        <v>56</v>
      </c>
      <c r="P6" s="92"/>
      <c r="Q6" s="20">
        <f>J6-P6</f>
        <v>17811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2279</v>
      </c>
      <c r="E8" s="29" t="s">
        <v>27</v>
      </c>
      <c r="F8" s="119">
        <v>805</v>
      </c>
      <c r="G8" s="117">
        <v>3129.3150000000001</v>
      </c>
      <c r="H8" s="117">
        <v>1488.3897674999989</v>
      </c>
      <c r="I8" s="19">
        <f>G8+H8</f>
        <v>4617.7047674999994</v>
      </c>
      <c r="J8" s="119">
        <v>747</v>
      </c>
      <c r="K8" s="117">
        <v>2910.66</v>
      </c>
      <c r="L8" s="117">
        <v>1384.6561274999999</v>
      </c>
      <c r="M8" s="19">
        <f>K8+L8</f>
        <v>4295.3161275000002</v>
      </c>
      <c r="N8" s="87">
        <v>13</v>
      </c>
      <c r="O8" s="87">
        <v>9</v>
      </c>
      <c r="P8" s="92"/>
      <c r="Q8" s="20">
        <f>J8-P8</f>
        <v>747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1279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4505</v>
      </c>
      <c r="E10" s="18" t="s">
        <v>31</v>
      </c>
      <c r="F10" s="119">
        <v>16134</v>
      </c>
      <c r="G10" s="117">
        <v>10956.33421875</v>
      </c>
      <c r="H10" s="117">
        <v>2076.7556450000002</v>
      </c>
      <c r="I10" s="19">
        <f>G10+H10</f>
        <v>13033.089863749999</v>
      </c>
      <c r="J10" s="119">
        <v>15700</v>
      </c>
      <c r="K10" s="117">
        <v>10918.858968750001</v>
      </c>
      <c r="L10" s="117">
        <v>1872.9752028</v>
      </c>
      <c r="M10" s="19">
        <f>K10+L10</f>
        <v>12791.834171550001</v>
      </c>
      <c r="N10" s="88">
        <v>47</v>
      </c>
      <c r="O10" s="88">
        <v>42</v>
      </c>
      <c r="P10" s="92"/>
      <c r="Q10" s="20">
        <f>J10-P10</f>
        <v>15700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10213</v>
      </c>
      <c r="G12" s="117">
        <v>8991.3559999999998</v>
      </c>
      <c r="H12" s="117">
        <v>14021.24017314</v>
      </c>
      <c r="I12" s="19">
        <f>G12+H12</f>
        <v>23012.596173140002</v>
      </c>
      <c r="J12" s="119">
        <v>9998</v>
      </c>
      <c r="K12" s="117">
        <v>8738.1407499999987</v>
      </c>
      <c r="L12" s="117">
        <v>13622.89045802</v>
      </c>
      <c r="M12" s="19">
        <f>K12+L12</f>
        <v>22361.031208019998</v>
      </c>
      <c r="N12" s="88">
        <v>47</v>
      </c>
      <c r="O12" s="88">
        <v>40</v>
      </c>
      <c r="P12" s="92"/>
      <c r="Q12" s="20">
        <f>J12-P12</f>
        <v>9998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9410</v>
      </c>
      <c r="E14" s="18" t="s">
        <v>39</v>
      </c>
      <c r="F14" s="119">
        <v>27279</v>
      </c>
      <c r="G14" s="117">
        <v>17129.15625</v>
      </c>
      <c r="H14" s="117">
        <v>21431.90087329</v>
      </c>
      <c r="I14" s="19">
        <f>G14+H14</f>
        <v>38561.057123289997</v>
      </c>
      <c r="J14" s="119">
        <v>29716</v>
      </c>
      <c r="K14" s="117">
        <v>21154.90625</v>
      </c>
      <c r="L14" s="117">
        <v>25614.376677129982</v>
      </c>
      <c r="M14" s="19">
        <f>K14+L14</f>
        <v>46769.282927129985</v>
      </c>
      <c r="N14" s="88">
        <v>61</v>
      </c>
      <c r="O14" s="88">
        <v>48</v>
      </c>
      <c r="P14" s="92"/>
      <c r="Q14" s="20">
        <f>J14-P14</f>
        <v>29716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9722</v>
      </c>
      <c r="E16" s="84"/>
      <c r="F16" s="31">
        <f t="shared" ref="F16:M16" si="0">SUM(F6:F15)</f>
        <v>73559</v>
      </c>
      <c r="G16" s="31">
        <f t="shared" si="0"/>
        <v>49573.887218749995</v>
      </c>
      <c r="H16" s="31">
        <f t="shared" si="0"/>
        <v>49333.934220170006</v>
      </c>
      <c r="I16" s="32">
        <f t="shared" si="0"/>
        <v>98907.821438919986</v>
      </c>
      <c r="J16" s="33">
        <f t="shared" si="0"/>
        <v>73972</v>
      </c>
      <c r="K16" s="33">
        <f t="shared" si="0"/>
        <v>52386.59121875</v>
      </c>
      <c r="L16" s="33">
        <f t="shared" si="0"/>
        <v>51641.15559350999</v>
      </c>
      <c r="M16" s="33">
        <f t="shared" si="0"/>
        <v>104027.74681225998</v>
      </c>
      <c r="N16" s="31">
        <f>SUM(N14,N12,N10,N8,N6)</f>
        <v>240</v>
      </c>
      <c r="O16" s="31">
        <f>SUM(O14,O12,O10,O8,O6)</f>
        <v>195</v>
      </c>
      <c r="P16" s="34">
        <f>SUM(P6:P15)</f>
        <v>0</v>
      </c>
      <c r="Q16" s="34">
        <f>SUM(Q6:Q15)</f>
        <v>73972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45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4518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1718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8895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10694</v>
      </c>
      <c r="D29" s="76">
        <f>C14</f>
        <v>9410</v>
      </c>
      <c r="E29" s="77">
        <f>D29-C29</f>
        <v>-1284</v>
      </c>
      <c r="O29" s="4"/>
    </row>
    <row r="30" spans="2:43" x14ac:dyDescent="0.3">
      <c r="B30" s="74" t="s">
        <v>56</v>
      </c>
      <c r="C30" s="122">
        <v>24622</v>
      </c>
      <c r="D30" s="76">
        <f>C7+C15+C16+C17+C18</f>
        <v>9722</v>
      </c>
      <c r="E30" s="77">
        <f>D30-C30</f>
        <v>-14900</v>
      </c>
      <c r="J30" s="53"/>
      <c r="O30" s="4"/>
    </row>
    <row r="31" spans="2:43" x14ac:dyDescent="0.3">
      <c r="B31" s="74" t="s">
        <v>21</v>
      </c>
      <c r="C31" s="122">
        <v>2332</v>
      </c>
      <c r="D31" s="76">
        <f>C6</f>
        <v>2332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4505</v>
      </c>
      <c r="D32" s="76">
        <f>C10+C11+C12+C13</f>
        <v>4505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15940</v>
      </c>
      <c r="D33" s="76">
        <f>C19+C20+C21</f>
        <v>15131</v>
      </c>
      <c r="E33" s="77">
        <f>D33-C33</f>
        <v>-809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3558</v>
      </c>
      <c r="D34" s="80">
        <f>SUM(C8+C9)</f>
        <v>3558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75" priority="11" operator="lessThan">
      <formula>0</formula>
    </cfRule>
    <cfRule type="cellIs" dxfId="874" priority="12" operator="greaterThan">
      <formula>0</formula>
    </cfRule>
  </conditionalFormatting>
  <conditionalFormatting sqref="R25:AC25">
    <cfRule type="cellIs" dxfId="873" priority="9" operator="lessThan">
      <formula>0</formula>
    </cfRule>
    <cfRule type="cellIs" dxfId="872" priority="10" operator="greaterThan">
      <formula>0</formula>
    </cfRule>
  </conditionalFormatting>
  <conditionalFormatting sqref="R26 T26 V26 X26 Z26 AB26">
    <cfRule type="cellIs" dxfId="871" priority="7" operator="lessThan">
      <formula>0</formula>
    </cfRule>
    <cfRule type="cellIs" dxfId="870" priority="8" operator="greaterThan">
      <formula>0</formula>
    </cfRule>
  </conditionalFormatting>
  <conditionalFormatting sqref="AD24:AE24">
    <cfRule type="cellIs" dxfId="869" priority="5" operator="lessThan">
      <formula>0</formula>
    </cfRule>
    <cfRule type="cellIs" dxfId="868" priority="6" operator="greaterThan">
      <formula>0</formula>
    </cfRule>
  </conditionalFormatting>
  <conditionalFormatting sqref="AD25:AE25">
    <cfRule type="cellIs" dxfId="867" priority="3" operator="lessThan">
      <formula>0</formula>
    </cfRule>
    <cfRule type="cellIs" dxfId="866" priority="4" operator="greaterThan">
      <formula>0</formula>
    </cfRule>
  </conditionalFormatting>
  <conditionalFormatting sqref="AD26">
    <cfRule type="cellIs" dxfId="865" priority="1" operator="lessThan">
      <formula>0</formula>
    </cfRule>
    <cfRule type="cellIs" dxfId="86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44446</v>
      </c>
    </row>
    <row r="3" spans="2:42" ht="18.75" customHeight="1" thickBot="1" x14ac:dyDescent="0.35">
      <c r="B3" t="s">
        <v>1</v>
      </c>
      <c r="C3" s="3">
        <f>C2+1</f>
        <v>44447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4778</v>
      </c>
      <c r="E6" s="18" t="s">
        <v>22</v>
      </c>
      <c r="F6" s="119">
        <v>20159</v>
      </c>
      <c r="G6" s="117">
        <v>10155.253500000001</v>
      </c>
      <c r="H6" s="117">
        <v>12052.9507371</v>
      </c>
      <c r="I6" s="19">
        <f>G6+H6</f>
        <v>22208.204237099999</v>
      </c>
      <c r="J6" s="119">
        <v>19458</v>
      </c>
      <c r="K6" s="117">
        <v>9573.1072499999973</v>
      </c>
      <c r="L6" s="117">
        <v>11014.212073600011</v>
      </c>
      <c r="M6" s="19">
        <f>K6+L6</f>
        <v>20587.319323600008</v>
      </c>
      <c r="N6" s="85">
        <v>78</v>
      </c>
      <c r="O6" s="85">
        <v>61</v>
      </c>
      <c r="P6" s="92"/>
      <c r="Q6" s="20">
        <f>J6-P6</f>
        <v>19458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2526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2124</v>
      </c>
      <c r="E8" s="29" t="s">
        <v>27</v>
      </c>
      <c r="F8" s="119">
        <v>1024</v>
      </c>
      <c r="G8" s="117">
        <v>3909.105</v>
      </c>
      <c r="H8" s="117">
        <v>1728.3694700000001</v>
      </c>
      <c r="I8" s="19">
        <f>G8+H8</f>
        <v>5637.4744700000001</v>
      </c>
      <c r="J8" s="119">
        <v>815</v>
      </c>
      <c r="K8" s="117">
        <v>3078.0250000000001</v>
      </c>
      <c r="L8" s="117">
        <v>1375.353745000001</v>
      </c>
      <c r="M8" s="19">
        <f>K8+L8</f>
        <v>4453.3787450000009</v>
      </c>
      <c r="N8" s="87">
        <v>10</v>
      </c>
      <c r="O8" s="87">
        <v>5</v>
      </c>
      <c r="P8" s="92"/>
      <c r="Q8" s="20">
        <f>J8-P8</f>
        <v>815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963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3746</v>
      </c>
      <c r="E10" s="18" t="s">
        <v>31</v>
      </c>
      <c r="F10" s="119">
        <v>26581</v>
      </c>
      <c r="G10" s="117">
        <v>19617.36765625</v>
      </c>
      <c r="H10" s="117">
        <v>2076.9796824999999</v>
      </c>
      <c r="I10" s="19">
        <f>G10+H10</f>
        <v>21694.347338750002</v>
      </c>
      <c r="J10" s="119">
        <v>25716</v>
      </c>
      <c r="K10" s="117">
        <v>19125.101281250001</v>
      </c>
      <c r="L10" s="117">
        <v>2025.7885429999999</v>
      </c>
      <c r="M10" s="19">
        <f>K10+L10</f>
        <v>21150.88982425</v>
      </c>
      <c r="N10" s="88">
        <v>48</v>
      </c>
      <c r="O10" s="88">
        <v>42</v>
      </c>
      <c r="P10" s="92"/>
      <c r="Q10" s="20">
        <f>J10-P10</f>
        <v>25716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34</v>
      </c>
      <c r="C12" s="17">
        <v>0</v>
      </c>
      <c r="E12" s="29" t="s">
        <v>35</v>
      </c>
      <c r="F12" s="119">
        <v>15439</v>
      </c>
      <c r="G12" s="117">
        <v>12783.588</v>
      </c>
      <c r="H12" s="117">
        <v>18298.23693779</v>
      </c>
      <c r="I12" s="19">
        <f>G12+H12</f>
        <v>31081.824937789999</v>
      </c>
      <c r="J12" s="119">
        <v>14705</v>
      </c>
      <c r="K12" s="117">
        <v>11772.076999999999</v>
      </c>
      <c r="L12" s="117">
        <v>16094.577043690009</v>
      </c>
      <c r="M12" s="19">
        <f>K12+L12</f>
        <v>27866.65404369001</v>
      </c>
      <c r="N12" s="88">
        <v>49</v>
      </c>
      <c r="O12" s="88">
        <v>42</v>
      </c>
      <c r="P12" s="92"/>
      <c r="Q12" s="20">
        <f>J12-P12</f>
        <v>14705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10430</v>
      </c>
      <c r="E14" s="18" t="s">
        <v>39</v>
      </c>
      <c r="F14" s="119">
        <v>24107</v>
      </c>
      <c r="G14" s="117">
        <v>17080.96875</v>
      </c>
      <c r="H14" s="117">
        <v>20896.472834245011</v>
      </c>
      <c r="I14" s="19">
        <f>G14+H14</f>
        <v>37977.441584245011</v>
      </c>
      <c r="J14" s="119">
        <v>23540</v>
      </c>
      <c r="K14" s="117">
        <v>16932.9375</v>
      </c>
      <c r="L14" s="117">
        <v>20681.52321689501</v>
      </c>
      <c r="M14" s="19">
        <f>K14+L14</f>
        <v>37614.46071689501</v>
      </c>
      <c r="N14" s="88">
        <v>62</v>
      </c>
      <c r="O14" s="88">
        <v>48</v>
      </c>
      <c r="P14" s="92"/>
      <c r="Q14" s="20">
        <f>J14-P14</f>
        <v>23540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2931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14625</v>
      </c>
      <c r="E16" s="84"/>
      <c r="F16" s="31">
        <f t="shared" ref="F16:M16" si="0">SUM(F6:F15)</f>
        <v>87310</v>
      </c>
      <c r="G16" s="31">
        <f t="shared" si="0"/>
        <v>63546.282906249995</v>
      </c>
      <c r="H16" s="31">
        <f t="shared" si="0"/>
        <v>55053.009661635006</v>
      </c>
      <c r="I16" s="32">
        <f t="shared" si="0"/>
        <v>118599.29256788502</v>
      </c>
      <c r="J16" s="33">
        <f t="shared" si="0"/>
        <v>84234</v>
      </c>
      <c r="K16" s="33">
        <f t="shared" si="0"/>
        <v>60481.248031249997</v>
      </c>
      <c r="L16" s="33">
        <f t="shared" si="0"/>
        <v>51191.454622185032</v>
      </c>
      <c r="M16" s="33">
        <f t="shared" si="0"/>
        <v>111672.70265343503</v>
      </c>
      <c r="N16" s="31">
        <f>SUM(N14,N12,N10,N8,N6)</f>
        <v>247</v>
      </c>
      <c r="O16" s="31">
        <f>SUM(O14,O12,O10,O8,O6)</f>
        <v>198</v>
      </c>
      <c r="P16" s="34">
        <f>SUM(P6:P15)</f>
        <v>0</v>
      </c>
      <c r="Q16" s="34">
        <f>SUM(Q6:Q15)</f>
        <v>84234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1912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532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9573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1322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4636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11571</v>
      </c>
      <c r="D29" s="76">
        <f>C14</f>
        <v>10430</v>
      </c>
      <c r="E29" s="77">
        <f>D29-C29</f>
        <v>-1141</v>
      </c>
      <c r="O29" s="4"/>
    </row>
    <row r="30" spans="2:43" x14ac:dyDescent="0.3">
      <c r="B30" s="74" t="s">
        <v>56</v>
      </c>
      <c r="C30" s="122">
        <v>22411</v>
      </c>
      <c r="D30" s="76">
        <f>C7+C15+C16+C17+C18</f>
        <v>22526</v>
      </c>
      <c r="E30" s="77">
        <f>D30-C30</f>
        <v>115</v>
      </c>
      <c r="J30" s="53"/>
      <c r="O30" s="4"/>
    </row>
    <row r="31" spans="2:43" x14ac:dyDescent="0.3">
      <c r="B31" s="74" t="s">
        <v>21</v>
      </c>
      <c r="C31" s="122">
        <v>4778</v>
      </c>
      <c r="D31" s="76">
        <f>C6</f>
        <v>4778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3746</v>
      </c>
      <c r="D32" s="76">
        <f>C10+C11+C12+C13</f>
        <v>3746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14810</v>
      </c>
      <c r="D33" s="76">
        <f>C19+C20+C21</f>
        <v>15531</v>
      </c>
      <c r="E33" s="77">
        <f>D33-C33</f>
        <v>721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3087</v>
      </c>
      <c r="D34" s="80">
        <f>SUM(C8+C9)</f>
        <v>3087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63" priority="11" operator="lessThan">
      <formula>0</formula>
    </cfRule>
    <cfRule type="cellIs" dxfId="862" priority="12" operator="greaterThan">
      <formula>0</formula>
    </cfRule>
  </conditionalFormatting>
  <conditionalFormatting sqref="R25:AC25">
    <cfRule type="cellIs" dxfId="861" priority="9" operator="lessThan">
      <formula>0</formula>
    </cfRule>
    <cfRule type="cellIs" dxfId="860" priority="10" operator="greaterThan">
      <formula>0</formula>
    </cfRule>
  </conditionalFormatting>
  <conditionalFormatting sqref="R26 T26 V26 X26 Z26 AB26">
    <cfRule type="cellIs" dxfId="859" priority="7" operator="lessThan">
      <formula>0</formula>
    </cfRule>
    <cfRule type="cellIs" dxfId="858" priority="8" operator="greaterThan">
      <formula>0</formula>
    </cfRule>
  </conditionalFormatting>
  <conditionalFormatting sqref="AD24:AE24">
    <cfRule type="cellIs" dxfId="857" priority="5" operator="lessThan">
      <formula>0</formula>
    </cfRule>
    <cfRule type="cellIs" dxfId="856" priority="6" operator="greaterThan">
      <formula>0</formula>
    </cfRule>
  </conditionalFormatting>
  <conditionalFormatting sqref="AD25:AE25">
    <cfRule type="cellIs" dxfId="855" priority="3" operator="lessThan">
      <formula>0</formula>
    </cfRule>
    <cfRule type="cellIs" dxfId="854" priority="4" operator="greaterThan">
      <formula>0</formula>
    </cfRule>
  </conditionalFormatting>
  <conditionalFormatting sqref="AD26">
    <cfRule type="cellIs" dxfId="853" priority="1" operator="lessThan">
      <formula>0</formula>
    </cfRule>
    <cfRule type="cellIs" dxfId="85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44447</v>
      </c>
    </row>
    <row r="3" spans="2:42" ht="18.75" customHeight="1" thickBot="1" x14ac:dyDescent="0.35">
      <c r="B3" t="s">
        <v>1</v>
      </c>
      <c r="C3" s="3">
        <f>C2+1</f>
        <v>44448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20346</v>
      </c>
      <c r="G6" s="117">
        <v>9766.4491249999992</v>
      </c>
      <c r="H6" s="117">
        <v>10453.567744739999</v>
      </c>
      <c r="I6" s="19">
        <f>G6+H6</f>
        <v>20220.01686974</v>
      </c>
      <c r="J6" s="119">
        <v>19361</v>
      </c>
      <c r="K6" s="117">
        <v>9228.9297499999975</v>
      </c>
      <c r="L6" s="117">
        <v>9246.3674211200032</v>
      </c>
      <c r="M6" s="19">
        <f>K6+L6</f>
        <v>18475.297171120001</v>
      </c>
      <c r="N6" s="85">
        <v>73</v>
      </c>
      <c r="O6" s="85">
        <v>57</v>
      </c>
      <c r="P6" s="92"/>
      <c r="Q6" s="20">
        <f>J6-P6</f>
        <v>19361</v>
      </c>
      <c r="R6" s="21">
        <v>4390</v>
      </c>
      <c r="S6" s="20">
        <f>IF(R6&gt;0,(R6-R7-$Q6),"")</f>
        <v>-15129</v>
      </c>
      <c r="T6" s="21">
        <v>8053</v>
      </c>
      <c r="U6" s="20">
        <f>IF(T6&gt;0,(T6-T7-$Q6),"")</f>
        <v>-11492</v>
      </c>
      <c r="V6" s="21">
        <v>9744</v>
      </c>
      <c r="W6" s="20">
        <f>IF(V6&gt;0,(V6-V7-$Q6),"")</f>
        <v>-9808</v>
      </c>
      <c r="X6" s="21">
        <v>9744</v>
      </c>
      <c r="Y6" s="20">
        <f>IF(X6&gt;0,(X6-X7-$Q6),"")</f>
        <v>-9808</v>
      </c>
      <c r="Z6" s="21">
        <v>15434</v>
      </c>
      <c r="AA6" s="20">
        <f>IF(Z6&gt;0,(Z6-Z7-$Q6),"")</f>
        <v>-4118</v>
      </c>
      <c r="AB6" s="21">
        <v>15434</v>
      </c>
      <c r="AC6" s="22">
        <f>IF(AB6&gt;0,(AB6-AB7-$Q6),"")</f>
        <v>-4118</v>
      </c>
      <c r="AD6" s="21">
        <v>15434</v>
      </c>
      <c r="AE6" s="22">
        <f>IF(AD6&gt;0,(AD6-AD7-$Q6),"")</f>
        <v>-4118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158</v>
      </c>
      <c r="S7" s="24"/>
      <c r="T7" s="25">
        <v>184</v>
      </c>
      <c r="U7" s="24"/>
      <c r="V7" s="25">
        <v>191</v>
      </c>
      <c r="W7" s="24"/>
      <c r="X7" s="25">
        <v>191</v>
      </c>
      <c r="Y7" s="24"/>
      <c r="Z7" s="25">
        <v>191</v>
      </c>
      <c r="AA7" s="24"/>
      <c r="AB7" s="25">
        <v>191</v>
      </c>
      <c r="AC7" s="26"/>
      <c r="AD7" s="25">
        <v>191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2394</v>
      </c>
      <c r="E8" s="29" t="s">
        <v>27</v>
      </c>
      <c r="F8" s="119">
        <v>3847</v>
      </c>
      <c r="G8" s="117">
        <v>4414.9494999999997</v>
      </c>
      <c r="H8" s="117">
        <v>1741.355952500001</v>
      </c>
      <c r="I8" s="19">
        <f>G8+H8</f>
        <v>6156.3054525000007</v>
      </c>
      <c r="J8" s="119">
        <v>3650</v>
      </c>
      <c r="K8" s="117">
        <v>4210.6709999999994</v>
      </c>
      <c r="L8" s="117">
        <v>1506.0473425000009</v>
      </c>
      <c r="M8" s="19">
        <f>K8+L8</f>
        <v>5716.7183425000003</v>
      </c>
      <c r="N8" s="87">
        <v>6</v>
      </c>
      <c r="O8" s="87">
        <v>2</v>
      </c>
      <c r="P8" s="92"/>
      <c r="Q8" s="20">
        <f>J8-P8</f>
        <v>3650</v>
      </c>
      <c r="R8" s="21">
        <v>0</v>
      </c>
      <c r="S8" s="20" t="str">
        <f>IF(R8&gt;0,(R8-R9-$Q8),"")</f>
        <v/>
      </c>
      <c r="T8" s="21">
        <v>580</v>
      </c>
      <c r="U8" s="20">
        <f>IF(T8&gt;0,(T8-T9-$Q8),"")</f>
        <v>-3073</v>
      </c>
      <c r="V8" s="21">
        <v>1749</v>
      </c>
      <c r="W8" s="20">
        <f>IF(V8&gt;0,(V8-V9-$Q8),"")</f>
        <v>-1907</v>
      </c>
      <c r="X8" s="21">
        <v>2357</v>
      </c>
      <c r="Y8" s="20">
        <f>IF(X8&gt;0,(X8-X9-$Q8),"")</f>
        <v>-1299</v>
      </c>
      <c r="Z8" s="21">
        <v>2357</v>
      </c>
      <c r="AA8" s="20">
        <f>IF(Z8&gt;0,(Z8-Z9-$Q8),"")</f>
        <v>-1299</v>
      </c>
      <c r="AB8" s="21">
        <v>2357</v>
      </c>
      <c r="AC8" s="22">
        <f>IF(AB8&gt;0,(AB8-AB9-$Q8),"")</f>
        <v>-1299</v>
      </c>
      <c r="AD8" s="21">
        <v>2357</v>
      </c>
      <c r="AE8" s="22">
        <f>IF(AD8&gt;0,(AD8-AD9-$Q8),"")</f>
        <v>-1299</v>
      </c>
    </row>
    <row r="9" spans="2:42" x14ac:dyDescent="0.3">
      <c r="B9" s="28" t="s">
        <v>28</v>
      </c>
      <c r="C9" s="17">
        <v>1854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3</v>
      </c>
      <c r="U9" s="24"/>
      <c r="V9" s="30">
        <v>6</v>
      </c>
      <c r="W9" s="24"/>
      <c r="X9" s="30">
        <v>6</v>
      </c>
      <c r="Y9" s="24"/>
      <c r="Z9" s="30">
        <v>6</v>
      </c>
      <c r="AA9" s="24"/>
      <c r="AB9" s="30">
        <v>6</v>
      </c>
      <c r="AC9" s="26"/>
      <c r="AD9" s="30">
        <v>6</v>
      </c>
      <c r="AE9" s="26"/>
    </row>
    <row r="10" spans="2:42" x14ac:dyDescent="0.3">
      <c r="B10" s="16" t="s">
        <v>30</v>
      </c>
      <c r="C10" s="17">
        <v>2273</v>
      </c>
      <c r="E10" s="18" t="s">
        <v>31</v>
      </c>
      <c r="F10" s="119">
        <v>11908</v>
      </c>
      <c r="G10" s="117">
        <v>8485.1854999999996</v>
      </c>
      <c r="H10" s="117">
        <v>2154.2614844999998</v>
      </c>
      <c r="I10" s="19">
        <f>G10+H10</f>
        <v>10639.446984499999</v>
      </c>
      <c r="J10" s="119">
        <v>11056</v>
      </c>
      <c r="K10" s="117">
        <v>7951.9010000000017</v>
      </c>
      <c r="L10" s="117">
        <v>2053.7379145</v>
      </c>
      <c r="M10" s="19">
        <f>K10+L10</f>
        <v>10005.638914500001</v>
      </c>
      <c r="N10" s="88">
        <v>47</v>
      </c>
      <c r="O10" s="88">
        <v>43</v>
      </c>
      <c r="P10" s="92"/>
      <c r="Q10" s="20">
        <f>J10-P10</f>
        <v>11056</v>
      </c>
      <c r="R10" s="21">
        <v>2811</v>
      </c>
      <c r="S10" s="20">
        <f>IF(R10&gt;0,(R10-R11-$Q10),"")</f>
        <v>-8274</v>
      </c>
      <c r="T10" s="21">
        <v>3636</v>
      </c>
      <c r="U10" s="20">
        <f>IF(T10&gt;0,(T10-T11-$Q10),"")</f>
        <v>-7449</v>
      </c>
      <c r="V10" s="21">
        <v>7731</v>
      </c>
      <c r="W10" s="20">
        <f>IF(V10&gt;0,(V10-V11-$Q10),"")</f>
        <v>-3354</v>
      </c>
      <c r="X10" s="21">
        <v>8091</v>
      </c>
      <c r="Y10" s="20">
        <f>IF(X10&gt;0,(X10-X11-$Q10),"")</f>
        <v>-2994</v>
      </c>
      <c r="Z10" s="21">
        <v>8091</v>
      </c>
      <c r="AA10" s="20">
        <f>IF(Z10&gt;0,(Z10-Z11-$Q10),"")</f>
        <v>-2994</v>
      </c>
      <c r="AB10" s="21">
        <v>8091</v>
      </c>
      <c r="AC10" s="22">
        <f>IF(AB10&gt;0,(AB10-AB11-$Q10),"")</f>
        <v>-2994</v>
      </c>
      <c r="AD10" s="21">
        <v>8091</v>
      </c>
      <c r="AE10" s="22">
        <f>IF(AD10&gt;0,(AD10-AD11-$Q10),"")</f>
        <v>-2994</v>
      </c>
    </row>
    <row r="11" spans="2:42" x14ac:dyDescent="0.3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29</v>
      </c>
      <c r="S11" s="24"/>
      <c r="T11" s="30">
        <v>29</v>
      </c>
      <c r="U11" s="24"/>
      <c r="V11" s="30">
        <v>29</v>
      </c>
      <c r="W11" s="24"/>
      <c r="X11" s="30">
        <v>29</v>
      </c>
      <c r="Y11" s="24"/>
      <c r="Z11" s="30">
        <v>29</v>
      </c>
      <c r="AA11" s="24"/>
      <c r="AB11" s="30">
        <v>29</v>
      </c>
      <c r="AC11" s="26"/>
      <c r="AD11" s="30">
        <v>29</v>
      </c>
      <c r="AE11" s="26"/>
    </row>
    <row r="12" spans="2:42" x14ac:dyDescent="0.3">
      <c r="B12" s="124" t="s">
        <v>34</v>
      </c>
      <c r="C12" s="17">
        <v>0</v>
      </c>
      <c r="E12" s="29" t="s">
        <v>35</v>
      </c>
      <c r="F12" s="119">
        <v>12128</v>
      </c>
      <c r="G12" s="117">
        <v>11918.18075</v>
      </c>
      <c r="H12" s="117">
        <v>15499.463457780001</v>
      </c>
      <c r="I12" s="19">
        <f>G12+H12</f>
        <v>27417.644207780002</v>
      </c>
      <c r="J12" s="119">
        <v>11359</v>
      </c>
      <c r="K12" s="117">
        <v>10934.958624999999</v>
      </c>
      <c r="L12" s="117">
        <v>14065.56510537</v>
      </c>
      <c r="M12" s="19">
        <f>K12+L12</f>
        <v>25000.523730369998</v>
      </c>
      <c r="N12" s="88">
        <v>57</v>
      </c>
      <c r="O12" s="88">
        <v>42</v>
      </c>
      <c r="P12" s="92"/>
      <c r="Q12" s="20">
        <f>J12-P12</f>
        <v>11359</v>
      </c>
      <c r="R12" s="21">
        <v>5241</v>
      </c>
      <c r="S12" s="20">
        <f>IF(R12&gt;0,(R12-R13-$Q12),"")</f>
        <v>-6410</v>
      </c>
      <c r="T12" s="21">
        <v>7110</v>
      </c>
      <c r="U12" s="20">
        <f>IF(T12&gt;0,(T12-T13-$Q12),"")</f>
        <v>-4567</v>
      </c>
      <c r="V12" s="21">
        <v>10682</v>
      </c>
      <c r="W12" s="20">
        <f>IF(V12&gt;0,(V12-V13-$Q12),"")</f>
        <v>-1104</v>
      </c>
      <c r="X12" s="21">
        <v>11047</v>
      </c>
      <c r="Y12" s="20">
        <f>IF(X12&gt;0,(X12-X13-$Q12),"")</f>
        <v>-739</v>
      </c>
      <c r="Z12" s="21">
        <v>11047</v>
      </c>
      <c r="AA12" s="20">
        <f>IF(Z12&gt;0,(Z12-Z13-$Q12),"")</f>
        <v>-739</v>
      </c>
      <c r="AB12" s="21">
        <v>11047</v>
      </c>
      <c r="AC12" s="22">
        <f>IF(AB12&gt;0,(AB12-AB13-$Q12),"")</f>
        <v>-739</v>
      </c>
      <c r="AD12" s="21">
        <v>11047</v>
      </c>
      <c r="AE12" s="22">
        <f>IF(AD12&gt;0,(AD12-AD13-$Q12),"")</f>
        <v>-739</v>
      </c>
    </row>
    <row r="13" spans="2:42" x14ac:dyDescent="0.3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15</v>
      </c>
      <c r="P13" s="93" t="s">
        <v>37</v>
      </c>
      <c r="Q13" s="24"/>
      <c r="R13" s="30">
        <v>292</v>
      </c>
      <c r="S13" s="24"/>
      <c r="T13" s="30">
        <v>318</v>
      </c>
      <c r="U13" s="24"/>
      <c r="V13" s="30">
        <v>427</v>
      </c>
      <c r="W13" s="24"/>
      <c r="X13" s="30">
        <v>427</v>
      </c>
      <c r="Y13" s="24"/>
      <c r="Z13" s="30">
        <v>427</v>
      </c>
      <c r="AA13" s="24"/>
      <c r="AB13" s="30">
        <v>427</v>
      </c>
      <c r="AC13" s="26"/>
      <c r="AD13" s="30">
        <v>427</v>
      </c>
      <c r="AE13" s="26"/>
    </row>
    <row r="14" spans="2:42" x14ac:dyDescent="0.3">
      <c r="B14" s="16" t="s">
        <v>38</v>
      </c>
      <c r="C14" s="17">
        <v>9818</v>
      </c>
      <c r="E14" s="18" t="s">
        <v>39</v>
      </c>
      <c r="F14" s="119">
        <v>19861</v>
      </c>
      <c r="G14" s="117">
        <v>16409</v>
      </c>
      <c r="H14" s="117">
        <v>18581.403035809999</v>
      </c>
      <c r="I14" s="19">
        <f>G14+H14</f>
        <v>34990.403035809999</v>
      </c>
      <c r="J14" s="119">
        <v>20590</v>
      </c>
      <c r="K14" s="117">
        <v>18027.4375</v>
      </c>
      <c r="L14" s="117">
        <v>20275.58705929001</v>
      </c>
      <c r="M14" s="19">
        <f>K14+L14</f>
        <v>38303.02455929001</v>
      </c>
      <c r="N14" s="88">
        <v>64</v>
      </c>
      <c r="O14" s="88">
        <v>50</v>
      </c>
      <c r="P14" s="92"/>
      <c r="Q14" s="20">
        <f>J14-P14</f>
        <v>20590</v>
      </c>
      <c r="R14" s="21">
        <v>2975</v>
      </c>
      <c r="S14" s="20">
        <f>IF(R14&gt;0,(R14-R15-$Q14),"")</f>
        <v>-17615</v>
      </c>
      <c r="T14" s="21">
        <v>4804</v>
      </c>
      <c r="U14" s="20">
        <f>IF(T14&gt;0,(T14-T15-$Q14),"")</f>
        <v>-15795</v>
      </c>
      <c r="V14" s="21">
        <v>6292</v>
      </c>
      <c r="W14" s="20">
        <f>IF(V14&gt;0,(V14-V15-$Q14),"")</f>
        <v>-14322</v>
      </c>
      <c r="X14" s="21">
        <v>9749</v>
      </c>
      <c r="Y14" s="20">
        <f>IF(X14&gt;0,(X14-X15-$Q14),"")</f>
        <v>-10904</v>
      </c>
      <c r="Z14" s="21">
        <v>9027</v>
      </c>
      <c r="AA14" s="20">
        <f>IF(Z14&gt;0,(Z14-Z15-$Q14),"")</f>
        <v>-11626</v>
      </c>
      <c r="AB14" s="21">
        <v>9027</v>
      </c>
      <c r="AC14" s="22">
        <f>IF(AB14&gt;0,(AB14-AB15-$Q14),"")</f>
        <v>-11626</v>
      </c>
      <c r="AD14" s="21">
        <v>9027</v>
      </c>
      <c r="AE14" s="22">
        <f>IF(AD14&gt;0,(AD14-AD15-$Q14),"")</f>
        <v>-11626</v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9</v>
      </c>
      <c r="U15" s="24"/>
      <c r="V15" s="25">
        <v>24</v>
      </c>
      <c r="W15" s="24"/>
      <c r="X15" s="25">
        <v>63</v>
      </c>
      <c r="Y15" s="24"/>
      <c r="Z15" s="25">
        <v>63</v>
      </c>
      <c r="AA15" s="24"/>
      <c r="AB15" s="25">
        <v>63</v>
      </c>
      <c r="AC15" s="26"/>
      <c r="AD15" s="25">
        <v>63</v>
      </c>
      <c r="AE15" s="26"/>
    </row>
    <row r="16" spans="2:42" ht="15" customHeight="1" thickBot="1" x14ac:dyDescent="0.35">
      <c r="B16" s="28" t="s">
        <v>42</v>
      </c>
      <c r="C16" s="17">
        <v>11093</v>
      </c>
      <c r="E16" s="84"/>
      <c r="F16" s="31">
        <f t="shared" ref="F16:M16" si="0">SUM(F6:F15)</f>
        <v>68090</v>
      </c>
      <c r="G16" s="31">
        <f t="shared" si="0"/>
        <v>50993.764874999993</v>
      </c>
      <c r="H16" s="31">
        <f t="shared" si="0"/>
        <v>48430.051675329996</v>
      </c>
      <c r="I16" s="32">
        <f t="shared" si="0"/>
        <v>99423.816550329997</v>
      </c>
      <c r="J16" s="33">
        <f t="shared" si="0"/>
        <v>66016</v>
      </c>
      <c r="K16" s="33">
        <f t="shared" si="0"/>
        <v>50353.897874999995</v>
      </c>
      <c r="L16" s="33">
        <f t="shared" si="0"/>
        <v>47147.304842780009</v>
      </c>
      <c r="M16" s="33">
        <f t="shared" si="0"/>
        <v>97501.202717780019</v>
      </c>
      <c r="N16" s="31">
        <f>SUM(N14,N12,N10,N8,N6)</f>
        <v>247</v>
      </c>
      <c r="O16" s="31">
        <f>SUM(O14,O12,O10,O8,O6)</f>
        <v>194</v>
      </c>
      <c r="P16" s="34">
        <f>SUM(P6:P15)</f>
        <v>0</v>
      </c>
      <c r="Q16" s="34">
        <f>SUM(Q6:Q15)</f>
        <v>66016</v>
      </c>
      <c r="R16" s="35">
        <f>R6+R8+R10+R12+R14-R7-R9-R11-R13-R15</f>
        <v>14938</v>
      </c>
      <c r="S16" s="36">
        <f>IF(R16&gt;1,(R16-$Q16),"")</f>
        <v>-51078</v>
      </c>
      <c r="T16" s="35">
        <f>T6+T8+T10+T12+T14-T7-T9-T11-T13-T15</f>
        <v>23640</v>
      </c>
      <c r="U16" s="36">
        <f>IF(T16&gt;1,(T16-$Q16),"")</f>
        <v>-42376</v>
      </c>
      <c r="V16" s="35">
        <f>V6+V8+V10+V12+V14-V7-V9-V11-V13-V15</f>
        <v>35521</v>
      </c>
      <c r="W16" s="36">
        <f>IF(V16&gt;1,(V16-$Q16),"")</f>
        <v>-30495</v>
      </c>
      <c r="X16" s="35">
        <f>X6+X8+X10+X12+X14-X7-X9-X11-X13-X15</f>
        <v>40272</v>
      </c>
      <c r="Y16" s="36">
        <f>IF(X16&gt;1,(X16-$Q16),"")</f>
        <v>-25744</v>
      </c>
      <c r="Z16" s="35">
        <f>Z6+Z8+Z10+Z12+Z14-Z7-Z9-Z11-Z13-Z15</f>
        <v>45240</v>
      </c>
      <c r="AA16" s="36">
        <f>IF(Z16&gt;1,(Z16-$Q16),"")</f>
        <v>-20776</v>
      </c>
      <c r="AB16" s="35">
        <f>AB6+AB8+AB10+AB12+AB14-AB7-AB9-AB11-AB13-AB15</f>
        <v>45240</v>
      </c>
      <c r="AC16" s="37">
        <f>IF(AB16&gt;1,(AB16-$Q16),"")</f>
        <v>-20776</v>
      </c>
      <c r="AD16" s="35">
        <f>AD6+AD8+AD10+AD12+AD14-AD7-AD9-AD11-AD13-AD15</f>
        <v>45240</v>
      </c>
      <c r="AE16" s="37">
        <f>IF(AD16&gt;1,(AD16-$Q16),"")</f>
        <v>-20776</v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479</v>
      </c>
      <c r="S17" s="41"/>
      <c r="T17" s="40">
        <f>T15+T13+T11+T9+T7</f>
        <v>543</v>
      </c>
      <c r="U17" s="41"/>
      <c r="V17" s="40">
        <f>V15+V13+V11+V9+V7</f>
        <v>677</v>
      </c>
      <c r="W17" s="41"/>
      <c r="X17" s="40">
        <f>X15+X13+X11+X9+X7</f>
        <v>716</v>
      </c>
      <c r="Y17" s="41"/>
      <c r="Z17" s="40">
        <f>Z15+Z13+Z11+Z9+Z7</f>
        <v>716</v>
      </c>
      <c r="AA17" s="41"/>
      <c r="AB17" s="40">
        <f>AB15+AB13+AB11+AB9+AB7</f>
        <v>716</v>
      </c>
      <c r="AC17" s="42"/>
      <c r="AD17" s="40">
        <f>AD15+AD13+AD11+AD9+AD7</f>
        <v>716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>
        <f>IF(R16&gt;0,(R16)/2,"")</f>
        <v>7469</v>
      </c>
      <c r="S18" s="46"/>
      <c r="T18" s="47">
        <f>IF(T16&gt;0,(T16-R16)/2,"")</f>
        <v>4351</v>
      </c>
      <c r="U18" s="46"/>
      <c r="V18" s="47">
        <f>IF(V16&gt;0,(V16-T16)/2,"")</f>
        <v>5940.5</v>
      </c>
      <c r="W18" s="46"/>
      <c r="X18" s="47">
        <f>IF(X16&gt;0,(X16-V16)/2,"")</f>
        <v>2375.5</v>
      </c>
      <c r="Y18" s="46"/>
      <c r="Z18" s="47">
        <f>IF(Z16&gt;0,(Z16-X16)/2,"")</f>
        <v>2484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B19" s="16" t="s">
        <v>50</v>
      </c>
      <c r="C19" s="17">
        <v>9572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2436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4744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>
        <f>IF(R16&gt;0,R16-R20,"")</f>
        <v>14938</v>
      </c>
      <c r="S24" s="60"/>
      <c r="T24" s="60">
        <f>IF(T16&gt;0,T16-T20,"")</f>
        <v>23640</v>
      </c>
      <c r="U24" s="60"/>
      <c r="V24" s="60">
        <f>IF(V16&gt;0,V16-V20,"")</f>
        <v>35521</v>
      </c>
      <c r="W24" s="60"/>
      <c r="X24" s="60">
        <f>IF(X16&gt;0,X16-X20,"")</f>
        <v>40272</v>
      </c>
      <c r="Y24" s="60"/>
      <c r="Z24" s="60">
        <f>IF(Z16&gt;0,Z16-Z20,"")</f>
        <v>45240</v>
      </c>
      <c r="AA24" s="60"/>
      <c r="AB24" s="60">
        <f>IF(AB16&gt;0,AB16-AB20,"")</f>
        <v>45240</v>
      </c>
      <c r="AC24" s="61"/>
      <c r="AD24" s="60">
        <f>IF(AD16&gt;0,AD16-AD20,"")</f>
        <v>45240</v>
      </c>
      <c r="AE24" s="61"/>
    </row>
    <row r="25" spans="2:43" x14ac:dyDescent="0.3">
      <c r="J25" s="123"/>
      <c r="M25" s="4"/>
      <c r="Q25" s="62"/>
      <c r="R25" s="63">
        <f>IF(R17&gt;=0,R17-R21,"")</f>
        <v>479</v>
      </c>
      <c r="S25" s="64"/>
      <c r="T25" s="63">
        <f>IF(T17&gt;=0,T17-T21,"")</f>
        <v>543</v>
      </c>
      <c r="U25" s="64"/>
      <c r="V25" s="63">
        <f>IF(V17&gt;=0,V17-V21,"")</f>
        <v>677</v>
      </c>
      <c r="W25" s="64"/>
      <c r="X25" s="63">
        <f>IF(X17&gt;=0,X17-X21,"")</f>
        <v>716</v>
      </c>
      <c r="Y25" s="64"/>
      <c r="Z25" s="63">
        <f>IF(Z17&gt;=0,Z17-Z21,"")</f>
        <v>716</v>
      </c>
      <c r="AA25" s="64"/>
      <c r="AB25" s="63">
        <f>IF(AB17&gt;=0,AB17-AB21,"")</f>
        <v>716</v>
      </c>
      <c r="AC25" s="65"/>
      <c r="AD25" s="63">
        <f>IF(AD17&gt;=0,AD17-AD21,"")</f>
        <v>716</v>
      </c>
      <c r="AE25" s="65"/>
    </row>
    <row r="26" spans="2:43" ht="15" customHeight="1" thickBot="1" x14ac:dyDescent="0.35">
      <c r="M26" s="4"/>
      <c r="Q26" s="66"/>
      <c r="R26" s="67">
        <f>IFERROR(IF(R18&gt;0,R18-R22,""),"")</f>
        <v>7469</v>
      </c>
      <c r="S26" s="55"/>
      <c r="T26" s="67">
        <f>IFERROR(IF(T18&gt;0,T18-T22,""),"")</f>
        <v>4351</v>
      </c>
      <c r="U26" s="55"/>
      <c r="V26" s="67">
        <f>IFERROR(IF(V18&gt;0,V18-V22,""),"")</f>
        <v>5940.5</v>
      </c>
      <c r="W26" s="55"/>
      <c r="X26" s="67">
        <f>IFERROR(IF(X18&gt;0,X18-X22,""),"")</f>
        <v>2375.5</v>
      </c>
      <c r="Y26" s="55"/>
      <c r="Z26" s="67">
        <f>IFERROR(IF(Z18&gt;0,Z18-Z22,""),"")</f>
        <v>2484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11401</v>
      </c>
      <c r="D29" s="76">
        <f>C14</f>
        <v>9818</v>
      </c>
      <c r="E29" s="77">
        <f>D29-C29</f>
        <v>-1583</v>
      </c>
      <c r="O29" s="4"/>
    </row>
    <row r="30" spans="2:43" x14ac:dyDescent="0.3">
      <c r="B30" s="74" t="s">
        <v>56</v>
      </c>
      <c r="C30" s="122">
        <v>11708</v>
      </c>
      <c r="D30" s="76">
        <f>C7+C15+C16+C17+C18</f>
        <v>11093</v>
      </c>
      <c r="E30" s="77">
        <f>D30-C30</f>
        <v>-615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2273</v>
      </c>
      <c r="D32" s="76">
        <f>C10+C11+C12+C13</f>
        <v>2273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17035</v>
      </c>
      <c r="D33" s="76">
        <f>C19+C20+C21</f>
        <v>16752</v>
      </c>
      <c r="E33" s="77">
        <f>D33-C33</f>
        <v>-283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4248</v>
      </c>
      <c r="D34" s="80">
        <f>SUM(C8+C9)</f>
        <v>4248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>
        <v>2317</v>
      </c>
      <c r="S35" s="104">
        <f t="shared" ref="S35:S64" si="1">IF(T35&gt;0,(T35-R35)/2,"")</f>
        <v>763.5</v>
      </c>
      <c r="T35" s="104">
        <v>3844</v>
      </c>
      <c r="U35" s="104">
        <f t="shared" ref="U35:U64" si="2">IF(V35&gt;0,(V35-T35)/2,"")</f>
        <v>0</v>
      </c>
      <c r="V35" s="104">
        <v>3844</v>
      </c>
      <c r="W35" s="104">
        <f t="shared" ref="W35:W64" si="3">IF(X35&gt;0,(X35-V35)/2,"")</f>
        <v>0</v>
      </c>
      <c r="X35" s="104">
        <v>3844</v>
      </c>
      <c r="Y35" s="104">
        <f t="shared" ref="Y35:Y64" si="4">IF(Z35&gt;0,(Z35-X35)/2,"")</f>
        <v>20</v>
      </c>
      <c r="Z35" s="104">
        <v>3884</v>
      </c>
      <c r="AA35" s="104">
        <f t="shared" ref="AA35:AA64" si="5">IF(AB35&gt;0,(AB35-Z35)/2,"")</f>
        <v>0</v>
      </c>
      <c r="AB35" s="104">
        <v>3884</v>
      </c>
      <c r="AC35" s="104">
        <f t="shared" ref="AC35:AC64" si="6">IF(AD35&gt;0,(AD35-AB35)/2,"")</f>
        <v>0</v>
      </c>
      <c r="AD35" s="104">
        <v>3884</v>
      </c>
      <c r="AE35" s="105">
        <f t="shared" ref="AE35:AE64" si="7">AD35-Q35</f>
        <v>3884</v>
      </c>
    </row>
    <row r="36" spans="2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24</v>
      </c>
      <c r="T36" s="106">
        <v>48</v>
      </c>
      <c r="U36" s="106">
        <f t="shared" si="2"/>
        <v>0</v>
      </c>
      <c r="V36" s="106">
        <v>48</v>
      </c>
      <c r="W36" s="106">
        <f t="shared" si="3"/>
        <v>0</v>
      </c>
      <c r="X36" s="106">
        <v>48</v>
      </c>
      <c r="Y36" s="106">
        <f t="shared" si="4"/>
        <v>0</v>
      </c>
      <c r="Z36" s="106">
        <v>48</v>
      </c>
      <c r="AA36" s="106">
        <f t="shared" si="5"/>
        <v>0</v>
      </c>
      <c r="AB36" s="106">
        <v>48</v>
      </c>
      <c r="AC36" s="106">
        <f t="shared" si="6"/>
        <v>0</v>
      </c>
      <c r="AD36" s="106">
        <v>48</v>
      </c>
      <c r="AE36" s="107">
        <f t="shared" si="7"/>
        <v>48</v>
      </c>
    </row>
    <row r="37" spans="2:31" ht="15.6" customHeight="1" x14ac:dyDescent="0.3">
      <c r="N37" s="212"/>
      <c r="O37" s="94" t="s">
        <v>67</v>
      </c>
      <c r="P37" s="108"/>
      <c r="Q37" s="108"/>
      <c r="R37" s="108">
        <v>2073</v>
      </c>
      <c r="S37" s="108">
        <f t="shared" si="1"/>
        <v>951.5</v>
      </c>
      <c r="T37" s="108">
        <v>3976</v>
      </c>
      <c r="U37" s="108">
        <f t="shared" si="2"/>
        <v>845.5</v>
      </c>
      <c r="V37" s="108">
        <v>5667</v>
      </c>
      <c r="W37" s="108">
        <f t="shared" si="3"/>
        <v>0</v>
      </c>
      <c r="X37" s="108">
        <v>5667</v>
      </c>
      <c r="Y37" s="108">
        <f t="shared" si="4"/>
        <v>0</v>
      </c>
      <c r="Z37" s="108">
        <v>5667</v>
      </c>
      <c r="AA37" s="108">
        <f t="shared" si="5"/>
        <v>0</v>
      </c>
      <c r="AB37" s="108">
        <v>5667</v>
      </c>
      <c r="AC37" s="108">
        <f t="shared" si="6"/>
        <v>0</v>
      </c>
      <c r="AD37" s="108">
        <v>5667</v>
      </c>
      <c r="AE37" s="109">
        <f t="shared" si="7"/>
        <v>5667</v>
      </c>
    </row>
    <row r="38" spans="2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 t="str">
        <f t="shared" si="3"/>
        <v/>
      </c>
      <c r="X38" s="106">
        <v>0</v>
      </c>
      <c r="Y38" s="106">
        <f t="shared" si="4"/>
        <v>2044.5</v>
      </c>
      <c r="Z38" s="106">
        <v>4089</v>
      </c>
      <c r="AA38" s="106">
        <f t="shared" si="5"/>
        <v>0</v>
      </c>
      <c r="AB38" s="106">
        <v>4089</v>
      </c>
      <c r="AC38" s="106">
        <f t="shared" si="6"/>
        <v>0</v>
      </c>
      <c r="AD38" s="106">
        <v>4089</v>
      </c>
      <c r="AE38" s="107">
        <f t="shared" si="7"/>
        <v>4089</v>
      </c>
    </row>
    <row r="39" spans="2:31" ht="15.6" customHeight="1" x14ac:dyDescent="0.3">
      <c r="N39" s="212"/>
      <c r="O39" s="94" t="s">
        <v>69</v>
      </c>
      <c r="P39" s="108"/>
      <c r="Q39" s="108"/>
      <c r="R39" s="108">
        <v>0</v>
      </c>
      <c r="S39" s="108">
        <f t="shared" si="1"/>
        <v>92.5</v>
      </c>
      <c r="T39" s="108">
        <v>185</v>
      </c>
      <c r="U39" s="108">
        <f t="shared" si="2"/>
        <v>0</v>
      </c>
      <c r="V39" s="108">
        <v>185</v>
      </c>
      <c r="W39" s="108">
        <f t="shared" si="3"/>
        <v>0</v>
      </c>
      <c r="X39" s="108">
        <v>185</v>
      </c>
      <c r="Y39" s="108">
        <f t="shared" si="4"/>
        <v>780.5</v>
      </c>
      <c r="Z39" s="108">
        <v>1746</v>
      </c>
      <c r="AA39" s="108">
        <f t="shared" si="5"/>
        <v>0</v>
      </c>
      <c r="AB39" s="108">
        <v>1746</v>
      </c>
      <c r="AC39" s="108">
        <f t="shared" si="6"/>
        <v>0</v>
      </c>
      <c r="AD39" s="108">
        <v>1746</v>
      </c>
      <c r="AE39" s="109">
        <f t="shared" si="7"/>
        <v>1746</v>
      </c>
    </row>
    <row r="40" spans="2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170</v>
      </c>
      <c r="T44" s="112">
        <v>340</v>
      </c>
      <c r="U44" s="112">
        <f t="shared" si="2"/>
        <v>119.5</v>
      </c>
      <c r="V44" s="112">
        <v>579</v>
      </c>
      <c r="W44" s="112">
        <f t="shared" si="3"/>
        <v>127</v>
      </c>
      <c r="X44" s="112">
        <v>833</v>
      </c>
      <c r="Y44" s="112">
        <f t="shared" si="4"/>
        <v>0</v>
      </c>
      <c r="Z44" s="112">
        <v>833</v>
      </c>
      <c r="AA44" s="112">
        <f t="shared" si="5"/>
        <v>0</v>
      </c>
      <c r="AB44" s="112">
        <v>833</v>
      </c>
      <c r="AC44" s="112">
        <f t="shared" si="6"/>
        <v>0</v>
      </c>
      <c r="AD44" s="112">
        <v>833</v>
      </c>
      <c r="AE44" s="113">
        <f t="shared" si="7"/>
        <v>833</v>
      </c>
    </row>
    <row r="45" spans="2:31" ht="15.6" customHeight="1" x14ac:dyDescent="0.3">
      <c r="N45" s="212"/>
      <c r="O45" s="94" t="s">
        <v>66</v>
      </c>
      <c r="P45" s="108"/>
      <c r="Q45" s="108"/>
      <c r="R45" s="108">
        <v>0</v>
      </c>
      <c r="S45" s="108">
        <f t="shared" si="1"/>
        <v>120</v>
      </c>
      <c r="T45" s="108">
        <v>240</v>
      </c>
      <c r="U45" s="108">
        <f t="shared" si="2"/>
        <v>465</v>
      </c>
      <c r="V45" s="108">
        <v>1170</v>
      </c>
      <c r="W45" s="108">
        <f t="shared" si="3"/>
        <v>176.5</v>
      </c>
      <c r="X45" s="108">
        <v>1523</v>
      </c>
      <c r="Y45" s="108">
        <f t="shared" si="4"/>
        <v>0</v>
      </c>
      <c r="Z45" s="108">
        <v>1523</v>
      </c>
      <c r="AA45" s="108">
        <f t="shared" si="5"/>
        <v>0</v>
      </c>
      <c r="AB45" s="108">
        <v>1523</v>
      </c>
      <c r="AC45" s="108">
        <f t="shared" si="6"/>
        <v>0</v>
      </c>
      <c r="AD45" s="108">
        <v>1523</v>
      </c>
      <c r="AE45" s="109">
        <f t="shared" si="7"/>
        <v>1523</v>
      </c>
    </row>
    <row r="46" spans="2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>
        <v>1799</v>
      </c>
      <c r="S48" s="112">
        <f t="shared" si="1"/>
        <v>0</v>
      </c>
      <c r="T48" s="112">
        <v>1799</v>
      </c>
      <c r="U48" s="112">
        <f t="shared" si="2"/>
        <v>131.5</v>
      </c>
      <c r="V48" s="112">
        <v>2062</v>
      </c>
      <c r="W48" s="112">
        <f t="shared" si="3"/>
        <v>0</v>
      </c>
      <c r="X48" s="112">
        <v>2062</v>
      </c>
      <c r="Y48" s="112">
        <f t="shared" si="4"/>
        <v>0</v>
      </c>
      <c r="Z48" s="112">
        <v>2062</v>
      </c>
      <c r="AA48" s="112">
        <f t="shared" si="5"/>
        <v>0</v>
      </c>
      <c r="AB48" s="112">
        <v>2062</v>
      </c>
      <c r="AC48" s="112">
        <f t="shared" si="6"/>
        <v>0</v>
      </c>
      <c r="AD48" s="112">
        <v>2062</v>
      </c>
      <c r="AE48" s="113">
        <f t="shared" si="7"/>
        <v>2062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0</v>
      </c>
      <c r="S49" s="108" t="str">
        <f t="shared" si="1"/>
        <v/>
      </c>
      <c r="T49" s="108">
        <v>0</v>
      </c>
      <c r="U49" s="108">
        <f t="shared" si="2"/>
        <v>1363</v>
      </c>
      <c r="V49" s="108">
        <v>2726</v>
      </c>
      <c r="W49" s="108">
        <f t="shared" si="3"/>
        <v>41</v>
      </c>
      <c r="X49" s="108">
        <v>2808</v>
      </c>
      <c r="Y49" s="108">
        <f t="shared" si="4"/>
        <v>0</v>
      </c>
      <c r="Z49" s="108">
        <v>2808</v>
      </c>
      <c r="AA49" s="108">
        <f t="shared" si="5"/>
        <v>0</v>
      </c>
      <c r="AB49" s="108">
        <v>2808</v>
      </c>
      <c r="AC49" s="108">
        <f t="shared" si="6"/>
        <v>0</v>
      </c>
      <c r="AD49" s="108">
        <v>2808</v>
      </c>
      <c r="AE49" s="109">
        <f t="shared" si="7"/>
        <v>2808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330</v>
      </c>
      <c r="S50" s="106">
        <f t="shared" si="1"/>
        <v>0</v>
      </c>
      <c r="T50" s="106">
        <v>330</v>
      </c>
      <c r="U50" s="106">
        <f t="shared" si="2"/>
        <v>0</v>
      </c>
      <c r="V50" s="106">
        <v>330</v>
      </c>
      <c r="W50" s="106">
        <f t="shared" si="3"/>
        <v>0</v>
      </c>
      <c r="X50" s="106">
        <v>330</v>
      </c>
      <c r="Y50" s="106">
        <f t="shared" si="4"/>
        <v>0</v>
      </c>
      <c r="Z50" s="106">
        <v>330</v>
      </c>
      <c r="AA50" s="106">
        <f t="shared" si="5"/>
        <v>0</v>
      </c>
      <c r="AB50" s="106">
        <v>330</v>
      </c>
      <c r="AC50" s="106">
        <f t="shared" si="6"/>
        <v>0</v>
      </c>
      <c r="AD50" s="106">
        <v>330</v>
      </c>
      <c r="AE50" s="107">
        <f t="shared" si="7"/>
        <v>330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 t="str">
        <f t="shared" si="1"/>
        <v/>
      </c>
      <c r="T51" s="108">
        <v>0</v>
      </c>
      <c r="U51" s="108" t="str">
        <f t="shared" si="2"/>
        <v/>
      </c>
      <c r="V51" s="108">
        <v>0</v>
      </c>
      <c r="W51" s="108" t="str">
        <f t="shared" si="3"/>
        <v/>
      </c>
      <c r="X51" s="108">
        <v>0</v>
      </c>
      <c r="Y51" s="108" t="str">
        <f t="shared" si="4"/>
        <v/>
      </c>
      <c r="Z51" s="108">
        <v>0</v>
      </c>
      <c r="AA51" s="108" t="str">
        <f t="shared" si="5"/>
        <v/>
      </c>
      <c r="AB51" s="108">
        <v>0</v>
      </c>
      <c r="AC51" s="108" t="str">
        <f t="shared" si="6"/>
        <v/>
      </c>
      <c r="AD51" s="108">
        <v>0</v>
      </c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682</v>
      </c>
      <c r="S52" s="106">
        <f t="shared" si="1"/>
        <v>2</v>
      </c>
      <c r="T52" s="106">
        <v>686</v>
      </c>
      <c r="U52" s="106">
        <f t="shared" si="2"/>
        <v>52</v>
      </c>
      <c r="V52" s="106">
        <v>790</v>
      </c>
      <c r="W52" s="106">
        <f t="shared" si="3"/>
        <v>-129</v>
      </c>
      <c r="X52" s="106">
        <v>532</v>
      </c>
      <c r="Y52" s="106">
        <f t="shared" si="4"/>
        <v>0</v>
      </c>
      <c r="Z52" s="106">
        <v>532</v>
      </c>
      <c r="AA52" s="106">
        <f t="shared" si="5"/>
        <v>0</v>
      </c>
      <c r="AB52" s="106">
        <v>532</v>
      </c>
      <c r="AC52" s="106">
        <f t="shared" si="6"/>
        <v>0</v>
      </c>
      <c r="AD52" s="106">
        <v>532</v>
      </c>
      <c r="AE52" s="107">
        <f t="shared" si="7"/>
        <v>532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410.5</v>
      </c>
      <c r="T53" s="108">
        <v>821</v>
      </c>
      <c r="U53" s="108">
        <f t="shared" si="2"/>
        <v>501</v>
      </c>
      <c r="V53" s="108">
        <v>1823</v>
      </c>
      <c r="W53" s="108">
        <f t="shared" si="3"/>
        <v>268</v>
      </c>
      <c r="X53" s="108">
        <v>2359</v>
      </c>
      <c r="Y53" s="108">
        <f t="shared" si="4"/>
        <v>0</v>
      </c>
      <c r="Z53" s="108">
        <v>2359</v>
      </c>
      <c r="AA53" s="108">
        <f t="shared" si="5"/>
        <v>0</v>
      </c>
      <c r="AB53" s="108">
        <v>2359</v>
      </c>
      <c r="AC53" s="108">
        <f t="shared" si="6"/>
        <v>0</v>
      </c>
      <c r="AD53" s="108">
        <v>2359</v>
      </c>
      <c r="AE53" s="109">
        <f t="shared" si="7"/>
        <v>2359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1284</v>
      </c>
      <c r="S57" s="104">
        <f t="shared" si="1"/>
        <v>125.5</v>
      </c>
      <c r="T57" s="104">
        <v>1535</v>
      </c>
      <c r="U57" s="104">
        <f t="shared" si="2"/>
        <v>457</v>
      </c>
      <c r="V57" s="104">
        <v>2449</v>
      </c>
      <c r="W57" s="104">
        <f t="shared" si="3"/>
        <v>96.5</v>
      </c>
      <c r="X57" s="104">
        <v>2642</v>
      </c>
      <c r="Y57" s="104">
        <f t="shared" si="4"/>
        <v>0</v>
      </c>
      <c r="Z57" s="104">
        <v>2642</v>
      </c>
      <c r="AA57" s="104">
        <f t="shared" si="5"/>
        <v>0</v>
      </c>
      <c r="AB57" s="104">
        <v>2642</v>
      </c>
      <c r="AC57" s="104">
        <f t="shared" si="6"/>
        <v>0</v>
      </c>
      <c r="AD57" s="104">
        <v>2642</v>
      </c>
      <c r="AE57" s="105">
        <f t="shared" si="7"/>
        <v>2642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273</v>
      </c>
      <c r="S58" s="106">
        <f t="shared" si="1"/>
        <v>282</v>
      </c>
      <c r="T58" s="106">
        <v>837</v>
      </c>
      <c r="U58" s="106">
        <f t="shared" si="2"/>
        <v>718</v>
      </c>
      <c r="V58" s="106">
        <v>2273</v>
      </c>
      <c r="W58" s="106">
        <f t="shared" si="3"/>
        <v>0</v>
      </c>
      <c r="X58" s="106">
        <v>2273</v>
      </c>
      <c r="Y58" s="106">
        <f t="shared" si="4"/>
        <v>0</v>
      </c>
      <c r="Z58" s="106">
        <v>2273</v>
      </c>
      <c r="AA58" s="106">
        <f t="shared" si="5"/>
        <v>0</v>
      </c>
      <c r="AB58" s="106">
        <v>2273</v>
      </c>
      <c r="AC58" s="106">
        <f t="shared" si="6"/>
        <v>0</v>
      </c>
      <c r="AD58" s="106">
        <v>2273</v>
      </c>
      <c r="AE58" s="107">
        <f t="shared" si="7"/>
        <v>2273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1457</v>
      </c>
      <c r="S59" s="108">
        <f t="shared" si="1"/>
        <v>162.5</v>
      </c>
      <c r="T59" s="108">
        <v>1782</v>
      </c>
      <c r="U59" s="108">
        <f t="shared" si="2"/>
        <v>129</v>
      </c>
      <c r="V59" s="108">
        <v>2040</v>
      </c>
      <c r="W59" s="108">
        <f t="shared" si="3"/>
        <v>0</v>
      </c>
      <c r="X59" s="108">
        <v>2040</v>
      </c>
      <c r="Y59" s="108">
        <f t="shared" si="4"/>
        <v>0</v>
      </c>
      <c r="Z59" s="108">
        <v>2040</v>
      </c>
      <c r="AA59" s="108">
        <f t="shared" si="5"/>
        <v>0</v>
      </c>
      <c r="AB59" s="108">
        <v>2040</v>
      </c>
      <c r="AC59" s="108">
        <f t="shared" si="6"/>
        <v>0</v>
      </c>
      <c r="AD59" s="108">
        <v>2040</v>
      </c>
      <c r="AE59" s="109">
        <f t="shared" si="7"/>
        <v>2040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652</v>
      </c>
      <c r="S60" s="114">
        <f t="shared" si="1"/>
        <v>319.5</v>
      </c>
      <c r="T60" s="114">
        <v>1291</v>
      </c>
      <c r="U60" s="114">
        <f t="shared" si="2"/>
        <v>0</v>
      </c>
      <c r="V60" s="114">
        <v>1291</v>
      </c>
      <c r="W60" s="114">
        <f t="shared" si="3"/>
        <v>0</v>
      </c>
      <c r="X60" s="114">
        <v>1291</v>
      </c>
      <c r="Y60" s="114">
        <f t="shared" si="4"/>
        <v>0</v>
      </c>
      <c r="Z60" s="114">
        <v>1291</v>
      </c>
      <c r="AA60" s="114">
        <f t="shared" si="5"/>
        <v>0</v>
      </c>
      <c r="AB60" s="114">
        <v>1291</v>
      </c>
      <c r="AC60" s="114">
        <f t="shared" si="6"/>
        <v>0</v>
      </c>
      <c r="AD60" s="114">
        <v>1291</v>
      </c>
      <c r="AE60" s="115">
        <f t="shared" si="7"/>
        <v>1291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931</v>
      </c>
      <c r="S61" s="104">
        <f t="shared" si="1"/>
        <v>137</v>
      </c>
      <c r="T61" s="104">
        <v>1205</v>
      </c>
      <c r="U61" s="104">
        <f t="shared" si="2"/>
        <v>303</v>
      </c>
      <c r="V61" s="104">
        <v>1811</v>
      </c>
      <c r="W61" s="104">
        <f t="shared" si="3"/>
        <v>242.5</v>
      </c>
      <c r="X61" s="104">
        <v>2296</v>
      </c>
      <c r="Y61" s="104">
        <f t="shared" si="4"/>
        <v>-1</v>
      </c>
      <c r="Z61" s="104">
        <v>2294</v>
      </c>
      <c r="AA61" s="104">
        <f t="shared" si="5"/>
        <v>0</v>
      </c>
      <c r="AB61" s="104">
        <v>2294</v>
      </c>
      <c r="AC61" s="104">
        <f t="shared" si="6"/>
        <v>0</v>
      </c>
      <c r="AD61" s="104">
        <v>2294</v>
      </c>
      <c r="AE61" s="105">
        <f t="shared" si="7"/>
        <v>2294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75</v>
      </c>
      <c r="S62" s="106">
        <f t="shared" si="1"/>
        <v>91</v>
      </c>
      <c r="T62" s="106">
        <v>257</v>
      </c>
      <c r="U62" s="106">
        <f t="shared" si="2"/>
        <v>66</v>
      </c>
      <c r="V62" s="106">
        <v>389</v>
      </c>
      <c r="W62" s="106">
        <f t="shared" si="3"/>
        <v>6.5</v>
      </c>
      <c r="X62" s="106">
        <v>402</v>
      </c>
      <c r="Y62" s="106">
        <f t="shared" si="4"/>
        <v>0</v>
      </c>
      <c r="Z62" s="106">
        <v>402</v>
      </c>
      <c r="AA62" s="106">
        <f t="shared" si="5"/>
        <v>0</v>
      </c>
      <c r="AB62" s="106">
        <v>402</v>
      </c>
      <c r="AC62" s="106">
        <f t="shared" si="6"/>
        <v>0</v>
      </c>
      <c r="AD62" s="106">
        <v>402</v>
      </c>
      <c r="AE62" s="107">
        <f t="shared" si="7"/>
        <v>402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445</v>
      </c>
      <c r="S63" s="108">
        <f t="shared" si="1"/>
        <v>48</v>
      </c>
      <c r="T63" s="108">
        <v>541</v>
      </c>
      <c r="U63" s="108">
        <f t="shared" si="2"/>
        <v>53.5</v>
      </c>
      <c r="V63" s="108">
        <v>648</v>
      </c>
      <c r="W63" s="108">
        <f t="shared" si="3"/>
        <v>62</v>
      </c>
      <c r="X63" s="108">
        <v>772</v>
      </c>
      <c r="Y63" s="108">
        <f t="shared" si="4"/>
        <v>0</v>
      </c>
      <c r="Z63" s="108">
        <v>772</v>
      </c>
      <c r="AA63" s="108">
        <f t="shared" si="5"/>
        <v>0</v>
      </c>
      <c r="AB63" s="108">
        <v>772</v>
      </c>
      <c r="AC63" s="108">
        <f t="shared" si="6"/>
        <v>0</v>
      </c>
      <c r="AD63" s="108">
        <v>772</v>
      </c>
      <c r="AE63" s="109">
        <f t="shared" si="7"/>
        <v>772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768</v>
      </c>
      <c r="S64" s="114">
        <f t="shared" si="1"/>
        <v>212.5</v>
      </c>
      <c r="T64" s="114">
        <v>1193</v>
      </c>
      <c r="U64" s="114">
        <f t="shared" si="2"/>
        <v>246.5</v>
      </c>
      <c r="V64" s="114">
        <v>1686</v>
      </c>
      <c r="W64" s="114">
        <f t="shared" si="3"/>
        <v>1078.5</v>
      </c>
      <c r="X64" s="114">
        <v>3843</v>
      </c>
      <c r="Y64" s="114">
        <f t="shared" si="4"/>
        <v>-360</v>
      </c>
      <c r="Z64" s="114">
        <v>3123</v>
      </c>
      <c r="AA64" s="114">
        <f t="shared" si="5"/>
        <v>0</v>
      </c>
      <c r="AB64" s="114">
        <v>3123</v>
      </c>
      <c r="AC64" s="114">
        <f t="shared" si="6"/>
        <v>0</v>
      </c>
      <c r="AD64" s="114">
        <v>3123</v>
      </c>
      <c r="AE64" s="115">
        <f t="shared" si="7"/>
        <v>3123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51" priority="11" operator="lessThan">
      <formula>0</formula>
    </cfRule>
    <cfRule type="cellIs" dxfId="850" priority="12" operator="greaterThan">
      <formula>0</formula>
    </cfRule>
  </conditionalFormatting>
  <conditionalFormatting sqref="R25:AC25">
    <cfRule type="cellIs" dxfId="849" priority="9" operator="lessThan">
      <formula>0</formula>
    </cfRule>
    <cfRule type="cellIs" dxfId="848" priority="10" operator="greaterThan">
      <formula>0</formula>
    </cfRule>
  </conditionalFormatting>
  <conditionalFormatting sqref="R26 T26 V26 X26 Z26 AB26">
    <cfRule type="cellIs" dxfId="847" priority="7" operator="lessThan">
      <formula>0</formula>
    </cfRule>
    <cfRule type="cellIs" dxfId="846" priority="8" operator="greaterThan">
      <formula>0</formula>
    </cfRule>
  </conditionalFormatting>
  <conditionalFormatting sqref="AD24:AE24">
    <cfRule type="cellIs" dxfId="845" priority="5" operator="lessThan">
      <formula>0</formula>
    </cfRule>
    <cfRule type="cellIs" dxfId="844" priority="6" operator="greaterThan">
      <formula>0</formula>
    </cfRule>
  </conditionalFormatting>
  <conditionalFormatting sqref="AD25:AE25">
    <cfRule type="cellIs" dxfId="843" priority="3" operator="lessThan">
      <formula>0</formula>
    </cfRule>
    <cfRule type="cellIs" dxfId="842" priority="4" operator="greaterThan">
      <formula>0</formula>
    </cfRule>
  </conditionalFormatting>
  <conditionalFormatting sqref="AD26">
    <cfRule type="cellIs" dxfId="841" priority="1" operator="lessThan">
      <formula>0</formula>
    </cfRule>
    <cfRule type="cellIs" dxfId="84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44448</v>
      </c>
    </row>
    <row r="3" spans="2:42" ht="18.75" customHeight="1" thickBot="1" x14ac:dyDescent="0.35">
      <c r="B3" t="s">
        <v>1</v>
      </c>
      <c r="C3" s="3">
        <f>C2+1</f>
        <v>44449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5390</v>
      </c>
      <c r="E6" s="18" t="s">
        <v>22</v>
      </c>
      <c r="F6" s="119">
        <v>22938</v>
      </c>
      <c r="G6" s="117">
        <v>11613.234</v>
      </c>
      <c r="H6" s="117">
        <v>12898.648989080009</v>
      </c>
      <c r="I6" s="19">
        <f>G6+H6</f>
        <v>24511.882989080012</v>
      </c>
      <c r="J6" s="119">
        <v>23210</v>
      </c>
      <c r="K6" s="117">
        <v>11701.476375</v>
      </c>
      <c r="L6" s="117">
        <v>8321.831399259996</v>
      </c>
      <c r="M6" s="19">
        <f>K6+L6</f>
        <v>20023.307774259996</v>
      </c>
      <c r="N6" s="85">
        <v>73</v>
      </c>
      <c r="O6" s="85">
        <v>58</v>
      </c>
      <c r="P6" s="92"/>
      <c r="Q6" s="20">
        <f>J6-P6</f>
        <v>23210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3219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2333</v>
      </c>
      <c r="E8" s="29" t="s">
        <v>27</v>
      </c>
      <c r="F8" s="119">
        <v>4785</v>
      </c>
      <c r="G8" s="117">
        <v>4987.5645000000022</v>
      </c>
      <c r="H8" s="117">
        <v>1915.206000000001</v>
      </c>
      <c r="I8" s="19">
        <f>G8+H8</f>
        <v>6902.7705000000033</v>
      </c>
      <c r="J8" s="119">
        <v>4764</v>
      </c>
      <c r="K8" s="117">
        <v>4372.3015000000014</v>
      </c>
      <c r="L8" s="117">
        <v>6170.1178824999943</v>
      </c>
      <c r="M8" s="19">
        <f>K8+L8</f>
        <v>10542.419382499997</v>
      </c>
      <c r="N8" s="87">
        <v>17</v>
      </c>
      <c r="O8" s="87">
        <v>8</v>
      </c>
      <c r="P8" s="92"/>
      <c r="Q8" s="20">
        <f>J8-P8</f>
        <v>4764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1687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3915</v>
      </c>
      <c r="E10" s="18" t="s">
        <v>31</v>
      </c>
      <c r="F10" s="119">
        <v>25186</v>
      </c>
      <c r="G10" s="117">
        <v>19212.398843750001</v>
      </c>
      <c r="H10" s="117">
        <v>2136.0564975000002</v>
      </c>
      <c r="I10" s="19">
        <f>G10+H10</f>
        <v>21348.455341250003</v>
      </c>
      <c r="J10" s="119">
        <v>25461</v>
      </c>
      <c r="K10" s="117">
        <v>19506.917343749999</v>
      </c>
      <c r="L10" s="117">
        <v>2125.8642617</v>
      </c>
      <c r="M10" s="19">
        <f>K10+L10</f>
        <v>21632.78160545</v>
      </c>
      <c r="N10" s="88">
        <v>53</v>
      </c>
      <c r="O10" s="88">
        <v>45</v>
      </c>
      <c r="P10" s="92"/>
      <c r="Q10" s="20">
        <f>J10-P10</f>
        <v>25461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24" t="s">
        <v>34</v>
      </c>
      <c r="C12" s="17">
        <v>0</v>
      </c>
      <c r="E12" s="29" t="s">
        <v>35</v>
      </c>
      <c r="F12" s="119">
        <v>12969</v>
      </c>
      <c r="G12" s="117">
        <v>12582.548500000001</v>
      </c>
      <c r="H12" s="117">
        <v>18827.956842949981</v>
      </c>
      <c r="I12" s="19">
        <f>G12+H12</f>
        <v>31410.505342949982</v>
      </c>
      <c r="J12" s="119">
        <v>12723</v>
      </c>
      <c r="K12" s="117">
        <v>12514.414375</v>
      </c>
      <c r="L12" s="117">
        <v>19231.249812859998</v>
      </c>
      <c r="M12" s="19">
        <f>K12+L12</f>
        <v>31745.664187859998</v>
      </c>
      <c r="N12" s="88">
        <v>46</v>
      </c>
      <c r="O12" s="88">
        <v>35</v>
      </c>
      <c r="P12" s="92"/>
      <c r="Q12" s="20">
        <f>J12-P12</f>
        <v>12723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11867</v>
      </c>
      <c r="E14" s="18" t="s">
        <v>39</v>
      </c>
      <c r="F14" s="119">
        <v>24626</v>
      </c>
      <c r="G14" s="117">
        <v>17603.875</v>
      </c>
      <c r="H14" s="117">
        <v>21648.729465569992</v>
      </c>
      <c r="I14" s="19">
        <f>G14+H14</f>
        <v>39252.604465569995</v>
      </c>
      <c r="J14" s="119">
        <v>26299</v>
      </c>
      <c r="K14" s="117">
        <v>20206.21875</v>
      </c>
      <c r="L14" s="117">
        <v>24302.412714660011</v>
      </c>
      <c r="M14" s="19">
        <f>K14+L14</f>
        <v>44508.631464660008</v>
      </c>
      <c r="N14" s="88">
        <v>59</v>
      </c>
      <c r="O14" s="88">
        <v>47</v>
      </c>
      <c r="P14" s="92"/>
      <c r="Q14" s="20">
        <f>J14-P14</f>
        <v>26299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3392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16257</v>
      </c>
      <c r="E16" s="84"/>
      <c r="F16" s="31">
        <f t="shared" ref="F16:M16" si="0">SUM(F6:F15)</f>
        <v>90504</v>
      </c>
      <c r="G16" s="31">
        <f t="shared" si="0"/>
        <v>65999.620843750003</v>
      </c>
      <c r="H16" s="31">
        <f t="shared" si="0"/>
        <v>57426.59779509998</v>
      </c>
      <c r="I16" s="32">
        <f t="shared" si="0"/>
        <v>123426.21863885</v>
      </c>
      <c r="J16" s="33">
        <f t="shared" si="0"/>
        <v>92457</v>
      </c>
      <c r="K16" s="33">
        <f t="shared" si="0"/>
        <v>68301.328343750007</v>
      </c>
      <c r="L16" s="33">
        <f t="shared" si="0"/>
        <v>60151.476070980003</v>
      </c>
      <c r="M16" s="33">
        <f t="shared" si="0"/>
        <v>128452.80441473001</v>
      </c>
      <c r="N16" s="31">
        <f>SUM(N14,N12,N10,N8,N6)</f>
        <v>248</v>
      </c>
      <c r="O16" s="31">
        <f>SUM(O14,O12,O10,O8,O6)</f>
        <v>193</v>
      </c>
      <c r="P16" s="34">
        <f>SUM(P6:P15)</f>
        <v>0</v>
      </c>
      <c r="Q16" s="34">
        <f>SUM(Q6:Q15)</f>
        <v>92457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2110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591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8757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2705</v>
      </c>
      <c r="L20" s="4"/>
      <c r="M20" s="4"/>
      <c r="Q20" s="51" t="s">
        <v>49</v>
      </c>
      <c r="R20" s="35">
        <v>14938</v>
      </c>
      <c r="S20" s="36">
        <v>-51078</v>
      </c>
      <c r="T20" s="35">
        <v>23640</v>
      </c>
      <c r="U20" s="36">
        <v>-42376</v>
      </c>
      <c r="V20" s="35">
        <v>35521</v>
      </c>
      <c r="W20" s="36">
        <v>-30495</v>
      </c>
      <c r="X20" s="35">
        <v>40272</v>
      </c>
      <c r="Y20" s="36">
        <v>-25744</v>
      </c>
      <c r="Z20" s="35">
        <v>45240</v>
      </c>
      <c r="AA20" s="36">
        <v>-20776</v>
      </c>
      <c r="AB20" s="35">
        <v>45240</v>
      </c>
      <c r="AC20" s="37">
        <v>-20776</v>
      </c>
      <c r="AD20" s="35">
        <v>45240</v>
      </c>
      <c r="AE20" s="37">
        <v>-20776</v>
      </c>
    </row>
    <row r="21" spans="2:43" ht="15" customHeight="1" thickBot="1" x14ac:dyDescent="0.35">
      <c r="B21" s="57" t="s">
        <v>52</v>
      </c>
      <c r="C21" s="58">
        <v>4322</v>
      </c>
      <c r="M21" s="4"/>
      <c r="Q21" s="52"/>
      <c r="R21" s="40">
        <v>479</v>
      </c>
      <c r="S21" s="41"/>
      <c r="T21" s="40">
        <v>543</v>
      </c>
      <c r="U21" s="41"/>
      <c r="V21" s="40">
        <v>677</v>
      </c>
      <c r="W21" s="41"/>
      <c r="X21" s="40">
        <v>716</v>
      </c>
      <c r="Y21" s="41"/>
      <c r="Z21" s="40">
        <v>716</v>
      </c>
      <c r="AA21" s="41"/>
      <c r="AB21" s="40">
        <v>716</v>
      </c>
      <c r="AC21" s="42"/>
      <c r="AD21" s="40">
        <v>716</v>
      </c>
      <c r="AE21" s="42"/>
    </row>
    <row r="22" spans="2:43" ht="15" customHeight="1" thickBot="1" x14ac:dyDescent="0.35">
      <c r="M22" s="4"/>
      <c r="Q22" s="54"/>
      <c r="R22" s="47">
        <v>7469</v>
      </c>
      <c r="S22" s="46"/>
      <c r="T22" s="47">
        <v>4351</v>
      </c>
      <c r="U22" s="46"/>
      <c r="V22" s="47">
        <v>5940.5</v>
      </c>
      <c r="W22" s="46"/>
      <c r="X22" s="47">
        <v>2375.5</v>
      </c>
      <c r="Y22" s="46"/>
      <c r="Z22" s="47">
        <v>2484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-479</v>
      </c>
      <c r="S25" s="64"/>
      <c r="T25" s="63">
        <f>IF(T17&gt;=0,T17-T21,"")</f>
        <v>-543</v>
      </c>
      <c r="U25" s="64"/>
      <c r="V25" s="63">
        <f>IF(V17&gt;=0,V17-V21,"")</f>
        <v>-677</v>
      </c>
      <c r="W25" s="64"/>
      <c r="X25" s="63">
        <f>IF(X17&gt;=0,X17-X21,"")</f>
        <v>-716</v>
      </c>
      <c r="Y25" s="64"/>
      <c r="Z25" s="63">
        <f>IF(Z17&gt;=0,Z17-Z21,"")</f>
        <v>-716</v>
      </c>
      <c r="AA25" s="64"/>
      <c r="AB25" s="63">
        <f>IF(AB17&gt;=0,AB17-AB21,"")</f>
        <v>-716</v>
      </c>
      <c r="AC25" s="65"/>
      <c r="AD25" s="63">
        <f>IF(AD17&gt;=0,AD17-AD21,"")</f>
        <v>-716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12398</v>
      </c>
      <c r="D29" s="76">
        <f>C14</f>
        <v>11867</v>
      </c>
      <c r="E29" s="77">
        <f>D29-C29</f>
        <v>-531</v>
      </c>
      <c r="O29" s="4"/>
    </row>
    <row r="30" spans="2:43" x14ac:dyDescent="0.3">
      <c r="B30" s="74" t="s">
        <v>56</v>
      </c>
      <c r="C30" s="122">
        <v>38718</v>
      </c>
      <c r="D30" s="76">
        <f>C7+C15+C16+C17+C18</f>
        <v>25569</v>
      </c>
      <c r="E30" s="77">
        <f>D30-C30</f>
        <v>-13149</v>
      </c>
      <c r="J30" s="53"/>
      <c r="O30" s="4"/>
    </row>
    <row r="31" spans="2:43" x14ac:dyDescent="0.3">
      <c r="B31" s="74" t="s">
        <v>21</v>
      </c>
      <c r="C31" s="122">
        <v>5390</v>
      </c>
      <c r="D31" s="76">
        <f>C6</f>
        <v>5390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3915</v>
      </c>
      <c r="D32" s="76">
        <f>C10+C11+C12+C13</f>
        <v>3915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15636</v>
      </c>
      <c r="D33" s="76">
        <f>C19+C20+C21</f>
        <v>15784</v>
      </c>
      <c r="E33" s="77">
        <f>D33-C33</f>
        <v>148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4020</v>
      </c>
      <c r="D34" s="80">
        <f>SUM(C8+C9)</f>
        <v>4020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39" priority="11" operator="lessThan">
      <formula>0</formula>
    </cfRule>
    <cfRule type="cellIs" dxfId="838" priority="12" operator="greaterThan">
      <formula>0</formula>
    </cfRule>
  </conditionalFormatting>
  <conditionalFormatting sqref="R25:AC25">
    <cfRule type="cellIs" dxfId="837" priority="9" operator="lessThan">
      <formula>0</formula>
    </cfRule>
    <cfRule type="cellIs" dxfId="836" priority="10" operator="greaterThan">
      <formula>0</formula>
    </cfRule>
  </conditionalFormatting>
  <conditionalFormatting sqref="R26 T26 V26 X26 Z26 AB26">
    <cfRule type="cellIs" dxfId="835" priority="7" operator="lessThan">
      <formula>0</formula>
    </cfRule>
    <cfRule type="cellIs" dxfId="834" priority="8" operator="greaterThan">
      <formula>0</formula>
    </cfRule>
  </conditionalFormatting>
  <conditionalFormatting sqref="AD24:AE24">
    <cfRule type="cellIs" dxfId="833" priority="5" operator="lessThan">
      <formula>0</formula>
    </cfRule>
    <cfRule type="cellIs" dxfId="832" priority="6" operator="greaterThan">
      <formula>0</formula>
    </cfRule>
  </conditionalFormatting>
  <conditionalFormatting sqref="AD25:AE25">
    <cfRule type="cellIs" dxfId="831" priority="3" operator="lessThan">
      <formula>0</formula>
    </cfRule>
    <cfRule type="cellIs" dxfId="830" priority="4" operator="greaterThan">
      <formula>0</formula>
    </cfRule>
  </conditionalFormatting>
  <conditionalFormatting sqref="AD26">
    <cfRule type="cellIs" dxfId="829" priority="1" operator="lessThan">
      <formula>0</formula>
    </cfRule>
    <cfRule type="cellIs" dxfId="82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44449</v>
      </c>
    </row>
    <row r="3" spans="2:42" ht="18.75" customHeight="1" thickBot="1" x14ac:dyDescent="0.35">
      <c r="B3" t="s">
        <v>1</v>
      </c>
      <c r="C3" s="3">
        <f>C2+1</f>
        <v>44450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17887</v>
      </c>
      <c r="G6" s="117">
        <v>8873.7724999999991</v>
      </c>
      <c r="H6" s="117">
        <v>3732.97004066</v>
      </c>
      <c r="I6" s="19">
        <f>G6+H6</f>
        <v>12606.74254066</v>
      </c>
      <c r="J6" s="119">
        <v>17207</v>
      </c>
      <c r="K6" s="117">
        <v>8514.6646250000013</v>
      </c>
      <c r="L6" s="117">
        <v>3538.4167440800002</v>
      </c>
      <c r="M6" s="19">
        <f>K6+L6</f>
        <v>12053.081369080002</v>
      </c>
      <c r="N6" s="85">
        <v>66</v>
      </c>
      <c r="O6" s="85">
        <v>55</v>
      </c>
      <c r="P6" s="92"/>
      <c r="Q6" s="20">
        <f>J6-P6</f>
        <v>17207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170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2631</v>
      </c>
      <c r="E8" s="29" t="s">
        <v>27</v>
      </c>
      <c r="F8" s="119">
        <v>2273</v>
      </c>
      <c r="G8" s="117">
        <v>4052.4875000000002</v>
      </c>
      <c r="H8" s="117">
        <v>8871.9447500000115</v>
      </c>
      <c r="I8" s="19">
        <f>G8+H8</f>
        <v>12924.432250000013</v>
      </c>
      <c r="J8" s="119">
        <v>2130</v>
      </c>
      <c r="K8" s="117">
        <v>3720.0524999999989</v>
      </c>
      <c r="L8" s="117">
        <v>8232.4245224999977</v>
      </c>
      <c r="M8" s="19">
        <f>K8+L8</f>
        <v>11952.477022499996</v>
      </c>
      <c r="N8" s="87">
        <v>21</v>
      </c>
      <c r="O8" s="87">
        <v>12</v>
      </c>
      <c r="P8" s="92"/>
      <c r="Q8" s="20">
        <f>J8-P8</f>
        <v>2130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0</v>
      </c>
      <c r="E10" s="18" t="s">
        <v>31</v>
      </c>
      <c r="F10" s="119">
        <v>10029</v>
      </c>
      <c r="G10" s="117">
        <v>7686.9894999999997</v>
      </c>
      <c r="H10" s="117">
        <v>1082.4627129999999</v>
      </c>
      <c r="I10" s="19">
        <f>G10+H10</f>
        <v>8769.4522130000005</v>
      </c>
      <c r="J10" s="119">
        <v>9578</v>
      </c>
      <c r="K10" s="117">
        <v>7423.8185000000012</v>
      </c>
      <c r="L10" s="117">
        <v>1055.2165176000001</v>
      </c>
      <c r="M10" s="19">
        <f>K10+L10</f>
        <v>8479.0350176000011</v>
      </c>
      <c r="N10" s="88">
        <v>45</v>
      </c>
      <c r="O10" s="88">
        <v>36</v>
      </c>
      <c r="P10" s="92"/>
      <c r="Q10" s="20">
        <f>J10-P10</f>
        <v>9578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24" t="s">
        <v>34</v>
      </c>
      <c r="C12" s="17">
        <v>0</v>
      </c>
      <c r="E12" s="29" t="s">
        <v>35</v>
      </c>
      <c r="F12" s="119">
        <v>11822</v>
      </c>
      <c r="G12" s="117">
        <v>11873.895875</v>
      </c>
      <c r="H12" s="117">
        <v>15405.249285669999</v>
      </c>
      <c r="I12" s="19">
        <f>G12+H12</f>
        <v>27279.145160669999</v>
      </c>
      <c r="J12" s="119">
        <v>12535</v>
      </c>
      <c r="K12" s="117">
        <v>12379.154875</v>
      </c>
      <c r="L12" s="117">
        <v>15528.41126102001</v>
      </c>
      <c r="M12" s="19">
        <f>K12+L12</f>
        <v>27907.56613602001</v>
      </c>
      <c r="N12" s="88">
        <v>53</v>
      </c>
      <c r="O12" s="88">
        <v>44</v>
      </c>
      <c r="P12" s="92"/>
      <c r="Q12" s="20">
        <f>J12-P12</f>
        <v>12535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10108</v>
      </c>
      <c r="E14" s="18" t="s">
        <v>39</v>
      </c>
      <c r="F14" s="119">
        <v>13580</v>
      </c>
      <c r="G14" s="117">
        <v>18157.5</v>
      </c>
      <c r="H14" s="117">
        <v>18643.823301439988</v>
      </c>
      <c r="I14" s="19">
        <f>G14+H14</f>
        <v>36801.323301439988</v>
      </c>
      <c r="J14" s="119">
        <v>15293</v>
      </c>
      <c r="K14" s="117">
        <v>20869.8125</v>
      </c>
      <c r="L14" s="117">
        <v>21425.920603989991</v>
      </c>
      <c r="M14" s="19">
        <f>K14+L14</f>
        <v>42295.733103989987</v>
      </c>
      <c r="N14" s="88">
        <v>59</v>
      </c>
      <c r="O14" s="88">
        <v>46</v>
      </c>
      <c r="P14" s="92"/>
      <c r="Q14" s="20">
        <f>J14-P14</f>
        <v>15293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11483</v>
      </c>
      <c r="E16" s="84"/>
      <c r="F16" s="31">
        <f t="shared" ref="F16:M16" si="0">SUM(F6:F15)</f>
        <v>55591</v>
      </c>
      <c r="G16" s="31">
        <f t="shared" si="0"/>
        <v>50644.645375</v>
      </c>
      <c r="H16" s="31">
        <f t="shared" si="0"/>
        <v>47736.450090769998</v>
      </c>
      <c r="I16" s="32">
        <f t="shared" si="0"/>
        <v>98381.095465770006</v>
      </c>
      <c r="J16" s="33">
        <f t="shared" si="0"/>
        <v>56743</v>
      </c>
      <c r="K16" s="33">
        <f t="shared" si="0"/>
        <v>52907.502999999997</v>
      </c>
      <c r="L16" s="33">
        <f t="shared" si="0"/>
        <v>49780.389649189994</v>
      </c>
      <c r="M16" s="33">
        <f t="shared" si="0"/>
        <v>102687.89264919001</v>
      </c>
      <c r="N16" s="31">
        <f>SUM(N14,N12,N10,N8,N6)</f>
        <v>244</v>
      </c>
      <c r="O16" s="31">
        <f>SUM(O14,O12,O10,O8,O6)</f>
        <v>193</v>
      </c>
      <c r="P16" s="34">
        <f>SUM(P6:P15)</f>
        <v>0</v>
      </c>
      <c r="Q16" s="34">
        <f>SUM(Q6:Q15)</f>
        <v>56743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7100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809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4098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11351</v>
      </c>
      <c r="D29" s="76">
        <f>C14</f>
        <v>10108</v>
      </c>
      <c r="E29" s="77">
        <f>D29-C29</f>
        <v>-1243</v>
      </c>
      <c r="O29" s="4"/>
    </row>
    <row r="30" spans="2:43" x14ac:dyDescent="0.3">
      <c r="B30" s="74" t="s">
        <v>56</v>
      </c>
      <c r="C30" s="122">
        <v>27230</v>
      </c>
      <c r="D30" s="76">
        <f>C7+C15+C16+C17+C18</f>
        <v>11653</v>
      </c>
      <c r="E30" s="77">
        <f>D30-C30</f>
        <v>-15577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0</v>
      </c>
      <c r="D32" s="76">
        <f>C10+C11+C12+C13</f>
        <v>0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12582</v>
      </c>
      <c r="D33" s="76">
        <f>C19+C20+C21</f>
        <v>12007</v>
      </c>
      <c r="E33" s="77">
        <f>D33-C33</f>
        <v>-575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4084</v>
      </c>
      <c r="D34" s="80">
        <f>SUM(C8+C9)</f>
        <v>4084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27" priority="11" operator="lessThan">
      <formula>0</formula>
    </cfRule>
    <cfRule type="cellIs" dxfId="826" priority="12" operator="greaterThan">
      <formula>0</formula>
    </cfRule>
  </conditionalFormatting>
  <conditionalFormatting sqref="R25:AC25">
    <cfRule type="cellIs" dxfId="825" priority="9" operator="lessThan">
      <formula>0</formula>
    </cfRule>
    <cfRule type="cellIs" dxfId="824" priority="10" operator="greaterThan">
      <formula>0</formula>
    </cfRule>
  </conditionalFormatting>
  <conditionalFormatting sqref="R26 T26 V26 X26 Z26 AB26">
    <cfRule type="cellIs" dxfId="823" priority="7" operator="lessThan">
      <formula>0</formula>
    </cfRule>
    <cfRule type="cellIs" dxfId="822" priority="8" operator="greaterThan">
      <formula>0</formula>
    </cfRule>
  </conditionalFormatting>
  <conditionalFormatting sqref="AD24:AE24">
    <cfRule type="cellIs" dxfId="821" priority="5" operator="lessThan">
      <formula>0</formula>
    </cfRule>
    <cfRule type="cellIs" dxfId="820" priority="6" operator="greaterThan">
      <formula>0</formula>
    </cfRule>
  </conditionalFormatting>
  <conditionalFormatting sqref="AD25:AE25">
    <cfRule type="cellIs" dxfId="819" priority="3" operator="lessThan">
      <formula>0</formula>
    </cfRule>
    <cfRule type="cellIs" dxfId="818" priority="4" operator="greaterThan">
      <formula>0</formula>
    </cfRule>
  </conditionalFormatting>
  <conditionalFormatting sqref="AD26">
    <cfRule type="cellIs" dxfId="817" priority="1" operator="lessThan">
      <formula>0</formula>
    </cfRule>
    <cfRule type="cellIs" dxfId="81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44450</v>
      </c>
    </row>
    <row r="3" spans="2:42" ht="18.75" customHeight="1" thickBot="1" x14ac:dyDescent="0.35">
      <c r="B3" t="s">
        <v>1</v>
      </c>
      <c r="C3" s="3">
        <f>C2+1</f>
        <v>44451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17257</v>
      </c>
      <c r="G6" s="117">
        <v>8208.1926249999997</v>
      </c>
      <c r="H6" s="117">
        <v>3466.8089031600002</v>
      </c>
      <c r="I6" s="19">
        <f>G6+H6</f>
        <v>11675.001528159999</v>
      </c>
      <c r="J6" s="119">
        <v>18825</v>
      </c>
      <c r="K6" s="117">
        <v>8914.4712500000023</v>
      </c>
      <c r="L6" s="117">
        <v>3779.4729584000002</v>
      </c>
      <c r="M6" s="19">
        <f>K6+L6</f>
        <v>12693.944208400002</v>
      </c>
      <c r="N6" s="85">
        <v>85</v>
      </c>
      <c r="O6" s="85">
        <v>72</v>
      </c>
      <c r="P6" s="92"/>
      <c r="Q6" s="20">
        <f>J6-P6</f>
        <v>18825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2522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2900</v>
      </c>
      <c r="E8" s="29" t="s">
        <v>27</v>
      </c>
      <c r="F8" s="119">
        <v>2523</v>
      </c>
      <c r="G8" s="117">
        <v>3616.0199999999991</v>
      </c>
      <c r="H8" s="117">
        <v>6892.7542474999937</v>
      </c>
      <c r="I8" s="19">
        <f>G8+H8</f>
        <v>10508.774247499992</v>
      </c>
      <c r="J8" s="119">
        <v>2386</v>
      </c>
      <c r="K8" s="117">
        <v>3811.045000000001</v>
      </c>
      <c r="L8" s="117">
        <v>7963.511477499992</v>
      </c>
      <c r="M8" s="19">
        <f>K8+L8</f>
        <v>11774.556477499993</v>
      </c>
      <c r="N8" s="87">
        <v>25</v>
      </c>
      <c r="O8" s="87">
        <v>16</v>
      </c>
      <c r="P8" s="92"/>
      <c r="Q8" s="20">
        <f>J8-P8</f>
        <v>2386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1516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2247</v>
      </c>
      <c r="E10" s="18" t="s">
        <v>31</v>
      </c>
      <c r="F10" s="119">
        <v>22285</v>
      </c>
      <c r="G10" s="117">
        <v>17383.948937500001</v>
      </c>
      <c r="H10" s="117">
        <v>1296.4012600000001</v>
      </c>
      <c r="I10" s="19">
        <f>G10+H10</f>
        <v>18680.3501975</v>
      </c>
      <c r="J10" s="119">
        <v>22901</v>
      </c>
      <c r="K10" s="117">
        <v>17830.911937500001</v>
      </c>
      <c r="L10" s="117">
        <v>1373.8473907</v>
      </c>
      <c r="M10" s="19">
        <f>K10+L10</f>
        <v>19204.759328200002</v>
      </c>
      <c r="N10" s="88">
        <v>54</v>
      </c>
      <c r="O10" s="88">
        <v>49</v>
      </c>
      <c r="P10" s="92"/>
      <c r="Q10" s="20">
        <f>J10-P10</f>
        <v>22901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24" t="s">
        <v>34</v>
      </c>
      <c r="C12" s="17">
        <v>0</v>
      </c>
      <c r="E12" s="29" t="s">
        <v>35</v>
      </c>
      <c r="F12" s="119">
        <v>11369</v>
      </c>
      <c r="G12" s="117">
        <v>11012.246875000001</v>
      </c>
      <c r="H12" s="117">
        <v>15311.082815119989</v>
      </c>
      <c r="I12" s="19">
        <f>G12+H12</f>
        <v>26323.32969011999</v>
      </c>
      <c r="J12" s="119">
        <v>11385</v>
      </c>
      <c r="K12" s="117">
        <v>11338.021875</v>
      </c>
      <c r="L12" s="117">
        <v>16067.34660826001</v>
      </c>
      <c r="M12" s="19">
        <f>K12+L12</f>
        <v>27405.368483260012</v>
      </c>
      <c r="N12" s="88">
        <v>59</v>
      </c>
      <c r="O12" s="88">
        <v>41</v>
      </c>
      <c r="P12" s="92"/>
      <c r="Q12" s="20">
        <f>J12-P12</f>
        <v>11385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18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16" t="s">
        <v>38</v>
      </c>
      <c r="C14" s="17">
        <v>9236</v>
      </c>
      <c r="E14" s="18" t="s">
        <v>39</v>
      </c>
      <c r="F14" s="119">
        <v>21752</v>
      </c>
      <c r="G14" s="117">
        <v>19848.28125</v>
      </c>
      <c r="H14" s="117">
        <v>22306.857806054999</v>
      </c>
      <c r="I14" s="19">
        <f>G14+H14</f>
        <v>42155.139056054999</v>
      </c>
      <c r="J14" s="119">
        <v>21813</v>
      </c>
      <c r="K14" s="117">
        <v>19871.90625</v>
      </c>
      <c r="L14" s="117">
        <v>22384.975043015002</v>
      </c>
      <c r="M14" s="19">
        <f>K14+L14</f>
        <v>42256.881293015002</v>
      </c>
      <c r="N14" s="88">
        <v>70</v>
      </c>
      <c r="O14" s="88">
        <v>51</v>
      </c>
      <c r="P14" s="92"/>
      <c r="Q14" s="20">
        <f>J14-P14</f>
        <v>21813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16" t="s">
        <v>40</v>
      </c>
      <c r="C15" s="17">
        <v>3170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28" t="s">
        <v>42</v>
      </c>
      <c r="C16" s="17">
        <v>14356</v>
      </c>
      <c r="E16" s="84"/>
      <c r="F16" s="31">
        <f t="shared" ref="F16:M16" si="0">SUM(F6:F15)</f>
        <v>75186</v>
      </c>
      <c r="G16" s="31">
        <f t="shared" si="0"/>
        <v>60068.689687499995</v>
      </c>
      <c r="H16" s="31">
        <f t="shared" si="0"/>
        <v>49273.905031834984</v>
      </c>
      <c r="I16" s="32">
        <f t="shared" si="0"/>
        <v>109342.59471933497</v>
      </c>
      <c r="J16" s="33">
        <f t="shared" si="0"/>
        <v>77310</v>
      </c>
      <c r="K16" s="33">
        <f t="shared" si="0"/>
        <v>61766.356312500007</v>
      </c>
      <c r="L16" s="33">
        <f t="shared" si="0"/>
        <v>51569.153477875007</v>
      </c>
      <c r="M16" s="33">
        <f t="shared" si="0"/>
        <v>113335.50979037501</v>
      </c>
      <c r="N16" s="31">
        <f>SUM(N14,N12,N10,N8,N6)</f>
        <v>293</v>
      </c>
      <c r="O16" s="31">
        <f>SUM(O14,O12,O10,O8,O6)</f>
        <v>229</v>
      </c>
      <c r="P16" s="34">
        <f>SUM(P6:P15)</f>
        <v>0</v>
      </c>
      <c r="Q16" s="34">
        <f>SUM(Q6:Q15)</f>
        <v>77310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43" t="s">
        <v>47</v>
      </c>
      <c r="C17" s="17">
        <v>2517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43" t="s">
        <v>48</v>
      </c>
      <c r="C18" s="50">
        <v>573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B19" s="16" t="s">
        <v>50</v>
      </c>
      <c r="C19" s="17">
        <v>9778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B20" s="16" t="s">
        <v>51</v>
      </c>
      <c r="C20" s="17">
        <v>2539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B21" s="57" t="s">
        <v>52</v>
      </c>
      <c r="C21" s="58">
        <v>4401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3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35">
      <c r="C27" s="68" t="s">
        <v>2</v>
      </c>
      <c r="D27" s="221" t="s">
        <v>3</v>
      </c>
      <c r="E27" s="216"/>
      <c r="O27" s="4"/>
      <c r="AF27" s="69"/>
    </row>
    <row r="28" spans="2:43" x14ac:dyDescent="0.3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3">
      <c r="B29" s="74" t="s">
        <v>55</v>
      </c>
      <c r="C29" s="122">
        <v>8285</v>
      </c>
      <c r="D29" s="76">
        <f>C14</f>
        <v>9236</v>
      </c>
      <c r="E29" s="77">
        <f>D29-C29</f>
        <v>951</v>
      </c>
      <c r="O29" s="4"/>
    </row>
    <row r="30" spans="2:43" x14ac:dyDescent="0.3">
      <c r="B30" s="74" t="s">
        <v>56</v>
      </c>
      <c r="C30" s="122">
        <v>38658</v>
      </c>
      <c r="D30" s="76">
        <f>C7+C15+C16+C17+C18</f>
        <v>23138</v>
      </c>
      <c r="E30" s="77">
        <f>D30-C30</f>
        <v>-15520</v>
      </c>
      <c r="J30" s="53"/>
      <c r="O30" s="4"/>
    </row>
    <row r="31" spans="2:43" x14ac:dyDescent="0.3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B32" s="74" t="s">
        <v>57</v>
      </c>
      <c r="C32" s="122">
        <v>2247</v>
      </c>
      <c r="D32" s="76">
        <f>C10+C11+C12+C13</f>
        <v>2247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35">
      <c r="B33" s="74" t="s">
        <v>59</v>
      </c>
      <c r="C33" s="122">
        <v>15705</v>
      </c>
      <c r="D33" s="76">
        <f>C19+C20+C21</f>
        <v>16718</v>
      </c>
      <c r="E33" s="77">
        <f>D33-C33</f>
        <v>1013</v>
      </c>
      <c r="K33" s="53"/>
      <c r="Q33" s="53"/>
      <c r="U33" s="53"/>
      <c r="V33" s="53"/>
    </row>
    <row r="34" spans="2:31" ht="18" customHeight="1" thickBot="1" x14ac:dyDescent="0.35">
      <c r="B34" s="78" t="s">
        <v>60</v>
      </c>
      <c r="C34" s="121">
        <v>4416</v>
      </c>
      <c r="D34" s="80">
        <f>SUM(C8+C9)</f>
        <v>4416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15" priority="11" operator="lessThan">
      <formula>0</formula>
    </cfRule>
    <cfRule type="cellIs" dxfId="814" priority="12" operator="greaterThan">
      <formula>0</formula>
    </cfRule>
  </conditionalFormatting>
  <conditionalFormatting sqref="R25:AC25">
    <cfRule type="cellIs" dxfId="813" priority="9" operator="lessThan">
      <formula>0</formula>
    </cfRule>
    <cfRule type="cellIs" dxfId="812" priority="10" operator="greaterThan">
      <formula>0</formula>
    </cfRule>
  </conditionalFormatting>
  <conditionalFormatting sqref="R26 T26 V26 X26 Z26 AB26">
    <cfRule type="cellIs" dxfId="811" priority="7" operator="lessThan">
      <formula>0</formula>
    </cfRule>
    <cfRule type="cellIs" dxfId="810" priority="8" operator="greaterThan">
      <formula>0</formula>
    </cfRule>
  </conditionalFormatting>
  <conditionalFormatting sqref="AD24:AE24">
    <cfRule type="cellIs" dxfId="809" priority="5" operator="lessThan">
      <formula>0</formula>
    </cfRule>
    <cfRule type="cellIs" dxfId="808" priority="6" operator="greaterThan">
      <formula>0</formula>
    </cfRule>
  </conditionalFormatting>
  <conditionalFormatting sqref="AD25:AE25">
    <cfRule type="cellIs" dxfId="807" priority="3" operator="lessThan">
      <formula>0</formula>
    </cfRule>
    <cfRule type="cellIs" dxfId="806" priority="4" operator="greaterThan">
      <formula>0</formula>
    </cfRule>
  </conditionalFormatting>
  <conditionalFormatting sqref="AD26">
    <cfRule type="cellIs" dxfId="805" priority="1" operator="lessThan">
      <formula>0</formula>
    </cfRule>
    <cfRule type="cellIs" dxfId="8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44451</v>
      </c>
    </row>
    <row r="3" spans="2:42" ht="18.75" customHeight="1" thickBot="1" x14ac:dyDescent="0.35">
      <c r="B3" t="s">
        <v>1</v>
      </c>
      <c r="C3" s="3">
        <f>C2+1</f>
        <v>44452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2486</v>
      </c>
      <c r="E6" s="18" t="s">
        <v>22</v>
      </c>
      <c r="F6" s="119">
        <v>19386</v>
      </c>
      <c r="G6" s="117">
        <v>9598.3758749999979</v>
      </c>
      <c r="H6" s="117">
        <v>3468.1053750800002</v>
      </c>
      <c r="I6" s="19">
        <f>G6+H6</f>
        <v>13066.481250079998</v>
      </c>
      <c r="J6" s="119">
        <v>19970</v>
      </c>
      <c r="K6" s="117">
        <v>9935.5084999999963</v>
      </c>
      <c r="L6" s="117">
        <v>3682.6403541199988</v>
      </c>
      <c r="M6" s="19">
        <f>K6+L6</f>
        <v>13618.148854119994</v>
      </c>
      <c r="N6" s="85">
        <v>74</v>
      </c>
      <c r="O6" s="85">
        <v>60</v>
      </c>
      <c r="P6" s="92"/>
      <c r="Q6" s="20">
        <f>J6-P6</f>
        <v>19970</v>
      </c>
      <c r="R6" s="21">
        <v>3636</v>
      </c>
      <c r="S6" s="20">
        <f>IF(R6&gt;0,(R6-R7-$Q6),"")</f>
        <v>-16424</v>
      </c>
      <c r="T6" s="21">
        <v>9906</v>
      </c>
      <c r="U6" s="20">
        <f>IF(T6&gt;0,(T6-T7-$Q6),"")</f>
        <v>-10165</v>
      </c>
      <c r="V6" s="21">
        <v>13330</v>
      </c>
      <c r="W6" s="20">
        <f>IF(V6&gt;0,(V6-V7-$Q6),"")</f>
        <v>-6751</v>
      </c>
      <c r="X6" s="21">
        <v>17621</v>
      </c>
      <c r="Y6" s="20">
        <f>IF(X6&gt;0,(X6-X7-$Q6),"")</f>
        <v>-2468</v>
      </c>
      <c r="Z6" s="21">
        <v>17621</v>
      </c>
      <c r="AA6" s="20">
        <f>IF(Z6&gt;0,(Z6-Z7-$Q6),"")</f>
        <v>-2468</v>
      </c>
      <c r="AB6" s="21">
        <v>17621</v>
      </c>
      <c r="AC6" s="22">
        <f>IF(AB6&gt;0,(AB6-AB7-$Q6),"")</f>
        <v>-2468</v>
      </c>
      <c r="AD6" s="21">
        <v>17621</v>
      </c>
      <c r="AE6" s="22">
        <f>IF(AD6&gt;0,(AD6-AD7-$Q6),"")</f>
        <v>-2468</v>
      </c>
    </row>
    <row r="7" spans="2:42" x14ac:dyDescent="0.3">
      <c r="B7" s="16" t="s">
        <v>23</v>
      </c>
      <c r="C7" s="17">
        <v>326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90</v>
      </c>
      <c r="S7" s="24"/>
      <c r="T7" s="25">
        <v>101</v>
      </c>
      <c r="U7" s="24"/>
      <c r="V7" s="25">
        <v>111</v>
      </c>
      <c r="W7" s="24"/>
      <c r="X7" s="25">
        <v>119</v>
      </c>
      <c r="Y7" s="24"/>
      <c r="Z7" s="25">
        <v>119</v>
      </c>
      <c r="AA7" s="24"/>
      <c r="AB7" s="25">
        <v>119</v>
      </c>
      <c r="AC7" s="26"/>
      <c r="AD7" s="25">
        <v>119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2104</v>
      </c>
      <c r="E8" s="29" t="s">
        <v>27</v>
      </c>
      <c r="F8" s="119">
        <v>3904</v>
      </c>
      <c r="G8" s="117">
        <v>4023.3485000000001</v>
      </c>
      <c r="H8" s="117">
        <v>9132.2394824999992</v>
      </c>
      <c r="I8" s="19">
        <f>G8+H8</f>
        <v>13155.587982499999</v>
      </c>
      <c r="J8" s="119">
        <v>3846</v>
      </c>
      <c r="K8" s="117">
        <v>4316.5374999999995</v>
      </c>
      <c r="L8" s="117">
        <v>9859.6123375000006</v>
      </c>
      <c r="M8" s="19">
        <f>K8+L8</f>
        <v>14176.149837500001</v>
      </c>
      <c r="N8" s="87">
        <v>26</v>
      </c>
      <c r="O8" s="87">
        <v>17</v>
      </c>
      <c r="P8" s="92"/>
      <c r="Q8" s="20">
        <f>J8-P8</f>
        <v>3846</v>
      </c>
      <c r="R8" s="21">
        <v>716</v>
      </c>
      <c r="S8" s="20">
        <f>IF(R8&gt;0,(R8-R9-$Q8),"")</f>
        <v>-3130</v>
      </c>
      <c r="T8" s="21">
        <v>1295</v>
      </c>
      <c r="U8" s="20">
        <f>IF(T8&gt;0,(T8-T9-$Q8),"")</f>
        <v>-2551</v>
      </c>
      <c r="V8" s="21">
        <v>2391</v>
      </c>
      <c r="W8" s="20">
        <f>IF(V8&gt;0,(V8-V9-$Q8),"")</f>
        <v>-1463</v>
      </c>
      <c r="X8" s="21">
        <v>2519</v>
      </c>
      <c r="Y8" s="20">
        <f>IF(X8&gt;0,(X8-X9-$Q8),"")</f>
        <v>-1335</v>
      </c>
      <c r="Z8" s="21">
        <v>2519</v>
      </c>
      <c r="AA8" s="20">
        <f>IF(Z8&gt;0,(Z8-Z9-$Q8),"")</f>
        <v>-1335</v>
      </c>
      <c r="AB8" s="21">
        <v>2519</v>
      </c>
      <c r="AC8" s="22">
        <f>IF(AB8&gt;0,(AB8-AB9-$Q8),"")</f>
        <v>-1335</v>
      </c>
      <c r="AD8" s="21">
        <v>2519</v>
      </c>
      <c r="AE8" s="22">
        <f>IF(AD8&gt;0,(AD8-AD9-$Q8),"")</f>
        <v>-1335</v>
      </c>
    </row>
    <row r="9" spans="2:42" x14ac:dyDescent="0.3">
      <c r="B9" s="28" t="s">
        <v>28</v>
      </c>
      <c r="C9" s="17">
        <v>1236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8</v>
      </c>
      <c r="W9" s="24"/>
      <c r="X9" s="30">
        <v>8</v>
      </c>
      <c r="Y9" s="24"/>
      <c r="Z9" s="30">
        <v>8</v>
      </c>
      <c r="AA9" s="24"/>
      <c r="AB9" s="30">
        <v>8</v>
      </c>
      <c r="AC9" s="26"/>
      <c r="AD9" s="30">
        <v>8</v>
      </c>
      <c r="AE9" s="26"/>
    </row>
    <row r="10" spans="2:42" x14ac:dyDescent="0.3">
      <c r="B10" s="16" t="s">
        <v>30</v>
      </c>
      <c r="C10" s="17">
        <v>2334</v>
      </c>
      <c r="E10" s="18" t="s">
        <v>31</v>
      </c>
      <c r="F10" s="119">
        <v>11607</v>
      </c>
      <c r="G10" s="117">
        <v>8140.3279062499996</v>
      </c>
      <c r="H10" s="117">
        <v>1217.2404650999999</v>
      </c>
      <c r="I10" s="19">
        <f>G10+H10</f>
        <v>9357.5683713500002</v>
      </c>
      <c r="J10" s="119">
        <v>11778</v>
      </c>
      <c r="K10" s="117">
        <v>8412.0189062499994</v>
      </c>
      <c r="L10" s="117">
        <v>1216.7872339</v>
      </c>
      <c r="M10" s="19">
        <f>K10+L10</f>
        <v>9628.8061401499999</v>
      </c>
      <c r="N10" s="88">
        <v>42</v>
      </c>
      <c r="O10" s="88">
        <v>33</v>
      </c>
      <c r="P10" s="92"/>
      <c r="Q10" s="20">
        <f>J10-P10</f>
        <v>11778</v>
      </c>
      <c r="R10" s="21">
        <v>3252</v>
      </c>
      <c r="S10" s="20">
        <f>IF(R10&gt;0,(R10-R11-$Q10),"")</f>
        <v>-8547</v>
      </c>
      <c r="T10" s="21">
        <v>3975</v>
      </c>
      <c r="U10" s="20">
        <f>IF(T10&gt;0,(T10-T11-$Q10),"")</f>
        <v>-7824</v>
      </c>
      <c r="V10" s="21">
        <v>6545</v>
      </c>
      <c r="W10" s="20">
        <f>IF(V10&gt;0,(V10-V11-$Q10),"")</f>
        <v>-5254</v>
      </c>
      <c r="X10" s="21">
        <v>6487</v>
      </c>
      <c r="Y10" s="20">
        <f>IF(X10&gt;0,(X10-X11-$Q10),"")</f>
        <v>-5312</v>
      </c>
      <c r="Z10" s="21">
        <v>6480</v>
      </c>
      <c r="AA10" s="20">
        <f>IF(Z10&gt;0,(Z10-Z11-$Q10),"")</f>
        <v>-5319</v>
      </c>
      <c r="AB10" s="21">
        <v>6480</v>
      </c>
      <c r="AC10" s="22">
        <f>IF(AB10&gt;0,(AB10-AB11-$Q10),"")</f>
        <v>-5319</v>
      </c>
      <c r="AD10" s="21">
        <v>6480</v>
      </c>
      <c r="AE10" s="22">
        <f>IF(AD10&gt;0,(AD10-AD11-$Q10),"")</f>
        <v>-5319</v>
      </c>
    </row>
    <row r="11" spans="2:42" x14ac:dyDescent="0.3">
      <c r="B11" s="16" t="s">
        <v>38</v>
      </c>
      <c r="C11" s="17">
        <v>11729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21</v>
      </c>
      <c r="S11" s="24"/>
      <c r="T11" s="30">
        <v>21</v>
      </c>
      <c r="U11" s="24"/>
      <c r="V11" s="30">
        <v>21</v>
      </c>
      <c r="W11" s="24"/>
      <c r="X11" s="30">
        <v>21</v>
      </c>
      <c r="Y11" s="24"/>
      <c r="Z11" s="30">
        <v>21</v>
      </c>
      <c r="AA11" s="24"/>
      <c r="AB11" s="30">
        <v>21</v>
      </c>
      <c r="AC11" s="26"/>
      <c r="AD11" s="30">
        <v>21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11271</v>
      </c>
      <c r="G12" s="117">
        <v>10846.543374999999</v>
      </c>
      <c r="H12" s="117">
        <v>14042.16137032999</v>
      </c>
      <c r="I12" s="19">
        <f>G12+H12</f>
        <v>24888.704745329989</v>
      </c>
      <c r="J12" s="119">
        <v>12849</v>
      </c>
      <c r="K12" s="117">
        <v>12668.832375000011</v>
      </c>
      <c r="L12" s="117">
        <v>15969.015402229999</v>
      </c>
      <c r="M12" s="19">
        <f>K12+L12</f>
        <v>28637.84777723001</v>
      </c>
      <c r="N12" s="88">
        <v>52</v>
      </c>
      <c r="O12" s="88">
        <v>43</v>
      </c>
      <c r="P12" s="92"/>
      <c r="Q12" s="20">
        <f>J12-P12</f>
        <v>12849</v>
      </c>
      <c r="R12" s="21">
        <v>3621</v>
      </c>
      <c r="S12" s="20">
        <f>IF(R12&gt;0,(R12-R13-$Q12),"")</f>
        <v>-9285</v>
      </c>
      <c r="T12" s="21">
        <v>6173</v>
      </c>
      <c r="U12" s="20">
        <f>IF(T12&gt;0,(T12-T13-$Q12),"")</f>
        <v>-6743</v>
      </c>
      <c r="V12" s="21">
        <v>8108</v>
      </c>
      <c r="W12" s="20">
        <f>IF(V12&gt;0,(V12-V13-$Q12),"")</f>
        <v>-4809</v>
      </c>
      <c r="X12" s="21">
        <v>12051</v>
      </c>
      <c r="Y12" s="20">
        <f>IF(X12&gt;0,(X12-X13-$Q12),"")</f>
        <v>-943</v>
      </c>
      <c r="Z12" s="21">
        <v>12200</v>
      </c>
      <c r="AA12" s="20">
        <f>IF(Z12&gt;0,(Z12-Z13-$Q12),"")</f>
        <v>-794</v>
      </c>
      <c r="AB12" s="21">
        <v>12200</v>
      </c>
      <c r="AC12" s="22">
        <f>IF(AB12&gt;0,(AB12-AB13-$Q12),"")</f>
        <v>-794</v>
      </c>
      <c r="AD12" s="21">
        <v>12200</v>
      </c>
      <c r="AE12" s="22">
        <f>IF(AD12&gt;0,(AD12-AD13-$Q12),"")</f>
        <v>-794</v>
      </c>
    </row>
    <row r="13" spans="2:42" x14ac:dyDescent="0.3">
      <c r="B13" s="28" t="s">
        <v>42</v>
      </c>
      <c r="C13" s="17">
        <v>11161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57</v>
      </c>
      <c r="S13" s="24"/>
      <c r="T13" s="30">
        <v>67</v>
      </c>
      <c r="U13" s="24"/>
      <c r="V13" s="30">
        <v>68</v>
      </c>
      <c r="W13" s="24"/>
      <c r="X13" s="30">
        <v>145</v>
      </c>
      <c r="Y13" s="24"/>
      <c r="Z13" s="30">
        <v>145</v>
      </c>
      <c r="AA13" s="24"/>
      <c r="AB13" s="30">
        <v>145</v>
      </c>
      <c r="AC13" s="26"/>
      <c r="AD13" s="30">
        <v>145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19800</v>
      </c>
      <c r="G14" s="117">
        <v>17742.5</v>
      </c>
      <c r="H14" s="117">
        <v>20025.956231330008</v>
      </c>
      <c r="I14" s="19">
        <f>G14+H14</f>
        <v>37768.456231330012</v>
      </c>
      <c r="J14" s="119">
        <v>21298</v>
      </c>
      <c r="K14" s="117">
        <v>19878.21875</v>
      </c>
      <c r="L14" s="117">
        <v>22177.308558780001</v>
      </c>
      <c r="M14" s="19">
        <f>K14+L14</f>
        <v>42055.527308780001</v>
      </c>
      <c r="N14" s="88">
        <v>69</v>
      </c>
      <c r="O14" s="88">
        <v>56</v>
      </c>
      <c r="P14" s="92"/>
      <c r="Q14" s="20">
        <f>J14-P14</f>
        <v>21298</v>
      </c>
      <c r="R14" s="21">
        <v>3390</v>
      </c>
      <c r="S14" s="20">
        <f>IF(R14&gt;0,(R14-R15-$Q14),"")</f>
        <v>-17934</v>
      </c>
      <c r="T14" s="21">
        <v>6299</v>
      </c>
      <c r="U14" s="20">
        <f>IF(T14&gt;0,(T14-T15-$Q14),"")</f>
        <v>-15032</v>
      </c>
      <c r="V14" s="21">
        <v>7875</v>
      </c>
      <c r="W14" s="20">
        <f>IF(V14&gt;0,(V14-V15-$Q14),"")</f>
        <v>-13457</v>
      </c>
      <c r="X14" s="21">
        <v>10089</v>
      </c>
      <c r="Y14" s="20">
        <f>IF(X14&gt;0,(X14-X15-$Q14),"")</f>
        <v>-11275</v>
      </c>
      <c r="Z14" s="21">
        <v>9321</v>
      </c>
      <c r="AA14" s="20">
        <f>IF(Z14&gt;0,(Z14-Z15-$Q14),"")</f>
        <v>-12043</v>
      </c>
      <c r="AB14" s="21">
        <v>9321</v>
      </c>
      <c r="AC14" s="22">
        <f>IF(AB14&gt;0,(AB14-AB15-$Q14),"")</f>
        <v>-12043</v>
      </c>
      <c r="AD14" s="21">
        <v>9321</v>
      </c>
      <c r="AE14" s="22">
        <f>IF(AD14&gt;0,(AD14-AD15-$Q14),"")</f>
        <v>-12043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26</v>
      </c>
      <c r="S15" s="24"/>
      <c r="T15" s="25">
        <v>33</v>
      </c>
      <c r="U15" s="24"/>
      <c r="V15" s="25">
        <v>34</v>
      </c>
      <c r="W15" s="24"/>
      <c r="X15" s="25">
        <v>66</v>
      </c>
      <c r="Y15" s="24"/>
      <c r="Z15" s="25">
        <v>66</v>
      </c>
      <c r="AA15" s="24"/>
      <c r="AB15" s="25">
        <v>66</v>
      </c>
      <c r="AC15" s="26"/>
      <c r="AD15" s="25">
        <v>66</v>
      </c>
      <c r="AE15" s="26"/>
    </row>
    <row r="16" spans="2:42" ht="15" customHeight="1" thickBot="1" x14ac:dyDescent="0.35">
      <c r="B16" s="16" t="s">
        <v>50</v>
      </c>
      <c r="C16" s="17">
        <v>8524</v>
      </c>
      <c r="E16" s="84"/>
      <c r="F16" s="31">
        <f t="shared" ref="F16:M16" si="0">SUM(F6:F15)</f>
        <v>65968</v>
      </c>
      <c r="G16" s="31">
        <f t="shared" si="0"/>
        <v>50351.09565625</v>
      </c>
      <c r="H16" s="31">
        <f t="shared" si="0"/>
        <v>47885.702924340003</v>
      </c>
      <c r="I16" s="32">
        <f t="shared" si="0"/>
        <v>98236.798580589995</v>
      </c>
      <c r="J16" s="33">
        <f t="shared" si="0"/>
        <v>69741</v>
      </c>
      <c r="K16" s="33">
        <f t="shared" si="0"/>
        <v>55211.116031250007</v>
      </c>
      <c r="L16" s="33">
        <f t="shared" si="0"/>
        <v>52905.363886530002</v>
      </c>
      <c r="M16" s="33">
        <f t="shared" si="0"/>
        <v>108116.47991778</v>
      </c>
      <c r="N16" s="31">
        <f>SUM(N14,N12,N10,N8,N6)</f>
        <v>263</v>
      </c>
      <c r="O16" s="31">
        <f>SUM(O14,O12,O10,O8,O6)</f>
        <v>209</v>
      </c>
      <c r="P16" s="34">
        <f>SUM(P6:P15)</f>
        <v>0</v>
      </c>
      <c r="Q16" s="34">
        <f>SUM(Q6:Q15)</f>
        <v>69741</v>
      </c>
      <c r="R16" s="35">
        <f>R6+R8+R10+R12+R14-R7-R9-R11-R13-R15</f>
        <v>14421</v>
      </c>
      <c r="S16" s="36">
        <f>IF(R16&gt;1,(R16-$Q16),"")</f>
        <v>-55320</v>
      </c>
      <c r="T16" s="35">
        <f>T6+T8+T10+T12+T14-T7-T9-T11-T13-T15</f>
        <v>27426</v>
      </c>
      <c r="U16" s="36">
        <f>IF(T16&gt;1,(T16-$Q16),"")</f>
        <v>-42315</v>
      </c>
      <c r="V16" s="35">
        <f>V6+V8+V10+V12+V14-V7-V9-V11-V13-V15</f>
        <v>38007</v>
      </c>
      <c r="W16" s="36">
        <f>IF(V16&gt;1,(V16-$Q16),"")</f>
        <v>-31734</v>
      </c>
      <c r="X16" s="35">
        <f>X6+X8+X10+X12+X14-X7-X9-X11-X13-X15</f>
        <v>48408</v>
      </c>
      <c r="Y16" s="36">
        <f>IF(X16&gt;1,(X16-$Q16),"")</f>
        <v>-21333</v>
      </c>
      <c r="Z16" s="35">
        <f>Z6+Z8+Z10+Z12+Z14-Z7-Z9-Z11-Z13-Z15</f>
        <v>47782</v>
      </c>
      <c r="AA16" s="36">
        <f>IF(Z16&gt;1,(Z16-$Q16),"")</f>
        <v>-21959</v>
      </c>
      <c r="AB16" s="35">
        <f>AB6+AB8+AB10+AB12+AB14-AB7-AB9-AB11-AB13-AB15</f>
        <v>47782</v>
      </c>
      <c r="AC16" s="37">
        <f>IF(AB16&gt;1,(AB16-$Q16),"")</f>
        <v>-21959</v>
      </c>
      <c r="AD16" s="35">
        <f>AD6+AD8+AD10+AD12+AD14-AD7-AD9-AD11-AD13-AD15</f>
        <v>47782</v>
      </c>
      <c r="AE16" s="37">
        <f>IF(AD16&gt;1,(AD16-$Q16),"")</f>
        <v>-21959</v>
      </c>
    </row>
    <row r="17" spans="2:43" s="4" customFormat="1" ht="15" customHeight="1" thickBot="1" x14ac:dyDescent="0.35">
      <c r="B17" s="16" t="s">
        <v>51</v>
      </c>
      <c r="C17" s="17">
        <v>1153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194</v>
      </c>
      <c r="S17" s="41"/>
      <c r="T17" s="40">
        <f>T15+T13+T11+T9+T7</f>
        <v>222</v>
      </c>
      <c r="U17" s="41"/>
      <c r="V17" s="40">
        <f>V15+V13+V11+V9+V7</f>
        <v>242</v>
      </c>
      <c r="W17" s="41"/>
      <c r="X17" s="40">
        <f>X15+X13+X11+X9+X7</f>
        <v>359</v>
      </c>
      <c r="Y17" s="41"/>
      <c r="Z17" s="40">
        <f>Z15+Z13+Z11+Z9+Z7</f>
        <v>359</v>
      </c>
      <c r="AA17" s="41"/>
      <c r="AB17" s="40">
        <f>AB15+AB13+AB11+AB9+AB7</f>
        <v>359</v>
      </c>
      <c r="AC17" s="42"/>
      <c r="AD17" s="40">
        <f>AD15+AD13+AD11+AD9+AD7</f>
        <v>359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4522</v>
      </c>
      <c r="P18" s="45" t="s">
        <v>46</v>
      </c>
      <c r="Q18" s="46"/>
      <c r="R18" s="47">
        <f>IF(R16&gt;0,(R16)/2,"")</f>
        <v>7210.5</v>
      </c>
      <c r="S18" s="46"/>
      <c r="T18" s="47">
        <f>IF(T16&gt;0,(T16-R16)/2,"")</f>
        <v>6502.5</v>
      </c>
      <c r="U18" s="46"/>
      <c r="V18" s="47">
        <f>IF(V16&gt;0,(V16-T16)/2,"")</f>
        <v>5290.5</v>
      </c>
      <c r="W18" s="46"/>
      <c r="X18" s="47">
        <f>IF(X16&gt;0,(X16-V16)/2,"")</f>
        <v>5200.5</v>
      </c>
      <c r="Y18" s="46"/>
      <c r="Z18" s="47">
        <f>IF(Z16&gt;0,(Z16-X16)/2,"")</f>
        <v>-313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14421</v>
      </c>
      <c r="S24" s="60"/>
      <c r="T24" s="60">
        <f>IF(T16&gt;0,T16-T20,"")</f>
        <v>27426</v>
      </c>
      <c r="U24" s="60"/>
      <c r="V24" s="60">
        <f>IF(V16&gt;0,V16-V20,"")</f>
        <v>38007</v>
      </c>
      <c r="W24" s="60"/>
      <c r="X24" s="60">
        <f>IF(X16&gt;0,X16-X20,"")</f>
        <v>48408</v>
      </c>
      <c r="Y24" s="60"/>
      <c r="Z24" s="60">
        <f>IF(Z16&gt;0,Z16-Z20,"")</f>
        <v>47782</v>
      </c>
      <c r="AA24" s="60"/>
      <c r="AB24" s="60">
        <f>IF(AB16&gt;0,AB16-AB20,"")</f>
        <v>47782</v>
      </c>
      <c r="AC24" s="61"/>
      <c r="AD24" s="60">
        <f>IF(AD16&gt;0,AD16-AD20,"")</f>
        <v>47782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194</v>
      </c>
      <c r="S25" s="64"/>
      <c r="T25" s="63">
        <f>IF(T17&gt;=0,T17-T21,"")</f>
        <v>222</v>
      </c>
      <c r="U25" s="64"/>
      <c r="V25" s="63">
        <f>IF(V17&gt;=0,V17-V21,"")</f>
        <v>242</v>
      </c>
      <c r="W25" s="64"/>
      <c r="X25" s="63">
        <f>IF(X17&gt;=0,X17-X21,"")</f>
        <v>359</v>
      </c>
      <c r="Y25" s="64"/>
      <c r="Z25" s="63">
        <f>IF(Z17&gt;=0,Z17-Z21,"")</f>
        <v>359</v>
      </c>
      <c r="AA25" s="64"/>
      <c r="AB25" s="63">
        <f>IF(AB17&gt;=0,AB17-AB21,"")</f>
        <v>359</v>
      </c>
      <c r="AC25" s="65"/>
      <c r="AD25" s="63">
        <f>IF(AD17&gt;=0,AD17-AD21,"")</f>
        <v>359</v>
      </c>
      <c r="AE25" s="65"/>
    </row>
    <row r="26" spans="2:43" ht="15" customHeight="1" thickBot="1" x14ac:dyDescent="0.35">
      <c r="B26" s="74" t="s">
        <v>55</v>
      </c>
      <c r="C26" s="122">
        <v>11668</v>
      </c>
      <c r="D26" s="76">
        <f>C11</f>
        <v>11729</v>
      </c>
      <c r="E26" s="77">
        <f>D26-C26</f>
        <v>61</v>
      </c>
      <c r="M26" s="4"/>
      <c r="Q26" s="66"/>
      <c r="R26" s="67">
        <f>IFERROR(IF(R18&gt;0,R18-R22,""),"")</f>
        <v>7210.5</v>
      </c>
      <c r="S26" s="55"/>
      <c r="T26" s="67">
        <f>IFERROR(IF(T18&gt;0,T18-T22,""),"")</f>
        <v>6502.5</v>
      </c>
      <c r="U26" s="55"/>
      <c r="V26" s="67">
        <f>IFERROR(IF(V18&gt;0,V18-V22,""),"")</f>
        <v>5290.5</v>
      </c>
      <c r="W26" s="55"/>
      <c r="X26" s="67">
        <f>IFERROR(IF(X18&gt;0,X18-X22,""),"")</f>
        <v>5200.5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25547</v>
      </c>
      <c r="D27" s="76">
        <f>C7+C12+C13+C14+C15</f>
        <v>11487</v>
      </c>
      <c r="E27" s="77">
        <f>D27-C27</f>
        <v>-14060</v>
      </c>
      <c r="O27" s="4"/>
      <c r="AF27" s="69"/>
    </row>
    <row r="28" spans="2:43" x14ac:dyDescent="0.3">
      <c r="B28" s="74" t="s">
        <v>21</v>
      </c>
      <c r="C28" s="122">
        <v>2486</v>
      </c>
      <c r="D28" s="76">
        <f>C6</f>
        <v>2486</v>
      </c>
      <c r="E28" s="77">
        <f>D28-C28</f>
        <v>0</v>
      </c>
      <c r="O28" s="4"/>
    </row>
    <row r="29" spans="2:43" x14ac:dyDescent="0.3">
      <c r="B29" s="74" t="s">
        <v>57</v>
      </c>
      <c r="C29" s="122">
        <v>2334</v>
      </c>
      <c r="D29" s="76">
        <f>C10</f>
        <v>2334</v>
      </c>
      <c r="E29" s="77">
        <f>D29-C29</f>
        <v>0</v>
      </c>
      <c r="O29" s="4"/>
    </row>
    <row r="30" spans="2:43" x14ac:dyDescent="0.3">
      <c r="B30" s="74" t="s">
        <v>59</v>
      </c>
      <c r="C30" s="122">
        <v>14211</v>
      </c>
      <c r="D30" s="76">
        <f>C16+C17+C18</f>
        <v>14199</v>
      </c>
      <c r="E30" s="77">
        <f>D30-C30</f>
        <v>-12</v>
      </c>
      <c r="J30" s="53"/>
      <c r="O30" s="4"/>
    </row>
    <row r="31" spans="2:43" ht="15" customHeight="1" thickBot="1" x14ac:dyDescent="0.35">
      <c r="B31" s="78" t="s">
        <v>60</v>
      </c>
      <c r="C31" s="121">
        <v>3340</v>
      </c>
      <c r="D31" s="80">
        <f>SUM(C8+C9)</f>
        <v>3340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1716</v>
      </c>
      <c r="S35" s="104">
        <f t="shared" ref="S35:S64" si="1">IF(T35&gt;0,(T35-R35)/2,"")</f>
        <v>416.5</v>
      </c>
      <c r="T35" s="104">
        <v>2549</v>
      </c>
      <c r="U35" s="104">
        <f t="shared" ref="U35:U64" si="2">IF(V35&gt;0,(V35-T35)/2,"")</f>
        <v>382</v>
      </c>
      <c r="V35" s="104">
        <v>3313</v>
      </c>
      <c r="W35" s="104">
        <f t="shared" ref="W35:W64" si="3">IF(X35&gt;0,(X35-V35)/2,"")</f>
        <v>444.5</v>
      </c>
      <c r="X35" s="104">
        <v>4202</v>
      </c>
      <c r="Y35" s="104">
        <f t="shared" ref="Y35:Y64" si="4">IF(Z35&gt;0,(Z35-X35)/2,"")</f>
        <v>0</v>
      </c>
      <c r="Z35" s="104">
        <v>4202</v>
      </c>
      <c r="AA35" s="104">
        <f t="shared" ref="AA35:AA64" si="5">IF(AB35&gt;0,(AB35-Z35)/2,"")</f>
        <v>0</v>
      </c>
      <c r="AB35" s="104">
        <v>4202</v>
      </c>
      <c r="AC35" s="104">
        <f t="shared" ref="AC35:AC64" si="6">IF(AD35&gt;0,(AD35-AB35)/2,"")</f>
        <v>0</v>
      </c>
      <c r="AD35" s="104">
        <v>4202</v>
      </c>
      <c r="AE35" s="105">
        <f t="shared" ref="AE35:AE64" si="7">AD35-Q35</f>
        <v>4202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10</v>
      </c>
      <c r="S36" s="106">
        <f t="shared" si="1"/>
        <v>0</v>
      </c>
      <c r="T36" s="106">
        <v>10</v>
      </c>
      <c r="U36" s="106">
        <f t="shared" si="2"/>
        <v>0</v>
      </c>
      <c r="V36" s="106">
        <v>10</v>
      </c>
      <c r="W36" s="106">
        <f t="shared" si="3"/>
        <v>16.5</v>
      </c>
      <c r="X36" s="106">
        <v>43</v>
      </c>
      <c r="Y36" s="106">
        <f t="shared" si="4"/>
        <v>0</v>
      </c>
      <c r="Z36" s="106">
        <v>43</v>
      </c>
      <c r="AA36" s="106">
        <f t="shared" si="5"/>
        <v>0</v>
      </c>
      <c r="AB36" s="106">
        <v>43</v>
      </c>
      <c r="AC36" s="106">
        <f t="shared" si="6"/>
        <v>0</v>
      </c>
      <c r="AD36" s="106">
        <v>43</v>
      </c>
      <c r="AE36" s="107">
        <f t="shared" si="7"/>
        <v>43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1910</v>
      </c>
      <c r="S37" s="108">
        <f t="shared" si="1"/>
        <v>555.5</v>
      </c>
      <c r="T37" s="108">
        <v>3021</v>
      </c>
      <c r="U37" s="108">
        <f t="shared" si="2"/>
        <v>778</v>
      </c>
      <c r="V37" s="108">
        <v>4577</v>
      </c>
      <c r="W37" s="108">
        <f t="shared" si="3"/>
        <v>514.5</v>
      </c>
      <c r="X37" s="108">
        <v>5606</v>
      </c>
      <c r="Y37" s="108">
        <f t="shared" si="4"/>
        <v>0</v>
      </c>
      <c r="Z37" s="108">
        <v>5606</v>
      </c>
      <c r="AA37" s="108">
        <f t="shared" si="5"/>
        <v>0</v>
      </c>
      <c r="AB37" s="108">
        <v>5606</v>
      </c>
      <c r="AC37" s="108">
        <f t="shared" si="6"/>
        <v>0</v>
      </c>
      <c r="AD37" s="108">
        <v>5606</v>
      </c>
      <c r="AE37" s="109">
        <f t="shared" si="7"/>
        <v>5606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>
        <f t="shared" si="1"/>
        <v>1245</v>
      </c>
      <c r="T38" s="106">
        <v>2490</v>
      </c>
      <c r="U38" s="106">
        <f t="shared" si="2"/>
        <v>455.5</v>
      </c>
      <c r="V38" s="106">
        <v>3401</v>
      </c>
      <c r="W38" s="106">
        <f t="shared" si="3"/>
        <v>0</v>
      </c>
      <c r="X38" s="106">
        <v>3401</v>
      </c>
      <c r="Y38" s="106">
        <f t="shared" si="4"/>
        <v>0</v>
      </c>
      <c r="Z38" s="106">
        <v>3401</v>
      </c>
      <c r="AA38" s="106">
        <f t="shared" si="5"/>
        <v>0</v>
      </c>
      <c r="AB38" s="106">
        <v>3401</v>
      </c>
      <c r="AC38" s="106">
        <f t="shared" si="6"/>
        <v>0</v>
      </c>
      <c r="AD38" s="106">
        <v>3401</v>
      </c>
      <c r="AE38" s="107">
        <f t="shared" si="7"/>
        <v>3401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>
        <f t="shared" si="1"/>
        <v>918</v>
      </c>
      <c r="T39" s="108">
        <v>1836</v>
      </c>
      <c r="U39" s="108">
        <f t="shared" si="2"/>
        <v>96.5</v>
      </c>
      <c r="V39" s="108">
        <v>2029</v>
      </c>
      <c r="W39" s="108">
        <f t="shared" si="3"/>
        <v>1170</v>
      </c>
      <c r="X39" s="108">
        <v>4369</v>
      </c>
      <c r="Y39" s="108">
        <f t="shared" si="4"/>
        <v>0</v>
      </c>
      <c r="Z39" s="108">
        <v>4369</v>
      </c>
      <c r="AA39" s="108">
        <f t="shared" si="5"/>
        <v>0</v>
      </c>
      <c r="AB39" s="108">
        <v>4369</v>
      </c>
      <c r="AC39" s="108">
        <f t="shared" si="6"/>
        <v>0</v>
      </c>
      <c r="AD39" s="108">
        <v>4369</v>
      </c>
      <c r="AE39" s="109">
        <f t="shared" si="7"/>
        <v>4369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76</v>
      </c>
      <c r="T44" s="112">
        <v>152</v>
      </c>
      <c r="U44" s="112">
        <f t="shared" si="2"/>
        <v>201</v>
      </c>
      <c r="V44" s="112">
        <v>554</v>
      </c>
      <c r="W44" s="112">
        <f t="shared" si="3"/>
        <v>64</v>
      </c>
      <c r="X44" s="112">
        <v>682</v>
      </c>
      <c r="Y44" s="112">
        <f t="shared" si="4"/>
        <v>0</v>
      </c>
      <c r="Z44" s="112">
        <v>682</v>
      </c>
      <c r="AA44" s="112">
        <f t="shared" si="5"/>
        <v>0</v>
      </c>
      <c r="AB44" s="112">
        <v>682</v>
      </c>
      <c r="AC44" s="112">
        <f t="shared" si="6"/>
        <v>0</v>
      </c>
      <c r="AD44" s="112">
        <v>682</v>
      </c>
      <c r="AE44" s="113">
        <f t="shared" si="7"/>
        <v>682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716</v>
      </c>
      <c r="S45" s="108">
        <f t="shared" si="1"/>
        <v>213.5</v>
      </c>
      <c r="T45" s="108">
        <v>1143</v>
      </c>
      <c r="U45" s="108">
        <f t="shared" si="2"/>
        <v>347</v>
      </c>
      <c r="V45" s="108">
        <v>1837</v>
      </c>
      <c r="W45" s="108">
        <f t="shared" si="3"/>
        <v>0</v>
      </c>
      <c r="X45" s="108">
        <v>1837</v>
      </c>
      <c r="Y45" s="108">
        <f t="shared" si="4"/>
        <v>0</v>
      </c>
      <c r="Z45" s="108">
        <v>1837</v>
      </c>
      <c r="AA45" s="108">
        <f t="shared" si="5"/>
        <v>0</v>
      </c>
      <c r="AB45" s="108">
        <v>1837</v>
      </c>
      <c r="AC45" s="108">
        <f t="shared" si="6"/>
        <v>0</v>
      </c>
      <c r="AD45" s="108">
        <v>1837</v>
      </c>
      <c r="AE45" s="109">
        <f t="shared" si="7"/>
        <v>1837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1340</v>
      </c>
      <c r="S48" s="112">
        <f t="shared" si="1"/>
        <v>9</v>
      </c>
      <c r="T48" s="112">
        <v>1358</v>
      </c>
      <c r="U48" s="112">
        <f t="shared" si="2"/>
        <v>181</v>
      </c>
      <c r="V48" s="112">
        <v>1720</v>
      </c>
      <c r="W48" s="112">
        <f t="shared" si="3"/>
        <v>-136.5</v>
      </c>
      <c r="X48" s="112">
        <v>1447</v>
      </c>
      <c r="Y48" s="112">
        <f t="shared" si="4"/>
        <v>0</v>
      </c>
      <c r="Z48" s="112">
        <v>1447</v>
      </c>
      <c r="AA48" s="112">
        <f t="shared" si="5"/>
        <v>0</v>
      </c>
      <c r="AB48" s="112">
        <v>1447</v>
      </c>
      <c r="AC48" s="112">
        <f t="shared" si="6"/>
        <v>0</v>
      </c>
      <c r="AD48" s="112">
        <v>1447</v>
      </c>
      <c r="AE48" s="113">
        <f t="shared" si="7"/>
        <v>1447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1520</v>
      </c>
      <c r="S49" s="108">
        <f t="shared" si="1"/>
        <v>0</v>
      </c>
      <c r="T49" s="108">
        <v>1520</v>
      </c>
      <c r="U49" s="108">
        <f t="shared" si="2"/>
        <v>489</v>
      </c>
      <c r="V49" s="108">
        <v>2498</v>
      </c>
      <c r="W49" s="108">
        <f t="shared" si="3"/>
        <v>39.5</v>
      </c>
      <c r="X49" s="108">
        <v>2577</v>
      </c>
      <c r="Y49" s="108">
        <f t="shared" si="4"/>
        <v>0</v>
      </c>
      <c r="Z49" s="108">
        <v>2577</v>
      </c>
      <c r="AA49" s="108">
        <f t="shared" si="5"/>
        <v>0</v>
      </c>
      <c r="AB49" s="108">
        <v>2577</v>
      </c>
      <c r="AC49" s="108">
        <f t="shared" si="6"/>
        <v>0</v>
      </c>
      <c r="AD49" s="108">
        <v>2577</v>
      </c>
      <c r="AE49" s="109">
        <f t="shared" si="7"/>
        <v>2577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392</v>
      </c>
      <c r="S50" s="106">
        <f t="shared" si="1"/>
        <v>0</v>
      </c>
      <c r="T50" s="106">
        <v>392</v>
      </c>
      <c r="U50" s="106">
        <f t="shared" si="2"/>
        <v>0</v>
      </c>
      <c r="V50" s="106">
        <v>392</v>
      </c>
      <c r="W50" s="106">
        <f t="shared" si="3"/>
        <v>0</v>
      </c>
      <c r="X50" s="106">
        <v>392</v>
      </c>
      <c r="Y50" s="106">
        <f t="shared" si="4"/>
        <v>0</v>
      </c>
      <c r="Z50" s="106">
        <v>392</v>
      </c>
      <c r="AA50" s="106">
        <f t="shared" si="5"/>
        <v>0</v>
      </c>
      <c r="AB50" s="106">
        <v>392</v>
      </c>
      <c r="AC50" s="106">
        <f t="shared" si="6"/>
        <v>0</v>
      </c>
      <c r="AD50" s="106">
        <v>392</v>
      </c>
      <c r="AE50" s="107">
        <f t="shared" si="7"/>
        <v>392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 t="str">
        <f t="shared" si="1"/>
        <v/>
      </c>
      <c r="T51" s="108">
        <v>0</v>
      </c>
      <c r="U51" s="108" t="str">
        <f t="shared" si="2"/>
        <v/>
      </c>
      <c r="V51" s="108">
        <v>0</v>
      </c>
      <c r="W51" s="108" t="str">
        <f t="shared" si="3"/>
        <v/>
      </c>
      <c r="X51" s="108">
        <v>0</v>
      </c>
      <c r="Y51" s="108" t="str">
        <f t="shared" si="4"/>
        <v/>
      </c>
      <c r="Z51" s="108">
        <v>0</v>
      </c>
      <c r="AA51" s="108" t="str">
        <f t="shared" si="5"/>
        <v/>
      </c>
      <c r="AB51" s="108">
        <v>0</v>
      </c>
      <c r="AC51" s="108" t="str">
        <f t="shared" si="6"/>
        <v/>
      </c>
      <c r="AD51" s="108">
        <v>0</v>
      </c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0</v>
      </c>
      <c r="S52" s="106">
        <f t="shared" si="1"/>
        <v>229</v>
      </c>
      <c r="T52" s="106">
        <v>458</v>
      </c>
      <c r="U52" s="106">
        <f t="shared" si="2"/>
        <v>222.5</v>
      </c>
      <c r="V52" s="106">
        <v>903</v>
      </c>
      <c r="W52" s="106">
        <f t="shared" si="3"/>
        <v>-7</v>
      </c>
      <c r="X52" s="106">
        <v>889</v>
      </c>
      <c r="Y52" s="106">
        <f t="shared" si="4"/>
        <v>-3.5</v>
      </c>
      <c r="Z52" s="106">
        <v>882</v>
      </c>
      <c r="AA52" s="106">
        <f t="shared" si="5"/>
        <v>0</v>
      </c>
      <c r="AB52" s="106">
        <v>882</v>
      </c>
      <c r="AC52" s="106">
        <f t="shared" si="6"/>
        <v>0</v>
      </c>
      <c r="AD52" s="106">
        <v>882</v>
      </c>
      <c r="AE52" s="107">
        <f t="shared" si="7"/>
        <v>882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123.5</v>
      </c>
      <c r="T53" s="108">
        <v>247</v>
      </c>
      <c r="U53" s="108">
        <f t="shared" si="2"/>
        <v>392.5</v>
      </c>
      <c r="V53" s="108">
        <v>1032</v>
      </c>
      <c r="W53" s="108">
        <f t="shared" si="3"/>
        <v>75</v>
      </c>
      <c r="X53" s="108">
        <v>1182</v>
      </c>
      <c r="Y53" s="108">
        <f t="shared" si="4"/>
        <v>0</v>
      </c>
      <c r="Z53" s="108">
        <v>1182</v>
      </c>
      <c r="AA53" s="108">
        <f t="shared" si="5"/>
        <v>0</v>
      </c>
      <c r="AB53" s="108">
        <v>1182</v>
      </c>
      <c r="AC53" s="108">
        <f t="shared" si="6"/>
        <v>0</v>
      </c>
      <c r="AD53" s="108">
        <v>1182</v>
      </c>
      <c r="AE53" s="109">
        <f t="shared" si="7"/>
        <v>1182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1087</v>
      </c>
      <c r="S57" s="104">
        <f t="shared" si="1"/>
        <v>389</v>
      </c>
      <c r="T57" s="104">
        <v>1865</v>
      </c>
      <c r="U57" s="104">
        <f t="shared" si="2"/>
        <v>243.5</v>
      </c>
      <c r="V57" s="104">
        <v>2352</v>
      </c>
      <c r="W57" s="104">
        <f t="shared" si="3"/>
        <v>308</v>
      </c>
      <c r="X57" s="104">
        <v>2968</v>
      </c>
      <c r="Y57" s="104">
        <f t="shared" si="4"/>
        <v>74.5</v>
      </c>
      <c r="Z57" s="104">
        <v>3117</v>
      </c>
      <c r="AA57" s="104">
        <f t="shared" si="5"/>
        <v>0</v>
      </c>
      <c r="AB57" s="104">
        <v>3117</v>
      </c>
      <c r="AC57" s="104">
        <f t="shared" si="6"/>
        <v>0</v>
      </c>
      <c r="AD57" s="104">
        <v>3117</v>
      </c>
      <c r="AE57" s="105">
        <f t="shared" si="7"/>
        <v>3117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336</v>
      </c>
      <c r="S58" s="106">
        <f t="shared" si="1"/>
        <v>0</v>
      </c>
      <c r="T58" s="106">
        <v>336</v>
      </c>
      <c r="U58" s="106">
        <f t="shared" si="2"/>
        <v>474</v>
      </c>
      <c r="V58" s="106">
        <v>1284</v>
      </c>
      <c r="W58" s="106">
        <f t="shared" si="3"/>
        <v>636</v>
      </c>
      <c r="X58" s="106">
        <v>2556</v>
      </c>
      <c r="Y58" s="106">
        <f t="shared" si="4"/>
        <v>0</v>
      </c>
      <c r="Z58" s="106">
        <v>2556</v>
      </c>
      <c r="AA58" s="106">
        <f t="shared" si="5"/>
        <v>0</v>
      </c>
      <c r="AB58" s="106">
        <v>2556</v>
      </c>
      <c r="AC58" s="106">
        <f t="shared" si="6"/>
        <v>0</v>
      </c>
      <c r="AD58" s="106">
        <v>2556</v>
      </c>
      <c r="AE58" s="107">
        <f t="shared" si="7"/>
        <v>2556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656</v>
      </c>
      <c r="S59" s="108">
        <f t="shared" si="1"/>
        <v>499</v>
      </c>
      <c r="T59" s="108">
        <v>1654</v>
      </c>
      <c r="U59" s="108">
        <f t="shared" si="2"/>
        <v>77.5</v>
      </c>
      <c r="V59" s="108">
        <v>1809</v>
      </c>
      <c r="W59" s="108">
        <f t="shared" si="3"/>
        <v>139.5</v>
      </c>
      <c r="X59" s="108">
        <v>2088</v>
      </c>
      <c r="Y59" s="108">
        <f t="shared" si="4"/>
        <v>0</v>
      </c>
      <c r="Z59" s="108">
        <v>2088</v>
      </c>
      <c r="AA59" s="108">
        <f t="shared" si="5"/>
        <v>0</v>
      </c>
      <c r="AB59" s="108">
        <v>2088</v>
      </c>
      <c r="AC59" s="108">
        <f t="shared" si="6"/>
        <v>0</v>
      </c>
      <c r="AD59" s="108">
        <v>2088</v>
      </c>
      <c r="AE59" s="109">
        <f t="shared" si="7"/>
        <v>2088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337</v>
      </c>
      <c r="S60" s="114">
        <f t="shared" si="1"/>
        <v>79</v>
      </c>
      <c r="T60" s="114">
        <v>495</v>
      </c>
      <c r="U60" s="114">
        <f t="shared" si="2"/>
        <v>148</v>
      </c>
      <c r="V60" s="114">
        <v>791</v>
      </c>
      <c r="W60" s="114">
        <f t="shared" si="3"/>
        <v>353</v>
      </c>
      <c r="X60" s="114">
        <v>1497</v>
      </c>
      <c r="Y60" s="114">
        <f t="shared" si="4"/>
        <v>0</v>
      </c>
      <c r="Z60" s="114">
        <v>1497</v>
      </c>
      <c r="AA60" s="114">
        <f t="shared" si="5"/>
        <v>0</v>
      </c>
      <c r="AB60" s="114">
        <v>1497</v>
      </c>
      <c r="AC60" s="114">
        <f t="shared" si="6"/>
        <v>0</v>
      </c>
      <c r="AD60" s="114">
        <v>1497</v>
      </c>
      <c r="AE60" s="115">
        <f t="shared" si="7"/>
        <v>1497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851</v>
      </c>
      <c r="S61" s="104">
        <f t="shared" si="1"/>
        <v>122</v>
      </c>
      <c r="T61" s="104">
        <v>1095</v>
      </c>
      <c r="U61" s="104">
        <f t="shared" si="2"/>
        <v>441</v>
      </c>
      <c r="V61" s="104">
        <v>1977</v>
      </c>
      <c r="W61" s="104">
        <f t="shared" si="3"/>
        <v>198</v>
      </c>
      <c r="X61" s="104">
        <v>2373</v>
      </c>
      <c r="Y61" s="104">
        <f t="shared" si="4"/>
        <v>-503.5</v>
      </c>
      <c r="Z61" s="104">
        <v>1366</v>
      </c>
      <c r="AA61" s="104">
        <f t="shared" si="5"/>
        <v>0</v>
      </c>
      <c r="AB61" s="104">
        <v>1366</v>
      </c>
      <c r="AC61" s="104">
        <f t="shared" si="6"/>
        <v>0</v>
      </c>
      <c r="AD61" s="104">
        <v>1366</v>
      </c>
      <c r="AE61" s="105">
        <f t="shared" si="7"/>
        <v>1366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63</v>
      </c>
      <c r="S62" s="106">
        <f t="shared" si="1"/>
        <v>100.5</v>
      </c>
      <c r="T62" s="106">
        <v>264</v>
      </c>
      <c r="U62" s="106">
        <f t="shared" si="2"/>
        <v>93</v>
      </c>
      <c r="V62" s="106">
        <v>450</v>
      </c>
      <c r="W62" s="106">
        <f t="shared" si="3"/>
        <v>27</v>
      </c>
      <c r="X62" s="106">
        <v>504</v>
      </c>
      <c r="Y62" s="106">
        <f t="shared" si="4"/>
        <v>108</v>
      </c>
      <c r="Z62" s="106">
        <v>720</v>
      </c>
      <c r="AA62" s="106">
        <f t="shared" si="5"/>
        <v>0</v>
      </c>
      <c r="AB62" s="106">
        <v>720</v>
      </c>
      <c r="AC62" s="106">
        <f t="shared" si="6"/>
        <v>0</v>
      </c>
      <c r="AD62" s="106">
        <v>720</v>
      </c>
      <c r="AE62" s="107">
        <f t="shared" si="7"/>
        <v>720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477</v>
      </c>
      <c r="S63" s="108">
        <f t="shared" si="1"/>
        <v>170</v>
      </c>
      <c r="T63" s="108">
        <v>817</v>
      </c>
      <c r="U63" s="108">
        <f t="shared" si="2"/>
        <v>0</v>
      </c>
      <c r="V63" s="108">
        <v>817</v>
      </c>
      <c r="W63" s="108">
        <f t="shared" si="3"/>
        <v>36</v>
      </c>
      <c r="X63" s="108">
        <v>889</v>
      </c>
      <c r="Y63" s="108">
        <f t="shared" si="4"/>
        <v>41</v>
      </c>
      <c r="Z63" s="108">
        <v>971</v>
      </c>
      <c r="AA63" s="108">
        <f t="shared" si="5"/>
        <v>0</v>
      </c>
      <c r="AB63" s="108">
        <v>971</v>
      </c>
      <c r="AC63" s="108">
        <f t="shared" si="6"/>
        <v>0</v>
      </c>
      <c r="AD63" s="108">
        <v>971</v>
      </c>
      <c r="AE63" s="109">
        <f t="shared" si="7"/>
        <v>971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859</v>
      </c>
      <c r="S64" s="114">
        <f t="shared" si="1"/>
        <v>509</v>
      </c>
      <c r="T64" s="114">
        <v>1877</v>
      </c>
      <c r="U64" s="114">
        <f t="shared" si="2"/>
        <v>179</v>
      </c>
      <c r="V64" s="114">
        <v>2235</v>
      </c>
      <c r="W64" s="114">
        <f t="shared" si="3"/>
        <v>530</v>
      </c>
      <c r="X64" s="114">
        <v>3295</v>
      </c>
      <c r="Y64" s="114">
        <f t="shared" si="4"/>
        <v>2</v>
      </c>
      <c r="Z64" s="114">
        <v>3299</v>
      </c>
      <c r="AA64" s="114">
        <f t="shared" si="5"/>
        <v>0</v>
      </c>
      <c r="AB64" s="114">
        <v>3299</v>
      </c>
      <c r="AC64" s="114">
        <f t="shared" si="6"/>
        <v>0</v>
      </c>
      <c r="AD64" s="114">
        <v>3299</v>
      </c>
      <c r="AE64" s="115">
        <f t="shared" si="7"/>
        <v>3299</v>
      </c>
    </row>
  </sheetData>
  <mergeCells count="9">
    <mergeCell ref="N61:N64"/>
    <mergeCell ref="D24:E24"/>
    <mergeCell ref="F4:I4"/>
    <mergeCell ref="J4:O4"/>
    <mergeCell ref="B5:C5"/>
    <mergeCell ref="N35:N43"/>
    <mergeCell ref="N44:N47"/>
    <mergeCell ref="N48:N56"/>
    <mergeCell ref="N57:N60"/>
  </mergeCells>
  <conditionalFormatting sqref="R24:AC24">
    <cfRule type="cellIs" dxfId="803" priority="11" operator="lessThan">
      <formula>0</formula>
    </cfRule>
    <cfRule type="cellIs" dxfId="802" priority="12" operator="greaterThan">
      <formula>0</formula>
    </cfRule>
  </conditionalFormatting>
  <conditionalFormatting sqref="R25:AC25">
    <cfRule type="cellIs" dxfId="801" priority="9" operator="lessThan">
      <formula>0</formula>
    </cfRule>
    <cfRule type="cellIs" dxfId="800" priority="10" operator="greaterThan">
      <formula>0</formula>
    </cfRule>
  </conditionalFormatting>
  <conditionalFormatting sqref="R26 T26 V26 X26 Z26 AB26">
    <cfRule type="cellIs" dxfId="799" priority="7" operator="lessThan">
      <formula>0</formula>
    </cfRule>
    <cfRule type="cellIs" dxfId="798" priority="8" operator="greaterThan">
      <formula>0</formula>
    </cfRule>
  </conditionalFormatting>
  <conditionalFormatting sqref="AD24:AE24">
    <cfRule type="cellIs" dxfId="797" priority="5" operator="lessThan">
      <formula>0</formula>
    </cfRule>
    <cfRule type="cellIs" dxfId="796" priority="6" operator="greaterThan">
      <formula>0</formula>
    </cfRule>
  </conditionalFormatting>
  <conditionalFormatting sqref="AD25:AE25">
    <cfRule type="cellIs" dxfId="795" priority="3" operator="lessThan">
      <formula>0</formula>
    </cfRule>
    <cfRule type="cellIs" dxfId="794" priority="4" operator="greaterThan">
      <formula>0</formula>
    </cfRule>
  </conditionalFormatting>
  <conditionalFormatting sqref="AD26">
    <cfRule type="cellIs" dxfId="793" priority="1" operator="lessThan">
      <formula>0</formula>
    </cfRule>
    <cfRule type="cellIs" dxfId="7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44452</v>
      </c>
    </row>
    <row r="3" spans="2:42" ht="18.75" customHeight="1" thickBot="1" x14ac:dyDescent="0.35">
      <c r="B3" t="s">
        <v>1</v>
      </c>
      <c r="C3" s="3">
        <f>C2+1</f>
        <v>44453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2252</v>
      </c>
      <c r="E6" s="18" t="s">
        <v>22</v>
      </c>
      <c r="F6" s="119">
        <v>19173</v>
      </c>
      <c r="G6" s="117">
        <v>9330.8787499999999</v>
      </c>
      <c r="H6" s="117">
        <v>3252.5232275200001</v>
      </c>
      <c r="I6" s="19">
        <f>G6+H6</f>
        <v>12583.401977519999</v>
      </c>
      <c r="J6" s="119">
        <v>20106</v>
      </c>
      <c r="K6" s="117">
        <v>9803.2359999999971</v>
      </c>
      <c r="L6" s="117">
        <v>3452.244503559999</v>
      </c>
      <c r="M6" s="19">
        <f>K6+L6</f>
        <v>13255.480503559997</v>
      </c>
      <c r="N6" s="85">
        <v>66</v>
      </c>
      <c r="O6" s="85">
        <v>52</v>
      </c>
      <c r="P6" s="92"/>
      <c r="Q6" s="20">
        <f>J6-P6</f>
        <v>20106</v>
      </c>
      <c r="R6" s="21">
        <v>2918</v>
      </c>
      <c r="S6" s="20">
        <f>IF(R6&gt;0,(R6-R7-$Q6),"")</f>
        <v>-17294</v>
      </c>
      <c r="T6" s="21">
        <v>4367</v>
      </c>
      <c r="U6" s="20">
        <f>IF(T6&gt;0,(T6-T7-$Q6),"")</f>
        <v>-15845</v>
      </c>
      <c r="V6" s="21">
        <v>10002</v>
      </c>
      <c r="W6" s="20">
        <f>IF(V6&gt;0,(V6-V7-$Q6),"")</f>
        <v>-10241</v>
      </c>
      <c r="X6" s="21">
        <v>15218</v>
      </c>
      <c r="Y6" s="20">
        <f>IF(X6&gt;0,(X6-X7-$Q6),"")</f>
        <v>-5026</v>
      </c>
      <c r="Z6" s="21">
        <v>15218</v>
      </c>
      <c r="AA6" s="20">
        <f>IF(Z6&gt;0,(Z6-Z7-$Q6),"")</f>
        <v>-5026</v>
      </c>
      <c r="AB6" s="21">
        <v>15439</v>
      </c>
      <c r="AC6" s="22">
        <f>IF(AB6&gt;0,(AB6-AB7-$Q6),"")</f>
        <v>-4805</v>
      </c>
      <c r="AD6" s="21">
        <v>15439</v>
      </c>
      <c r="AE6" s="22">
        <f>IF(AD6&gt;0,(AD6-AD7-$Q6),"")</f>
        <v>-4805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106</v>
      </c>
      <c r="S7" s="24"/>
      <c r="T7" s="25">
        <v>106</v>
      </c>
      <c r="U7" s="24"/>
      <c r="V7" s="25">
        <v>137</v>
      </c>
      <c r="W7" s="24"/>
      <c r="X7" s="25">
        <v>138</v>
      </c>
      <c r="Y7" s="24"/>
      <c r="Z7" s="25">
        <v>138</v>
      </c>
      <c r="AA7" s="24"/>
      <c r="AB7" s="25">
        <v>138</v>
      </c>
      <c r="AC7" s="26"/>
      <c r="AD7" s="25">
        <v>138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2294</v>
      </c>
      <c r="E8" s="29" t="s">
        <v>27</v>
      </c>
      <c r="F8" s="119">
        <v>4612</v>
      </c>
      <c r="G8" s="117">
        <v>4068.8620000000001</v>
      </c>
      <c r="H8" s="117">
        <v>8377.6567675000024</v>
      </c>
      <c r="I8" s="19">
        <f>G8+H8</f>
        <v>12446.518767500002</v>
      </c>
      <c r="J8" s="119">
        <v>4417</v>
      </c>
      <c r="K8" s="117">
        <v>3965.6125000000002</v>
      </c>
      <c r="L8" s="117">
        <v>8906.4699400000027</v>
      </c>
      <c r="M8" s="19">
        <f>K8+L8</f>
        <v>12872.082440000002</v>
      </c>
      <c r="N8" s="87">
        <v>22</v>
      </c>
      <c r="O8" s="87">
        <v>14</v>
      </c>
      <c r="P8" s="92"/>
      <c r="Q8" s="20">
        <f>J8-P8</f>
        <v>4417</v>
      </c>
      <c r="R8" s="21">
        <v>383</v>
      </c>
      <c r="S8" s="20">
        <f>IF(R8&gt;0,(R8-R9-$Q8),"")</f>
        <v>-4035</v>
      </c>
      <c r="T8" s="21">
        <v>493</v>
      </c>
      <c r="U8" s="20">
        <f>IF(T8&gt;0,(T8-T9-$Q8),"")</f>
        <v>-3925</v>
      </c>
      <c r="V8" s="21">
        <v>895</v>
      </c>
      <c r="W8" s="20">
        <f>IF(V8&gt;0,(V8-V9-$Q8),"")</f>
        <v>-3523</v>
      </c>
      <c r="X8" s="21">
        <v>1103</v>
      </c>
      <c r="Y8" s="20">
        <f>IF(X8&gt;0,(X8-X9-$Q8),"")</f>
        <v>-3315</v>
      </c>
      <c r="Z8" s="21">
        <v>1590</v>
      </c>
      <c r="AA8" s="20">
        <f>IF(Z8&gt;0,(Z8-Z9-$Q8),"")</f>
        <v>-2828</v>
      </c>
      <c r="AB8" s="21">
        <v>1590</v>
      </c>
      <c r="AC8" s="22">
        <f>IF(AB8&gt;0,(AB8-AB9-$Q8),"")</f>
        <v>-2828</v>
      </c>
      <c r="AD8" s="21">
        <v>1590</v>
      </c>
      <c r="AE8" s="22">
        <f>IF(AD8&gt;0,(AD8-AD9-$Q8),"")</f>
        <v>-2828</v>
      </c>
    </row>
    <row r="9" spans="2:42" x14ac:dyDescent="0.3">
      <c r="B9" s="28" t="s">
        <v>28</v>
      </c>
      <c r="C9" s="17">
        <v>1390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1</v>
      </c>
      <c r="S9" s="24"/>
      <c r="T9" s="30">
        <v>1</v>
      </c>
      <c r="U9" s="24"/>
      <c r="V9" s="30">
        <v>1</v>
      </c>
      <c r="W9" s="24"/>
      <c r="X9" s="30">
        <v>1</v>
      </c>
      <c r="Y9" s="24"/>
      <c r="Z9" s="30">
        <v>1</v>
      </c>
      <c r="AA9" s="24"/>
      <c r="AB9" s="30">
        <v>1</v>
      </c>
      <c r="AC9" s="26"/>
      <c r="AD9" s="30">
        <v>1</v>
      </c>
      <c r="AE9" s="26"/>
    </row>
    <row r="10" spans="2:42" x14ac:dyDescent="0.3">
      <c r="B10" s="16" t="s">
        <v>30</v>
      </c>
      <c r="C10" s="17">
        <v>4906</v>
      </c>
      <c r="E10" s="18" t="s">
        <v>31</v>
      </c>
      <c r="F10" s="119">
        <v>11220</v>
      </c>
      <c r="G10" s="117">
        <v>7699.4685625000011</v>
      </c>
      <c r="H10" s="117">
        <v>1264.2310565</v>
      </c>
      <c r="I10" s="19">
        <f>G10+H10</f>
        <v>8963.6996190000009</v>
      </c>
      <c r="J10" s="119">
        <v>11491</v>
      </c>
      <c r="K10" s="117">
        <v>7715.9625624999999</v>
      </c>
      <c r="L10" s="117">
        <v>1345.8248043999999</v>
      </c>
      <c r="M10" s="19">
        <f>K10+L10</f>
        <v>9061.7873669000001</v>
      </c>
      <c r="N10" s="88">
        <v>45</v>
      </c>
      <c r="O10" s="88">
        <v>37</v>
      </c>
      <c r="P10" s="92"/>
      <c r="Q10" s="20">
        <f>J10-P10</f>
        <v>11491</v>
      </c>
      <c r="R10" s="21">
        <v>4270</v>
      </c>
      <c r="S10" s="20">
        <f>IF(R10&gt;0,(R10-R11-$Q10),"")</f>
        <v>-8185</v>
      </c>
      <c r="T10" s="21">
        <v>4437</v>
      </c>
      <c r="U10" s="20">
        <f>IF(T10&gt;0,(T10-T11-$Q10),"")</f>
        <v>-8018</v>
      </c>
      <c r="V10" s="21">
        <v>5828</v>
      </c>
      <c r="W10" s="20">
        <f>IF(V10&gt;0,(V10-V11-$Q10),"")</f>
        <v>-6627</v>
      </c>
      <c r="X10" s="21">
        <v>7937</v>
      </c>
      <c r="Y10" s="20">
        <f>IF(X10&gt;0,(X10-X11-$Q10),"")</f>
        <v>-5323</v>
      </c>
      <c r="Z10" s="21">
        <v>6840</v>
      </c>
      <c r="AA10" s="20">
        <f>IF(Z10&gt;0,(Z10-Z11-$Q10),"")</f>
        <v>-6426</v>
      </c>
      <c r="AB10" s="21">
        <v>6840</v>
      </c>
      <c r="AC10" s="22">
        <f>IF(AB10&gt;0,(AB10-AB11-$Q10),"")</f>
        <v>-6426</v>
      </c>
      <c r="AD10" s="21">
        <v>6840</v>
      </c>
      <c r="AE10" s="22">
        <f>IF(AD10&gt;0,(AD10-AD11-$Q10),"")</f>
        <v>-6426</v>
      </c>
    </row>
    <row r="11" spans="2:42" x14ac:dyDescent="0.3">
      <c r="B11" s="16" t="s">
        <v>38</v>
      </c>
      <c r="C11" s="17">
        <v>10281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964</v>
      </c>
      <c r="S11" s="24"/>
      <c r="T11" s="30">
        <v>964</v>
      </c>
      <c r="U11" s="24"/>
      <c r="V11" s="30">
        <v>964</v>
      </c>
      <c r="W11" s="24"/>
      <c r="X11" s="30">
        <v>1769</v>
      </c>
      <c r="Y11" s="24"/>
      <c r="Z11" s="30">
        <v>1775</v>
      </c>
      <c r="AA11" s="24"/>
      <c r="AB11" s="30">
        <v>1775</v>
      </c>
      <c r="AC11" s="26"/>
      <c r="AD11" s="30">
        <v>1775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10981</v>
      </c>
      <c r="G12" s="117">
        <v>10645.355374999999</v>
      </c>
      <c r="H12" s="117">
        <v>13795.201316219989</v>
      </c>
      <c r="I12" s="19">
        <f>G12+H12</f>
        <v>24440.556691219987</v>
      </c>
      <c r="J12" s="119">
        <v>10878</v>
      </c>
      <c r="K12" s="117">
        <v>10798.222750000001</v>
      </c>
      <c r="L12" s="117">
        <v>13869.80979537</v>
      </c>
      <c r="M12" s="19">
        <f>K12+L12</f>
        <v>24668.032545369999</v>
      </c>
      <c r="N12" s="88">
        <v>46</v>
      </c>
      <c r="O12" s="88">
        <v>31</v>
      </c>
      <c r="P12" s="92"/>
      <c r="Q12" s="20">
        <f>J12-P12</f>
        <v>10878</v>
      </c>
      <c r="R12" s="21">
        <v>5675</v>
      </c>
      <c r="S12" s="20">
        <f>IF(R12&gt;0,(R12-R13-$Q12),"")</f>
        <v>-5573</v>
      </c>
      <c r="T12" s="21">
        <v>7799</v>
      </c>
      <c r="U12" s="20">
        <f>IF(T12&gt;0,(T12-T13-$Q12),"")</f>
        <v>-3554</v>
      </c>
      <c r="V12" s="21">
        <v>10628</v>
      </c>
      <c r="W12" s="20">
        <f>IF(V12&gt;0,(V12-V13-$Q12),"")</f>
        <v>-843</v>
      </c>
      <c r="X12" s="21">
        <v>10923</v>
      </c>
      <c r="Y12" s="20">
        <f>IF(X12&gt;0,(X12-X13-$Q12),"")</f>
        <v>-548</v>
      </c>
      <c r="Z12" s="21">
        <v>10923</v>
      </c>
      <c r="AA12" s="20">
        <f>IF(Z12&gt;0,(Z12-Z13-$Q12),"")</f>
        <v>-548</v>
      </c>
      <c r="AB12" s="21">
        <v>10923</v>
      </c>
      <c r="AC12" s="22">
        <f>IF(AB12&gt;0,(AB12-AB13-$Q12),"")</f>
        <v>-548</v>
      </c>
      <c r="AD12" s="21">
        <v>10923</v>
      </c>
      <c r="AE12" s="22">
        <f>IF(AD12&gt;0,(AD12-AD13-$Q12),"")</f>
        <v>-548</v>
      </c>
    </row>
    <row r="13" spans="2:42" x14ac:dyDescent="0.3">
      <c r="B13" s="28" t="s">
        <v>42</v>
      </c>
      <c r="C13" s="17">
        <v>10123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15</v>
      </c>
      <c r="P13" s="93" t="s">
        <v>37</v>
      </c>
      <c r="Q13" s="24"/>
      <c r="R13" s="30">
        <v>370</v>
      </c>
      <c r="S13" s="24"/>
      <c r="T13" s="30">
        <v>475</v>
      </c>
      <c r="U13" s="24"/>
      <c r="V13" s="30">
        <v>593</v>
      </c>
      <c r="W13" s="24"/>
      <c r="X13" s="30">
        <v>593</v>
      </c>
      <c r="Y13" s="24"/>
      <c r="Z13" s="30">
        <v>593</v>
      </c>
      <c r="AA13" s="24"/>
      <c r="AB13" s="30">
        <v>593</v>
      </c>
      <c r="AC13" s="26"/>
      <c r="AD13" s="30">
        <v>593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27882</v>
      </c>
      <c r="G14" s="117">
        <v>17611.78125</v>
      </c>
      <c r="H14" s="117">
        <v>21400.83937203501</v>
      </c>
      <c r="I14" s="19">
        <f>G14+H14</f>
        <v>39012.620622035014</v>
      </c>
      <c r="J14" s="119">
        <v>27732</v>
      </c>
      <c r="K14" s="117">
        <v>17208.53125</v>
      </c>
      <c r="L14" s="117">
        <v>20986.970325085011</v>
      </c>
      <c r="M14" s="19">
        <f>K14+L14</f>
        <v>38195.501575085014</v>
      </c>
      <c r="N14" s="88">
        <v>59</v>
      </c>
      <c r="O14" s="88">
        <v>48</v>
      </c>
      <c r="P14" s="92"/>
      <c r="Q14" s="20">
        <f>J14-P14</f>
        <v>27732</v>
      </c>
      <c r="R14" s="21">
        <v>2037</v>
      </c>
      <c r="S14" s="20">
        <f>IF(R14&gt;0,(R14-R15-$Q14),"")</f>
        <v>-25725</v>
      </c>
      <c r="T14" s="21">
        <v>3870</v>
      </c>
      <c r="U14" s="20">
        <f>IF(T14&gt;0,(T14-T15-$Q14),"")</f>
        <v>-23900</v>
      </c>
      <c r="V14" s="21">
        <v>4724</v>
      </c>
      <c r="W14" s="20">
        <f>IF(V14&gt;0,(V14-V15-$Q14),"")</f>
        <v>-23053</v>
      </c>
      <c r="X14" s="21">
        <v>7516</v>
      </c>
      <c r="Y14" s="20">
        <f>IF(X14&gt;0,(X14-X15-$Q14),"")</f>
        <v>-20290</v>
      </c>
      <c r="Z14" s="21">
        <v>9457</v>
      </c>
      <c r="AA14" s="20">
        <f>IF(Z14&gt;0,(Z14-Z15-$Q14),"")</f>
        <v>-18349</v>
      </c>
      <c r="AB14" s="21">
        <v>9846</v>
      </c>
      <c r="AC14" s="22">
        <f>IF(AB14&gt;0,(AB14-AB15-$Q14),"")</f>
        <v>-17960</v>
      </c>
      <c r="AD14" s="21">
        <v>9846</v>
      </c>
      <c r="AE14" s="22">
        <f>IF(AD14&gt;0,(AD14-AD15-$Q14),"")</f>
        <v>-17960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30</v>
      </c>
      <c r="S15" s="24"/>
      <c r="T15" s="25">
        <v>38</v>
      </c>
      <c r="U15" s="24"/>
      <c r="V15" s="25">
        <v>45</v>
      </c>
      <c r="W15" s="24"/>
      <c r="X15" s="25">
        <v>74</v>
      </c>
      <c r="Y15" s="24"/>
      <c r="Z15" s="25">
        <v>74</v>
      </c>
      <c r="AA15" s="24"/>
      <c r="AB15" s="25">
        <v>74</v>
      </c>
      <c r="AC15" s="26"/>
      <c r="AD15" s="25">
        <v>74</v>
      </c>
      <c r="AE15" s="26"/>
    </row>
    <row r="16" spans="2:42" ht="15" customHeight="1" thickBot="1" x14ac:dyDescent="0.35">
      <c r="B16" s="16" t="s">
        <v>50</v>
      </c>
      <c r="C16" s="17">
        <v>9951</v>
      </c>
      <c r="E16" s="84"/>
      <c r="F16" s="31">
        <f t="shared" ref="F16:M16" si="0">SUM(F6:F15)</f>
        <v>73868</v>
      </c>
      <c r="G16" s="31">
        <f t="shared" si="0"/>
        <v>49356.345937500002</v>
      </c>
      <c r="H16" s="31">
        <f t="shared" si="0"/>
        <v>48090.451739775002</v>
      </c>
      <c r="I16" s="32">
        <f t="shared" si="0"/>
        <v>97446.797677274997</v>
      </c>
      <c r="J16" s="33">
        <f t="shared" si="0"/>
        <v>74624</v>
      </c>
      <c r="K16" s="33">
        <f t="shared" si="0"/>
        <v>49491.565062499998</v>
      </c>
      <c r="L16" s="33">
        <f t="shared" si="0"/>
        <v>48561.319368415017</v>
      </c>
      <c r="M16" s="33">
        <f t="shared" si="0"/>
        <v>98052.884430915001</v>
      </c>
      <c r="N16" s="31">
        <f>SUM(N14,N12,N10,N8,N6)</f>
        <v>238</v>
      </c>
      <c r="O16" s="31">
        <f>SUM(O14,O12,O10,O8,O6)</f>
        <v>182</v>
      </c>
      <c r="P16" s="34">
        <f>SUM(P6:P15)</f>
        <v>0</v>
      </c>
      <c r="Q16" s="34">
        <f>SUM(Q6:Q15)</f>
        <v>74624</v>
      </c>
      <c r="R16" s="35">
        <f>R6+R8+R10+R12+R14-R7-R9-R11-R13-R15</f>
        <v>13812</v>
      </c>
      <c r="S16" s="36">
        <f>IF(R16&gt;1,(R16-$Q16),"")</f>
        <v>-60812</v>
      </c>
      <c r="T16" s="35">
        <f>T6+T8+T10+T12+T14-T7-T9-T11-T13-T15</f>
        <v>19382</v>
      </c>
      <c r="U16" s="36">
        <f>IF(T16&gt;1,(T16-$Q16),"")</f>
        <v>-55242</v>
      </c>
      <c r="V16" s="35">
        <f>V6+V8+V10+V12+V14-V7-V9-V11-V13-V15</f>
        <v>30337</v>
      </c>
      <c r="W16" s="36">
        <f>IF(V16&gt;1,(V16-$Q16),"")</f>
        <v>-44287</v>
      </c>
      <c r="X16" s="35">
        <f>X6+X8+X10+X12+X14-X7-X9-X11-X13-X15</f>
        <v>40122</v>
      </c>
      <c r="Y16" s="36">
        <f>IF(X16&gt;1,(X16-$Q16),"")</f>
        <v>-34502</v>
      </c>
      <c r="Z16" s="35">
        <f>Z6+Z8+Z10+Z12+Z14-Z7-Z9-Z11-Z13-Z15</f>
        <v>41447</v>
      </c>
      <c r="AA16" s="36">
        <f>IF(Z16&gt;1,(Z16-$Q16),"")</f>
        <v>-33177</v>
      </c>
      <c r="AB16" s="35">
        <f>AB6+AB8+AB10+AB12+AB14-AB7-AB9-AB11-AB13-AB15</f>
        <v>42057</v>
      </c>
      <c r="AC16" s="37">
        <f>IF(AB16&gt;1,(AB16-$Q16),"")</f>
        <v>-32567</v>
      </c>
      <c r="AD16" s="35">
        <f>AD6+AD8+AD10+AD12+AD14-AD7-AD9-AD11-AD13-AD15</f>
        <v>42057</v>
      </c>
      <c r="AE16" s="37">
        <f>IF(AD16&gt;1,(AD16-$Q16),"")</f>
        <v>-32567</v>
      </c>
    </row>
    <row r="17" spans="2:43" s="4" customFormat="1" ht="15" customHeight="1" thickBot="1" x14ac:dyDescent="0.35">
      <c r="B17" s="16" t="s">
        <v>51</v>
      </c>
      <c r="C17" s="17">
        <v>1187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56</v>
      </c>
      <c r="P17" s="38" t="s">
        <v>44</v>
      </c>
      <c r="Q17" s="39"/>
      <c r="R17" s="40">
        <f>R15+R13+R11+R9+R7</f>
        <v>1471</v>
      </c>
      <c r="S17" s="41"/>
      <c r="T17" s="40">
        <f>T15+T13+T11+T9+T7</f>
        <v>1584</v>
      </c>
      <c r="U17" s="41"/>
      <c r="V17" s="40">
        <f>V15+V13+V11+V9+V7</f>
        <v>1740</v>
      </c>
      <c r="W17" s="41"/>
      <c r="X17" s="40">
        <f>X15+X13+X11+X9+X7</f>
        <v>2575</v>
      </c>
      <c r="Y17" s="41"/>
      <c r="Z17" s="40">
        <f>Z15+Z13+Z11+Z9+Z7</f>
        <v>2581</v>
      </c>
      <c r="AA17" s="41"/>
      <c r="AB17" s="40">
        <f>AB15+AB13+AB11+AB9+AB7</f>
        <v>2581</v>
      </c>
      <c r="AC17" s="42"/>
      <c r="AD17" s="40">
        <f>AD15+AD13+AD11+AD9+AD7</f>
        <v>2581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4423</v>
      </c>
      <c r="P18" s="45" t="s">
        <v>46</v>
      </c>
      <c r="Q18" s="46"/>
      <c r="R18" s="47">
        <f>IF(R16&gt;0,(R16)/2,"")</f>
        <v>6906</v>
      </c>
      <c r="S18" s="46"/>
      <c r="T18" s="47">
        <f>IF(T16&gt;0,(T16-R16)/2,"")</f>
        <v>2785</v>
      </c>
      <c r="U18" s="46"/>
      <c r="V18" s="47">
        <f>IF(V16&gt;0,(V16-T16)/2,"")</f>
        <v>5477.5</v>
      </c>
      <c r="W18" s="46"/>
      <c r="X18" s="47">
        <f>IF(X16&gt;0,(X16-V16)/2,"")</f>
        <v>4892.5</v>
      </c>
      <c r="Y18" s="46"/>
      <c r="Z18" s="47">
        <f>IF(Z16&gt;0,(Z16-X16)/2,"")</f>
        <v>662.5</v>
      </c>
      <c r="AA18" s="46"/>
      <c r="AB18" s="47">
        <f>IF(AB16&gt;0,(AB16-Z16)/2,"")</f>
        <v>305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14421</v>
      </c>
      <c r="S20" s="36">
        <v>-55320</v>
      </c>
      <c r="T20" s="35">
        <v>27426</v>
      </c>
      <c r="U20" s="36">
        <v>-42315</v>
      </c>
      <c r="V20" s="35">
        <v>38007</v>
      </c>
      <c r="W20" s="36">
        <v>-31734</v>
      </c>
      <c r="X20" s="35">
        <v>48408</v>
      </c>
      <c r="Y20" s="36">
        <v>-21333</v>
      </c>
      <c r="Z20" s="35">
        <v>47782</v>
      </c>
      <c r="AA20" s="36">
        <v>-21959</v>
      </c>
      <c r="AB20" s="35">
        <v>47782</v>
      </c>
      <c r="AC20" s="37">
        <v>-21959</v>
      </c>
      <c r="AD20" s="35">
        <v>47782</v>
      </c>
      <c r="AE20" s="37">
        <v>-21959</v>
      </c>
    </row>
    <row r="21" spans="2:43" ht="15" customHeight="1" thickBot="1" x14ac:dyDescent="0.35">
      <c r="M21" s="4"/>
      <c r="Q21" s="52"/>
      <c r="R21" s="40">
        <v>194</v>
      </c>
      <c r="S21" s="41"/>
      <c r="T21" s="40">
        <v>222</v>
      </c>
      <c r="U21" s="41"/>
      <c r="V21" s="40">
        <v>242</v>
      </c>
      <c r="W21" s="41"/>
      <c r="X21" s="40">
        <v>359</v>
      </c>
      <c r="Y21" s="41"/>
      <c r="Z21" s="40">
        <v>359</v>
      </c>
      <c r="AA21" s="41"/>
      <c r="AB21" s="40">
        <v>359</v>
      </c>
      <c r="AC21" s="42"/>
      <c r="AD21" s="40">
        <v>359</v>
      </c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-609</v>
      </c>
      <c r="S24" s="60"/>
      <c r="T24" s="60">
        <f>IF(T16&gt;0,T16-T20,"")</f>
        <v>-8044</v>
      </c>
      <c r="U24" s="60"/>
      <c r="V24" s="60">
        <f>IF(V16&gt;0,V16-V20,"")</f>
        <v>-7670</v>
      </c>
      <c r="W24" s="60"/>
      <c r="X24" s="60">
        <f>IF(X16&gt;0,X16-X20,"")</f>
        <v>-8286</v>
      </c>
      <c r="Y24" s="60"/>
      <c r="Z24" s="60">
        <f>IF(Z16&gt;0,Z16-Z20,"")</f>
        <v>-6335</v>
      </c>
      <c r="AA24" s="60"/>
      <c r="AB24" s="60">
        <f>IF(AB16&gt;0,AB16-AB20,"")</f>
        <v>-5725</v>
      </c>
      <c r="AC24" s="61"/>
      <c r="AD24" s="60">
        <f>IF(AD16&gt;0,AD16-AD20,"")</f>
        <v>-5725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1277</v>
      </c>
      <c r="S25" s="64"/>
      <c r="T25" s="63">
        <f>IF(T17&gt;=0,T17-T21,"")</f>
        <v>1362</v>
      </c>
      <c r="U25" s="64"/>
      <c r="V25" s="63">
        <f>IF(V17&gt;=0,V17-V21,"")</f>
        <v>1498</v>
      </c>
      <c r="W25" s="64"/>
      <c r="X25" s="63">
        <f>IF(X17&gt;=0,X17-X21,"")</f>
        <v>2216</v>
      </c>
      <c r="Y25" s="64"/>
      <c r="Z25" s="63">
        <f>IF(Z17&gt;=0,Z17-Z21,"")</f>
        <v>2222</v>
      </c>
      <c r="AA25" s="64"/>
      <c r="AB25" s="63">
        <f>IF(AB17&gt;=0,AB17-AB21,"")</f>
        <v>2222</v>
      </c>
      <c r="AC25" s="65"/>
      <c r="AD25" s="63">
        <f>IF(AD17&gt;=0,AD17-AD21,"")</f>
        <v>2222</v>
      </c>
      <c r="AE25" s="65"/>
    </row>
    <row r="26" spans="2:43" ht="15" customHeight="1" thickBot="1" x14ac:dyDescent="0.35">
      <c r="B26" s="74" t="s">
        <v>55</v>
      </c>
      <c r="C26" s="122">
        <v>9820</v>
      </c>
      <c r="D26" s="76">
        <f>C11</f>
        <v>10281</v>
      </c>
      <c r="E26" s="77">
        <f>D26-C26</f>
        <v>461</v>
      </c>
      <c r="M26" s="4"/>
      <c r="Q26" s="66"/>
      <c r="R26" s="67">
        <f>IFERROR(IF(R18&gt;0,R18-R22,""),"")</f>
        <v>6906</v>
      </c>
      <c r="S26" s="55"/>
      <c r="T26" s="67">
        <f>IFERROR(IF(T18&gt;0,T18-T22,""),"")</f>
        <v>2785</v>
      </c>
      <c r="U26" s="55"/>
      <c r="V26" s="67">
        <f>IFERROR(IF(V18&gt;0,V18-V22,""),"")</f>
        <v>5477.5</v>
      </c>
      <c r="W26" s="55"/>
      <c r="X26" s="67">
        <f>IFERROR(IF(X18&gt;0,X18-X22,""),"")</f>
        <v>4892.5</v>
      </c>
      <c r="Y26" s="55"/>
      <c r="Z26" s="67">
        <f>IFERROR(IF(Z18&gt;0,Z18-Z22,""),"")</f>
        <v>662.5</v>
      </c>
      <c r="AA26" s="55"/>
      <c r="AB26" s="67">
        <f>IFERROR(IF(AB18&gt;0,AB18-AB22,""),"")</f>
        <v>305</v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10186</v>
      </c>
      <c r="D27" s="76">
        <f>C7+C12+C13+C14+C15</f>
        <v>10123</v>
      </c>
      <c r="E27" s="77">
        <f>D27-C27</f>
        <v>-63</v>
      </c>
      <c r="O27" s="4"/>
      <c r="AF27" s="69"/>
    </row>
    <row r="28" spans="2:43" x14ac:dyDescent="0.3">
      <c r="B28" s="74" t="s">
        <v>21</v>
      </c>
      <c r="C28" s="122">
        <v>2252</v>
      </c>
      <c r="D28" s="76">
        <f>C6</f>
        <v>2252</v>
      </c>
      <c r="E28" s="77">
        <f>D28-C28</f>
        <v>0</v>
      </c>
      <c r="O28" s="4"/>
    </row>
    <row r="29" spans="2:43" x14ac:dyDescent="0.3">
      <c r="B29" s="74" t="s">
        <v>57</v>
      </c>
      <c r="C29" s="122">
        <v>4906</v>
      </c>
      <c r="D29" s="76">
        <f>C10</f>
        <v>4906</v>
      </c>
      <c r="E29" s="77">
        <f>D29-C29</f>
        <v>0</v>
      </c>
      <c r="O29" s="4"/>
    </row>
    <row r="30" spans="2:43" x14ac:dyDescent="0.3">
      <c r="B30" s="74" t="s">
        <v>59</v>
      </c>
      <c r="C30" s="122">
        <v>15280</v>
      </c>
      <c r="D30" s="76">
        <f>C16+C17+C18</f>
        <v>15561</v>
      </c>
      <c r="E30" s="77">
        <f>D30-C30</f>
        <v>281</v>
      </c>
      <c r="J30" s="53"/>
      <c r="O30" s="4"/>
    </row>
    <row r="31" spans="2:43" ht="15" customHeight="1" thickBot="1" x14ac:dyDescent="0.35">
      <c r="B31" s="78" t="s">
        <v>60</v>
      </c>
      <c r="C31" s="121">
        <v>3684</v>
      </c>
      <c r="D31" s="80">
        <f>SUM(C8+C9)</f>
        <v>3684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1049</v>
      </c>
      <c r="S35" s="104">
        <f t="shared" ref="S35:S64" si="1">IF(T35&gt;0,(T35-R35)/2,"")</f>
        <v>265</v>
      </c>
      <c r="T35" s="104">
        <v>1579</v>
      </c>
      <c r="U35" s="104">
        <f t="shared" ref="U35:U64" si="2">IF(V35&gt;0,(V35-T35)/2,"")</f>
        <v>559</v>
      </c>
      <c r="V35" s="104">
        <v>2697</v>
      </c>
      <c r="W35" s="104">
        <f t="shared" ref="W35:W64" si="3">IF(X35&gt;0,(X35-V35)/2,"")</f>
        <v>474</v>
      </c>
      <c r="X35" s="104">
        <v>3645</v>
      </c>
      <c r="Y35" s="104">
        <f t="shared" ref="Y35:Y64" si="4">IF(Z35&gt;0,(Z35-X35)/2,"")</f>
        <v>0</v>
      </c>
      <c r="Z35" s="104">
        <v>3645</v>
      </c>
      <c r="AA35" s="104">
        <f t="shared" ref="AA35:AA64" si="5">IF(AB35&gt;0,(AB35-Z35)/2,"")</f>
        <v>110.5</v>
      </c>
      <c r="AB35" s="104">
        <v>3866</v>
      </c>
      <c r="AC35" s="104">
        <f t="shared" ref="AC35:AC64" si="6">IF(AD35&gt;0,(AD35-AB35)/2,"")</f>
        <v>0</v>
      </c>
      <c r="AD35" s="104">
        <v>3866</v>
      </c>
      <c r="AE35" s="105">
        <f t="shared" ref="AE35:AE64" si="7">AD35-Q35</f>
        <v>3866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32</v>
      </c>
      <c r="S36" s="106">
        <f t="shared" si="1"/>
        <v>0</v>
      </c>
      <c r="T36" s="106">
        <v>32</v>
      </c>
      <c r="U36" s="106">
        <f t="shared" si="2"/>
        <v>5</v>
      </c>
      <c r="V36" s="106">
        <v>42</v>
      </c>
      <c r="W36" s="106">
        <f t="shared" si="3"/>
        <v>0</v>
      </c>
      <c r="X36" s="106">
        <v>42</v>
      </c>
      <c r="Y36" s="106">
        <f t="shared" si="4"/>
        <v>0</v>
      </c>
      <c r="Z36" s="106">
        <v>42</v>
      </c>
      <c r="AA36" s="106">
        <f t="shared" si="5"/>
        <v>0</v>
      </c>
      <c r="AB36" s="106">
        <v>42</v>
      </c>
      <c r="AC36" s="106">
        <f t="shared" si="6"/>
        <v>0</v>
      </c>
      <c r="AD36" s="106">
        <v>42</v>
      </c>
      <c r="AE36" s="107">
        <f t="shared" si="7"/>
        <v>42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1837</v>
      </c>
      <c r="S37" s="108">
        <f t="shared" si="1"/>
        <v>459.5</v>
      </c>
      <c r="T37" s="108">
        <v>2756</v>
      </c>
      <c r="U37" s="108">
        <f t="shared" si="2"/>
        <v>781.5</v>
      </c>
      <c r="V37" s="108">
        <v>4319</v>
      </c>
      <c r="W37" s="108">
        <f t="shared" si="3"/>
        <v>246</v>
      </c>
      <c r="X37" s="108">
        <v>4811</v>
      </c>
      <c r="Y37" s="108">
        <f t="shared" si="4"/>
        <v>0</v>
      </c>
      <c r="Z37" s="108">
        <v>4811</v>
      </c>
      <c r="AA37" s="108">
        <f t="shared" si="5"/>
        <v>0</v>
      </c>
      <c r="AB37" s="108">
        <v>4811</v>
      </c>
      <c r="AC37" s="108">
        <f t="shared" si="6"/>
        <v>0</v>
      </c>
      <c r="AD37" s="108">
        <v>4811</v>
      </c>
      <c r="AE37" s="109">
        <f t="shared" si="7"/>
        <v>4811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1436</v>
      </c>
      <c r="V38" s="106">
        <v>2872</v>
      </c>
      <c r="W38" s="106">
        <f t="shared" si="3"/>
        <v>534.5</v>
      </c>
      <c r="X38" s="106">
        <v>3941</v>
      </c>
      <c r="Y38" s="106">
        <f t="shared" si="4"/>
        <v>0</v>
      </c>
      <c r="Z38" s="106">
        <v>3941</v>
      </c>
      <c r="AA38" s="106">
        <f t="shared" si="5"/>
        <v>0</v>
      </c>
      <c r="AB38" s="106">
        <v>3941</v>
      </c>
      <c r="AC38" s="106">
        <f t="shared" si="6"/>
        <v>0</v>
      </c>
      <c r="AD38" s="106">
        <v>3941</v>
      </c>
      <c r="AE38" s="107">
        <f t="shared" si="7"/>
        <v>3941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36</v>
      </c>
      <c r="V39" s="108">
        <v>72</v>
      </c>
      <c r="W39" s="108">
        <f t="shared" si="3"/>
        <v>1353.5</v>
      </c>
      <c r="X39" s="108">
        <v>2779</v>
      </c>
      <c r="Y39" s="108">
        <f t="shared" si="4"/>
        <v>0</v>
      </c>
      <c r="Z39" s="108">
        <v>2779</v>
      </c>
      <c r="AA39" s="108">
        <f t="shared" si="5"/>
        <v>0</v>
      </c>
      <c r="AB39" s="108">
        <v>2779</v>
      </c>
      <c r="AC39" s="108">
        <f t="shared" si="6"/>
        <v>0</v>
      </c>
      <c r="AD39" s="108">
        <v>2779</v>
      </c>
      <c r="AE39" s="109">
        <f t="shared" si="7"/>
        <v>2779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135</v>
      </c>
      <c r="S44" s="112">
        <f t="shared" si="1"/>
        <v>40</v>
      </c>
      <c r="T44" s="112">
        <v>215</v>
      </c>
      <c r="U44" s="112">
        <f t="shared" si="2"/>
        <v>17</v>
      </c>
      <c r="V44" s="112">
        <v>249</v>
      </c>
      <c r="W44" s="112">
        <f t="shared" si="3"/>
        <v>95</v>
      </c>
      <c r="X44" s="112">
        <v>439</v>
      </c>
      <c r="Y44" s="112">
        <f t="shared" si="4"/>
        <v>0</v>
      </c>
      <c r="Z44" s="112">
        <v>439</v>
      </c>
      <c r="AA44" s="112">
        <f t="shared" si="5"/>
        <v>0</v>
      </c>
      <c r="AB44" s="112">
        <v>439</v>
      </c>
      <c r="AC44" s="112">
        <f t="shared" si="6"/>
        <v>0</v>
      </c>
      <c r="AD44" s="112">
        <v>439</v>
      </c>
      <c r="AE44" s="113">
        <f t="shared" si="7"/>
        <v>439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248</v>
      </c>
      <c r="S45" s="108">
        <f t="shared" si="1"/>
        <v>15</v>
      </c>
      <c r="T45" s="108">
        <v>278</v>
      </c>
      <c r="U45" s="108">
        <f t="shared" si="2"/>
        <v>183.5</v>
      </c>
      <c r="V45" s="108">
        <v>645</v>
      </c>
      <c r="W45" s="108">
        <f t="shared" si="3"/>
        <v>9</v>
      </c>
      <c r="X45" s="108">
        <v>663</v>
      </c>
      <c r="Y45" s="108">
        <f t="shared" si="4"/>
        <v>243.5</v>
      </c>
      <c r="Z45" s="108">
        <v>1150</v>
      </c>
      <c r="AA45" s="108">
        <f t="shared" si="5"/>
        <v>0</v>
      </c>
      <c r="AB45" s="108">
        <v>1150</v>
      </c>
      <c r="AC45" s="108">
        <f t="shared" si="6"/>
        <v>0</v>
      </c>
      <c r="AD45" s="108">
        <v>1150</v>
      </c>
      <c r="AE45" s="109">
        <f t="shared" si="7"/>
        <v>1150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1434</v>
      </c>
      <c r="S48" s="112">
        <f t="shared" si="1"/>
        <v>-197.5</v>
      </c>
      <c r="T48" s="112">
        <v>1039</v>
      </c>
      <c r="U48" s="112">
        <f t="shared" si="2"/>
        <v>533.5</v>
      </c>
      <c r="V48" s="112">
        <v>2106</v>
      </c>
      <c r="W48" s="112">
        <f t="shared" si="3"/>
        <v>54</v>
      </c>
      <c r="X48" s="112">
        <v>2214</v>
      </c>
      <c r="Y48" s="112">
        <f t="shared" si="4"/>
        <v>-510</v>
      </c>
      <c r="Z48" s="112">
        <v>1194</v>
      </c>
      <c r="AA48" s="112">
        <f t="shared" si="5"/>
        <v>0</v>
      </c>
      <c r="AB48" s="112">
        <v>1194</v>
      </c>
      <c r="AC48" s="112">
        <f t="shared" si="6"/>
        <v>0</v>
      </c>
      <c r="AD48" s="112">
        <v>1194</v>
      </c>
      <c r="AE48" s="113">
        <f t="shared" si="7"/>
        <v>1194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1080</v>
      </c>
      <c r="S49" s="108">
        <f t="shared" si="1"/>
        <v>0</v>
      </c>
      <c r="T49" s="108">
        <v>1080</v>
      </c>
      <c r="U49" s="108">
        <f t="shared" si="2"/>
        <v>50</v>
      </c>
      <c r="V49" s="108">
        <v>1180</v>
      </c>
      <c r="W49" s="108">
        <f t="shared" si="3"/>
        <v>35</v>
      </c>
      <c r="X49" s="108">
        <v>1250</v>
      </c>
      <c r="Y49" s="108">
        <f t="shared" si="4"/>
        <v>12.5</v>
      </c>
      <c r="Z49" s="108">
        <v>1275</v>
      </c>
      <c r="AA49" s="108">
        <f t="shared" si="5"/>
        <v>0</v>
      </c>
      <c r="AB49" s="108">
        <v>1275</v>
      </c>
      <c r="AC49" s="108">
        <f t="shared" si="6"/>
        <v>0</v>
      </c>
      <c r="AD49" s="108">
        <v>1275</v>
      </c>
      <c r="AE49" s="109">
        <f t="shared" si="7"/>
        <v>1275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1256</v>
      </c>
      <c r="S50" s="106">
        <f t="shared" si="1"/>
        <v>0</v>
      </c>
      <c r="T50" s="106">
        <v>1256</v>
      </c>
      <c r="U50" s="106">
        <f t="shared" si="2"/>
        <v>0</v>
      </c>
      <c r="V50" s="106">
        <v>1256</v>
      </c>
      <c r="W50" s="106">
        <f t="shared" si="3"/>
        <v>-66.5</v>
      </c>
      <c r="X50" s="106">
        <v>1123</v>
      </c>
      <c r="Y50" s="106">
        <f t="shared" si="4"/>
        <v>0</v>
      </c>
      <c r="Z50" s="106">
        <v>1123</v>
      </c>
      <c r="AA50" s="106">
        <f t="shared" si="5"/>
        <v>0</v>
      </c>
      <c r="AB50" s="106">
        <v>1123</v>
      </c>
      <c r="AC50" s="106">
        <f t="shared" si="6"/>
        <v>0</v>
      </c>
      <c r="AD50" s="106">
        <v>1123</v>
      </c>
      <c r="AE50" s="107">
        <f t="shared" si="7"/>
        <v>1123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 t="str">
        <f t="shared" si="1"/>
        <v/>
      </c>
      <c r="T51" s="108">
        <v>0</v>
      </c>
      <c r="U51" s="108" t="str">
        <f t="shared" si="2"/>
        <v/>
      </c>
      <c r="V51" s="108">
        <v>0</v>
      </c>
      <c r="W51" s="108">
        <f t="shared" si="3"/>
        <v>399.5</v>
      </c>
      <c r="X51" s="108">
        <v>799</v>
      </c>
      <c r="Y51" s="108">
        <f t="shared" si="4"/>
        <v>0</v>
      </c>
      <c r="Z51" s="108">
        <v>799</v>
      </c>
      <c r="AA51" s="108">
        <f t="shared" si="5"/>
        <v>0</v>
      </c>
      <c r="AB51" s="108">
        <v>799</v>
      </c>
      <c r="AC51" s="108">
        <f t="shared" si="6"/>
        <v>0</v>
      </c>
      <c r="AD51" s="108">
        <v>799</v>
      </c>
      <c r="AE51" s="109">
        <f t="shared" si="7"/>
        <v>799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500</v>
      </c>
      <c r="S52" s="106">
        <f t="shared" si="1"/>
        <v>0</v>
      </c>
      <c r="T52" s="106">
        <v>500</v>
      </c>
      <c r="U52" s="106">
        <f t="shared" si="2"/>
        <v>0</v>
      </c>
      <c r="V52" s="106">
        <v>500</v>
      </c>
      <c r="W52" s="106">
        <f t="shared" si="3"/>
        <v>65.5</v>
      </c>
      <c r="X52" s="106">
        <v>631</v>
      </c>
      <c r="Y52" s="106">
        <f t="shared" si="4"/>
        <v>58.5</v>
      </c>
      <c r="Z52" s="106">
        <v>748</v>
      </c>
      <c r="AA52" s="106">
        <f t="shared" si="5"/>
        <v>0</v>
      </c>
      <c r="AB52" s="106">
        <v>748</v>
      </c>
      <c r="AC52" s="106">
        <f t="shared" si="6"/>
        <v>0</v>
      </c>
      <c r="AD52" s="106">
        <v>748</v>
      </c>
      <c r="AE52" s="107">
        <f t="shared" si="7"/>
        <v>748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281</v>
      </c>
      <c r="T53" s="108">
        <v>562</v>
      </c>
      <c r="U53" s="108">
        <f t="shared" si="2"/>
        <v>112</v>
      </c>
      <c r="V53" s="108">
        <v>786</v>
      </c>
      <c r="W53" s="108">
        <f t="shared" si="3"/>
        <v>567</v>
      </c>
      <c r="X53" s="108">
        <v>1920</v>
      </c>
      <c r="Y53" s="108">
        <f t="shared" si="4"/>
        <v>-109.5</v>
      </c>
      <c r="Z53" s="108">
        <v>1701</v>
      </c>
      <c r="AA53" s="108">
        <f t="shared" si="5"/>
        <v>0</v>
      </c>
      <c r="AB53" s="108">
        <v>1701</v>
      </c>
      <c r="AC53" s="108">
        <f t="shared" si="6"/>
        <v>0</v>
      </c>
      <c r="AD53" s="108">
        <v>1701</v>
      </c>
      <c r="AE53" s="109">
        <f t="shared" si="7"/>
        <v>1701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1242</v>
      </c>
      <c r="S57" s="104">
        <f t="shared" si="1"/>
        <v>431</v>
      </c>
      <c r="T57" s="104">
        <v>2104</v>
      </c>
      <c r="U57" s="104">
        <f t="shared" si="2"/>
        <v>211</v>
      </c>
      <c r="V57" s="104">
        <v>2526</v>
      </c>
      <c r="W57" s="104">
        <f t="shared" si="3"/>
        <v>147.5</v>
      </c>
      <c r="X57" s="104">
        <v>2821</v>
      </c>
      <c r="Y57" s="104">
        <f t="shared" si="4"/>
        <v>0</v>
      </c>
      <c r="Z57" s="104">
        <v>2821</v>
      </c>
      <c r="AA57" s="104">
        <f t="shared" si="5"/>
        <v>0</v>
      </c>
      <c r="AB57" s="104">
        <v>2821</v>
      </c>
      <c r="AC57" s="104">
        <f t="shared" si="6"/>
        <v>0</v>
      </c>
      <c r="AD57" s="104">
        <v>2821</v>
      </c>
      <c r="AE57" s="105">
        <f t="shared" si="7"/>
        <v>2821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378</v>
      </c>
      <c r="S58" s="106">
        <f t="shared" si="1"/>
        <v>399.5</v>
      </c>
      <c r="T58" s="106">
        <v>1177</v>
      </c>
      <c r="U58" s="106">
        <f t="shared" si="2"/>
        <v>516</v>
      </c>
      <c r="V58" s="106">
        <v>2209</v>
      </c>
      <c r="W58" s="106">
        <f t="shared" si="3"/>
        <v>0</v>
      </c>
      <c r="X58" s="106">
        <v>2209</v>
      </c>
      <c r="Y58" s="106">
        <f t="shared" si="4"/>
        <v>0</v>
      </c>
      <c r="Z58" s="106">
        <v>2209</v>
      </c>
      <c r="AA58" s="106">
        <f t="shared" si="5"/>
        <v>0</v>
      </c>
      <c r="AB58" s="106">
        <v>2209</v>
      </c>
      <c r="AC58" s="106">
        <f t="shared" si="6"/>
        <v>0</v>
      </c>
      <c r="AD58" s="106">
        <v>2209</v>
      </c>
      <c r="AE58" s="107">
        <f t="shared" si="7"/>
        <v>2209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1569</v>
      </c>
      <c r="S59" s="108">
        <f t="shared" si="1"/>
        <v>153</v>
      </c>
      <c r="T59" s="108">
        <v>1875</v>
      </c>
      <c r="U59" s="108">
        <f t="shared" si="2"/>
        <v>121</v>
      </c>
      <c r="V59" s="108">
        <v>2117</v>
      </c>
      <c r="W59" s="108">
        <f t="shared" si="3"/>
        <v>0</v>
      </c>
      <c r="X59" s="108">
        <v>2117</v>
      </c>
      <c r="Y59" s="108">
        <f t="shared" si="4"/>
        <v>0</v>
      </c>
      <c r="Z59" s="108">
        <v>2117</v>
      </c>
      <c r="AA59" s="108">
        <f t="shared" si="5"/>
        <v>0</v>
      </c>
      <c r="AB59" s="108">
        <v>2117</v>
      </c>
      <c r="AC59" s="108">
        <f t="shared" si="6"/>
        <v>0</v>
      </c>
      <c r="AD59" s="108">
        <v>2117</v>
      </c>
      <c r="AE59" s="109">
        <f t="shared" si="7"/>
        <v>2117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831</v>
      </c>
      <c r="S60" s="114">
        <f t="shared" si="1"/>
        <v>78.5</v>
      </c>
      <c r="T60" s="114">
        <v>988</v>
      </c>
      <c r="U60" s="114">
        <f t="shared" si="2"/>
        <v>198</v>
      </c>
      <c r="V60" s="114">
        <v>1384</v>
      </c>
      <c r="W60" s="114">
        <f t="shared" si="3"/>
        <v>0</v>
      </c>
      <c r="X60" s="114">
        <v>1384</v>
      </c>
      <c r="Y60" s="114">
        <f t="shared" si="4"/>
        <v>0</v>
      </c>
      <c r="Z60" s="114">
        <v>1384</v>
      </c>
      <c r="AA60" s="114">
        <f t="shared" si="5"/>
        <v>0</v>
      </c>
      <c r="AB60" s="114">
        <v>1384</v>
      </c>
      <c r="AC60" s="114">
        <f t="shared" si="6"/>
        <v>0</v>
      </c>
      <c r="AD60" s="114">
        <v>1384</v>
      </c>
      <c r="AE60" s="115">
        <f t="shared" si="7"/>
        <v>1384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65</v>
      </c>
      <c r="S61" s="104">
        <f t="shared" si="1"/>
        <v>270</v>
      </c>
      <c r="T61" s="104">
        <v>605</v>
      </c>
      <c r="U61" s="104">
        <f t="shared" si="2"/>
        <v>0</v>
      </c>
      <c r="V61" s="104">
        <v>605</v>
      </c>
      <c r="W61" s="104">
        <f t="shared" si="3"/>
        <v>555.5</v>
      </c>
      <c r="X61" s="104">
        <v>1716</v>
      </c>
      <c r="Y61" s="104">
        <f t="shared" si="4"/>
        <v>261</v>
      </c>
      <c r="Z61" s="104">
        <v>2238</v>
      </c>
      <c r="AA61" s="104">
        <f t="shared" si="5"/>
        <v>-69.5</v>
      </c>
      <c r="AB61" s="104">
        <v>2099</v>
      </c>
      <c r="AC61" s="104">
        <f t="shared" si="6"/>
        <v>0</v>
      </c>
      <c r="AD61" s="104">
        <v>2099</v>
      </c>
      <c r="AE61" s="105">
        <f t="shared" si="7"/>
        <v>2099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226</v>
      </c>
      <c r="S62" s="106">
        <f t="shared" si="1"/>
        <v>6</v>
      </c>
      <c r="T62" s="106">
        <v>238</v>
      </c>
      <c r="U62" s="106">
        <f t="shared" si="2"/>
        <v>225</v>
      </c>
      <c r="V62" s="106">
        <v>688</v>
      </c>
      <c r="W62" s="106">
        <f t="shared" si="3"/>
        <v>88.5</v>
      </c>
      <c r="X62" s="106">
        <v>865</v>
      </c>
      <c r="Y62" s="106">
        <f t="shared" si="4"/>
        <v>0</v>
      </c>
      <c r="Z62" s="106">
        <v>865</v>
      </c>
      <c r="AA62" s="106">
        <f t="shared" si="5"/>
        <v>24</v>
      </c>
      <c r="AB62" s="106">
        <v>913</v>
      </c>
      <c r="AC62" s="106">
        <f t="shared" si="6"/>
        <v>0</v>
      </c>
      <c r="AD62" s="106">
        <v>913</v>
      </c>
      <c r="AE62" s="107">
        <f t="shared" si="7"/>
        <v>913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205</v>
      </c>
      <c r="S63" s="108">
        <f t="shared" si="1"/>
        <v>100</v>
      </c>
      <c r="T63" s="108">
        <v>405</v>
      </c>
      <c r="U63" s="108">
        <f t="shared" si="2"/>
        <v>0</v>
      </c>
      <c r="V63" s="108">
        <v>405</v>
      </c>
      <c r="W63" s="108">
        <f t="shared" si="3"/>
        <v>118.5</v>
      </c>
      <c r="X63" s="108">
        <v>642</v>
      </c>
      <c r="Y63" s="108">
        <f t="shared" si="4"/>
        <v>185</v>
      </c>
      <c r="Z63" s="108">
        <v>1012</v>
      </c>
      <c r="AA63" s="108">
        <f t="shared" si="5"/>
        <v>94.5</v>
      </c>
      <c r="AB63" s="108">
        <v>1201</v>
      </c>
      <c r="AC63" s="108">
        <f t="shared" si="6"/>
        <v>0</v>
      </c>
      <c r="AD63" s="108">
        <v>1201</v>
      </c>
      <c r="AE63" s="109">
        <f t="shared" si="7"/>
        <v>1201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691</v>
      </c>
      <c r="S64" s="114">
        <f t="shared" si="1"/>
        <v>237.5</v>
      </c>
      <c r="T64" s="114">
        <v>1166</v>
      </c>
      <c r="U64" s="114">
        <f t="shared" si="2"/>
        <v>174</v>
      </c>
      <c r="V64" s="114">
        <v>1514</v>
      </c>
      <c r="W64" s="114">
        <f t="shared" si="3"/>
        <v>473.5</v>
      </c>
      <c r="X64" s="114">
        <v>2461</v>
      </c>
      <c r="Y64" s="114">
        <f t="shared" si="4"/>
        <v>506.5</v>
      </c>
      <c r="Z64" s="114">
        <v>3474</v>
      </c>
      <c r="AA64" s="114">
        <f t="shared" si="5"/>
        <v>-87</v>
      </c>
      <c r="AB64" s="114">
        <v>3300</v>
      </c>
      <c r="AC64" s="114">
        <f t="shared" si="6"/>
        <v>0</v>
      </c>
      <c r="AD64" s="114">
        <v>3300</v>
      </c>
      <c r="AE64" s="115">
        <f t="shared" si="7"/>
        <v>3300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91" priority="11" operator="lessThan">
      <formula>0</formula>
    </cfRule>
    <cfRule type="cellIs" dxfId="790" priority="12" operator="greaterThan">
      <formula>0</formula>
    </cfRule>
  </conditionalFormatting>
  <conditionalFormatting sqref="R25:AC25">
    <cfRule type="cellIs" dxfId="789" priority="9" operator="lessThan">
      <formula>0</formula>
    </cfRule>
    <cfRule type="cellIs" dxfId="788" priority="10" operator="greaterThan">
      <formula>0</formula>
    </cfRule>
  </conditionalFormatting>
  <conditionalFormatting sqref="R26 T26 V26 X26 Z26 AB26">
    <cfRule type="cellIs" dxfId="787" priority="7" operator="lessThan">
      <formula>0</formula>
    </cfRule>
    <cfRule type="cellIs" dxfId="786" priority="8" operator="greaterThan">
      <formula>0</formula>
    </cfRule>
  </conditionalFormatting>
  <conditionalFormatting sqref="AD24:AE24">
    <cfRule type="cellIs" dxfId="785" priority="5" operator="lessThan">
      <formula>0</formula>
    </cfRule>
    <cfRule type="cellIs" dxfId="784" priority="6" operator="greaterThan">
      <formula>0</formula>
    </cfRule>
  </conditionalFormatting>
  <conditionalFormatting sqref="AD25:AE25">
    <cfRule type="cellIs" dxfId="783" priority="3" operator="lessThan">
      <formula>0</formula>
    </cfRule>
    <cfRule type="cellIs" dxfId="782" priority="4" operator="greaterThan">
      <formula>0</formula>
    </cfRule>
  </conditionalFormatting>
  <conditionalFormatting sqref="AD26">
    <cfRule type="cellIs" dxfId="781" priority="1" operator="lessThan">
      <formula>0</formula>
    </cfRule>
    <cfRule type="cellIs" dxfId="78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44453</v>
      </c>
    </row>
    <row r="3" spans="2:42" ht="18.75" customHeight="1" thickBot="1" x14ac:dyDescent="0.35">
      <c r="B3" t="s">
        <v>1</v>
      </c>
      <c r="C3" s="3">
        <f>C2+1</f>
        <v>44454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5394</v>
      </c>
      <c r="E6" s="18" t="s">
        <v>22</v>
      </c>
      <c r="F6" s="119">
        <v>22162</v>
      </c>
      <c r="G6" s="117">
        <v>11225.673500000001</v>
      </c>
      <c r="H6" s="117">
        <v>4108.2811541799983</v>
      </c>
      <c r="I6" s="19">
        <f>G6+H6</f>
        <v>15333.954654179999</v>
      </c>
      <c r="J6" s="119">
        <v>22219</v>
      </c>
      <c r="K6" s="117">
        <v>11334.547500000001</v>
      </c>
      <c r="L6" s="117">
        <v>4295.6143082799999</v>
      </c>
      <c r="M6" s="19">
        <f>K6+L6</f>
        <v>15630.161808280001</v>
      </c>
      <c r="N6" s="85">
        <v>70</v>
      </c>
      <c r="O6" s="85">
        <v>57</v>
      </c>
      <c r="P6" s="92"/>
      <c r="Q6" s="20">
        <f>J6-P6</f>
        <v>22219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2952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2481</v>
      </c>
      <c r="E8" s="29" t="s">
        <v>27</v>
      </c>
      <c r="F8" s="119">
        <v>5627</v>
      </c>
      <c r="G8" s="117">
        <v>4454.7765000000009</v>
      </c>
      <c r="H8" s="117">
        <v>10389.4343971</v>
      </c>
      <c r="I8" s="19">
        <f>G8+H8</f>
        <v>14844.210897100002</v>
      </c>
      <c r="J8" s="119">
        <v>5549</v>
      </c>
      <c r="K8" s="117">
        <v>4446.8910000000014</v>
      </c>
      <c r="L8" s="117">
        <v>10904.500794640009</v>
      </c>
      <c r="M8" s="19">
        <f>K8+L8</f>
        <v>15351.391794640011</v>
      </c>
      <c r="N8" s="87">
        <v>22</v>
      </c>
      <c r="O8" s="87">
        <v>17</v>
      </c>
      <c r="P8" s="92"/>
      <c r="Q8" s="20">
        <f>J8-P8</f>
        <v>5549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1519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4035</v>
      </c>
      <c r="E10" s="18" t="s">
        <v>31</v>
      </c>
      <c r="F10" s="119">
        <v>25439</v>
      </c>
      <c r="G10" s="117">
        <v>19090.460374999999</v>
      </c>
      <c r="H10" s="117">
        <v>1205.0189700000001</v>
      </c>
      <c r="I10" s="19">
        <f>G10+H10</f>
        <v>20295.479345</v>
      </c>
      <c r="J10" s="119">
        <v>24613</v>
      </c>
      <c r="K10" s="117">
        <v>18633.546375000002</v>
      </c>
      <c r="L10" s="117">
        <v>1160.0815671</v>
      </c>
      <c r="M10" s="19">
        <f>K10+L10</f>
        <v>19793.6279421</v>
      </c>
      <c r="N10" s="88">
        <v>40</v>
      </c>
      <c r="O10" s="88">
        <v>39</v>
      </c>
      <c r="P10" s="92"/>
      <c r="Q10" s="20">
        <f>J10-P10</f>
        <v>24613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11281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3392</v>
      </c>
      <c r="E12" s="29" t="s">
        <v>35</v>
      </c>
      <c r="F12" s="119">
        <v>11812</v>
      </c>
      <c r="G12" s="117">
        <v>11421.132250000001</v>
      </c>
      <c r="H12" s="117">
        <v>15646.246941879999</v>
      </c>
      <c r="I12" s="19">
        <f>G12+H12</f>
        <v>27067.379191879998</v>
      </c>
      <c r="J12" s="119">
        <v>14226</v>
      </c>
      <c r="K12" s="117">
        <v>13877.76425</v>
      </c>
      <c r="L12" s="117">
        <v>17692.246985220008</v>
      </c>
      <c r="M12" s="19">
        <f>K12+L12</f>
        <v>31570.011235220009</v>
      </c>
      <c r="N12" s="88">
        <v>47</v>
      </c>
      <c r="O12" s="88">
        <v>38</v>
      </c>
      <c r="P12" s="92"/>
      <c r="Q12" s="20">
        <f>J12-P12</f>
        <v>14226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15859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2130</v>
      </c>
      <c r="E14" s="18" t="s">
        <v>39</v>
      </c>
      <c r="F14" s="119">
        <v>23742</v>
      </c>
      <c r="G14" s="117">
        <v>15367.7</v>
      </c>
      <c r="H14" s="117">
        <v>18641.57379700998</v>
      </c>
      <c r="I14" s="19">
        <f>G14+H14</f>
        <v>34009.273797009984</v>
      </c>
      <c r="J14" s="119">
        <v>24785</v>
      </c>
      <c r="K14" s="117">
        <v>16216.3125</v>
      </c>
      <c r="L14" s="117">
        <v>19788.51372037</v>
      </c>
      <c r="M14" s="19">
        <f>K14+L14</f>
        <v>36004.82622037</v>
      </c>
      <c r="N14" s="88">
        <v>61</v>
      </c>
      <c r="O14" s="88">
        <v>48</v>
      </c>
      <c r="P14" s="92"/>
      <c r="Q14" s="20">
        <f>J14-P14</f>
        <v>24785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591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8790</v>
      </c>
      <c r="E16" s="84"/>
      <c r="F16" s="31">
        <f t="shared" ref="F16:M16" si="0">SUM(F6:F15)</f>
        <v>88782</v>
      </c>
      <c r="G16" s="31">
        <f t="shared" si="0"/>
        <v>61559.742624999999</v>
      </c>
      <c r="H16" s="31">
        <f t="shared" si="0"/>
        <v>49990.555260169975</v>
      </c>
      <c r="I16" s="32">
        <f t="shared" si="0"/>
        <v>111550.29788516997</v>
      </c>
      <c r="J16" s="33">
        <f t="shared" si="0"/>
        <v>91392</v>
      </c>
      <c r="K16" s="33">
        <f t="shared" si="0"/>
        <v>64509.061625000002</v>
      </c>
      <c r="L16" s="33">
        <f t="shared" si="0"/>
        <v>53840.957375610014</v>
      </c>
      <c r="M16" s="33">
        <f t="shared" si="0"/>
        <v>118350.01900061002</v>
      </c>
      <c r="N16" s="31">
        <f>SUM(N14,N12,N10,N8,N6)</f>
        <v>240</v>
      </c>
      <c r="O16" s="31">
        <f>SUM(O14,O12,O10,O8,O6)</f>
        <v>199</v>
      </c>
      <c r="P16" s="34">
        <f>SUM(P6:P15)</f>
        <v>0</v>
      </c>
      <c r="Q16" s="34">
        <f>SUM(Q6:Q15)</f>
        <v>91392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1155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4598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13812</v>
      </c>
      <c r="S20" s="36">
        <v>-60812</v>
      </c>
      <c r="T20" s="35">
        <v>19382</v>
      </c>
      <c r="U20" s="36">
        <v>-55242</v>
      </c>
      <c r="V20" s="35">
        <v>30337</v>
      </c>
      <c r="W20" s="36">
        <v>-44287</v>
      </c>
      <c r="X20" s="35">
        <v>40122</v>
      </c>
      <c r="Y20" s="36">
        <v>-34502</v>
      </c>
      <c r="Z20" s="35">
        <v>41447</v>
      </c>
      <c r="AA20" s="36">
        <v>-33177</v>
      </c>
      <c r="AB20" s="35">
        <v>42057</v>
      </c>
      <c r="AC20" s="37">
        <v>-32567</v>
      </c>
      <c r="AD20" s="35">
        <v>42057</v>
      </c>
      <c r="AE20" s="37">
        <v>-32567</v>
      </c>
    </row>
    <row r="21" spans="2:43" ht="15" customHeight="1" thickBot="1" x14ac:dyDescent="0.35">
      <c r="M21" s="4"/>
      <c r="Q21" s="52"/>
      <c r="R21" s="40">
        <v>1471</v>
      </c>
      <c r="S21" s="41"/>
      <c r="T21" s="40">
        <v>1584</v>
      </c>
      <c r="U21" s="41"/>
      <c r="V21" s="40">
        <v>1740</v>
      </c>
      <c r="W21" s="41"/>
      <c r="X21" s="40">
        <v>2575</v>
      </c>
      <c r="Y21" s="41"/>
      <c r="Z21" s="40">
        <v>2581</v>
      </c>
      <c r="AA21" s="41"/>
      <c r="AB21" s="40">
        <v>2581</v>
      </c>
      <c r="AC21" s="42"/>
      <c r="AD21" s="40">
        <v>2581</v>
      </c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-1471</v>
      </c>
      <c r="S25" s="64"/>
      <c r="T25" s="63">
        <f>IF(T17&gt;=0,T17-T21,"")</f>
        <v>-1584</v>
      </c>
      <c r="U25" s="64"/>
      <c r="V25" s="63">
        <f>IF(V17&gt;=0,V17-V21,"")</f>
        <v>-1740</v>
      </c>
      <c r="W25" s="64"/>
      <c r="X25" s="63">
        <f>IF(X17&gt;=0,X17-X21,"")</f>
        <v>-2575</v>
      </c>
      <c r="Y25" s="64"/>
      <c r="Z25" s="63">
        <f>IF(Z17&gt;=0,Z17-Z21,"")</f>
        <v>-2581</v>
      </c>
      <c r="AA25" s="64"/>
      <c r="AB25" s="63">
        <f>IF(AB17&gt;=0,AB17-AB21,"")</f>
        <v>-2581</v>
      </c>
      <c r="AC25" s="65"/>
      <c r="AD25" s="63">
        <f>IF(AD17&gt;=0,AD17-AD21,"")</f>
        <v>-2581</v>
      </c>
      <c r="AE25" s="65"/>
    </row>
    <row r="26" spans="2:43" ht="15" customHeight="1" thickBot="1" x14ac:dyDescent="0.35">
      <c r="B26" s="74" t="s">
        <v>55</v>
      </c>
      <c r="C26" s="122">
        <v>11154</v>
      </c>
      <c r="D26" s="76">
        <f>C11</f>
        <v>11281</v>
      </c>
      <c r="E26" s="77">
        <f>D26-C26</f>
        <v>127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38624</v>
      </c>
      <c r="D27" s="76">
        <f>C7+C12+C13+C14+C15</f>
        <v>24924</v>
      </c>
      <c r="E27" s="77">
        <f>D27-C27</f>
        <v>-13700</v>
      </c>
      <c r="O27" s="4"/>
      <c r="AF27" s="69"/>
    </row>
    <row r="28" spans="2:43" x14ac:dyDescent="0.3">
      <c r="B28" s="74" t="s">
        <v>21</v>
      </c>
      <c r="C28" s="122">
        <v>5394</v>
      </c>
      <c r="D28" s="76">
        <f>C6</f>
        <v>5394</v>
      </c>
      <c r="E28" s="77">
        <f>D28-C28</f>
        <v>0</v>
      </c>
      <c r="O28" s="4"/>
    </row>
    <row r="29" spans="2:43" x14ac:dyDescent="0.3">
      <c r="B29" s="74" t="s">
        <v>57</v>
      </c>
      <c r="C29" s="122">
        <v>4035</v>
      </c>
      <c r="D29" s="76">
        <f>C10</f>
        <v>4035</v>
      </c>
      <c r="E29" s="77">
        <f>D29-C29</f>
        <v>0</v>
      </c>
      <c r="O29" s="4"/>
    </row>
    <row r="30" spans="2:43" x14ac:dyDescent="0.3">
      <c r="B30" s="74" t="s">
        <v>59</v>
      </c>
      <c r="C30" s="122">
        <v>14795</v>
      </c>
      <c r="D30" s="76">
        <f>C16+C17+C18</f>
        <v>14543</v>
      </c>
      <c r="E30" s="77">
        <f>D30-C30</f>
        <v>-252</v>
      </c>
      <c r="J30" s="53"/>
      <c r="O30" s="4"/>
    </row>
    <row r="31" spans="2:43" ht="15" customHeight="1" thickBot="1" x14ac:dyDescent="0.35">
      <c r="B31" s="78" t="s">
        <v>60</v>
      </c>
      <c r="C31" s="121">
        <v>4000</v>
      </c>
      <c r="D31" s="80">
        <f>SUM(C8+C9)</f>
        <v>4000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79" priority="11" operator="lessThan">
      <formula>0</formula>
    </cfRule>
    <cfRule type="cellIs" dxfId="778" priority="12" operator="greaterThan">
      <formula>0</formula>
    </cfRule>
  </conditionalFormatting>
  <conditionalFormatting sqref="R25:AC25">
    <cfRule type="cellIs" dxfId="777" priority="9" operator="lessThan">
      <formula>0</formula>
    </cfRule>
    <cfRule type="cellIs" dxfId="776" priority="10" operator="greaterThan">
      <formula>0</formula>
    </cfRule>
  </conditionalFormatting>
  <conditionalFormatting sqref="R26 T26 V26 X26 Z26 AB26">
    <cfRule type="cellIs" dxfId="775" priority="7" operator="lessThan">
      <formula>0</formula>
    </cfRule>
    <cfRule type="cellIs" dxfId="774" priority="8" operator="greaterThan">
      <formula>0</formula>
    </cfRule>
  </conditionalFormatting>
  <conditionalFormatting sqref="AD24:AE24">
    <cfRule type="cellIs" dxfId="773" priority="5" operator="lessThan">
      <formula>0</formula>
    </cfRule>
    <cfRule type="cellIs" dxfId="772" priority="6" operator="greaterThan">
      <formula>0</formula>
    </cfRule>
  </conditionalFormatting>
  <conditionalFormatting sqref="AD25:AE25">
    <cfRule type="cellIs" dxfId="771" priority="3" operator="lessThan">
      <formula>0</formula>
    </cfRule>
    <cfRule type="cellIs" dxfId="770" priority="4" operator="greaterThan">
      <formula>0</formula>
    </cfRule>
  </conditionalFormatting>
  <conditionalFormatting sqref="AD26">
    <cfRule type="cellIs" dxfId="769" priority="1" operator="lessThan">
      <formula>0</formula>
    </cfRule>
    <cfRule type="cellIs" dxfId="768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>
    <tabColor theme="1"/>
    <pageSetUpPr fitToPage="1"/>
  </sheetPr>
  <dimension ref="B1:AQ64"/>
  <sheetViews>
    <sheetView topLeftCell="F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44454</v>
      </c>
    </row>
    <row r="3" spans="2:42" ht="18.75" customHeight="1" thickBot="1" x14ac:dyDescent="0.35">
      <c r="B3" t="s">
        <v>1</v>
      </c>
      <c r="C3" s="3">
        <f>C2+1</f>
        <v>44455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19556</v>
      </c>
      <c r="G6" s="117">
        <v>9371.6113749999968</v>
      </c>
      <c r="H6" s="117">
        <v>3931.0953213799989</v>
      </c>
      <c r="I6" s="19">
        <f>G6+H6</f>
        <v>13302.706696379995</v>
      </c>
      <c r="J6" s="119">
        <v>21531</v>
      </c>
      <c r="K6" s="117">
        <v>10364.367125000001</v>
      </c>
      <c r="L6" s="117">
        <v>433.98248940000002</v>
      </c>
      <c r="M6" s="19">
        <f>K6+L6</f>
        <v>10798.3496144</v>
      </c>
      <c r="N6" s="85">
        <v>65</v>
      </c>
      <c r="O6" s="85">
        <v>53</v>
      </c>
      <c r="P6" s="92"/>
      <c r="Q6" s="20">
        <f>J6-P6</f>
        <v>21531</v>
      </c>
      <c r="R6" s="21">
        <v>3870</v>
      </c>
      <c r="S6" s="20">
        <f>IF(R6&gt;0,(R6-R7-$Q6),"")</f>
        <v>-17688</v>
      </c>
      <c r="T6" s="21">
        <v>6699</v>
      </c>
      <c r="U6" s="20">
        <f>IF(T6&gt;0,(T6-T7-$Q6),"")</f>
        <v>-14866</v>
      </c>
      <c r="V6" s="21">
        <v>8078</v>
      </c>
      <c r="W6" s="20">
        <f>IF(V6&gt;0,(V6-V7-$Q6),"")</f>
        <v>-13508</v>
      </c>
      <c r="X6" s="21">
        <v>8736</v>
      </c>
      <c r="Y6" s="20">
        <f>IF(X6&gt;0,(X6-X7-$Q6),"")</f>
        <v>-12851</v>
      </c>
      <c r="Z6" s="21">
        <v>16601</v>
      </c>
      <c r="AA6" s="20">
        <f>IF(Z6&gt;0,(Z6-Z7-$Q6),"")</f>
        <v>-4987</v>
      </c>
      <c r="AB6" s="21">
        <v>16601</v>
      </c>
      <c r="AC6" s="22">
        <f>IF(AB6&gt;0,(AB6-AB7-$Q6),"")</f>
        <v>-4987</v>
      </c>
      <c r="AD6" s="21">
        <v>16601</v>
      </c>
      <c r="AE6" s="22">
        <f>IF(AD6&gt;0,(AD6-AD7-$Q6),"")</f>
        <v>-4987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27</v>
      </c>
      <c r="S7" s="24"/>
      <c r="T7" s="25">
        <v>34</v>
      </c>
      <c r="U7" s="24"/>
      <c r="V7" s="25">
        <v>55</v>
      </c>
      <c r="W7" s="24"/>
      <c r="X7" s="25">
        <v>56</v>
      </c>
      <c r="Y7" s="24"/>
      <c r="Z7" s="25">
        <v>57</v>
      </c>
      <c r="AA7" s="24"/>
      <c r="AB7" s="25">
        <v>57</v>
      </c>
      <c r="AC7" s="26"/>
      <c r="AD7" s="25">
        <v>57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2202</v>
      </c>
      <c r="E8" s="29" t="s">
        <v>27</v>
      </c>
      <c r="F8" s="119">
        <v>4069</v>
      </c>
      <c r="G8" s="117">
        <v>4484.3225000000002</v>
      </c>
      <c r="H8" s="117">
        <v>8260.6510740999965</v>
      </c>
      <c r="I8" s="19">
        <f>G8+H8</f>
        <v>12744.973574099997</v>
      </c>
      <c r="J8" s="119">
        <v>3953</v>
      </c>
      <c r="K8" s="117">
        <v>4432.1324999999997</v>
      </c>
      <c r="L8" s="117">
        <v>13184.294581</v>
      </c>
      <c r="M8" s="19">
        <f>K8+L8</f>
        <v>17616.427081000002</v>
      </c>
      <c r="N8" s="87">
        <v>23</v>
      </c>
      <c r="O8" s="87">
        <v>18</v>
      </c>
      <c r="P8" s="92"/>
      <c r="Q8" s="20">
        <f>J8-P8</f>
        <v>3953</v>
      </c>
      <c r="R8" s="21">
        <v>730</v>
      </c>
      <c r="S8" s="20">
        <f>IF(R8&gt;0,(R8-R9-$Q8),"")</f>
        <v>-3223</v>
      </c>
      <c r="T8" s="21">
        <v>933</v>
      </c>
      <c r="U8" s="20">
        <f>IF(T8&gt;0,(T8-T9-$Q8),"")</f>
        <v>-3020</v>
      </c>
      <c r="V8" s="21">
        <v>2095</v>
      </c>
      <c r="W8" s="20">
        <f>IF(V8&gt;0,(V8-V9-$Q8),"")</f>
        <v>-1858</v>
      </c>
      <c r="X8" s="21">
        <v>2380</v>
      </c>
      <c r="Y8" s="20">
        <f>IF(X8&gt;0,(X8-X9-$Q8),"")</f>
        <v>-1573</v>
      </c>
      <c r="Z8" s="21">
        <v>2380</v>
      </c>
      <c r="AA8" s="20">
        <f>IF(Z8&gt;0,(Z8-Z9-$Q8),"")</f>
        <v>-1573</v>
      </c>
      <c r="AB8" s="21">
        <v>2380</v>
      </c>
      <c r="AC8" s="22">
        <f>IF(AB8&gt;0,(AB8-AB9-$Q8),"")</f>
        <v>-1573</v>
      </c>
      <c r="AD8" s="21">
        <v>2380</v>
      </c>
      <c r="AE8" s="22">
        <f>IF(AD8&gt;0,(AD8-AD9-$Q8),"")</f>
        <v>-1573</v>
      </c>
    </row>
    <row r="9" spans="2:42" x14ac:dyDescent="0.3">
      <c r="B9" s="28" t="s">
        <v>28</v>
      </c>
      <c r="C9" s="17">
        <v>1800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2299</v>
      </c>
      <c r="E10" s="18" t="s">
        <v>31</v>
      </c>
      <c r="F10" s="119">
        <v>16082</v>
      </c>
      <c r="G10" s="117">
        <v>12124.9365</v>
      </c>
      <c r="H10" s="117">
        <v>1313.9759575</v>
      </c>
      <c r="I10" s="19">
        <f>G10+H10</f>
        <v>13438.912457500001</v>
      </c>
      <c r="J10" s="119">
        <v>11361</v>
      </c>
      <c r="K10" s="117">
        <v>8101.2669999999989</v>
      </c>
      <c r="L10" s="117">
        <v>1355.1483765</v>
      </c>
      <c r="M10" s="19">
        <f>K10+L10</f>
        <v>9456.4153764999992</v>
      </c>
      <c r="N10" s="88">
        <v>38</v>
      </c>
      <c r="O10" s="88">
        <v>36</v>
      </c>
      <c r="P10" s="92"/>
      <c r="Q10" s="20">
        <f>J10-P10</f>
        <v>11361</v>
      </c>
      <c r="R10" s="21">
        <v>2417</v>
      </c>
      <c r="S10" s="20">
        <f>IF(R10&gt;0,(R10-R11-$Q10),"")</f>
        <v>-10636</v>
      </c>
      <c r="T10" s="21">
        <v>3522</v>
      </c>
      <c r="U10" s="20">
        <f>IF(T10&gt;0,(T10-T11-$Q10),"")</f>
        <v>-9531</v>
      </c>
      <c r="V10" s="21">
        <v>5395</v>
      </c>
      <c r="W10" s="20">
        <f>IF(V10&gt;0,(V10-V11-$Q10),"")</f>
        <v>-7658</v>
      </c>
      <c r="X10" s="21">
        <v>8867</v>
      </c>
      <c r="Y10" s="20">
        <f>IF(X10&gt;0,(X10-X11-$Q10),"")</f>
        <v>-4186</v>
      </c>
      <c r="Z10" s="21">
        <v>8996</v>
      </c>
      <c r="AA10" s="20">
        <f>IF(Z10&gt;0,(Z10-Z11-$Q10),"")</f>
        <v>-4057</v>
      </c>
      <c r="AB10" s="21">
        <v>8996</v>
      </c>
      <c r="AC10" s="22">
        <f>IF(AB10&gt;0,(AB10-AB11-$Q10),"")</f>
        <v>-4057</v>
      </c>
      <c r="AD10" s="21">
        <v>8996</v>
      </c>
      <c r="AE10" s="22">
        <f>IF(AD10&gt;0,(AD10-AD11-$Q10),"")</f>
        <v>-4057</v>
      </c>
    </row>
    <row r="11" spans="2:42" x14ac:dyDescent="0.3">
      <c r="B11" s="16" t="s">
        <v>38</v>
      </c>
      <c r="C11" s="17">
        <v>11754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1692</v>
      </c>
      <c r="S11" s="24"/>
      <c r="T11" s="30">
        <v>1692</v>
      </c>
      <c r="U11" s="24"/>
      <c r="V11" s="30">
        <v>1692</v>
      </c>
      <c r="W11" s="24"/>
      <c r="X11" s="30">
        <v>1692</v>
      </c>
      <c r="Y11" s="24"/>
      <c r="Z11" s="30">
        <v>1692</v>
      </c>
      <c r="AA11" s="24"/>
      <c r="AB11" s="30">
        <v>1692</v>
      </c>
      <c r="AC11" s="26"/>
      <c r="AD11" s="30">
        <v>1692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11443</v>
      </c>
      <c r="G12" s="117">
        <v>11275.519499999989</v>
      </c>
      <c r="H12" s="117">
        <v>14879.1743143</v>
      </c>
      <c r="I12" s="19">
        <f>G12+H12</f>
        <v>26154.69381429999</v>
      </c>
      <c r="J12" s="119">
        <v>11992</v>
      </c>
      <c r="K12" s="117">
        <v>11968.52</v>
      </c>
      <c r="L12" s="117">
        <v>14633.466270770001</v>
      </c>
      <c r="M12" s="19">
        <f>K12+L12</f>
        <v>26601.986270770001</v>
      </c>
      <c r="N12" s="88">
        <v>51</v>
      </c>
      <c r="O12" s="88">
        <v>39</v>
      </c>
      <c r="P12" s="92"/>
      <c r="Q12" s="20">
        <f>J12-P12</f>
        <v>11992</v>
      </c>
      <c r="R12" s="21">
        <v>5263</v>
      </c>
      <c r="S12" s="20">
        <f>IF(R12&gt;0,(R12-R13-$Q12),"")</f>
        <v>-6962</v>
      </c>
      <c r="T12" s="21">
        <v>7429</v>
      </c>
      <c r="U12" s="20">
        <f>IF(T12&gt;0,(T12-T13-$Q12),"")</f>
        <v>-4861</v>
      </c>
      <c r="V12" s="21">
        <v>9107</v>
      </c>
      <c r="W12" s="20">
        <f>IF(V12&gt;0,(V12-V13-$Q12),"")</f>
        <v>-3267</v>
      </c>
      <c r="X12" s="21">
        <v>9231</v>
      </c>
      <c r="Y12" s="20">
        <f>IF(X12&gt;0,(X12-X13-$Q12),"")</f>
        <v>-3143</v>
      </c>
      <c r="Z12" s="21">
        <v>9231</v>
      </c>
      <c r="AA12" s="20">
        <f>IF(Z12&gt;0,(Z12-Z13-$Q12),"")</f>
        <v>-3143</v>
      </c>
      <c r="AB12" s="21">
        <v>9231</v>
      </c>
      <c r="AC12" s="22">
        <f>IF(AB12&gt;0,(AB12-AB13-$Q12),"")</f>
        <v>-3143</v>
      </c>
      <c r="AD12" s="21">
        <v>9231</v>
      </c>
      <c r="AE12" s="22">
        <f>IF(AD12&gt;0,(AD12-AD13-$Q12),"")</f>
        <v>-3143</v>
      </c>
    </row>
    <row r="13" spans="2:42" x14ac:dyDescent="0.3">
      <c r="B13" s="28" t="s">
        <v>42</v>
      </c>
      <c r="C13" s="17">
        <v>11730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233</v>
      </c>
      <c r="S13" s="24"/>
      <c r="T13" s="30">
        <v>298</v>
      </c>
      <c r="U13" s="24"/>
      <c r="V13" s="30">
        <v>382</v>
      </c>
      <c r="W13" s="24"/>
      <c r="X13" s="30">
        <v>382</v>
      </c>
      <c r="Y13" s="24"/>
      <c r="Z13" s="30">
        <v>382</v>
      </c>
      <c r="AA13" s="24"/>
      <c r="AB13" s="30">
        <v>382</v>
      </c>
      <c r="AC13" s="26"/>
      <c r="AD13" s="30">
        <v>382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18812</v>
      </c>
      <c r="G14" s="117">
        <v>13808.125</v>
      </c>
      <c r="H14" s="117">
        <v>15402.17113105</v>
      </c>
      <c r="I14" s="19">
        <f>G14+H14</f>
        <v>29210.29613105</v>
      </c>
      <c r="J14" s="119">
        <v>19089</v>
      </c>
      <c r="K14" s="117">
        <v>14152.3015</v>
      </c>
      <c r="L14" s="117">
        <v>15764.999318239999</v>
      </c>
      <c r="M14" s="19">
        <f>K14+L14</f>
        <v>29917.300818240001</v>
      </c>
      <c r="N14" s="88">
        <v>67</v>
      </c>
      <c r="O14" s="88">
        <v>50</v>
      </c>
      <c r="P14" s="92"/>
      <c r="Q14" s="20">
        <f>J14-P14</f>
        <v>19089</v>
      </c>
      <c r="R14" s="21">
        <v>2038</v>
      </c>
      <c r="S14" s="20">
        <f>IF(R14&gt;0,(R14-R15-$Q14),"")</f>
        <v>-17069</v>
      </c>
      <c r="T14" s="21">
        <v>4498</v>
      </c>
      <c r="U14" s="20">
        <f>IF(T14&gt;0,(T14-T15-$Q14),"")</f>
        <v>-14638</v>
      </c>
      <c r="V14" s="21">
        <v>5428</v>
      </c>
      <c r="W14" s="20">
        <f>IF(V14&gt;0,(V14-V15-$Q14),"")</f>
        <v>-13716</v>
      </c>
      <c r="X14" s="21">
        <v>6705</v>
      </c>
      <c r="Y14" s="20">
        <f>IF(X14&gt;0,(X14-X15-$Q14),"")</f>
        <v>-12440</v>
      </c>
      <c r="Z14" s="21">
        <v>6705</v>
      </c>
      <c r="AA14" s="20">
        <f>IF(Z14&gt;0,(Z14-Z15-$Q14),"")</f>
        <v>-12440</v>
      </c>
      <c r="AB14" s="21">
        <v>6705</v>
      </c>
      <c r="AC14" s="22">
        <f>IF(AB14&gt;0,(AB14-AB15-$Q14),"")</f>
        <v>-12440</v>
      </c>
      <c r="AD14" s="21">
        <v>6705</v>
      </c>
      <c r="AE14" s="22">
        <f>IF(AD14&gt;0,(AD14-AD15-$Q14),"")</f>
        <v>-12440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18</v>
      </c>
      <c r="S15" s="24"/>
      <c r="T15" s="25">
        <v>47</v>
      </c>
      <c r="U15" s="24"/>
      <c r="V15" s="25">
        <v>55</v>
      </c>
      <c r="W15" s="24"/>
      <c r="X15" s="25">
        <v>56</v>
      </c>
      <c r="Y15" s="24"/>
      <c r="Z15" s="25">
        <v>56</v>
      </c>
      <c r="AA15" s="24"/>
      <c r="AB15" s="25">
        <v>56</v>
      </c>
      <c r="AC15" s="26"/>
      <c r="AD15" s="25">
        <v>56</v>
      </c>
      <c r="AE15" s="26"/>
    </row>
    <row r="16" spans="2:42" ht="15" customHeight="1" thickBot="1" x14ac:dyDescent="0.35">
      <c r="B16" s="16" t="s">
        <v>50</v>
      </c>
      <c r="C16" s="17">
        <v>10516</v>
      </c>
      <c r="E16" s="84"/>
      <c r="F16" s="31">
        <f t="shared" ref="F16:M16" si="0">SUM(F6:F15)</f>
        <v>69962</v>
      </c>
      <c r="G16" s="31">
        <f t="shared" si="0"/>
        <v>51064.514874999986</v>
      </c>
      <c r="H16" s="31">
        <f t="shared" si="0"/>
        <v>43787.067798329997</v>
      </c>
      <c r="I16" s="32">
        <f t="shared" si="0"/>
        <v>94851.582673329976</v>
      </c>
      <c r="J16" s="33">
        <f t="shared" si="0"/>
        <v>67926</v>
      </c>
      <c r="K16" s="33">
        <f t="shared" si="0"/>
        <v>49018.588125000002</v>
      </c>
      <c r="L16" s="33">
        <f t="shared" si="0"/>
        <v>45371.891035909997</v>
      </c>
      <c r="M16" s="33">
        <f t="shared" si="0"/>
        <v>94390.479160910007</v>
      </c>
      <c r="N16" s="31">
        <f>SUM(N14,N12,N10,N8,N6)</f>
        <v>244</v>
      </c>
      <c r="O16" s="31">
        <f>SUM(O14,O12,O10,O8,O6)</f>
        <v>196</v>
      </c>
      <c r="P16" s="34">
        <f>SUM(P6:P15)</f>
        <v>0</v>
      </c>
      <c r="Q16" s="34">
        <f>SUM(Q6:Q15)</f>
        <v>67926</v>
      </c>
      <c r="R16" s="35">
        <f>R6+R8+R10+R12+R14-R7-R9-R11-R13-R15</f>
        <v>12348</v>
      </c>
      <c r="S16" s="36">
        <f>IF(R16&gt;1,(R16-$Q16),"")</f>
        <v>-55578</v>
      </c>
      <c r="T16" s="35">
        <f>T6+T8+T10+T12+T14-T7-T9-T11-T13-T15</f>
        <v>21010</v>
      </c>
      <c r="U16" s="36">
        <f>IF(T16&gt;1,(T16-$Q16),"")</f>
        <v>-46916</v>
      </c>
      <c r="V16" s="35">
        <f>V6+V8+V10+V12+V14-V7-V9-V11-V13-V15</f>
        <v>27919</v>
      </c>
      <c r="W16" s="36">
        <f>IF(V16&gt;1,(V16-$Q16),"")</f>
        <v>-40007</v>
      </c>
      <c r="X16" s="35">
        <f>X6+X8+X10+X12+X14-X7-X9-X11-X13-X15</f>
        <v>33733</v>
      </c>
      <c r="Y16" s="36">
        <f>IF(X16&gt;1,(X16-$Q16),"")</f>
        <v>-34193</v>
      </c>
      <c r="Z16" s="35">
        <f>Z6+Z8+Z10+Z12+Z14-Z7-Z9-Z11-Z13-Z15</f>
        <v>41726</v>
      </c>
      <c r="AA16" s="36">
        <f>IF(Z16&gt;1,(Z16-$Q16),"")</f>
        <v>-26200</v>
      </c>
      <c r="AB16" s="35">
        <f>AB6+AB8+AB10+AB12+AB14-AB7-AB9-AB11-AB13-AB15</f>
        <v>41726</v>
      </c>
      <c r="AC16" s="37">
        <f>IF(AB16&gt;1,(AB16-$Q16),"")</f>
        <v>-26200</v>
      </c>
      <c r="AD16" s="35">
        <f>AD6+AD8+AD10+AD12+AD14-AD7-AD9-AD11-AD13-AD15</f>
        <v>41726</v>
      </c>
      <c r="AE16" s="37">
        <f>IF(AD16&gt;1,(AD16-$Q16),"")</f>
        <v>-26200</v>
      </c>
    </row>
    <row r="17" spans="2:43" s="4" customFormat="1" ht="15" customHeight="1" thickBot="1" x14ac:dyDescent="0.35">
      <c r="B17" s="16" t="s">
        <v>51</v>
      </c>
      <c r="C17" s="17">
        <v>2079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48</v>
      </c>
      <c r="P17" s="38" t="s">
        <v>44</v>
      </c>
      <c r="Q17" s="39"/>
      <c r="R17" s="40">
        <f>R15+R13+R11+R9+R7</f>
        <v>1970</v>
      </c>
      <c r="S17" s="41"/>
      <c r="T17" s="40">
        <f>T15+T13+T11+T9+T7</f>
        <v>2071</v>
      </c>
      <c r="U17" s="41"/>
      <c r="V17" s="40">
        <f>V15+V13+V11+V9+V7</f>
        <v>2184</v>
      </c>
      <c r="W17" s="41"/>
      <c r="X17" s="40">
        <f>X15+X13+X11+X9+X7</f>
        <v>2186</v>
      </c>
      <c r="Y17" s="41"/>
      <c r="Z17" s="40">
        <f>Z15+Z13+Z11+Z9+Z7</f>
        <v>2187</v>
      </c>
      <c r="AA17" s="41"/>
      <c r="AB17" s="40">
        <f>AB15+AB13+AB11+AB9+AB7</f>
        <v>2187</v>
      </c>
      <c r="AC17" s="42"/>
      <c r="AD17" s="40">
        <f>AD15+AD13+AD11+AD9+AD7</f>
        <v>2187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4905</v>
      </c>
      <c r="P18" s="45" t="s">
        <v>46</v>
      </c>
      <c r="Q18" s="46"/>
      <c r="R18" s="47">
        <f>IF(R16&gt;0,(R16)/2,"")</f>
        <v>6174</v>
      </c>
      <c r="S18" s="46"/>
      <c r="T18" s="47">
        <f>IF(T16&gt;0,(T16-R16)/2,"")</f>
        <v>4331</v>
      </c>
      <c r="U18" s="46"/>
      <c r="V18" s="47">
        <f>IF(V16&gt;0,(V16-T16)/2,"")</f>
        <v>3454.5</v>
      </c>
      <c r="W18" s="46"/>
      <c r="X18" s="47">
        <f>IF(X16&gt;0,(X16-V16)/2,"")</f>
        <v>2907</v>
      </c>
      <c r="Y18" s="46"/>
      <c r="Z18" s="47">
        <f>IF(Z16&gt;0,(Z16-X16)/2,"")</f>
        <v>3996.5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13812</v>
      </c>
      <c r="S20" s="36">
        <v>-60812</v>
      </c>
      <c r="T20" s="35">
        <v>19382</v>
      </c>
      <c r="U20" s="36">
        <v>-55242</v>
      </c>
      <c r="V20" s="35">
        <v>30337</v>
      </c>
      <c r="W20" s="36">
        <v>-44287</v>
      </c>
      <c r="X20" s="35">
        <v>40122</v>
      </c>
      <c r="Y20" s="36">
        <v>-34502</v>
      </c>
      <c r="Z20" s="35">
        <v>41447</v>
      </c>
      <c r="AA20" s="36">
        <v>-33177</v>
      </c>
      <c r="AB20" s="35">
        <v>42057</v>
      </c>
      <c r="AC20" s="37">
        <v>-32567</v>
      </c>
      <c r="AD20" s="35">
        <v>42057</v>
      </c>
      <c r="AE20" s="37">
        <v>-32567</v>
      </c>
    </row>
    <row r="21" spans="2:43" ht="15" customHeight="1" thickBot="1" x14ac:dyDescent="0.35">
      <c r="M21" s="4"/>
      <c r="Q21" s="52"/>
      <c r="R21" s="40">
        <v>1471</v>
      </c>
      <c r="S21" s="41"/>
      <c r="T21" s="40">
        <v>1584</v>
      </c>
      <c r="U21" s="41"/>
      <c r="V21" s="40">
        <v>1740</v>
      </c>
      <c r="W21" s="41"/>
      <c r="X21" s="40">
        <v>2575</v>
      </c>
      <c r="Y21" s="41"/>
      <c r="Z21" s="40">
        <v>2581</v>
      </c>
      <c r="AA21" s="41"/>
      <c r="AB21" s="40">
        <v>2581</v>
      </c>
      <c r="AC21" s="42"/>
      <c r="AD21" s="40">
        <v>2581</v>
      </c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-1464</v>
      </c>
      <c r="S24" s="60"/>
      <c r="T24" s="60">
        <f>IF(T16&gt;0,T16-T20,"")</f>
        <v>1628</v>
      </c>
      <c r="U24" s="60"/>
      <c r="V24" s="60">
        <f>IF(V16&gt;0,V16-V20,"")</f>
        <v>-2418</v>
      </c>
      <c r="W24" s="60"/>
      <c r="X24" s="60">
        <f>IF(X16&gt;0,X16-X20,"")</f>
        <v>-6389</v>
      </c>
      <c r="Y24" s="60"/>
      <c r="Z24" s="60">
        <f>IF(Z16&gt;0,Z16-Z20,"")</f>
        <v>279</v>
      </c>
      <c r="AA24" s="60"/>
      <c r="AB24" s="60">
        <f>IF(AB16&gt;0,AB16-AB20,"")</f>
        <v>-331</v>
      </c>
      <c r="AC24" s="61"/>
      <c r="AD24" s="60">
        <f>IF(AD16&gt;0,AD16-AD20,"")</f>
        <v>-331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499</v>
      </c>
      <c r="S25" s="64"/>
      <c r="T25" s="63">
        <f>IF(T17&gt;=0,T17-T21,"")</f>
        <v>487</v>
      </c>
      <c r="U25" s="64"/>
      <c r="V25" s="63">
        <f>IF(V17&gt;=0,V17-V21,"")</f>
        <v>444</v>
      </c>
      <c r="W25" s="64"/>
      <c r="X25" s="63">
        <f>IF(X17&gt;=0,X17-X21,"")</f>
        <v>-389</v>
      </c>
      <c r="Y25" s="64"/>
      <c r="Z25" s="63">
        <f>IF(Z17&gt;=0,Z17-Z21,"")</f>
        <v>-394</v>
      </c>
      <c r="AA25" s="64"/>
      <c r="AB25" s="63">
        <f>IF(AB17&gt;=0,AB17-AB21,"")</f>
        <v>-394</v>
      </c>
      <c r="AC25" s="65"/>
      <c r="AD25" s="63">
        <f>IF(AD17&gt;=0,AD17-AD21,"")</f>
        <v>-394</v>
      </c>
      <c r="AE25" s="65"/>
    </row>
    <row r="26" spans="2:43" ht="15" customHeight="1" thickBot="1" x14ac:dyDescent="0.35">
      <c r="B26" s="74" t="s">
        <v>55</v>
      </c>
      <c r="C26" s="122">
        <v>10179</v>
      </c>
      <c r="D26" s="76">
        <f>C11</f>
        <v>11754</v>
      </c>
      <c r="E26" s="77">
        <f>D26-C26</f>
        <v>1575</v>
      </c>
      <c r="M26" s="4"/>
      <c r="Q26" s="66"/>
      <c r="R26" s="67">
        <f>IFERROR(IF(R18&gt;0,R18-R22,""),"")</f>
        <v>6174</v>
      </c>
      <c r="S26" s="55"/>
      <c r="T26" s="67">
        <f>IFERROR(IF(T18&gt;0,T18-T22,""),"")</f>
        <v>4331</v>
      </c>
      <c r="U26" s="55"/>
      <c r="V26" s="67">
        <f>IFERROR(IF(V18&gt;0,V18-V22,""),"")</f>
        <v>3454.5</v>
      </c>
      <c r="W26" s="55"/>
      <c r="X26" s="67">
        <f>IFERROR(IF(X18&gt;0,X18-X22,""),"")</f>
        <v>2907</v>
      </c>
      <c r="Y26" s="55"/>
      <c r="Z26" s="67">
        <f>IFERROR(IF(Z18&gt;0,Z18-Z22,""),"")</f>
        <v>3996.5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29856</v>
      </c>
      <c r="D27" s="76">
        <f>C7+C12+C13+C14+C15</f>
        <v>11730</v>
      </c>
      <c r="E27" s="77">
        <f>D27-C27</f>
        <v>-18126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2299</v>
      </c>
      <c r="D29" s="76">
        <f>C10</f>
        <v>2299</v>
      </c>
      <c r="E29" s="77">
        <f>D29-C29</f>
        <v>0</v>
      </c>
      <c r="O29" s="4"/>
    </row>
    <row r="30" spans="2:43" x14ac:dyDescent="0.3">
      <c r="B30" s="74" t="s">
        <v>59</v>
      </c>
      <c r="C30" s="122">
        <v>16763</v>
      </c>
      <c r="D30" s="76">
        <f>C16+C17+C18</f>
        <v>17500</v>
      </c>
      <c r="E30" s="77">
        <f>D30-C30</f>
        <v>737</v>
      </c>
      <c r="J30" s="53"/>
      <c r="O30" s="4"/>
    </row>
    <row r="31" spans="2:43" ht="15" customHeight="1" thickBot="1" x14ac:dyDescent="0.35">
      <c r="B31" s="78" t="s">
        <v>60</v>
      </c>
      <c r="C31" s="121">
        <v>4002</v>
      </c>
      <c r="D31" s="80">
        <f>SUM(C8+C9)</f>
        <v>4002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1498</v>
      </c>
      <c r="S35" s="104">
        <f t="shared" ref="S35:S64" si="1">IF(T35&gt;0,(T35-R35)/2,"")</f>
        <v>1028</v>
      </c>
      <c r="T35" s="104">
        <v>3554</v>
      </c>
      <c r="U35" s="104">
        <f t="shared" ref="U35:U64" si="2">IF(V35&gt;0,(V35-T35)/2,"")</f>
        <v>-31</v>
      </c>
      <c r="V35" s="104">
        <v>3492</v>
      </c>
      <c r="W35" s="104">
        <f t="shared" ref="W35:W64" si="3">IF(X35&gt;0,(X35-V35)/2,"")</f>
        <v>176</v>
      </c>
      <c r="X35" s="104">
        <v>3844</v>
      </c>
      <c r="Y35" s="104">
        <f t="shared" ref="Y35:Y64" si="4">IF(Z35&gt;0,(Z35-X35)/2,"")</f>
        <v>191.5</v>
      </c>
      <c r="Z35" s="104">
        <v>4227</v>
      </c>
      <c r="AA35" s="104">
        <f t="shared" ref="AA35:AA64" si="5">IF(AB35&gt;0,(AB35-Z35)/2,"")</f>
        <v>0</v>
      </c>
      <c r="AB35" s="104">
        <v>4227</v>
      </c>
      <c r="AC35" s="104">
        <f t="shared" ref="AC35:AC64" si="6">IF(AD35&gt;0,(AD35-AB35)/2,"")</f>
        <v>0</v>
      </c>
      <c r="AD35" s="104">
        <v>4227</v>
      </c>
      <c r="AE35" s="105">
        <f t="shared" ref="AE35:AE64" si="7">AD35-Q35</f>
        <v>4227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31</v>
      </c>
      <c r="Z36" s="106">
        <v>62</v>
      </c>
      <c r="AA36" s="106">
        <f t="shared" si="5"/>
        <v>0</v>
      </c>
      <c r="AB36" s="106">
        <v>62</v>
      </c>
      <c r="AC36" s="106">
        <f t="shared" si="6"/>
        <v>0</v>
      </c>
      <c r="AD36" s="106">
        <v>62</v>
      </c>
      <c r="AE36" s="107">
        <f t="shared" si="7"/>
        <v>62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2372</v>
      </c>
      <c r="S37" s="108">
        <f t="shared" si="1"/>
        <v>386.5</v>
      </c>
      <c r="T37" s="108">
        <v>3145</v>
      </c>
      <c r="U37" s="108">
        <f t="shared" si="2"/>
        <v>624.5</v>
      </c>
      <c r="V37" s="108">
        <v>4394</v>
      </c>
      <c r="W37" s="108">
        <f t="shared" si="3"/>
        <v>153</v>
      </c>
      <c r="X37" s="108">
        <v>4700</v>
      </c>
      <c r="Y37" s="108">
        <f t="shared" si="4"/>
        <v>-88.5</v>
      </c>
      <c r="Z37" s="108">
        <v>4523</v>
      </c>
      <c r="AA37" s="108">
        <f t="shared" si="5"/>
        <v>0</v>
      </c>
      <c r="AB37" s="108">
        <v>4523</v>
      </c>
      <c r="AC37" s="108">
        <f t="shared" si="6"/>
        <v>0</v>
      </c>
      <c r="AD37" s="108">
        <v>4523</v>
      </c>
      <c r="AE37" s="109">
        <f t="shared" si="7"/>
        <v>4523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 t="str">
        <f t="shared" si="3"/>
        <v/>
      </c>
      <c r="X38" s="106">
        <v>0</v>
      </c>
      <c r="Y38" s="106">
        <f t="shared" si="4"/>
        <v>2165</v>
      </c>
      <c r="Z38" s="106">
        <v>4330</v>
      </c>
      <c r="AA38" s="106">
        <f t="shared" si="5"/>
        <v>0</v>
      </c>
      <c r="AB38" s="106">
        <v>4330</v>
      </c>
      <c r="AC38" s="106">
        <f t="shared" si="6"/>
        <v>0</v>
      </c>
      <c r="AD38" s="106">
        <v>4330</v>
      </c>
      <c r="AE38" s="107">
        <f t="shared" si="7"/>
        <v>4330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96</v>
      </c>
      <c r="V39" s="108">
        <v>192</v>
      </c>
      <c r="W39" s="108">
        <f t="shared" si="3"/>
        <v>0</v>
      </c>
      <c r="X39" s="108">
        <v>192</v>
      </c>
      <c r="Y39" s="108">
        <f t="shared" si="4"/>
        <v>1633.5</v>
      </c>
      <c r="Z39" s="108">
        <v>3459</v>
      </c>
      <c r="AA39" s="108">
        <f t="shared" si="5"/>
        <v>0</v>
      </c>
      <c r="AB39" s="108">
        <v>3459</v>
      </c>
      <c r="AC39" s="108">
        <f t="shared" si="6"/>
        <v>0</v>
      </c>
      <c r="AD39" s="108">
        <v>3459</v>
      </c>
      <c r="AE39" s="109">
        <f t="shared" si="7"/>
        <v>3459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101.5</v>
      </c>
      <c r="T44" s="112">
        <v>203</v>
      </c>
      <c r="U44" s="112">
        <f t="shared" si="2"/>
        <v>135</v>
      </c>
      <c r="V44" s="112">
        <v>473</v>
      </c>
      <c r="W44" s="112">
        <f t="shared" si="3"/>
        <v>142.5</v>
      </c>
      <c r="X44" s="112">
        <v>758</v>
      </c>
      <c r="Y44" s="112">
        <f t="shared" si="4"/>
        <v>0</v>
      </c>
      <c r="Z44" s="112">
        <v>758</v>
      </c>
      <c r="AA44" s="112">
        <f t="shared" si="5"/>
        <v>0</v>
      </c>
      <c r="AB44" s="112">
        <v>758</v>
      </c>
      <c r="AC44" s="112">
        <f t="shared" si="6"/>
        <v>0</v>
      </c>
      <c r="AD44" s="112">
        <v>758</v>
      </c>
      <c r="AE44" s="113">
        <f t="shared" si="7"/>
        <v>758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730</v>
      </c>
      <c r="S45" s="108">
        <f t="shared" si="1"/>
        <v>0</v>
      </c>
      <c r="T45" s="108">
        <v>730</v>
      </c>
      <c r="U45" s="108">
        <f t="shared" si="2"/>
        <v>445</v>
      </c>
      <c r="V45" s="108">
        <v>1620</v>
      </c>
      <c r="W45" s="108">
        <f t="shared" si="3"/>
        <v>0</v>
      </c>
      <c r="X45" s="108">
        <v>1620</v>
      </c>
      <c r="Y45" s="108">
        <f t="shared" si="4"/>
        <v>0</v>
      </c>
      <c r="Z45" s="108">
        <v>1620</v>
      </c>
      <c r="AA45" s="108">
        <f t="shared" si="5"/>
        <v>0</v>
      </c>
      <c r="AB45" s="108">
        <v>1620</v>
      </c>
      <c r="AC45" s="108">
        <f t="shared" si="6"/>
        <v>0</v>
      </c>
      <c r="AD45" s="108">
        <v>1620</v>
      </c>
      <c r="AE45" s="109">
        <f t="shared" si="7"/>
        <v>1620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393</v>
      </c>
      <c r="S48" s="112">
        <f t="shared" si="1"/>
        <v>125.5</v>
      </c>
      <c r="T48" s="112">
        <v>644</v>
      </c>
      <c r="U48" s="112">
        <f t="shared" si="2"/>
        <v>464.5</v>
      </c>
      <c r="V48" s="112">
        <v>1573</v>
      </c>
      <c r="W48" s="112">
        <f t="shared" si="3"/>
        <v>456.5</v>
      </c>
      <c r="X48" s="112">
        <v>2486</v>
      </c>
      <c r="Y48" s="112">
        <f t="shared" si="4"/>
        <v>-151</v>
      </c>
      <c r="Z48" s="112">
        <v>2184</v>
      </c>
      <c r="AA48" s="112">
        <f t="shared" si="5"/>
        <v>0</v>
      </c>
      <c r="AB48" s="112">
        <v>2184</v>
      </c>
      <c r="AC48" s="112">
        <f t="shared" si="6"/>
        <v>0</v>
      </c>
      <c r="AD48" s="112">
        <v>2184</v>
      </c>
      <c r="AE48" s="113">
        <f t="shared" si="7"/>
        <v>2184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0</v>
      </c>
      <c r="S49" s="108">
        <f t="shared" si="1"/>
        <v>32</v>
      </c>
      <c r="T49" s="108">
        <v>64</v>
      </c>
      <c r="U49" s="108">
        <f t="shared" si="2"/>
        <v>0</v>
      </c>
      <c r="V49" s="108">
        <v>64</v>
      </c>
      <c r="W49" s="108">
        <f t="shared" si="3"/>
        <v>1411.5</v>
      </c>
      <c r="X49" s="108">
        <v>2887</v>
      </c>
      <c r="Y49" s="108">
        <f t="shared" si="4"/>
        <v>46.5</v>
      </c>
      <c r="Z49" s="108">
        <v>2980</v>
      </c>
      <c r="AA49" s="108">
        <f t="shared" si="5"/>
        <v>0</v>
      </c>
      <c r="AB49" s="108">
        <v>2980</v>
      </c>
      <c r="AC49" s="108">
        <f t="shared" si="6"/>
        <v>0</v>
      </c>
      <c r="AD49" s="108">
        <v>2980</v>
      </c>
      <c r="AE49" s="109">
        <f t="shared" si="7"/>
        <v>2980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1307</v>
      </c>
      <c r="S50" s="106">
        <f t="shared" si="1"/>
        <v>0</v>
      </c>
      <c r="T50" s="106">
        <v>1307</v>
      </c>
      <c r="U50" s="106">
        <f t="shared" si="2"/>
        <v>0</v>
      </c>
      <c r="V50" s="106">
        <v>1307</v>
      </c>
      <c r="W50" s="106">
        <f t="shared" si="3"/>
        <v>0</v>
      </c>
      <c r="X50" s="106">
        <v>1307</v>
      </c>
      <c r="Y50" s="106">
        <f t="shared" si="4"/>
        <v>0</v>
      </c>
      <c r="Z50" s="106">
        <v>1307</v>
      </c>
      <c r="AA50" s="106">
        <f t="shared" si="5"/>
        <v>0</v>
      </c>
      <c r="AB50" s="106">
        <v>1307</v>
      </c>
      <c r="AC50" s="106">
        <f t="shared" si="6"/>
        <v>0</v>
      </c>
      <c r="AD50" s="106">
        <v>1307</v>
      </c>
      <c r="AE50" s="107">
        <f t="shared" si="7"/>
        <v>1307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717</v>
      </c>
      <c r="S51" s="108">
        <f t="shared" si="1"/>
        <v>0</v>
      </c>
      <c r="T51" s="108">
        <v>717</v>
      </c>
      <c r="U51" s="108">
        <f t="shared" si="2"/>
        <v>0</v>
      </c>
      <c r="V51" s="108">
        <v>717</v>
      </c>
      <c r="W51" s="108">
        <f t="shared" si="3"/>
        <v>0</v>
      </c>
      <c r="X51" s="108">
        <v>717</v>
      </c>
      <c r="Y51" s="108">
        <f t="shared" si="4"/>
        <v>0</v>
      </c>
      <c r="Z51" s="108">
        <v>717</v>
      </c>
      <c r="AA51" s="108">
        <f t="shared" si="5"/>
        <v>0</v>
      </c>
      <c r="AB51" s="108">
        <v>717</v>
      </c>
      <c r="AC51" s="108">
        <f t="shared" si="6"/>
        <v>0</v>
      </c>
      <c r="AD51" s="108">
        <v>717</v>
      </c>
      <c r="AE51" s="109">
        <f t="shared" si="7"/>
        <v>717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0</v>
      </c>
      <c r="S52" s="106">
        <f t="shared" si="1"/>
        <v>258</v>
      </c>
      <c r="T52" s="106">
        <v>516</v>
      </c>
      <c r="U52" s="106">
        <f t="shared" si="2"/>
        <v>0</v>
      </c>
      <c r="V52" s="106">
        <v>516</v>
      </c>
      <c r="W52" s="106">
        <f t="shared" si="3"/>
        <v>0</v>
      </c>
      <c r="X52" s="106">
        <v>516</v>
      </c>
      <c r="Y52" s="106">
        <f t="shared" si="4"/>
        <v>78</v>
      </c>
      <c r="Z52" s="106">
        <v>672</v>
      </c>
      <c r="AA52" s="106">
        <f t="shared" si="5"/>
        <v>0</v>
      </c>
      <c r="AB52" s="106">
        <v>672</v>
      </c>
      <c r="AC52" s="106">
        <f t="shared" si="6"/>
        <v>0</v>
      </c>
      <c r="AD52" s="106">
        <v>672</v>
      </c>
      <c r="AE52" s="107">
        <f t="shared" si="7"/>
        <v>672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137</v>
      </c>
      <c r="T53" s="108">
        <v>274</v>
      </c>
      <c r="U53" s="108">
        <f t="shared" si="2"/>
        <v>472</v>
      </c>
      <c r="V53" s="108">
        <v>1218</v>
      </c>
      <c r="W53" s="108">
        <f t="shared" si="3"/>
        <v>-132</v>
      </c>
      <c r="X53" s="108">
        <v>954</v>
      </c>
      <c r="Y53" s="108">
        <f t="shared" si="4"/>
        <v>91</v>
      </c>
      <c r="Z53" s="108">
        <v>1136</v>
      </c>
      <c r="AA53" s="108">
        <f t="shared" si="5"/>
        <v>0</v>
      </c>
      <c r="AB53" s="108">
        <v>1136</v>
      </c>
      <c r="AC53" s="108">
        <f t="shared" si="6"/>
        <v>0</v>
      </c>
      <c r="AD53" s="108">
        <v>1136</v>
      </c>
      <c r="AE53" s="109">
        <f t="shared" si="7"/>
        <v>1136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1619</v>
      </c>
      <c r="S57" s="104">
        <f t="shared" si="1"/>
        <v>205.5</v>
      </c>
      <c r="T57" s="104">
        <v>2030</v>
      </c>
      <c r="U57" s="104">
        <f t="shared" si="2"/>
        <v>295.5</v>
      </c>
      <c r="V57" s="104">
        <v>2621</v>
      </c>
      <c r="W57" s="104">
        <f t="shared" si="3"/>
        <v>62</v>
      </c>
      <c r="X57" s="104">
        <v>2745</v>
      </c>
      <c r="Y57" s="104">
        <f t="shared" si="4"/>
        <v>0</v>
      </c>
      <c r="Z57" s="104">
        <v>2745</v>
      </c>
      <c r="AA57" s="104">
        <f t="shared" si="5"/>
        <v>0</v>
      </c>
      <c r="AB57" s="104">
        <v>2745</v>
      </c>
      <c r="AC57" s="104">
        <f t="shared" si="6"/>
        <v>0</v>
      </c>
      <c r="AD57" s="104">
        <v>2745</v>
      </c>
      <c r="AE57" s="105">
        <f t="shared" si="7"/>
        <v>2745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300</v>
      </c>
      <c r="S58" s="106">
        <f t="shared" si="1"/>
        <v>666.5</v>
      </c>
      <c r="T58" s="106">
        <v>1633</v>
      </c>
      <c r="U58" s="106">
        <f t="shared" si="2"/>
        <v>417.5</v>
      </c>
      <c r="V58" s="106">
        <v>2468</v>
      </c>
      <c r="W58" s="106">
        <f t="shared" si="3"/>
        <v>0</v>
      </c>
      <c r="X58" s="106">
        <v>2468</v>
      </c>
      <c r="Y58" s="106">
        <f t="shared" si="4"/>
        <v>0</v>
      </c>
      <c r="Z58" s="106">
        <v>2468</v>
      </c>
      <c r="AA58" s="106">
        <f t="shared" si="5"/>
        <v>0</v>
      </c>
      <c r="AB58" s="106">
        <v>2468</v>
      </c>
      <c r="AC58" s="106">
        <f t="shared" si="6"/>
        <v>0</v>
      </c>
      <c r="AD58" s="106">
        <v>2468</v>
      </c>
      <c r="AE58" s="107">
        <f t="shared" si="7"/>
        <v>2468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1004</v>
      </c>
      <c r="S59" s="108">
        <f t="shared" si="1"/>
        <v>-21</v>
      </c>
      <c r="T59" s="108">
        <v>962</v>
      </c>
      <c r="U59" s="108">
        <f t="shared" si="2"/>
        <v>-127</v>
      </c>
      <c r="V59" s="108">
        <v>708</v>
      </c>
      <c r="W59" s="108">
        <f t="shared" si="3"/>
        <v>0</v>
      </c>
      <c r="X59" s="108">
        <v>708</v>
      </c>
      <c r="Y59" s="108">
        <f t="shared" si="4"/>
        <v>0</v>
      </c>
      <c r="Z59" s="108">
        <v>708</v>
      </c>
      <c r="AA59" s="108">
        <f t="shared" si="5"/>
        <v>0</v>
      </c>
      <c r="AB59" s="108">
        <v>708</v>
      </c>
      <c r="AC59" s="108">
        <f t="shared" si="6"/>
        <v>0</v>
      </c>
      <c r="AD59" s="108">
        <v>708</v>
      </c>
      <c r="AE59" s="109">
        <f t="shared" si="7"/>
        <v>708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472</v>
      </c>
      <c r="S60" s="114">
        <f t="shared" si="1"/>
        <v>232</v>
      </c>
      <c r="T60" s="114">
        <v>936</v>
      </c>
      <c r="U60" s="114">
        <f t="shared" si="2"/>
        <v>0</v>
      </c>
      <c r="V60" s="114">
        <v>936</v>
      </c>
      <c r="W60" s="114">
        <f t="shared" si="3"/>
        <v>0</v>
      </c>
      <c r="X60" s="114">
        <v>936</v>
      </c>
      <c r="Y60" s="114">
        <f t="shared" si="4"/>
        <v>0</v>
      </c>
      <c r="Z60" s="114">
        <v>936</v>
      </c>
      <c r="AA60" s="114">
        <f t="shared" si="5"/>
        <v>0</v>
      </c>
      <c r="AB60" s="114">
        <v>936</v>
      </c>
      <c r="AC60" s="114">
        <f t="shared" si="6"/>
        <v>0</v>
      </c>
      <c r="AD60" s="114">
        <v>936</v>
      </c>
      <c r="AE60" s="115">
        <f t="shared" si="7"/>
        <v>936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705</v>
      </c>
      <c r="S61" s="104">
        <f t="shared" si="1"/>
        <v>317</v>
      </c>
      <c r="T61" s="104">
        <v>1339</v>
      </c>
      <c r="U61" s="104">
        <f t="shared" si="2"/>
        <v>-187</v>
      </c>
      <c r="V61" s="104">
        <v>965</v>
      </c>
      <c r="W61" s="104">
        <f t="shared" si="3"/>
        <v>25</v>
      </c>
      <c r="X61" s="104">
        <v>1015</v>
      </c>
      <c r="Y61" s="104">
        <f t="shared" si="4"/>
        <v>0</v>
      </c>
      <c r="Z61" s="104">
        <v>1015</v>
      </c>
      <c r="AA61" s="104">
        <f t="shared" si="5"/>
        <v>0</v>
      </c>
      <c r="AB61" s="104">
        <v>1015</v>
      </c>
      <c r="AC61" s="104">
        <f t="shared" si="6"/>
        <v>0</v>
      </c>
      <c r="AD61" s="104">
        <v>1015</v>
      </c>
      <c r="AE61" s="105">
        <f t="shared" si="7"/>
        <v>1015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150</v>
      </c>
      <c r="S62" s="106">
        <f t="shared" si="1"/>
        <v>204</v>
      </c>
      <c r="T62" s="106">
        <v>558</v>
      </c>
      <c r="U62" s="106">
        <f t="shared" si="2"/>
        <v>7</v>
      </c>
      <c r="V62" s="106">
        <v>572</v>
      </c>
      <c r="W62" s="106">
        <f t="shared" si="3"/>
        <v>0</v>
      </c>
      <c r="X62" s="106">
        <v>572</v>
      </c>
      <c r="Y62" s="106">
        <f t="shared" si="4"/>
        <v>0</v>
      </c>
      <c r="Z62" s="106">
        <v>572</v>
      </c>
      <c r="AA62" s="106">
        <f t="shared" si="5"/>
        <v>0</v>
      </c>
      <c r="AB62" s="106">
        <v>572</v>
      </c>
      <c r="AC62" s="106">
        <f t="shared" si="6"/>
        <v>0</v>
      </c>
      <c r="AD62" s="106">
        <v>572</v>
      </c>
      <c r="AE62" s="107">
        <f t="shared" si="7"/>
        <v>572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396</v>
      </c>
      <c r="S63" s="108">
        <f t="shared" si="1"/>
        <v>48</v>
      </c>
      <c r="T63" s="108">
        <v>492</v>
      </c>
      <c r="U63" s="108">
        <f t="shared" si="2"/>
        <v>48</v>
      </c>
      <c r="V63" s="108">
        <v>588</v>
      </c>
      <c r="W63" s="108">
        <f t="shared" si="3"/>
        <v>61.5</v>
      </c>
      <c r="X63" s="108">
        <v>711</v>
      </c>
      <c r="Y63" s="108">
        <f t="shared" si="4"/>
        <v>0</v>
      </c>
      <c r="Z63" s="108">
        <v>711</v>
      </c>
      <c r="AA63" s="108">
        <f t="shared" si="5"/>
        <v>0</v>
      </c>
      <c r="AB63" s="108">
        <v>711</v>
      </c>
      <c r="AC63" s="108">
        <f t="shared" si="6"/>
        <v>0</v>
      </c>
      <c r="AD63" s="108">
        <v>711</v>
      </c>
      <c r="AE63" s="109">
        <f t="shared" si="7"/>
        <v>711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623</v>
      </c>
      <c r="S64" s="114">
        <f t="shared" si="1"/>
        <v>373</v>
      </c>
      <c r="T64" s="114">
        <v>1369</v>
      </c>
      <c r="U64" s="114">
        <f t="shared" si="2"/>
        <v>492</v>
      </c>
      <c r="V64" s="114">
        <v>2353</v>
      </c>
      <c r="W64" s="114">
        <f t="shared" si="3"/>
        <v>251</v>
      </c>
      <c r="X64" s="114">
        <v>2855</v>
      </c>
      <c r="Y64" s="114">
        <f t="shared" si="4"/>
        <v>0</v>
      </c>
      <c r="Z64" s="114">
        <v>2855</v>
      </c>
      <c r="AA64" s="114">
        <f t="shared" si="5"/>
        <v>0</v>
      </c>
      <c r="AB64" s="114">
        <v>2855</v>
      </c>
      <c r="AC64" s="114">
        <f t="shared" si="6"/>
        <v>0</v>
      </c>
      <c r="AD64" s="114">
        <v>2855</v>
      </c>
      <c r="AE64" s="115">
        <f t="shared" si="7"/>
        <v>2855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67" priority="11" operator="lessThan">
      <formula>0</formula>
    </cfRule>
    <cfRule type="cellIs" dxfId="766" priority="12" operator="greaterThan">
      <formula>0</formula>
    </cfRule>
  </conditionalFormatting>
  <conditionalFormatting sqref="R25:AC25">
    <cfRule type="cellIs" dxfId="765" priority="9" operator="lessThan">
      <formula>0</formula>
    </cfRule>
    <cfRule type="cellIs" dxfId="764" priority="10" operator="greaterThan">
      <formula>0</formula>
    </cfRule>
  </conditionalFormatting>
  <conditionalFormatting sqref="R26 T26 V26 X26 Z26 AB26">
    <cfRule type="cellIs" dxfId="763" priority="7" operator="lessThan">
      <formula>0</formula>
    </cfRule>
    <cfRule type="cellIs" dxfId="762" priority="8" operator="greaterThan">
      <formula>0</formula>
    </cfRule>
  </conditionalFormatting>
  <conditionalFormatting sqref="AD24:AE24">
    <cfRule type="cellIs" dxfId="761" priority="5" operator="lessThan">
      <formula>0</formula>
    </cfRule>
    <cfRule type="cellIs" dxfId="760" priority="6" operator="greaterThan">
      <formula>0</formula>
    </cfRule>
  </conditionalFormatting>
  <conditionalFormatting sqref="AD25:AE25">
    <cfRule type="cellIs" dxfId="759" priority="3" operator="lessThan">
      <formula>0</formula>
    </cfRule>
    <cfRule type="cellIs" dxfId="758" priority="4" operator="greaterThan">
      <formula>0</formula>
    </cfRule>
  </conditionalFormatting>
  <conditionalFormatting sqref="AD26">
    <cfRule type="cellIs" dxfId="757" priority="1" operator="lessThan">
      <formula>0</formula>
    </cfRule>
    <cfRule type="cellIs" dxfId="75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44455</v>
      </c>
    </row>
    <row r="3" spans="2:42" ht="18.75" customHeight="1" thickBot="1" x14ac:dyDescent="0.35">
      <c r="B3" t="s">
        <v>1</v>
      </c>
      <c r="C3" s="3">
        <f>C2+1</f>
        <v>44456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6288</v>
      </c>
      <c r="E6" s="18" t="s">
        <v>22</v>
      </c>
      <c r="F6" s="119">
        <v>23321</v>
      </c>
      <c r="G6" s="117">
        <v>11713.89875</v>
      </c>
      <c r="H6" s="117">
        <v>420.78281349999997</v>
      </c>
      <c r="I6" s="19">
        <f>G6+H6</f>
        <v>12134.6815635</v>
      </c>
      <c r="J6" s="119">
        <v>23169</v>
      </c>
      <c r="K6" s="117">
        <v>11704.8</v>
      </c>
      <c r="L6" s="117">
        <v>279.09916249999998</v>
      </c>
      <c r="M6" s="19">
        <f>K6+L6</f>
        <v>11983.8991625</v>
      </c>
      <c r="N6" s="85">
        <v>65</v>
      </c>
      <c r="O6" s="85">
        <v>57</v>
      </c>
      <c r="P6" s="92"/>
      <c r="Q6" s="20">
        <f>J6-P6</f>
        <v>23169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2976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2539</v>
      </c>
      <c r="E8" s="29" t="s">
        <v>27</v>
      </c>
      <c r="F8" s="119">
        <v>4700</v>
      </c>
      <c r="G8" s="117">
        <v>5066.7420000000011</v>
      </c>
      <c r="H8" s="117">
        <v>14919.209851600001</v>
      </c>
      <c r="I8" s="19">
        <f>G8+H8</f>
        <v>19985.951851600003</v>
      </c>
      <c r="J8" s="119">
        <v>4343</v>
      </c>
      <c r="K8" s="117">
        <v>4827.1269999999986</v>
      </c>
      <c r="L8" s="117">
        <v>15410.049502420001</v>
      </c>
      <c r="M8" s="19">
        <f>K8+L8</f>
        <v>20237.176502419999</v>
      </c>
      <c r="N8" s="87">
        <v>31</v>
      </c>
      <c r="O8" s="87">
        <v>26</v>
      </c>
      <c r="P8" s="92"/>
      <c r="Q8" s="20">
        <f>J8-P8</f>
        <v>4343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1656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4675</v>
      </c>
      <c r="E10" s="18" t="s">
        <v>31</v>
      </c>
      <c r="F10" s="119">
        <v>20586</v>
      </c>
      <c r="G10" s="117">
        <v>14855.353125</v>
      </c>
      <c r="H10" s="117">
        <v>1209.7789634999999</v>
      </c>
      <c r="I10" s="19">
        <f>G10+H10</f>
        <v>16065.132088499999</v>
      </c>
      <c r="J10" s="119">
        <v>25368</v>
      </c>
      <c r="K10" s="117">
        <v>19017.495125000001</v>
      </c>
      <c r="L10" s="117">
        <v>1197.1557780000001</v>
      </c>
      <c r="M10" s="19">
        <f>K10+L10</f>
        <v>20214.650903000002</v>
      </c>
      <c r="N10" s="88">
        <v>49</v>
      </c>
      <c r="O10" s="88">
        <v>41</v>
      </c>
      <c r="P10" s="92"/>
      <c r="Q10" s="20">
        <f>J10-P10</f>
        <v>25368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11799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3428</v>
      </c>
      <c r="E12" s="29" t="s">
        <v>35</v>
      </c>
      <c r="F12" s="119">
        <v>11363</v>
      </c>
      <c r="G12" s="117">
        <v>10358.445</v>
      </c>
      <c r="H12" s="117">
        <v>13948.53867136999</v>
      </c>
      <c r="I12" s="19">
        <f>G12+H12</f>
        <v>24306.983671369991</v>
      </c>
      <c r="J12" s="119">
        <v>11957</v>
      </c>
      <c r="K12" s="117">
        <v>12015.642250000001</v>
      </c>
      <c r="L12" s="117">
        <v>16294.43653576999</v>
      </c>
      <c r="M12" s="19">
        <f>K12+L12</f>
        <v>28310.078785769991</v>
      </c>
      <c r="N12" s="88">
        <v>52</v>
      </c>
      <c r="O12" s="88">
        <v>42</v>
      </c>
      <c r="P12" s="92"/>
      <c r="Q12" s="20">
        <f>J12-P12</f>
        <v>11957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16024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1807</v>
      </c>
      <c r="E14" s="18" t="s">
        <v>39</v>
      </c>
      <c r="F14" s="119">
        <v>27712</v>
      </c>
      <c r="G14" s="117">
        <v>15553.018749999999</v>
      </c>
      <c r="H14" s="117">
        <v>19417.25758636</v>
      </c>
      <c r="I14" s="19">
        <f>G14+H14</f>
        <v>34970.276336359995</v>
      </c>
      <c r="J14" s="119">
        <v>28200</v>
      </c>
      <c r="K14" s="117">
        <v>15952.61825</v>
      </c>
      <c r="L14" s="117">
        <v>19743.88178503</v>
      </c>
      <c r="M14" s="19">
        <f>K14+L14</f>
        <v>35696.500035029996</v>
      </c>
      <c r="N14" s="88">
        <v>61</v>
      </c>
      <c r="O14" s="88">
        <v>51</v>
      </c>
      <c r="P14" s="92"/>
      <c r="Q14" s="20">
        <f>J14-P14</f>
        <v>28200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594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8308</v>
      </c>
      <c r="E16" s="84"/>
      <c r="F16" s="31">
        <f t="shared" ref="F16:M16" si="0">SUM(F6:F15)</f>
        <v>87682</v>
      </c>
      <c r="G16" s="31">
        <f t="shared" si="0"/>
        <v>57547.457624999995</v>
      </c>
      <c r="H16" s="31">
        <f t="shared" si="0"/>
        <v>49915.567886329991</v>
      </c>
      <c r="I16" s="32">
        <f t="shared" si="0"/>
        <v>107463.02551132999</v>
      </c>
      <c r="J16" s="33">
        <f t="shared" si="0"/>
        <v>93037</v>
      </c>
      <c r="K16" s="33">
        <f t="shared" si="0"/>
        <v>63517.682625000001</v>
      </c>
      <c r="L16" s="33">
        <f t="shared" si="0"/>
        <v>52924.622763719992</v>
      </c>
      <c r="M16" s="33">
        <f t="shared" si="0"/>
        <v>116442.30538871999</v>
      </c>
      <c r="N16" s="31">
        <f>SUM(N14,N12,N10,N8,N6)</f>
        <v>258</v>
      </c>
      <c r="O16" s="31">
        <f>SUM(O14,O12,O10,O8,O6)</f>
        <v>217</v>
      </c>
      <c r="P16" s="34">
        <f>SUM(P6:P15)</f>
        <v>0</v>
      </c>
      <c r="Q16" s="34">
        <f>SUM(Q6:Q15)</f>
        <v>93037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2635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4383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12348</v>
      </c>
      <c r="S20" s="36">
        <v>-55578</v>
      </c>
      <c r="T20" s="35">
        <v>21010</v>
      </c>
      <c r="U20" s="36">
        <v>-46916</v>
      </c>
      <c r="V20" s="35">
        <v>27919</v>
      </c>
      <c r="W20" s="36">
        <v>-40007</v>
      </c>
      <c r="X20" s="35">
        <v>33733</v>
      </c>
      <c r="Y20" s="36">
        <v>-34193</v>
      </c>
      <c r="Z20" s="35">
        <v>41726</v>
      </c>
      <c r="AA20" s="36">
        <v>-26200</v>
      </c>
      <c r="AB20" s="35">
        <v>41726</v>
      </c>
      <c r="AC20" s="37">
        <v>-26200</v>
      </c>
      <c r="AD20" s="35">
        <v>41726</v>
      </c>
      <c r="AE20" s="37">
        <v>-26200</v>
      </c>
    </row>
    <row r="21" spans="2:43" ht="15" customHeight="1" thickBot="1" x14ac:dyDescent="0.35">
      <c r="M21" s="4"/>
      <c r="Q21" s="52"/>
      <c r="R21" s="40">
        <v>1970</v>
      </c>
      <c r="S21" s="41"/>
      <c r="T21" s="40">
        <v>2071</v>
      </c>
      <c r="U21" s="41"/>
      <c r="V21" s="40">
        <v>2184</v>
      </c>
      <c r="W21" s="41"/>
      <c r="X21" s="40">
        <v>2186</v>
      </c>
      <c r="Y21" s="41"/>
      <c r="Z21" s="40">
        <v>2187</v>
      </c>
      <c r="AA21" s="41"/>
      <c r="AB21" s="40">
        <v>2187</v>
      </c>
      <c r="AC21" s="42"/>
      <c r="AD21" s="40">
        <v>2187</v>
      </c>
      <c r="AE21" s="42"/>
    </row>
    <row r="22" spans="2:43" ht="15" customHeight="1" thickBot="1" x14ac:dyDescent="0.35">
      <c r="M22" s="4"/>
      <c r="Q22" s="54"/>
      <c r="R22" s="47">
        <v>6174</v>
      </c>
      <c r="S22" s="46"/>
      <c r="T22" s="47">
        <v>4331</v>
      </c>
      <c r="U22" s="46"/>
      <c r="V22" s="47">
        <v>3454.5</v>
      </c>
      <c r="W22" s="46"/>
      <c r="X22" s="47">
        <v>2907</v>
      </c>
      <c r="Y22" s="46"/>
      <c r="Z22" s="47">
        <v>3996.5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-1970</v>
      </c>
      <c r="S25" s="64"/>
      <c r="T25" s="63">
        <f>IF(T17&gt;=0,T17-T21,"")</f>
        <v>-2071</v>
      </c>
      <c r="U25" s="64"/>
      <c r="V25" s="63">
        <f>IF(V17&gt;=0,V17-V21,"")</f>
        <v>-2184</v>
      </c>
      <c r="W25" s="64"/>
      <c r="X25" s="63">
        <f>IF(X17&gt;=0,X17-X21,"")</f>
        <v>-2186</v>
      </c>
      <c r="Y25" s="64"/>
      <c r="Z25" s="63">
        <f>IF(Z17&gt;=0,Z17-Z21,"")</f>
        <v>-2187</v>
      </c>
      <c r="AA25" s="64"/>
      <c r="AB25" s="63">
        <f>IF(AB17&gt;=0,AB17-AB21,"")</f>
        <v>-2187</v>
      </c>
      <c r="AC25" s="65"/>
      <c r="AD25" s="63">
        <f>IF(AD17&gt;=0,AD17-AD21,"")</f>
        <v>-2187</v>
      </c>
      <c r="AE25" s="65"/>
    </row>
    <row r="26" spans="2:43" ht="15" customHeight="1" thickBot="1" x14ac:dyDescent="0.35">
      <c r="B26" s="74" t="s">
        <v>55</v>
      </c>
      <c r="C26" s="122">
        <v>11910</v>
      </c>
      <c r="D26" s="76">
        <f>C11</f>
        <v>11799</v>
      </c>
      <c r="E26" s="77">
        <f>D26-C26</f>
        <v>-111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32541</v>
      </c>
      <c r="D27" s="76">
        <f>C7+C12+C13+C14+C15</f>
        <v>24829</v>
      </c>
      <c r="E27" s="77">
        <f>D27-C27</f>
        <v>-7712</v>
      </c>
      <c r="O27" s="4"/>
      <c r="AF27" s="69"/>
    </row>
    <row r="28" spans="2:43" x14ac:dyDescent="0.3">
      <c r="B28" s="74" t="s">
        <v>21</v>
      </c>
      <c r="C28" s="122">
        <v>6288</v>
      </c>
      <c r="D28" s="76">
        <f>C6</f>
        <v>6288</v>
      </c>
      <c r="E28" s="77">
        <f>D28-C28</f>
        <v>0</v>
      </c>
      <c r="O28" s="4"/>
    </row>
    <row r="29" spans="2:43" x14ac:dyDescent="0.3">
      <c r="B29" s="74" t="s">
        <v>57</v>
      </c>
      <c r="C29" s="122">
        <v>4675</v>
      </c>
      <c r="D29" s="76">
        <f>C10</f>
        <v>4675</v>
      </c>
      <c r="E29" s="77">
        <f>D29-C29</f>
        <v>0</v>
      </c>
      <c r="O29" s="4"/>
    </row>
    <row r="30" spans="2:43" x14ac:dyDescent="0.3">
      <c r="B30" s="74" t="s">
        <v>59</v>
      </c>
      <c r="C30" s="122">
        <v>15763</v>
      </c>
      <c r="D30" s="76">
        <f>C16+C17+C18</f>
        <v>15326</v>
      </c>
      <c r="E30" s="77">
        <f>D30-C30</f>
        <v>-437</v>
      </c>
      <c r="J30" s="53"/>
      <c r="O30" s="4"/>
    </row>
    <row r="31" spans="2:43" ht="15" customHeight="1" thickBot="1" x14ac:dyDescent="0.35">
      <c r="B31" s="78" t="s">
        <v>60</v>
      </c>
      <c r="C31" s="121">
        <v>4195</v>
      </c>
      <c r="D31" s="80">
        <f>SUM(C8+C9)</f>
        <v>4195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55" priority="11" operator="lessThan">
      <formula>0</formula>
    </cfRule>
    <cfRule type="cellIs" dxfId="754" priority="12" operator="greaterThan">
      <formula>0</formula>
    </cfRule>
  </conditionalFormatting>
  <conditionalFormatting sqref="R25:AC25">
    <cfRule type="cellIs" dxfId="753" priority="9" operator="lessThan">
      <formula>0</formula>
    </cfRule>
    <cfRule type="cellIs" dxfId="752" priority="10" operator="greaterThan">
      <formula>0</formula>
    </cfRule>
  </conditionalFormatting>
  <conditionalFormatting sqref="R26 T26 V26 X26 Z26 AB26">
    <cfRule type="cellIs" dxfId="751" priority="7" operator="lessThan">
      <formula>0</formula>
    </cfRule>
    <cfRule type="cellIs" dxfId="750" priority="8" operator="greaterThan">
      <formula>0</formula>
    </cfRule>
  </conditionalFormatting>
  <conditionalFormatting sqref="AD24:AE24">
    <cfRule type="cellIs" dxfId="749" priority="5" operator="lessThan">
      <formula>0</formula>
    </cfRule>
    <cfRule type="cellIs" dxfId="748" priority="6" operator="greaterThan">
      <formula>0</formula>
    </cfRule>
  </conditionalFormatting>
  <conditionalFormatting sqref="AD25:AE25">
    <cfRule type="cellIs" dxfId="747" priority="3" operator="lessThan">
      <formula>0</formula>
    </cfRule>
    <cfRule type="cellIs" dxfId="746" priority="4" operator="greaterThan">
      <formula>0</formula>
    </cfRule>
  </conditionalFormatting>
  <conditionalFormatting sqref="AD26">
    <cfRule type="cellIs" dxfId="745" priority="1" operator="lessThan">
      <formula>0</formula>
    </cfRule>
    <cfRule type="cellIs" dxfId="74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44456</v>
      </c>
    </row>
    <row r="3" spans="2:42" ht="18.75" customHeight="1" thickBot="1" x14ac:dyDescent="0.35">
      <c r="B3" t="s">
        <v>1</v>
      </c>
      <c r="C3" s="3">
        <f>C2+1</f>
        <v>44457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17402</v>
      </c>
      <c r="G6" s="117">
        <v>8633.4598750000005</v>
      </c>
      <c r="H6" s="117">
        <v>270.36911250000003</v>
      </c>
      <c r="I6" s="19">
        <f>G6+H6</f>
        <v>8903.8289875000009</v>
      </c>
      <c r="J6" s="119">
        <v>18676</v>
      </c>
      <c r="K6" s="117">
        <v>9278.7922500000004</v>
      </c>
      <c r="L6" s="117">
        <v>265.64546500000012</v>
      </c>
      <c r="M6" s="19">
        <f>K6+L6</f>
        <v>9544.437715</v>
      </c>
      <c r="N6" s="85">
        <v>63</v>
      </c>
      <c r="O6" s="85">
        <v>50</v>
      </c>
      <c r="P6" s="92"/>
      <c r="Q6" s="20">
        <f>J6-P6</f>
        <v>18676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1410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2479</v>
      </c>
      <c r="E8" s="29" t="s">
        <v>27</v>
      </c>
      <c r="F8" s="119">
        <v>3448</v>
      </c>
      <c r="G8" s="117">
        <v>3943.8124999999991</v>
      </c>
      <c r="H8" s="117">
        <v>12722.415829400001</v>
      </c>
      <c r="I8" s="19">
        <f>G8+H8</f>
        <v>16666.228329400001</v>
      </c>
      <c r="J8" s="119">
        <v>3586</v>
      </c>
      <c r="K8" s="117">
        <v>4653.5204999999996</v>
      </c>
      <c r="L8" s="117">
        <v>13162.2261272</v>
      </c>
      <c r="M8" s="19">
        <f>K8+L8</f>
        <v>17815.746627199998</v>
      </c>
      <c r="N8" s="87">
        <v>18</v>
      </c>
      <c r="O8" s="87">
        <v>13</v>
      </c>
      <c r="P8" s="92"/>
      <c r="Q8" s="20">
        <f>J8-P8</f>
        <v>3586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1469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4814</v>
      </c>
      <c r="E10" s="18" t="s">
        <v>31</v>
      </c>
      <c r="F10" s="119">
        <v>14981</v>
      </c>
      <c r="G10" s="117">
        <v>11851.504375</v>
      </c>
      <c r="H10" s="117">
        <v>969.55216999999993</v>
      </c>
      <c r="I10" s="19">
        <f>G10+H10</f>
        <v>12821.056544999999</v>
      </c>
      <c r="J10" s="119">
        <v>9988</v>
      </c>
      <c r="K10" s="117">
        <v>7563.211875</v>
      </c>
      <c r="L10" s="117">
        <v>1017.0589258</v>
      </c>
      <c r="M10" s="19">
        <f>K10+L10</f>
        <v>8580.2708008000009</v>
      </c>
      <c r="N10" s="88">
        <v>43</v>
      </c>
      <c r="O10" s="88">
        <v>32</v>
      </c>
      <c r="P10" s="92"/>
      <c r="Q10" s="20">
        <f>J10-P10</f>
        <v>9988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11286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1516</v>
      </c>
      <c r="E12" s="29" t="s">
        <v>35</v>
      </c>
      <c r="F12" s="119">
        <v>12163</v>
      </c>
      <c r="G12" s="117">
        <v>12212.421249999999</v>
      </c>
      <c r="H12" s="117">
        <v>15676.05215372999</v>
      </c>
      <c r="I12" s="19">
        <f>G12+H12</f>
        <v>27888.47340372999</v>
      </c>
      <c r="J12" s="119">
        <v>12936</v>
      </c>
      <c r="K12" s="117">
        <v>12988.675999999999</v>
      </c>
      <c r="L12" s="117">
        <v>15735.574173219989</v>
      </c>
      <c r="M12" s="19">
        <f>K12+L12</f>
        <v>28724.250173219989</v>
      </c>
      <c r="N12" s="88">
        <v>49</v>
      </c>
      <c r="O12" s="88">
        <v>35</v>
      </c>
      <c r="P12" s="92"/>
      <c r="Q12" s="20">
        <f>J12-P12</f>
        <v>12936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12681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1286</v>
      </c>
      <c r="E14" s="18" t="s">
        <v>39</v>
      </c>
      <c r="F14" s="119">
        <v>28220</v>
      </c>
      <c r="G14" s="117">
        <v>17189.71875</v>
      </c>
      <c r="H14" s="117">
        <v>21196.001222409981</v>
      </c>
      <c r="I14" s="19">
        <f>G14+H14</f>
        <v>38385.719972409977</v>
      </c>
      <c r="J14" s="119">
        <v>28569</v>
      </c>
      <c r="K14" s="117">
        <v>17581.614000000001</v>
      </c>
      <c r="L14" s="117">
        <v>21560.059706839991</v>
      </c>
      <c r="M14" s="19">
        <f>K14+L14</f>
        <v>39141.673706839996</v>
      </c>
      <c r="N14" s="88">
        <v>61</v>
      </c>
      <c r="O14" s="88">
        <v>44</v>
      </c>
      <c r="P14" s="92"/>
      <c r="Q14" s="20">
        <f>J14-P14</f>
        <v>28569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289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8249</v>
      </c>
      <c r="E16" s="84"/>
      <c r="F16" s="31">
        <f t="shared" ref="F16:M16" si="0">SUM(F6:F15)</f>
        <v>76214</v>
      </c>
      <c r="G16" s="31">
        <f t="shared" si="0"/>
        <v>53830.916750000004</v>
      </c>
      <c r="H16" s="31">
        <f t="shared" si="0"/>
        <v>50834.390488039971</v>
      </c>
      <c r="I16" s="32">
        <f t="shared" si="0"/>
        <v>104665.30723803997</v>
      </c>
      <c r="J16" s="33">
        <f t="shared" si="0"/>
        <v>73755</v>
      </c>
      <c r="K16" s="33">
        <f t="shared" si="0"/>
        <v>52065.814624999999</v>
      </c>
      <c r="L16" s="33">
        <f t="shared" si="0"/>
        <v>51740.564398059985</v>
      </c>
      <c r="M16" s="33">
        <f t="shared" si="0"/>
        <v>103806.37902305998</v>
      </c>
      <c r="N16" s="31">
        <f>SUM(N14,N12,N10,N8,N6)</f>
        <v>234</v>
      </c>
      <c r="O16" s="31">
        <f>SUM(O14,O12,O10,O8,O6)</f>
        <v>174</v>
      </c>
      <c r="P16" s="34">
        <f>SUM(P6:P15)</f>
        <v>0</v>
      </c>
      <c r="Q16" s="34">
        <f>SUM(Q6:Q15)</f>
        <v>73755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815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4021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10629</v>
      </c>
      <c r="D26" s="76">
        <f>C11</f>
        <v>11286</v>
      </c>
      <c r="E26" s="77">
        <f>D26-C26</f>
        <v>657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32505</v>
      </c>
      <c r="D27" s="76">
        <f>C7+C12+C13+C14+C15</f>
        <v>17182</v>
      </c>
      <c r="E27" s="77">
        <f>D27-C27</f>
        <v>-15323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4814</v>
      </c>
      <c r="D29" s="76">
        <f>C10</f>
        <v>4814</v>
      </c>
      <c r="E29" s="77">
        <f>D29-C29</f>
        <v>0</v>
      </c>
      <c r="O29" s="4"/>
    </row>
    <row r="30" spans="2:43" x14ac:dyDescent="0.3">
      <c r="B30" s="74" t="s">
        <v>59</v>
      </c>
      <c r="C30" s="122">
        <v>12083</v>
      </c>
      <c r="D30" s="76">
        <f>C16+C17+C18</f>
        <v>13085</v>
      </c>
      <c r="E30" s="77">
        <f>D30-C30</f>
        <v>1002</v>
      </c>
      <c r="J30" s="53"/>
      <c r="O30" s="4"/>
    </row>
    <row r="31" spans="2:43" ht="15" customHeight="1" thickBot="1" x14ac:dyDescent="0.35">
      <c r="B31" s="78" t="s">
        <v>60</v>
      </c>
      <c r="C31" s="121">
        <v>3948</v>
      </c>
      <c r="D31" s="80">
        <f>SUM(C8+C9)</f>
        <v>3948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43" priority="11" operator="lessThan">
      <formula>0</formula>
    </cfRule>
    <cfRule type="cellIs" dxfId="742" priority="12" operator="greaterThan">
      <formula>0</formula>
    </cfRule>
  </conditionalFormatting>
  <conditionalFormatting sqref="R25:AC25">
    <cfRule type="cellIs" dxfId="741" priority="9" operator="lessThan">
      <formula>0</formula>
    </cfRule>
    <cfRule type="cellIs" dxfId="740" priority="10" operator="greaterThan">
      <formula>0</formula>
    </cfRule>
  </conditionalFormatting>
  <conditionalFormatting sqref="R26 T26 V26 X26 Z26 AB26">
    <cfRule type="cellIs" dxfId="739" priority="7" operator="lessThan">
      <formula>0</formula>
    </cfRule>
    <cfRule type="cellIs" dxfId="738" priority="8" operator="greaterThan">
      <formula>0</formula>
    </cfRule>
  </conditionalFormatting>
  <conditionalFormatting sqref="AD24:AE24">
    <cfRule type="cellIs" dxfId="737" priority="5" operator="lessThan">
      <formula>0</formula>
    </cfRule>
    <cfRule type="cellIs" dxfId="736" priority="6" operator="greaterThan">
      <formula>0</formula>
    </cfRule>
  </conditionalFormatting>
  <conditionalFormatting sqref="AD25:AE25">
    <cfRule type="cellIs" dxfId="735" priority="3" operator="lessThan">
      <formula>0</formula>
    </cfRule>
    <cfRule type="cellIs" dxfId="734" priority="4" operator="greaterThan">
      <formula>0</formula>
    </cfRule>
  </conditionalFormatting>
  <conditionalFormatting sqref="AD26">
    <cfRule type="cellIs" dxfId="733" priority="1" operator="lessThan">
      <formula>0</formula>
    </cfRule>
    <cfRule type="cellIs" dxfId="73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44457</v>
      </c>
    </row>
    <row r="3" spans="2:42" ht="18.75" customHeight="1" thickBot="1" x14ac:dyDescent="0.35">
      <c r="B3" t="s">
        <v>1</v>
      </c>
      <c r="C3" s="3">
        <f>C2+1</f>
        <v>44458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18232</v>
      </c>
      <c r="G6" s="117">
        <v>8650.4061249999995</v>
      </c>
      <c r="H6" s="117">
        <v>237.5374875</v>
      </c>
      <c r="I6" s="19">
        <f>G6+H6</f>
        <v>8887.9436124999993</v>
      </c>
      <c r="J6" s="119">
        <v>17715</v>
      </c>
      <c r="K6" s="117">
        <v>8316.7602500000012</v>
      </c>
      <c r="L6" s="117">
        <v>225.35682499999999</v>
      </c>
      <c r="M6" s="19">
        <f>K6+L6</f>
        <v>8542.1170750000019</v>
      </c>
      <c r="N6" s="85">
        <v>83</v>
      </c>
      <c r="O6" s="85">
        <v>67</v>
      </c>
      <c r="P6" s="92"/>
      <c r="Q6" s="20">
        <f>J6-P6</f>
        <v>17715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1410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2479</v>
      </c>
      <c r="E8" s="29" t="s">
        <v>27</v>
      </c>
      <c r="F8" s="119">
        <v>3494</v>
      </c>
      <c r="G8" s="117">
        <v>3872.8504999999991</v>
      </c>
      <c r="H8" s="117">
        <v>11018.590807279999</v>
      </c>
      <c r="I8" s="19">
        <f>G8+H8</f>
        <v>14891.441307279998</v>
      </c>
      <c r="J8" s="119">
        <v>3204</v>
      </c>
      <c r="K8" s="117">
        <v>3470.7624999999998</v>
      </c>
      <c r="L8" s="117">
        <v>9954.1237235400131</v>
      </c>
      <c r="M8" s="19">
        <f>K8+L8</f>
        <v>13424.886223540012</v>
      </c>
      <c r="N8" s="87">
        <v>26</v>
      </c>
      <c r="O8" s="87">
        <v>17</v>
      </c>
      <c r="P8" s="92"/>
      <c r="Q8" s="20">
        <f>J8-P8</f>
        <v>3204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1469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4814</v>
      </c>
      <c r="E10" s="18" t="s">
        <v>31</v>
      </c>
      <c r="F10" s="119">
        <v>17331</v>
      </c>
      <c r="G10" s="117">
        <v>12905.4064375</v>
      </c>
      <c r="H10" s="117">
        <v>1251.1327759999999</v>
      </c>
      <c r="I10" s="19">
        <f>G10+H10</f>
        <v>14156.5392135</v>
      </c>
      <c r="J10" s="119">
        <v>16944</v>
      </c>
      <c r="K10" s="117">
        <v>12683.8714375</v>
      </c>
      <c r="L10" s="117">
        <v>1222.1630588</v>
      </c>
      <c r="M10" s="19">
        <f>K10+L10</f>
        <v>13906.034496300001</v>
      </c>
      <c r="N10" s="88">
        <v>51</v>
      </c>
      <c r="O10" s="88">
        <v>37</v>
      </c>
      <c r="P10" s="92"/>
      <c r="Q10" s="20">
        <f>J10-P10</f>
        <v>16944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8438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1516</v>
      </c>
      <c r="E12" s="29" t="s">
        <v>35</v>
      </c>
      <c r="F12" s="119">
        <v>10929</v>
      </c>
      <c r="G12" s="117">
        <v>10618.937250000001</v>
      </c>
      <c r="H12" s="117">
        <v>13824.11697730999</v>
      </c>
      <c r="I12" s="19">
        <f>G12+H12</f>
        <v>24443.054227309993</v>
      </c>
      <c r="J12" s="119">
        <v>11427</v>
      </c>
      <c r="K12" s="117">
        <v>11475.361999999999</v>
      </c>
      <c r="L12" s="117">
        <v>14195.190441549999</v>
      </c>
      <c r="M12" s="19">
        <f>K12+L12</f>
        <v>25670.552441549997</v>
      </c>
      <c r="N12" s="88">
        <v>55</v>
      </c>
      <c r="O12" s="88">
        <v>35</v>
      </c>
      <c r="P12" s="92"/>
      <c r="Q12" s="20">
        <f>J12-P12</f>
        <v>11427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14111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1286</v>
      </c>
      <c r="E14" s="18" t="s">
        <v>39</v>
      </c>
      <c r="F14" s="119">
        <v>21238</v>
      </c>
      <c r="G14" s="117">
        <v>15369.96875</v>
      </c>
      <c r="H14" s="117">
        <v>17351.788308840001</v>
      </c>
      <c r="I14" s="19">
        <f>G14+H14</f>
        <v>32721.757058840001</v>
      </c>
      <c r="J14" s="119">
        <v>21229</v>
      </c>
      <c r="K14" s="117">
        <v>15579.04875</v>
      </c>
      <c r="L14" s="117">
        <v>17498.617203059988</v>
      </c>
      <c r="M14" s="19">
        <f>K14+L14</f>
        <v>33077.665953059986</v>
      </c>
      <c r="N14" s="88">
        <v>77</v>
      </c>
      <c r="O14" s="88">
        <v>50</v>
      </c>
      <c r="P14" s="92"/>
      <c r="Q14" s="20">
        <f>J14-P14</f>
        <v>21229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289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9049</v>
      </c>
      <c r="E16" s="84"/>
      <c r="F16" s="31">
        <f t="shared" ref="F16:M16" si="0">SUM(F6:F15)</f>
        <v>71224</v>
      </c>
      <c r="G16" s="31">
        <f t="shared" si="0"/>
        <v>51417.569062499999</v>
      </c>
      <c r="H16" s="31">
        <f t="shared" si="0"/>
        <v>43683.166356929985</v>
      </c>
      <c r="I16" s="32">
        <f t="shared" si="0"/>
        <v>95100.735419429999</v>
      </c>
      <c r="J16" s="33">
        <f t="shared" si="0"/>
        <v>70519</v>
      </c>
      <c r="K16" s="33">
        <f t="shared" si="0"/>
        <v>51525.804937500005</v>
      </c>
      <c r="L16" s="33">
        <f t="shared" si="0"/>
        <v>43095.451251949999</v>
      </c>
      <c r="M16" s="33">
        <f t="shared" si="0"/>
        <v>94621.256189449996</v>
      </c>
      <c r="N16" s="31">
        <f>SUM(N14,N12,N10,N8,N6)</f>
        <v>292</v>
      </c>
      <c r="O16" s="31">
        <f>SUM(O14,O12,O10,O8,O6)</f>
        <v>206</v>
      </c>
      <c r="P16" s="34">
        <f>SUM(P6:P15)</f>
        <v>0</v>
      </c>
      <c r="Q16" s="34">
        <f>SUM(Q6:Q15)</f>
        <v>70519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2275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86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4447</v>
      </c>
      <c r="O18" s="1">
        <f>O17/N16</f>
        <v>0.29452054794520549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8762</v>
      </c>
      <c r="D26" s="76">
        <f>C11</f>
        <v>8438</v>
      </c>
      <c r="E26" s="77">
        <f>D26-C26</f>
        <v>-324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31834</v>
      </c>
      <c r="D27" s="76">
        <f>C7+C12+C13+C14+C15</f>
        <v>18612</v>
      </c>
      <c r="E27" s="77">
        <f>D27-C27</f>
        <v>-13222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2537</v>
      </c>
      <c r="D29" s="76">
        <f>C10</f>
        <v>4814</v>
      </c>
      <c r="E29" s="77">
        <f>D29-C29</f>
        <v>2277</v>
      </c>
      <c r="O29" s="4"/>
    </row>
    <row r="30" spans="2:43" x14ac:dyDescent="0.3">
      <c r="B30" s="74" t="s">
        <v>59</v>
      </c>
      <c r="C30" s="122">
        <v>16245</v>
      </c>
      <c r="D30" s="76">
        <f>C16+C17+C18</f>
        <v>15771</v>
      </c>
      <c r="E30" s="77">
        <f>D30-C30</f>
        <v>-474</v>
      </c>
      <c r="J30" s="53"/>
      <c r="O30" s="4"/>
    </row>
    <row r="31" spans="2:43" ht="15" customHeight="1" thickBot="1" x14ac:dyDescent="0.35">
      <c r="B31" s="78" t="s">
        <v>60</v>
      </c>
      <c r="C31" s="121">
        <v>4447</v>
      </c>
      <c r="D31" s="80">
        <f>SUM(C8+C9)</f>
        <v>3948</v>
      </c>
      <c r="E31" s="81">
        <f>C31-D31</f>
        <v>499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>
        <v>3805</v>
      </c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-3805</v>
      </c>
    </row>
    <row r="36" spans="11:31" ht="15.6" customHeight="1" x14ac:dyDescent="0.3">
      <c r="N36" s="212"/>
      <c r="O36" s="95" t="s">
        <v>66</v>
      </c>
      <c r="P36" s="106"/>
      <c r="Q36" s="106">
        <v>44</v>
      </c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-44</v>
      </c>
    </row>
    <row r="37" spans="11:31" ht="15.6" customHeight="1" x14ac:dyDescent="0.3">
      <c r="N37" s="212"/>
      <c r="O37" s="94" t="s">
        <v>67</v>
      </c>
      <c r="P37" s="108"/>
      <c r="Q37" s="108">
        <v>5134</v>
      </c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-5134</v>
      </c>
    </row>
    <row r="38" spans="11:31" ht="15.6" customHeight="1" x14ac:dyDescent="0.3">
      <c r="N38" s="212"/>
      <c r="O38" s="95" t="s">
        <v>68</v>
      </c>
      <c r="P38" s="106"/>
      <c r="Q38" s="106">
        <v>3900</v>
      </c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-3900</v>
      </c>
    </row>
    <row r="39" spans="11:31" ht="15.6" customHeight="1" x14ac:dyDescent="0.3">
      <c r="N39" s="212"/>
      <c r="O39" s="94" t="s">
        <v>69</v>
      </c>
      <c r="P39" s="108"/>
      <c r="Q39" s="108">
        <v>4832</v>
      </c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-4832</v>
      </c>
    </row>
    <row r="40" spans="11:31" ht="15.6" customHeight="1" x14ac:dyDescent="0.3">
      <c r="N40" s="212"/>
      <c r="O40" s="95" t="s">
        <v>70</v>
      </c>
      <c r="P40" s="106"/>
      <c r="Q40" s="106">
        <v>0</v>
      </c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>
        <v>0</v>
      </c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>
        <v>0</v>
      </c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>
        <v>0</v>
      </c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>
        <v>595</v>
      </c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-595</v>
      </c>
    </row>
    <row r="45" spans="11:31" ht="15.6" customHeight="1" x14ac:dyDescent="0.3">
      <c r="N45" s="212"/>
      <c r="O45" s="94" t="s">
        <v>66</v>
      </c>
      <c r="P45" s="108"/>
      <c r="Q45" s="108">
        <v>3026</v>
      </c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-3026</v>
      </c>
    </row>
    <row r="46" spans="11:31" ht="15.6" customHeight="1" x14ac:dyDescent="0.3">
      <c r="N46" s="212"/>
      <c r="O46" s="95" t="s">
        <v>67</v>
      </c>
      <c r="P46" s="106"/>
      <c r="Q46" s="106">
        <v>0</v>
      </c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>
        <v>0</v>
      </c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>
        <v>3276</v>
      </c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-3276</v>
      </c>
    </row>
    <row r="49" spans="14:31" ht="15.6" customHeight="1" x14ac:dyDescent="0.3">
      <c r="N49" s="212"/>
      <c r="O49" s="94" t="s">
        <v>66</v>
      </c>
      <c r="P49" s="108"/>
      <c r="Q49" s="108">
        <v>3964</v>
      </c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-3964</v>
      </c>
    </row>
    <row r="50" spans="14:31" ht="15.6" customHeight="1" x14ac:dyDescent="0.3">
      <c r="N50" s="212"/>
      <c r="O50" s="95" t="s">
        <v>67</v>
      </c>
      <c r="P50" s="106"/>
      <c r="Q50" s="106">
        <v>3926</v>
      </c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-3926</v>
      </c>
    </row>
    <row r="51" spans="14:31" ht="15.6" customHeight="1" x14ac:dyDescent="0.3">
      <c r="N51" s="212"/>
      <c r="O51" s="94" t="s">
        <v>68</v>
      </c>
      <c r="P51" s="108"/>
      <c r="Q51" s="108">
        <v>3239</v>
      </c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-3239</v>
      </c>
    </row>
    <row r="52" spans="14:31" ht="15.6" customHeight="1" x14ac:dyDescent="0.3">
      <c r="N52" s="212"/>
      <c r="O52" s="95" t="s">
        <v>69</v>
      </c>
      <c r="P52" s="106"/>
      <c r="Q52" s="106">
        <v>1260</v>
      </c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-1260</v>
      </c>
    </row>
    <row r="53" spans="14:31" ht="15.6" customHeight="1" x14ac:dyDescent="0.3">
      <c r="N53" s="212"/>
      <c r="O53" s="94" t="s">
        <v>70</v>
      </c>
      <c r="P53" s="108"/>
      <c r="Q53" s="108">
        <v>2295</v>
      </c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-2295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0</v>
      </c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0</v>
      </c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4776</v>
      </c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-4776</v>
      </c>
    </row>
    <row r="58" spans="14:31" ht="15.6" customHeight="1" x14ac:dyDescent="0.3">
      <c r="N58" s="212"/>
      <c r="O58" s="95" t="s">
        <v>66</v>
      </c>
      <c r="P58" s="106"/>
      <c r="Q58" s="106">
        <v>3450</v>
      </c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-3450</v>
      </c>
    </row>
    <row r="59" spans="14:31" ht="15.6" customHeight="1" x14ac:dyDescent="0.3">
      <c r="N59" s="212"/>
      <c r="O59" s="94" t="s">
        <v>67</v>
      </c>
      <c r="P59" s="108"/>
      <c r="Q59" s="108">
        <v>2747</v>
      </c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-2747</v>
      </c>
    </row>
    <row r="60" spans="14:31" ht="15.6" customHeight="1" thickBot="1" x14ac:dyDescent="0.35">
      <c r="N60" s="213"/>
      <c r="O60" s="99" t="s">
        <v>68</v>
      </c>
      <c r="P60" s="114"/>
      <c r="Q60" s="114">
        <v>1320</v>
      </c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-1320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6234</v>
      </c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-6234</v>
      </c>
    </row>
    <row r="62" spans="14:31" ht="15.6" customHeight="1" x14ac:dyDescent="0.3">
      <c r="N62" s="212"/>
      <c r="O62" s="95" t="s">
        <v>66</v>
      </c>
      <c r="P62" s="106"/>
      <c r="Q62" s="106">
        <v>2531</v>
      </c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-2531</v>
      </c>
    </row>
    <row r="63" spans="14:31" ht="15.6" customHeight="1" x14ac:dyDescent="0.3">
      <c r="N63" s="212"/>
      <c r="O63" s="94" t="s">
        <v>67</v>
      </c>
      <c r="P63" s="108"/>
      <c r="Q63" s="108">
        <v>3044</v>
      </c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-3044</v>
      </c>
    </row>
    <row r="64" spans="14:31" ht="15.6" customHeight="1" thickBot="1" x14ac:dyDescent="0.35">
      <c r="N64" s="213"/>
      <c r="O64" s="99" t="s">
        <v>68</v>
      </c>
      <c r="P64" s="114"/>
      <c r="Q64" s="114">
        <v>7971</v>
      </c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-7971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31" priority="11" operator="lessThan">
      <formula>0</formula>
    </cfRule>
    <cfRule type="cellIs" dxfId="730" priority="12" operator="greaterThan">
      <formula>0</formula>
    </cfRule>
  </conditionalFormatting>
  <conditionalFormatting sqref="R25:AC25">
    <cfRule type="cellIs" dxfId="729" priority="9" operator="lessThan">
      <formula>0</formula>
    </cfRule>
    <cfRule type="cellIs" dxfId="728" priority="10" operator="greaterThan">
      <formula>0</formula>
    </cfRule>
  </conditionalFormatting>
  <conditionalFormatting sqref="R26 T26 V26 X26 Z26 AB26">
    <cfRule type="cellIs" dxfId="727" priority="7" operator="lessThan">
      <formula>0</formula>
    </cfRule>
    <cfRule type="cellIs" dxfId="726" priority="8" operator="greaterThan">
      <formula>0</formula>
    </cfRule>
  </conditionalFormatting>
  <conditionalFormatting sqref="AD24:AE24">
    <cfRule type="cellIs" dxfId="725" priority="5" operator="lessThan">
      <formula>0</formula>
    </cfRule>
    <cfRule type="cellIs" dxfId="724" priority="6" operator="greaterThan">
      <formula>0</formula>
    </cfRule>
  </conditionalFormatting>
  <conditionalFormatting sqref="AD25:AE25">
    <cfRule type="cellIs" dxfId="723" priority="3" operator="lessThan">
      <formula>0</formula>
    </cfRule>
    <cfRule type="cellIs" dxfId="722" priority="4" operator="greaterThan">
      <formula>0</formula>
    </cfRule>
  </conditionalFormatting>
  <conditionalFormatting sqref="AD26">
    <cfRule type="cellIs" dxfId="721" priority="1" operator="lessThan">
      <formula>0</formula>
    </cfRule>
    <cfRule type="cellIs" dxfId="72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44458</v>
      </c>
    </row>
    <row r="3" spans="2:42" ht="18.75" customHeight="1" thickBot="1" x14ac:dyDescent="0.35">
      <c r="B3" t="s">
        <v>1</v>
      </c>
      <c r="C3" s="3">
        <f>C2+1</f>
        <v>44459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2516</v>
      </c>
      <c r="E6" s="18" t="s">
        <v>22</v>
      </c>
      <c r="F6" s="119">
        <v>19376</v>
      </c>
      <c r="G6" s="117">
        <v>9611.8267499999984</v>
      </c>
      <c r="H6" s="117">
        <v>227.633275</v>
      </c>
      <c r="I6" s="19">
        <f>G6+H6</f>
        <v>9839.4600249999985</v>
      </c>
      <c r="J6" s="119">
        <v>18657</v>
      </c>
      <c r="K6" s="117">
        <v>9074.7851250000003</v>
      </c>
      <c r="L6" s="117">
        <v>191.55851749999999</v>
      </c>
      <c r="M6" s="19"/>
      <c r="N6" s="85">
        <v>73</v>
      </c>
      <c r="O6" s="85">
        <v>53</v>
      </c>
      <c r="P6" s="92"/>
      <c r="Q6" s="20">
        <f>J6-P6</f>
        <v>18657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203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1981</v>
      </c>
      <c r="E8" s="29" t="s">
        <v>27</v>
      </c>
      <c r="F8" s="119">
        <v>2900</v>
      </c>
      <c r="G8" s="117">
        <v>3689.4479999999999</v>
      </c>
      <c r="H8" s="117">
        <v>13227.91197024</v>
      </c>
      <c r="I8" s="19">
        <f>G8+H8</f>
        <v>16917.359970239999</v>
      </c>
      <c r="J8" s="119">
        <v>2875</v>
      </c>
      <c r="K8" s="117">
        <v>3873.6205</v>
      </c>
      <c r="L8" s="117">
        <v>11380.45919348001</v>
      </c>
      <c r="M8" s="19"/>
      <c r="N8" s="87">
        <v>26</v>
      </c>
      <c r="O8" s="87">
        <v>14</v>
      </c>
      <c r="P8" s="92"/>
      <c r="Q8" s="20">
        <f>J8-P8</f>
        <v>2875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1158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12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2258</v>
      </c>
      <c r="E10" s="18" t="s">
        <v>31</v>
      </c>
      <c r="F10" s="119">
        <v>11464</v>
      </c>
      <c r="G10" s="117">
        <v>8073.6418124999991</v>
      </c>
      <c r="H10" s="117">
        <v>1139.1151440000001</v>
      </c>
      <c r="I10" s="19">
        <f>G10+H10</f>
        <v>9212.7569564999994</v>
      </c>
      <c r="J10" s="119">
        <v>11171</v>
      </c>
      <c r="K10" s="117">
        <v>7850.3343125000019</v>
      </c>
      <c r="L10" s="117">
        <v>1181.5725476</v>
      </c>
      <c r="M10" s="19"/>
      <c r="N10" s="88">
        <v>38</v>
      </c>
      <c r="O10" s="88">
        <v>24</v>
      </c>
      <c r="P10" s="92"/>
      <c r="Q10" s="20">
        <f>J10-P10</f>
        <v>11171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9561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11568</v>
      </c>
      <c r="G12" s="117">
        <v>11151.672500000001</v>
      </c>
      <c r="H12" s="117">
        <v>13367.246630529989</v>
      </c>
      <c r="I12" s="19">
        <f>G12+H12</f>
        <v>24518.91913052999</v>
      </c>
      <c r="J12" s="119">
        <v>11525</v>
      </c>
      <c r="K12" s="117">
        <v>11757.70025</v>
      </c>
      <c r="L12" s="117">
        <v>13750.24817793</v>
      </c>
      <c r="M12" s="19"/>
      <c r="N12" s="88">
        <v>50</v>
      </c>
      <c r="O12" s="88">
        <v>31</v>
      </c>
      <c r="P12" s="92"/>
      <c r="Q12" s="20">
        <f>J12-P12</f>
        <v>11525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10220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19801</v>
      </c>
      <c r="G14" s="117">
        <v>15030.11375</v>
      </c>
      <c r="H14" s="117">
        <v>17039.416885540009</v>
      </c>
      <c r="I14" s="19">
        <f>G14+H14</f>
        <v>32069.53063554001</v>
      </c>
      <c r="J14" s="119">
        <v>19641</v>
      </c>
      <c r="K14" s="117">
        <v>15004.54975</v>
      </c>
      <c r="L14" s="117">
        <v>17091.299456090019</v>
      </c>
      <c r="M14" s="19"/>
      <c r="N14" s="88">
        <v>74</v>
      </c>
      <c r="O14" s="88">
        <v>55</v>
      </c>
      <c r="P14" s="92"/>
      <c r="Q14" s="20">
        <f>J14-P14</f>
        <v>19641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9448</v>
      </c>
      <c r="E16" s="84"/>
      <c r="F16" s="31">
        <f t="shared" ref="F16:M16" si="0">SUM(F6:F15)</f>
        <v>65109</v>
      </c>
      <c r="G16" s="31">
        <f t="shared" si="0"/>
        <v>47556.7028125</v>
      </c>
      <c r="H16" s="31">
        <f t="shared" si="0"/>
        <v>45001.323905309997</v>
      </c>
      <c r="I16" s="32">
        <f t="shared" si="0"/>
        <v>92558.026717809989</v>
      </c>
      <c r="J16" s="33">
        <f t="shared" si="0"/>
        <v>63869</v>
      </c>
      <c r="K16" s="33">
        <f t="shared" si="0"/>
        <v>47560.989937500002</v>
      </c>
      <c r="L16" s="33">
        <f t="shared" si="0"/>
        <v>43595.137892600033</v>
      </c>
      <c r="M16" s="33">
        <f t="shared" si="0"/>
        <v>0</v>
      </c>
      <c r="N16" s="31">
        <f>SUM(N14,N12,N10,N8,N6)</f>
        <v>261</v>
      </c>
      <c r="O16" s="31">
        <f>SUM(O14,O12,O10,O8,O6)</f>
        <v>177</v>
      </c>
      <c r="P16" s="34">
        <f>SUM(P6:P15)</f>
        <v>0</v>
      </c>
      <c r="Q16" s="34">
        <f>SUM(Q6:Q15)</f>
        <v>63869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1018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4601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11200</v>
      </c>
      <c r="D26" s="76">
        <f>C11</f>
        <v>9561</v>
      </c>
      <c r="E26" s="77">
        <f>D26-C26</f>
        <v>-1639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25805</v>
      </c>
      <c r="D27" s="76">
        <f>C7+C12+C13+C14+C15</f>
        <v>10423</v>
      </c>
      <c r="E27" s="77">
        <f>D27-C27</f>
        <v>-15382</v>
      </c>
      <c r="O27" s="4"/>
      <c r="AF27" s="69"/>
    </row>
    <row r="28" spans="2:43" x14ac:dyDescent="0.3">
      <c r="B28" s="74" t="s">
        <v>21</v>
      </c>
      <c r="C28" s="122">
        <v>2516</v>
      </c>
      <c r="D28" s="76">
        <f>C6</f>
        <v>2516</v>
      </c>
      <c r="E28" s="77">
        <f>D28-C28</f>
        <v>0</v>
      </c>
      <c r="O28" s="4"/>
    </row>
    <row r="29" spans="2:43" x14ac:dyDescent="0.3">
      <c r="B29" s="74" t="s">
        <v>57</v>
      </c>
      <c r="C29" s="122">
        <v>2258</v>
      </c>
      <c r="D29" s="76">
        <f>C10</f>
        <v>2258</v>
      </c>
      <c r="E29" s="77">
        <f>D29-C29</f>
        <v>0</v>
      </c>
      <c r="O29" s="4"/>
    </row>
    <row r="30" spans="2:43" x14ac:dyDescent="0.3">
      <c r="B30" s="74" t="s">
        <v>59</v>
      </c>
      <c r="C30" s="122">
        <v>14158</v>
      </c>
      <c r="D30" s="76">
        <f>C16+C17+C18</f>
        <v>15067</v>
      </c>
      <c r="E30" s="77">
        <f>D30-C30</f>
        <v>909</v>
      </c>
      <c r="J30" s="53"/>
      <c r="O30" s="4"/>
    </row>
    <row r="31" spans="2:43" ht="15" customHeight="1" thickBot="1" x14ac:dyDescent="0.35">
      <c r="B31" s="78" t="s">
        <v>60</v>
      </c>
      <c r="C31" s="121">
        <v>3139</v>
      </c>
      <c r="D31" s="80">
        <f>SUM(C8+C9)</f>
        <v>3139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19" priority="11" operator="lessThan">
      <formula>0</formula>
    </cfRule>
    <cfRule type="cellIs" dxfId="718" priority="12" operator="greaterThan">
      <formula>0</formula>
    </cfRule>
  </conditionalFormatting>
  <conditionalFormatting sqref="R25:AC25">
    <cfRule type="cellIs" dxfId="717" priority="9" operator="lessThan">
      <formula>0</formula>
    </cfRule>
    <cfRule type="cellIs" dxfId="716" priority="10" operator="greaterThan">
      <formula>0</formula>
    </cfRule>
  </conditionalFormatting>
  <conditionalFormatting sqref="R26 T26 V26 X26 Z26 AB26">
    <cfRule type="cellIs" dxfId="715" priority="7" operator="lessThan">
      <formula>0</formula>
    </cfRule>
    <cfRule type="cellIs" dxfId="714" priority="8" operator="greaterThan">
      <formula>0</formula>
    </cfRule>
  </conditionalFormatting>
  <conditionalFormatting sqref="AD24:AE24">
    <cfRule type="cellIs" dxfId="713" priority="5" operator="lessThan">
      <formula>0</formula>
    </cfRule>
    <cfRule type="cellIs" dxfId="712" priority="6" operator="greaterThan">
      <formula>0</formula>
    </cfRule>
  </conditionalFormatting>
  <conditionalFormatting sqref="AD25:AE25">
    <cfRule type="cellIs" dxfId="711" priority="3" operator="lessThan">
      <formula>0</formula>
    </cfRule>
    <cfRule type="cellIs" dxfId="710" priority="4" operator="greaterThan">
      <formula>0</formula>
    </cfRule>
  </conditionalFormatting>
  <conditionalFormatting sqref="AD26">
    <cfRule type="cellIs" dxfId="709" priority="1" operator="lessThan">
      <formula>0</formula>
    </cfRule>
    <cfRule type="cellIs" dxfId="70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>
    <tabColor theme="1"/>
    <pageSetUpPr fitToPage="1"/>
  </sheetPr>
  <dimension ref="B1:AQ64"/>
  <sheetViews>
    <sheetView topLeftCell="G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44459</v>
      </c>
    </row>
    <row r="3" spans="2:42" ht="18.75" customHeight="1" thickBot="1" x14ac:dyDescent="0.35">
      <c r="B3" t="s">
        <v>1</v>
      </c>
      <c r="C3" s="3">
        <f>C2+1</f>
        <v>44460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2828</v>
      </c>
      <c r="E6" s="18" t="s">
        <v>22</v>
      </c>
      <c r="F6" s="119">
        <v>19365</v>
      </c>
      <c r="G6" s="117">
        <v>9457.7597499999993</v>
      </c>
      <c r="H6" s="117">
        <v>246.28405000000001</v>
      </c>
      <c r="I6" s="19">
        <f>G6+H6</f>
        <v>9704.0437999999995</v>
      </c>
      <c r="J6" s="119">
        <v>20163</v>
      </c>
      <c r="K6" s="117">
        <v>9758.4681250000012</v>
      </c>
      <c r="L6" s="117">
        <v>222.3701475</v>
      </c>
      <c r="M6" s="19">
        <f>K6+L6</f>
        <v>9980.838272500001</v>
      </c>
      <c r="N6" s="85">
        <v>66</v>
      </c>
      <c r="O6" s="85">
        <v>53</v>
      </c>
      <c r="P6" s="92"/>
      <c r="Q6" s="20">
        <f>J6-P6</f>
        <v>20163</v>
      </c>
      <c r="R6" s="21">
        <v>2369</v>
      </c>
      <c r="S6" s="20">
        <f>IF(R6&gt;0,(R6-R7-$Q6),"")</f>
        <v>-17939</v>
      </c>
      <c r="T6" s="21">
        <v>4394</v>
      </c>
      <c r="U6" s="20">
        <f>IF(T6&gt;0,(T6-T7-$Q6),"")</f>
        <v>-15915</v>
      </c>
      <c r="V6" s="21">
        <v>5070</v>
      </c>
      <c r="W6" s="20">
        <f>IF(V6&gt;0,(V6-V7-$Q6),"")</f>
        <v>-15239</v>
      </c>
      <c r="X6" s="21">
        <v>13785</v>
      </c>
      <c r="Y6" s="20">
        <f>IF(X6&gt;0,(X6-X7-$Q6),"")</f>
        <v>-6571</v>
      </c>
      <c r="Z6" s="21">
        <v>15831</v>
      </c>
      <c r="AA6" s="20">
        <f>IF(Z6&gt;0,(Z6-Z7-$Q6),"")</f>
        <v>-4525</v>
      </c>
      <c r="AB6" s="21">
        <v>15831</v>
      </c>
      <c r="AC6" s="22">
        <f>IF(AB6&gt;0,(AB6-AB7-$Q6),"")</f>
        <v>-4525</v>
      </c>
      <c r="AD6" s="21">
        <v>15831</v>
      </c>
      <c r="AE6" s="22">
        <f>IF(AD6&gt;0,(AD6-AD7-$Q6),"")</f>
        <v>-4525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145</v>
      </c>
      <c r="S7" s="24"/>
      <c r="T7" s="25">
        <v>146</v>
      </c>
      <c r="U7" s="24"/>
      <c r="V7" s="25">
        <v>146</v>
      </c>
      <c r="W7" s="24"/>
      <c r="X7" s="25">
        <v>193</v>
      </c>
      <c r="Y7" s="24"/>
      <c r="Z7" s="25">
        <v>193</v>
      </c>
      <c r="AA7" s="24"/>
      <c r="AB7" s="25">
        <v>193</v>
      </c>
      <c r="AC7" s="26"/>
      <c r="AD7" s="25">
        <v>193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2437</v>
      </c>
      <c r="E8" s="29" t="s">
        <v>27</v>
      </c>
      <c r="F8" s="119">
        <v>3835</v>
      </c>
      <c r="G8" s="117">
        <v>3744.1395000000002</v>
      </c>
      <c r="H8" s="117">
        <v>11715.012723180011</v>
      </c>
      <c r="I8" s="19">
        <f>G8+H8</f>
        <v>15459.152223180012</v>
      </c>
      <c r="J8" s="119">
        <v>3871</v>
      </c>
      <c r="K8" s="117">
        <v>3680.4784999999988</v>
      </c>
      <c r="L8" s="117">
        <v>11802.41785504001</v>
      </c>
      <c r="M8" s="19">
        <f>K8+L8</f>
        <v>15482.896355040009</v>
      </c>
      <c r="N8" s="87">
        <v>20</v>
      </c>
      <c r="O8" s="87">
        <v>9</v>
      </c>
      <c r="P8" s="92"/>
      <c r="Q8" s="20">
        <f>J8-P8</f>
        <v>3871</v>
      </c>
      <c r="R8" s="21">
        <v>375</v>
      </c>
      <c r="S8" s="20">
        <f>IF(R8&gt;0,(R8-R9-$Q8),"")</f>
        <v>-3496</v>
      </c>
      <c r="T8" s="21">
        <v>438</v>
      </c>
      <c r="U8" s="20">
        <f>IF(T8&gt;0,(T8-T9-$Q8),"")</f>
        <v>-3433</v>
      </c>
      <c r="V8" s="21">
        <v>1060</v>
      </c>
      <c r="W8" s="20">
        <f>IF(V8&gt;0,(V8-V9-$Q8),"")</f>
        <v>-2811</v>
      </c>
      <c r="X8" s="21">
        <v>1736</v>
      </c>
      <c r="Y8" s="20">
        <f>IF(X8&gt;0,(X8-X9-$Q8),"")</f>
        <v>-2135</v>
      </c>
      <c r="Z8" s="21">
        <v>2102</v>
      </c>
      <c r="AA8" s="20">
        <f>IF(Z8&gt;0,(Z8-Z9-$Q8),"")</f>
        <v>-1769</v>
      </c>
      <c r="AB8" s="21">
        <v>2102</v>
      </c>
      <c r="AC8" s="22">
        <f>IF(AB8&gt;0,(AB8-AB9-$Q8),"")</f>
        <v>-1769</v>
      </c>
      <c r="AD8" s="21">
        <v>2102</v>
      </c>
      <c r="AE8" s="22">
        <f>IF(AD8&gt;0,(AD8-AD9-$Q8),"")</f>
        <v>-1769</v>
      </c>
    </row>
    <row r="9" spans="2:42" x14ac:dyDescent="0.3">
      <c r="B9" s="28" t="s">
        <v>28</v>
      </c>
      <c r="C9" s="17">
        <v>1444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4042</v>
      </c>
      <c r="E10" s="18" t="s">
        <v>31</v>
      </c>
      <c r="F10" s="119">
        <v>16290</v>
      </c>
      <c r="G10" s="117">
        <v>11847.2109375</v>
      </c>
      <c r="H10" s="117">
        <v>1189.824269</v>
      </c>
      <c r="I10" s="19">
        <f>G10+H10</f>
        <v>13037.035206500001</v>
      </c>
      <c r="J10" s="119">
        <v>12036</v>
      </c>
      <c r="K10" s="117">
        <v>8036.5759374999998</v>
      </c>
      <c r="L10" s="117">
        <v>1294.1371853000001</v>
      </c>
      <c r="M10" s="19">
        <f>K10+L10</f>
        <v>9330.7131227999998</v>
      </c>
      <c r="N10" s="88">
        <v>41</v>
      </c>
      <c r="O10" s="88">
        <v>29</v>
      </c>
      <c r="P10" s="92"/>
      <c r="Q10" s="20">
        <f>J10-P10</f>
        <v>12036</v>
      </c>
      <c r="R10" s="21">
        <v>2437</v>
      </c>
      <c r="S10" s="20">
        <f>IF(R10&gt;0,(R10-R11-$Q10),"")</f>
        <v>-11263</v>
      </c>
      <c r="T10" s="21">
        <v>4356</v>
      </c>
      <c r="U10" s="20">
        <f>IF(T10&gt;0,(T10-T11-$Q10),"")</f>
        <v>-10040</v>
      </c>
      <c r="V10" s="21">
        <v>6909</v>
      </c>
      <c r="W10" s="20">
        <f>IF(V10&gt;0,(V10-V11-$Q10),"")</f>
        <v>-7139</v>
      </c>
      <c r="X10" s="21">
        <v>7639</v>
      </c>
      <c r="Y10" s="20">
        <f>IF(X10&gt;0,(X10-X11-$Q10),"")</f>
        <v>-6409</v>
      </c>
      <c r="Z10" s="21">
        <v>8019</v>
      </c>
      <c r="AA10" s="20">
        <f>IF(Z10&gt;0,(Z10-Z11-$Q10),"")</f>
        <v>-6029</v>
      </c>
      <c r="AB10" s="21">
        <v>8019</v>
      </c>
      <c r="AC10" s="22">
        <f>IF(AB10&gt;0,(AB10-AB11-$Q10),"")</f>
        <v>-6029</v>
      </c>
      <c r="AD10" s="21">
        <v>8019</v>
      </c>
      <c r="AE10" s="22">
        <f>IF(AD10&gt;0,(AD10-AD11-$Q10),"")</f>
        <v>-6029</v>
      </c>
    </row>
    <row r="11" spans="2:42" x14ac:dyDescent="0.3">
      <c r="B11" s="16" t="s">
        <v>38</v>
      </c>
      <c r="C11" s="17">
        <v>10184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1664</v>
      </c>
      <c r="S11" s="24"/>
      <c r="T11" s="30">
        <v>2360</v>
      </c>
      <c r="U11" s="24"/>
      <c r="V11" s="30">
        <v>2012</v>
      </c>
      <c r="W11" s="24"/>
      <c r="X11" s="30">
        <v>2012</v>
      </c>
      <c r="Y11" s="24"/>
      <c r="Z11" s="30">
        <v>2012</v>
      </c>
      <c r="AA11" s="24"/>
      <c r="AB11" s="30">
        <v>2012</v>
      </c>
      <c r="AC11" s="26"/>
      <c r="AD11" s="30">
        <v>2012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10459</v>
      </c>
      <c r="G12" s="117">
        <v>9961.3489999999983</v>
      </c>
      <c r="H12" s="117">
        <v>13026.66935982</v>
      </c>
      <c r="I12" s="19">
        <f>G12+H12</f>
        <v>22988.018359819998</v>
      </c>
      <c r="J12" s="119">
        <v>11028</v>
      </c>
      <c r="K12" s="117">
        <v>10790.147999999999</v>
      </c>
      <c r="L12" s="117">
        <v>12929.770163360001</v>
      </c>
      <c r="M12" s="19">
        <f>K12+L12</f>
        <v>23719.918163360002</v>
      </c>
      <c r="N12" s="88">
        <v>44</v>
      </c>
      <c r="O12" s="88">
        <v>34</v>
      </c>
      <c r="P12" s="92"/>
      <c r="Q12" s="20">
        <f>J12-P12</f>
        <v>11028</v>
      </c>
      <c r="R12" s="21">
        <v>4091</v>
      </c>
      <c r="S12" s="20">
        <f>IF(R12&gt;0,(R12-R13-$Q12),"")</f>
        <v>-6999</v>
      </c>
      <c r="T12" s="21">
        <v>5575</v>
      </c>
      <c r="U12" s="20">
        <f>IF(T12&gt;0,(T12-T13-$Q12),"")</f>
        <v>-5558</v>
      </c>
      <c r="V12" s="21">
        <v>8530</v>
      </c>
      <c r="W12" s="20">
        <f>IF(V12&gt;0,(V12-V13-$Q12),"")</f>
        <v>-2719</v>
      </c>
      <c r="X12" s="21">
        <v>9667</v>
      </c>
      <c r="Y12" s="20">
        <f>IF(X12&gt;0,(X12-X13-$Q12),"")</f>
        <v>-1621</v>
      </c>
      <c r="Z12" s="21">
        <v>9667</v>
      </c>
      <c r="AA12" s="20">
        <f>IF(Z12&gt;0,(Z12-Z13-$Q12),"")</f>
        <v>-1621</v>
      </c>
      <c r="AB12" s="21">
        <v>9667</v>
      </c>
      <c r="AC12" s="22">
        <f>IF(AB12&gt;0,(AB12-AB13-$Q12),"")</f>
        <v>-1621</v>
      </c>
      <c r="AD12" s="21">
        <v>9667</v>
      </c>
      <c r="AE12" s="22">
        <f>IF(AD12&gt;0,(AD12-AD13-$Q12),"")</f>
        <v>-1621</v>
      </c>
    </row>
    <row r="13" spans="2:42" x14ac:dyDescent="0.3">
      <c r="B13" s="28" t="s">
        <v>42</v>
      </c>
      <c r="C13" s="17">
        <v>9859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62</v>
      </c>
      <c r="S13" s="24"/>
      <c r="T13" s="30">
        <v>105</v>
      </c>
      <c r="U13" s="24"/>
      <c r="V13" s="30">
        <v>221</v>
      </c>
      <c r="W13" s="24"/>
      <c r="X13" s="30">
        <v>260</v>
      </c>
      <c r="Y13" s="24"/>
      <c r="Z13" s="30">
        <v>260</v>
      </c>
      <c r="AA13" s="24"/>
      <c r="AB13" s="30">
        <v>260</v>
      </c>
      <c r="AC13" s="26"/>
      <c r="AD13" s="30">
        <v>260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23773</v>
      </c>
      <c r="G14" s="117">
        <v>14567.13</v>
      </c>
      <c r="H14" s="117">
        <v>17827.341685885021</v>
      </c>
      <c r="I14" s="19">
        <f>G14+H14</f>
        <v>32394.471685885022</v>
      </c>
      <c r="J14" s="119">
        <v>24146</v>
      </c>
      <c r="K14" s="117">
        <v>14962.23725</v>
      </c>
      <c r="L14" s="117">
        <v>18195.884890044988</v>
      </c>
      <c r="M14" s="19">
        <f>K14+L14</f>
        <v>33158.122140044987</v>
      </c>
      <c r="N14" s="88">
        <v>64</v>
      </c>
      <c r="O14" s="88">
        <v>50</v>
      </c>
      <c r="P14" s="92"/>
      <c r="Q14" s="20">
        <f>J14-P14</f>
        <v>24146</v>
      </c>
      <c r="R14" s="21">
        <v>3819</v>
      </c>
      <c r="S14" s="20">
        <f>IF(R14&gt;0,(R14-R15-$Q14),"")</f>
        <v>-20327</v>
      </c>
      <c r="T14" s="21">
        <v>5440</v>
      </c>
      <c r="U14" s="20">
        <f>IF(T14&gt;0,(T14-T15-$Q14),"")</f>
        <v>-18715</v>
      </c>
      <c r="V14" s="21">
        <v>6916</v>
      </c>
      <c r="W14" s="20">
        <f>IF(V14&gt;0,(V14-V15-$Q14),"")</f>
        <v>-17239</v>
      </c>
      <c r="X14" s="21">
        <v>8830</v>
      </c>
      <c r="Y14" s="20">
        <f>IF(X14&gt;0,(X14-X15-$Q14),"")</f>
        <v>-15327</v>
      </c>
      <c r="Z14" s="21">
        <v>8784</v>
      </c>
      <c r="AA14" s="20">
        <f>IF(Z14&gt;0,(Z14-Z15-$Q14),"")</f>
        <v>-15378</v>
      </c>
      <c r="AB14" s="21">
        <v>8784</v>
      </c>
      <c r="AC14" s="22">
        <f>IF(AB14&gt;0,(AB14-AB15-$Q14),"")</f>
        <v>-15378</v>
      </c>
      <c r="AD14" s="21">
        <v>8784</v>
      </c>
      <c r="AE14" s="22">
        <f>IF(AD14&gt;0,(AD14-AD15-$Q14),"")</f>
        <v>-15378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9</v>
      </c>
      <c r="U15" s="24"/>
      <c r="V15" s="25">
        <v>9</v>
      </c>
      <c r="W15" s="24"/>
      <c r="X15" s="25">
        <v>11</v>
      </c>
      <c r="Y15" s="24"/>
      <c r="Z15" s="25">
        <v>16</v>
      </c>
      <c r="AA15" s="24"/>
      <c r="AB15" s="25">
        <v>16</v>
      </c>
      <c r="AC15" s="26"/>
      <c r="AD15" s="25">
        <v>16</v>
      </c>
      <c r="AE15" s="26"/>
    </row>
    <row r="16" spans="2:42" ht="15" customHeight="1" thickBot="1" x14ac:dyDescent="0.35">
      <c r="B16" s="16" t="s">
        <v>50</v>
      </c>
      <c r="C16" s="17">
        <v>9617</v>
      </c>
      <c r="E16" s="84"/>
      <c r="F16" s="31">
        <f t="shared" ref="F16:M16" si="0">SUM(F6:F15)</f>
        <v>73722</v>
      </c>
      <c r="G16" s="31">
        <f t="shared" si="0"/>
        <v>49577.589187499994</v>
      </c>
      <c r="H16" s="31">
        <f t="shared" si="0"/>
        <v>44005.132087885038</v>
      </c>
      <c r="I16" s="32">
        <f t="shared" si="0"/>
        <v>93582.721275385033</v>
      </c>
      <c r="J16" s="33">
        <f t="shared" si="0"/>
        <v>71244</v>
      </c>
      <c r="K16" s="33">
        <f t="shared" si="0"/>
        <v>47227.907812500001</v>
      </c>
      <c r="L16" s="33">
        <f t="shared" si="0"/>
        <v>44444.580241244999</v>
      </c>
      <c r="M16" s="33">
        <f t="shared" si="0"/>
        <v>91672.488053745008</v>
      </c>
      <c r="N16" s="31">
        <f>SUM(N14,N12,N10,N8,N6)</f>
        <v>235</v>
      </c>
      <c r="O16" s="31">
        <f>SUM(O14,O12,O10,O8,O6)</f>
        <v>175</v>
      </c>
      <c r="P16" s="34">
        <f>SUM(P6:P15)</f>
        <v>0</v>
      </c>
      <c r="Q16" s="34">
        <f>SUM(Q6:Q15)</f>
        <v>71244</v>
      </c>
      <c r="R16" s="35">
        <f>R6+R8+R10+R12+R14-R7-R9-R11-R13-R15</f>
        <v>11220</v>
      </c>
      <c r="S16" s="36">
        <f>IF(R16&gt;1,(R16-$Q16),"")</f>
        <v>-60024</v>
      </c>
      <c r="T16" s="35">
        <f>T6+T8+T10+T12+T14-T7-T9-T11-T13-T15</f>
        <v>17583</v>
      </c>
      <c r="U16" s="36">
        <f>IF(T16&gt;1,(T16-$Q16),"")</f>
        <v>-53661</v>
      </c>
      <c r="V16" s="35">
        <f>V6+V8+V10+V12+V14-V7-V9-V11-V13-V15</f>
        <v>26097</v>
      </c>
      <c r="W16" s="36">
        <f>IF(V16&gt;1,(V16-$Q16),"")</f>
        <v>-45147</v>
      </c>
      <c r="X16" s="35">
        <f>X6+X8+X10+X12+X14-X7-X9-X11-X13-X15</f>
        <v>39181</v>
      </c>
      <c r="Y16" s="36">
        <f>IF(X16&gt;1,(X16-$Q16),"")</f>
        <v>-32063</v>
      </c>
      <c r="Z16" s="35">
        <f>Z6+Z8+Z10+Z12+Z14-Z7-Z9-Z11-Z13-Z15</f>
        <v>41922</v>
      </c>
      <c r="AA16" s="36">
        <f>IF(Z16&gt;1,(Z16-$Q16),"")</f>
        <v>-29322</v>
      </c>
      <c r="AB16" s="35">
        <f>AB6+AB8+AB10+AB12+AB14-AB7-AB9-AB11-AB13-AB15</f>
        <v>41922</v>
      </c>
      <c r="AC16" s="37">
        <f>IF(AB16&gt;1,(AB16-$Q16),"")</f>
        <v>-29322</v>
      </c>
      <c r="AD16" s="35">
        <f>AD6+AD8+AD10+AD12+AD14-AD7-AD9-AD11-AD13-AD15</f>
        <v>41922</v>
      </c>
      <c r="AE16" s="37">
        <f>IF(AD16&gt;1,(AD16-$Q16),"")</f>
        <v>-29322</v>
      </c>
    </row>
    <row r="17" spans="2:43" s="4" customFormat="1" ht="15" customHeight="1" thickBot="1" x14ac:dyDescent="0.35">
      <c r="B17" s="16" t="s">
        <v>51</v>
      </c>
      <c r="C17" s="17">
        <v>2321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1871</v>
      </c>
      <c r="S17" s="41"/>
      <c r="T17" s="40">
        <f>T15+T13+T11+T9+T7</f>
        <v>2620</v>
      </c>
      <c r="U17" s="41"/>
      <c r="V17" s="40">
        <f>V15+V13+V11+V9+V7</f>
        <v>2388</v>
      </c>
      <c r="W17" s="41"/>
      <c r="X17" s="40">
        <f>X15+X13+X11+X9+X7</f>
        <v>2476</v>
      </c>
      <c r="Y17" s="41"/>
      <c r="Z17" s="40">
        <f>Z15+Z13+Z11+Z9+Z7</f>
        <v>2481</v>
      </c>
      <c r="AA17" s="41"/>
      <c r="AB17" s="40">
        <f>AB15+AB13+AB11+AB9+AB7</f>
        <v>2481</v>
      </c>
      <c r="AC17" s="42"/>
      <c r="AD17" s="40">
        <f>AD15+AD13+AD11+AD9+AD7</f>
        <v>2481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4667</v>
      </c>
      <c r="P18" s="45" t="s">
        <v>46</v>
      </c>
      <c r="Q18" s="46"/>
      <c r="R18" s="47">
        <f>IF(R16&gt;0,(R16)/2,"")</f>
        <v>5610</v>
      </c>
      <c r="S18" s="46"/>
      <c r="T18" s="47">
        <f>IF(T16&gt;0,(T16-R16)/2,"")</f>
        <v>3181.5</v>
      </c>
      <c r="U18" s="46"/>
      <c r="V18" s="47">
        <f>IF(V16&gt;0,(V16-T16)/2,"")</f>
        <v>4257</v>
      </c>
      <c r="W18" s="46"/>
      <c r="X18" s="47">
        <f>IF(X16&gt;0,(X16-V16)/2,"")</f>
        <v>6542</v>
      </c>
      <c r="Y18" s="46"/>
      <c r="Z18" s="47">
        <f>IF(Z16&gt;0,(Z16-X16)/2,"")</f>
        <v>1370.5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11220</v>
      </c>
      <c r="S24" s="60"/>
      <c r="T24" s="60">
        <f>IF(T16&gt;0,T16-T20,"")</f>
        <v>17583</v>
      </c>
      <c r="U24" s="60"/>
      <c r="V24" s="60">
        <f>IF(V16&gt;0,V16-V20,"")</f>
        <v>26097</v>
      </c>
      <c r="W24" s="60"/>
      <c r="X24" s="60">
        <f>IF(X16&gt;0,X16-X20,"")</f>
        <v>39181</v>
      </c>
      <c r="Y24" s="60"/>
      <c r="Z24" s="60">
        <f>IF(Z16&gt;0,Z16-Z20,"")</f>
        <v>41922</v>
      </c>
      <c r="AA24" s="60"/>
      <c r="AB24" s="60">
        <f>IF(AB16&gt;0,AB16-AB20,"")</f>
        <v>41922</v>
      </c>
      <c r="AC24" s="61"/>
      <c r="AD24" s="60">
        <f>IF(AD16&gt;0,AD16-AD20,"")</f>
        <v>41922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1871</v>
      </c>
      <c r="S25" s="64"/>
      <c r="T25" s="63">
        <f>IF(T17&gt;=0,T17-T21,"")</f>
        <v>2620</v>
      </c>
      <c r="U25" s="64"/>
      <c r="V25" s="63">
        <f>IF(V17&gt;=0,V17-V21,"")</f>
        <v>2388</v>
      </c>
      <c r="W25" s="64"/>
      <c r="X25" s="63">
        <f>IF(X17&gt;=0,X17-X21,"")</f>
        <v>2476</v>
      </c>
      <c r="Y25" s="64"/>
      <c r="Z25" s="63">
        <f>IF(Z17&gt;=0,Z17-Z21,"")</f>
        <v>2481</v>
      </c>
      <c r="AA25" s="64"/>
      <c r="AB25" s="63">
        <f>IF(AB17&gt;=0,AB17-AB21,"")</f>
        <v>2481</v>
      </c>
      <c r="AC25" s="65"/>
      <c r="AD25" s="63">
        <f>IF(AD17&gt;=0,AD17-AD21,"")</f>
        <v>2481</v>
      </c>
      <c r="AE25" s="65"/>
    </row>
    <row r="26" spans="2:43" ht="15" customHeight="1" thickBot="1" x14ac:dyDescent="0.35">
      <c r="B26" s="74" t="s">
        <v>55</v>
      </c>
      <c r="C26" s="122">
        <v>9586</v>
      </c>
      <c r="D26" s="76">
        <f>C11</f>
        <v>10184</v>
      </c>
      <c r="E26" s="77">
        <f>D26-C26</f>
        <v>598</v>
      </c>
      <c r="M26" s="4"/>
      <c r="Q26" s="66"/>
      <c r="R26" s="67">
        <f>IFERROR(IF(R18&gt;0,R18-R22,""),"")</f>
        <v>5610</v>
      </c>
      <c r="S26" s="55"/>
      <c r="T26" s="67">
        <f>IFERROR(IF(T18&gt;0,T18-T22,""),"")</f>
        <v>3181.5</v>
      </c>
      <c r="U26" s="55"/>
      <c r="V26" s="67">
        <f>IFERROR(IF(V18&gt;0,V18-V22,""),"")</f>
        <v>4257</v>
      </c>
      <c r="W26" s="55"/>
      <c r="X26" s="67">
        <f>IFERROR(IF(X18&gt;0,X18-X22,""),"")</f>
        <v>6542</v>
      </c>
      <c r="Y26" s="55"/>
      <c r="Z26" s="67">
        <f>IFERROR(IF(Z18&gt;0,Z18-Z22,""),"")</f>
        <v>1370.5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27892</v>
      </c>
      <c r="D27" s="76">
        <f>C7+C12+C13+C14+C15</f>
        <v>9859</v>
      </c>
      <c r="E27" s="77">
        <f>D27-C27</f>
        <v>-18033</v>
      </c>
      <c r="O27" s="4"/>
      <c r="AF27" s="69"/>
    </row>
    <row r="28" spans="2:43" x14ac:dyDescent="0.3">
      <c r="B28" s="74" t="s">
        <v>21</v>
      </c>
      <c r="C28" s="122">
        <v>2828</v>
      </c>
      <c r="D28" s="76">
        <f>C6</f>
        <v>2828</v>
      </c>
      <c r="E28" s="77">
        <f>D28-C28</f>
        <v>0</v>
      </c>
      <c r="O28" s="4"/>
    </row>
    <row r="29" spans="2:43" x14ac:dyDescent="0.3">
      <c r="B29" s="74" t="s">
        <v>57</v>
      </c>
      <c r="C29" s="122">
        <v>4042</v>
      </c>
      <c r="D29" s="76">
        <f>C10</f>
        <v>4042</v>
      </c>
      <c r="E29" s="77">
        <f>D29-C29</f>
        <v>0</v>
      </c>
      <c r="O29" s="4"/>
    </row>
    <row r="30" spans="2:43" x14ac:dyDescent="0.3">
      <c r="B30" s="74" t="s">
        <v>59</v>
      </c>
      <c r="C30" s="122">
        <v>15238</v>
      </c>
      <c r="D30" s="76">
        <f>C16+C17+C18</f>
        <v>16605</v>
      </c>
      <c r="E30" s="77">
        <f>D30-C30</f>
        <v>1367</v>
      </c>
      <c r="J30" s="53"/>
      <c r="O30" s="4"/>
    </row>
    <row r="31" spans="2:43" ht="15" customHeight="1" thickBot="1" x14ac:dyDescent="0.35">
      <c r="B31" s="78" t="s">
        <v>60</v>
      </c>
      <c r="C31" s="121">
        <v>3881</v>
      </c>
      <c r="D31" s="80">
        <f>SUM(C8+C9)</f>
        <v>3881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635</v>
      </c>
      <c r="S35" s="104">
        <f t="shared" ref="S35:S64" si="1">IF(T35&gt;0,(T35-R35)/2,"")</f>
        <v>338.5</v>
      </c>
      <c r="T35" s="104">
        <v>1312</v>
      </c>
      <c r="U35" s="104">
        <f t="shared" ref="U35:U64" si="2">IF(V35&gt;0,(V35-T35)/2,"")</f>
        <v>96.5</v>
      </c>
      <c r="V35" s="104">
        <v>1505</v>
      </c>
      <c r="W35" s="104">
        <f t="shared" ref="W35:W64" si="3">IF(X35&gt;0,(X35-V35)/2,"")</f>
        <v>863</v>
      </c>
      <c r="X35" s="104">
        <v>3231</v>
      </c>
      <c r="Y35" s="104">
        <f t="shared" ref="Y35:Y64" si="4">IF(Z35&gt;0,(Z35-X35)/2,"")</f>
        <v>174</v>
      </c>
      <c r="Z35" s="104">
        <v>3579</v>
      </c>
      <c r="AA35" s="104">
        <f t="shared" ref="AA35:AA64" si="5">IF(AB35&gt;0,(AB35-Z35)/2,"")</f>
        <v>0</v>
      </c>
      <c r="AB35" s="104">
        <v>3579</v>
      </c>
      <c r="AC35" s="104">
        <f t="shared" ref="AC35:AC64" si="6">IF(AD35&gt;0,(AD35-AB35)/2,"")</f>
        <v>0</v>
      </c>
      <c r="AD35" s="104">
        <v>3579</v>
      </c>
      <c r="AE35" s="105">
        <f t="shared" ref="AE35:AE64" si="7">AD35-Q35</f>
        <v>3579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13</v>
      </c>
      <c r="S36" s="106">
        <f t="shared" si="1"/>
        <v>0</v>
      </c>
      <c r="T36" s="106">
        <v>13</v>
      </c>
      <c r="U36" s="106">
        <f t="shared" si="2"/>
        <v>0</v>
      </c>
      <c r="V36" s="106">
        <v>13</v>
      </c>
      <c r="W36" s="106">
        <f t="shared" si="3"/>
        <v>27</v>
      </c>
      <c r="X36" s="106">
        <v>67</v>
      </c>
      <c r="Y36" s="106">
        <f t="shared" si="4"/>
        <v>0</v>
      </c>
      <c r="Z36" s="106">
        <v>67</v>
      </c>
      <c r="AA36" s="106">
        <f t="shared" si="5"/>
        <v>0</v>
      </c>
      <c r="AB36" s="106">
        <v>67</v>
      </c>
      <c r="AC36" s="106">
        <f t="shared" si="6"/>
        <v>0</v>
      </c>
      <c r="AD36" s="106">
        <v>67</v>
      </c>
      <c r="AE36" s="107">
        <f t="shared" si="7"/>
        <v>67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1721</v>
      </c>
      <c r="S37" s="108">
        <f t="shared" si="1"/>
        <v>674</v>
      </c>
      <c r="T37" s="108">
        <v>3069</v>
      </c>
      <c r="U37" s="108">
        <f t="shared" si="2"/>
        <v>241.5</v>
      </c>
      <c r="V37" s="108">
        <v>3552</v>
      </c>
      <c r="W37" s="108">
        <f t="shared" si="3"/>
        <v>749.5</v>
      </c>
      <c r="X37" s="108">
        <v>5051</v>
      </c>
      <c r="Y37" s="108">
        <f t="shared" si="4"/>
        <v>0</v>
      </c>
      <c r="Z37" s="108">
        <v>5051</v>
      </c>
      <c r="AA37" s="108">
        <f t="shared" si="5"/>
        <v>0</v>
      </c>
      <c r="AB37" s="108">
        <v>5051</v>
      </c>
      <c r="AC37" s="108">
        <f t="shared" si="6"/>
        <v>0</v>
      </c>
      <c r="AD37" s="108">
        <v>5051</v>
      </c>
      <c r="AE37" s="109">
        <f t="shared" si="7"/>
        <v>5051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>
        <f t="shared" si="3"/>
        <v>2043.5</v>
      </c>
      <c r="X38" s="106">
        <v>4087</v>
      </c>
      <c r="Y38" s="106">
        <f t="shared" si="4"/>
        <v>0</v>
      </c>
      <c r="Z38" s="106">
        <v>4087</v>
      </c>
      <c r="AA38" s="106">
        <f t="shared" si="5"/>
        <v>0</v>
      </c>
      <c r="AB38" s="106">
        <v>4087</v>
      </c>
      <c r="AC38" s="106">
        <f t="shared" si="6"/>
        <v>0</v>
      </c>
      <c r="AD38" s="106">
        <v>4087</v>
      </c>
      <c r="AE38" s="107">
        <f t="shared" si="7"/>
        <v>4087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 t="str">
        <f t="shared" si="2"/>
        <v/>
      </c>
      <c r="V39" s="108">
        <v>0</v>
      </c>
      <c r="W39" s="108">
        <f t="shared" si="3"/>
        <v>674.5</v>
      </c>
      <c r="X39" s="108">
        <v>1349</v>
      </c>
      <c r="Y39" s="108">
        <f t="shared" si="4"/>
        <v>849</v>
      </c>
      <c r="Z39" s="108">
        <v>3047</v>
      </c>
      <c r="AA39" s="108">
        <f t="shared" si="5"/>
        <v>0</v>
      </c>
      <c r="AB39" s="108">
        <v>3047</v>
      </c>
      <c r="AC39" s="108">
        <f t="shared" si="6"/>
        <v>0</v>
      </c>
      <c r="AD39" s="108">
        <v>3047</v>
      </c>
      <c r="AE39" s="109">
        <f t="shared" si="7"/>
        <v>3047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135</v>
      </c>
      <c r="S44" s="112">
        <f t="shared" si="1"/>
        <v>22.5</v>
      </c>
      <c r="T44" s="112">
        <v>180</v>
      </c>
      <c r="U44" s="112">
        <f t="shared" si="2"/>
        <v>120.5</v>
      </c>
      <c r="V44" s="112">
        <v>421</v>
      </c>
      <c r="W44" s="112">
        <f t="shared" si="3"/>
        <v>79.5</v>
      </c>
      <c r="X44" s="112">
        <v>580</v>
      </c>
      <c r="Y44" s="112">
        <f t="shared" si="4"/>
        <v>0</v>
      </c>
      <c r="Z44" s="112">
        <v>580</v>
      </c>
      <c r="AA44" s="112">
        <f t="shared" si="5"/>
        <v>0</v>
      </c>
      <c r="AB44" s="112">
        <v>580</v>
      </c>
      <c r="AC44" s="112">
        <f t="shared" si="6"/>
        <v>0</v>
      </c>
      <c r="AD44" s="112">
        <v>580</v>
      </c>
      <c r="AE44" s="113">
        <f t="shared" si="7"/>
        <v>580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240</v>
      </c>
      <c r="S45" s="108">
        <f t="shared" si="1"/>
        <v>9</v>
      </c>
      <c r="T45" s="108">
        <v>258</v>
      </c>
      <c r="U45" s="108">
        <f t="shared" si="2"/>
        <v>190.5</v>
      </c>
      <c r="V45" s="108">
        <v>639</v>
      </c>
      <c r="W45" s="108">
        <f t="shared" si="3"/>
        <v>258.5</v>
      </c>
      <c r="X45" s="108">
        <v>1156</v>
      </c>
      <c r="Y45" s="108">
        <f t="shared" si="4"/>
        <v>183</v>
      </c>
      <c r="Z45" s="108">
        <v>1522</v>
      </c>
      <c r="AA45" s="108">
        <f t="shared" si="5"/>
        <v>0</v>
      </c>
      <c r="AB45" s="108">
        <v>1522</v>
      </c>
      <c r="AC45" s="108">
        <f t="shared" si="6"/>
        <v>0</v>
      </c>
      <c r="AD45" s="108">
        <v>1522</v>
      </c>
      <c r="AE45" s="109">
        <f t="shared" si="7"/>
        <v>1522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136</v>
      </c>
      <c r="T48" s="112">
        <v>272</v>
      </c>
      <c r="U48" s="112">
        <f t="shared" si="2"/>
        <v>998.5</v>
      </c>
      <c r="V48" s="112">
        <v>2269</v>
      </c>
      <c r="W48" s="112">
        <f t="shared" si="3"/>
        <v>-507.5</v>
      </c>
      <c r="X48" s="112">
        <v>1254</v>
      </c>
      <c r="Y48" s="112">
        <f t="shared" si="4"/>
        <v>0</v>
      </c>
      <c r="Z48" s="112">
        <v>1254</v>
      </c>
      <c r="AA48" s="112">
        <f t="shared" si="5"/>
        <v>0</v>
      </c>
      <c r="AB48" s="112">
        <v>1254</v>
      </c>
      <c r="AC48" s="112">
        <f t="shared" si="6"/>
        <v>0</v>
      </c>
      <c r="AD48" s="112">
        <v>1254</v>
      </c>
      <c r="AE48" s="113">
        <f t="shared" si="7"/>
        <v>1254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210</v>
      </c>
      <c r="S49" s="108">
        <f t="shared" si="1"/>
        <v>399.5</v>
      </c>
      <c r="T49" s="108">
        <v>1009</v>
      </c>
      <c r="U49" s="108">
        <f t="shared" si="2"/>
        <v>0</v>
      </c>
      <c r="V49" s="108">
        <v>1009</v>
      </c>
      <c r="W49" s="108">
        <f t="shared" si="3"/>
        <v>885</v>
      </c>
      <c r="X49" s="108">
        <v>2779</v>
      </c>
      <c r="Y49" s="108">
        <f t="shared" si="4"/>
        <v>0</v>
      </c>
      <c r="Z49" s="108">
        <v>2779</v>
      </c>
      <c r="AA49" s="108">
        <f t="shared" si="5"/>
        <v>0</v>
      </c>
      <c r="AB49" s="108">
        <v>2779</v>
      </c>
      <c r="AC49" s="108">
        <f t="shared" si="6"/>
        <v>0</v>
      </c>
      <c r="AD49" s="108">
        <v>2779</v>
      </c>
      <c r="AE49" s="109">
        <f t="shared" si="7"/>
        <v>2779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1108</v>
      </c>
      <c r="S50" s="106">
        <f t="shared" si="1"/>
        <v>76</v>
      </c>
      <c r="T50" s="106">
        <v>1260</v>
      </c>
      <c r="U50" s="106">
        <f t="shared" si="2"/>
        <v>0</v>
      </c>
      <c r="V50" s="106">
        <v>1260</v>
      </c>
      <c r="W50" s="106">
        <f t="shared" si="3"/>
        <v>0</v>
      </c>
      <c r="X50" s="106">
        <v>1260</v>
      </c>
      <c r="Y50" s="106">
        <f t="shared" si="4"/>
        <v>0</v>
      </c>
      <c r="Z50" s="106">
        <v>1260</v>
      </c>
      <c r="AA50" s="106">
        <f t="shared" si="5"/>
        <v>0</v>
      </c>
      <c r="AB50" s="106">
        <v>1260</v>
      </c>
      <c r="AC50" s="106">
        <f t="shared" si="6"/>
        <v>0</v>
      </c>
      <c r="AD50" s="106">
        <v>1260</v>
      </c>
      <c r="AE50" s="107">
        <f t="shared" si="7"/>
        <v>1260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720</v>
      </c>
      <c r="S51" s="108">
        <f t="shared" si="1"/>
        <v>348</v>
      </c>
      <c r="T51" s="108">
        <v>1416</v>
      </c>
      <c r="U51" s="108">
        <f t="shared" si="2"/>
        <v>-174</v>
      </c>
      <c r="V51" s="108">
        <v>1068</v>
      </c>
      <c r="W51" s="108">
        <f t="shared" si="3"/>
        <v>0</v>
      </c>
      <c r="X51" s="108">
        <v>1068</v>
      </c>
      <c r="Y51" s="108">
        <f t="shared" si="4"/>
        <v>0</v>
      </c>
      <c r="Z51" s="108">
        <v>1068</v>
      </c>
      <c r="AA51" s="108">
        <f t="shared" si="5"/>
        <v>0</v>
      </c>
      <c r="AB51" s="108">
        <v>1068</v>
      </c>
      <c r="AC51" s="108">
        <f t="shared" si="6"/>
        <v>0</v>
      </c>
      <c r="AD51" s="108">
        <v>1068</v>
      </c>
      <c r="AE51" s="109">
        <f t="shared" si="7"/>
        <v>1068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399</v>
      </c>
      <c r="S52" s="106">
        <f t="shared" si="1"/>
        <v>0</v>
      </c>
      <c r="T52" s="106">
        <v>399</v>
      </c>
      <c r="U52" s="106">
        <f t="shared" si="2"/>
        <v>0</v>
      </c>
      <c r="V52" s="106">
        <v>399</v>
      </c>
      <c r="W52" s="106">
        <f t="shared" si="3"/>
        <v>89.5</v>
      </c>
      <c r="X52" s="106">
        <v>578</v>
      </c>
      <c r="Y52" s="106">
        <f t="shared" si="4"/>
        <v>-8.5</v>
      </c>
      <c r="Z52" s="106">
        <v>561</v>
      </c>
      <c r="AA52" s="106">
        <f t="shared" si="5"/>
        <v>0</v>
      </c>
      <c r="AB52" s="106">
        <v>561</v>
      </c>
      <c r="AC52" s="106">
        <f t="shared" si="6"/>
        <v>0</v>
      </c>
      <c r="AD52" s="106">
        <v>561</v>
      </c>
      <c r="AE52" s="107">
        <f t="shared" si="7"/>
        <v>561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452</v>
      </c>
      <c r="V53" s="108">
        <v>904</v>
      </c>
      <c r="W53" s="108">
        <f t="shared" si="3"/>
        <v>-102</v>
      </c>
      <c r="X53" s="108">
        <v>700</v>
      </c>
      <c r="Y53" s="108">
        <f t="shared" si="4"/>
        <v>198.5</v>
      </c>
      <c r="Z53" s="108">
        <v>1097</v>
      </c>
      <c r="AA53" s="108">
        <f t="shared" si="5"/>
        <v>0</v>
      </c>
      <c r="AB53" s="108">
        <v>1097</v>
      </c>
      <c r="AC53" s="108">
        <f t="shared" si="6"/>
        <v>0</v>
      </c>
      <c r="AD53" s="108">
        <v>1097</v>
      </c>
      <c r="AE53" s="109">
        <f t="shared" si="7"/>
        <v>1097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1043</v>
      </c>
      <c r="S57" s="104">
        <f t="shared" si="1"/>
        <v>418.5</v>
      </c>
      <c r="T57" s="104">
        <v>1880</v>
      </c>
      <c r="U57" s="104">
        <f t="shared" si="2"/>
        <v>356</v>
      </c>
      <c r="V57" s="104">
        <v>2592</v>
      </c>
      <c r="W57" s="104">
        <f t="shared" si="3"/>
        <v>62</v>
      </c>
      <c r="X57" s="104">
        <v>2716</v>
      </c>
      <c r="Y57" s="104">
        <f t="shared" si="4"/>
        <v>0</v>
      </c>
      <c r="Z57" s="104">
        <v>2716</v>
      </c>
      <c r="AA57" s="104">
        <f t="shared" si="5"/>
        <v>0</v>
      </c>
      <c r="AB57" s="104">
        <v>2716</v>
      </c>
      <c r="AC57" s="104">
        <f t="shared" si="6"/>
        <v>0</v>
      </c>
      <c r="AD57" s="104">
        <v>2716</v>
      </c>
      <c r="AE57" s="105">
        <f t="shared" si="7"/>
        <v>2716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391</v>
      </c>
      <c r="S58" s="106">
        <f t="shared" si="1"/>
        <v>368</v>
      </c>
      <c r="T58" s="106">
        <v>1127</v>
      </c>
      <c r="U58" s="106">
        <f t="shared" si="2"/>
        <v>141</v>
      </c>
      <c r="V58" s="106">
        <v>1409</v>
      </c>
      <c r="W58" s="106">
        <f t="shared" si="3"/>
        <v>536</v>
      </c>
      <c r="X58" s="106">
        <v>2481</v>
      </c>
      <c r="Y58" s="106">
        <f t="shared" si="4"/>
        <v>0</v>
      </c>
      <c r="Z58" s="106">
        <v>2481</v>
      </c>
      <c r="AA58" s="106">
        <f t="shared" si="5"/>
        <v>0</v>
      </c>
      <c r="AB58" s="106">
        <v>2481</v>
      </c>
      <c r="AC58" s="106">
        <f t="shared" si="6"/>
        <v>0</v>
      </c>
      <c r="AD58" s="106">
        <v>2481</v>
      </c>
      <c r="AE58" s="107">
        <f t="shared" si="7"/>
        <v>2481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628</v>
      </c>
      <c r="S59" s="108">
        <f t="shared" si="1"/>
        <v>-135</v>
      </c>
      <c r="T59" s="108">
        <v>358</v>
      </c>
      <c r="U59" s="108">
        <f t="shared" si="2"/>
        <v>379</v>
      </c>
      <c r="V59" s="108">
        <v>1116</v>
      </c>
      <c r="W59" s="108">
        <f t="shared" si="3"/>
        <v>0</v>
      </c>
      <c r="X59" s="108">
        <v>1116</v>
      </c>
      <c r="Y59" s="108">
        <f t="shared" si="4"/>
        <v>0</v>
      </c>
      <c r="Z59" s="108">
        <v>1116</v>
      </c>
      <c r="AA59" s="108">
        <f t="shared" si="5"/>
        <v>0</v>
      </c>
      <c r="AB59" s="108">
        <v>1116</v>
      </c>
      <c r="AC59" s="108">
        <f t="shared" si="6"/>
        <v>0</v>
      </c>
      <c r="AD59" s="108">
        <v>1116</v>
      </c>
      <c r="AE59" s="109">
        <f t="shared" si="7"/>
        <v>1116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379</v>
      </c>
      <c r="S60" s="114">
        <f t="shared" si="1"/>
        <v>90.5</v>
      </c>
      <c r="T60" s="114">
        <v>560</v>
      </c>
      <c r="U60" s="114">
        <f t="shared" si="2"/>
        <v>198</v>
      </c>
      <c r="V60" s="114">
        <v>956</v>
      </c>
      <c r="W60" s="114">
        <f t="shared" si="3"/>
        <v>0</v>
      </c>
      <c r="X60" s="114">
        <v>956</v>
      </c>
      <c r="Y60" s="114">
        <f t="shared" si="4"/>
        <v>0</v>
      </c>
      <c r="Z60" s="114">
        <v>956</v>
      </c>
      <c r="AA60" s="114">
        <f t="shared" si="5"/>
        <v>0</v>
      </c>
      <c r="AB60" s="114">
        <v>956</v>
      </c>
      <c r="AC60" s="114">
        <f t="shared" si="6"/>
        <v>0</v>
      </c>
      <c r="AD60" s="114">
        <v>956</v>
      </c>
      <c r="AE60" s="115">
        <f t="shared" si="7"/>
        <v>956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449</v>
      </c>
      <c r="S61" s="104">
        <f t="shared" si="1"/>
        <v>140</v>
      </c>
      <c r="T61" s="104">
        <v>729</v>
      </c>
      <c r="U61" s="104">
        <f t="shared" si="2"/>
        <v>231</v>
      </c>
      <c r="V61" s="104">
        <v>1191</v>
      </c>
      <c r="W61" s="104">
        <f t="shared" si="3"/>
        <v>126.5</v>
      </c>
      <c r="X61" s="104">
        <v>1444</v>
      </c>
      <c r="Y61" s="104">
        <f t="shared" si="4"/>
        <v>-274</v>
      </c>
      <c r="Z61" s="104">
        <v>896</v>
      </c>
      <c r="AA61" s="104">
        <f t="shared" si="5"/>
        <v>0</v>
      </c>
      <c r="AB61" s="104">
        <v>896</v>
      </c>
      <c r="AC61" s="104">
        <f t="shared" si="6"/>
        <v>0</v>
      </c>
      <c r="AD61" s="104">
        <v>896</v>
      </c>
      <c r="AE61" s="105">
        <f t="shared" si="7"/>
        <v>896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0</v>
      </c>
      <c r="S62" s="106">
        <f t="shared" si="1"/>
        <v>52</v>
      </c>
      <c r="T62" s="106">
        <v>104</v>
      </c>
      <c r="U62" s="106">
        <f t="shared" si="2"/>
        <v>126.5</v>
      </c>
      <c r="V62" s="106">
        <v>357</v>
      </c>
      <c r="W62" s="106">
        <f t="shared" si="3"/>
        <v>91.5</v>
      </c>
      <c r="X62" s="106">
        <v>540</v>
      </c>
      <c r="Y62" s="106">
        <f t="shared" si="4"/>
        <v>195</v>
      </c>
      <c r="Z62" s="106">
        <v>930</v>
      </c>
      <c r="AA62" s="106">
        <f t="shared" si="5"/>
        <v>0</v>
      </c>
      <c r="AB62" s="106">
        <v>930</v>
      </c>
      <c r="AC62" s="106">
        <f t="shared" si="6"/>
        <v>0</v>
      </c>
      <c r="AD62" s="106">
        <v>930</v>
      </c>
      <c r="AE62" s="107">
        <f t="shared" si="7"/>
        <v>930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515</v>
      </c>
      <c r="S63" s="108">
        <f t="shared" si="1"/>
        <v>112</v>
      </c>
      <c r="T63" s="108">
        <v>739</v>
      </c>
      <c r="U63" s="108">
        <f t="shared" si="2"/>
        <v>0</v>
      </c>
      <c r="V63" s="108">
        <v>739</v>
      </c>
      <c r="W63" s="108">
        <f t="shared" si="3"/>
        <v>54</v>
      </c>
      <c r="X63" s="108">
        <v>847</v>
      </c>
      <c r="Y63" s="108">
        <f t="shared" si="4"/>
        <v>35</v>
      </c>
      <c r="Z63" s="108">
        <v>917</v>
      </c>
      <c r="AA63" s="108">
        <f t="shared" si="5"/>
        <v>0</v>
      </c>
      <c r="AB63" s="108">
        <v>917</v>
      </c>
      <c r="AC63" s="108">
        <f t="shared" si="6"/>
        <v>0</v>
      </c>
      <c r="AD63" s="108">
        <v>917</v>
      </c>
      <c r="AE63" s="109">
        <f t="shared" si="7"/>
        <v>917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830</v>
      </c>
      <c r="S64" s="114">
        <f t="shared" si="1"/>
        <v>431.5</v>
      </c>
      <c r="T64" s="114">
        <v>1693</v>
      </c>
      <c r="U64" s="114">
        <f t="shared" si="2"/>
        <v>237</v>
      </c>
      <c r="V64" s="114">
        <v>2167</v>
      </c>
      <c r="W64" s="114">
        <f t="shared" si="3"/>
        <v>503.5</v>
      </c>
      <c r="X64" s="114">
        <v>3174</v>
      </c>
      <c r="Y64" s="114">
        <f t="shared" si="4"/>
        <v>-44.5</v>
      </c>
      <c r="Z64" s="114">
        <v>3085</v>
      </c>
      <c r="AA64" s="114">
        <f t="shared" si="5"/>
        <v>0</v>
      </c>
      <c r="AB64" s="114">
        <v>3085</v>
      </c>
      <c r="AC64" s="114">
        <f t="shared" si="6"/>
        <v>0</v>
      </c>
      <c r="AD64" s="114">
        <v>3085</v>
      </c>
      <c r="AE64" s="115">
        <f t="shared" si="7"/>
        <v>3085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07" priority="11" operator="lessThan">
      <formula>0</formula>
    </cfRule>
    <cfRule type="cellIs" dxfId="706" priority="12" operator="greaterThan">
      <formula>0</formula>
    </cfRule>
  </conditionalFormatting>
  <conditionalFormatting sqref="R25:AC25">
    <cfRule type="cellIs" dxfId="705" priority="9" operator="lessThan">
      <formula>0</formula>
    </cfRule>
    <cfRule type="cellIs" dxfId="704" priority="10" operator="greaterThan">
      <formula>0</formula>
    </cfRule>
  </conditionalFormatting>
  <conditionalFormatting sqref="R26 T26 V26 X26 Z26 AB26">
    <cfRule type="cellIs" dxfId="703" priority="7" operator="lessThan">
      <formula>0</formula>
    </cfRule>
    <cfRule type="cellIs" dxfId="702" priority="8" operator="greaterThan">
      <formula>0</formula>
    </cfRule>
  </conditionalFormatting>
  <conditionalFormatting sqref="AD24:AE24">
    <cfRule type="cellIs" dxfId="701" priority="5" operator="lessThan">
      <formula>0</formula>
    </cfRule>
    <cfRule type="cellIs" dxfId="700" priority="6" operator="greaterThan">
      <formula>0</formula>
    </cfRule>
  </conditionalFormatting>
  <conditionalFormatting sqref="AD25:AE25">
    <cfRule type="cellIs" dxfId="699" priority="3" operator="lessThan">
      <formula>0</formula>
    </cfRule>
    <cfRule type="cellIs" dxfId="698" priority="4" operator="greaterThan">
      <formula>0</formula>
    </cfRule>
  </conditionalFormatting>
  <conditionalFormatting sqref="AD26">
    <cfRule type="cellIs" dxfId="697" priority="1" operator="lessThan">
      <formula>0</formula>
    </cfRule>
    <cfRule type="cellIs" dxfId="69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>
    <tabColor theme="1"/>
    <pageSetUpPr fitToPage="1"/>
  </sheetPr>
  <dimension ref="B1:AQ64"/>
  <sheetViews>
    <sheetView topLeftCell="I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44460</v>
      </c>
    </row>
    <row r="3" spans="2:42" ht="18.75" customHeight="1" thickBot="1" x14ac:dyDescent="0.35">
      <c r="B3" t="s">
        <v>1</v>
      </c>
      <c r="C3" s="3">
        <f>C2+1</f>
        <v>44461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4880</v>
      </c>
      <c r="E6" s="18" t="s">
        <v>22</v>
      </c>
      <c r="F6" s="119">
        <v>22127</v>
      </c>
      <c r="G6" s="117">
        <v>11194.02125</v>
      </c>
      <c r="H6" s="117">
        <v>277.97742749999998</v>
      </c>
      <c r="I6" s="19">
        <f>G6+H6</f>
        <v>11471.9986775</v>
      </c>
      <c r="J6" s="119">
        <v>22466</v>
      </c>
      <c r="K6" s="117">
        <v>11192.738499999999</v>
      </c>
      <c r="L6" s="117">
        <v>264.31988249999989</v>
      </c>
      <c r="M6" s="19">
        <f>K6+L6</f>
        <v>11457.058382499999</v>
      </c>
      <c r="N6" s="85">
        <v>63</v>
      </c>
      <c r="O6" s="85">
        <v>54</v>
      </c>
      <c r="P6" s="92"/>
      <c r="Q6" s="20">
        <f>J6-P6</f>
        <v>22466</v>
      </c>
      <c r="R6" s="21">
        <v>3462</v>
      </c>
      <c r="S6" s="20">
        <f>IF(R6&gt;0,(R6-R7-$Q6),"")</f>
        <v>-19089</v>
      </c>
      <c r="T6" s="21">
        <v>5010</v>
      </c>
      <c r="U6" s="20">
        <f>IF(T6&gt;0,(T6-T7-$Q6),"")</f>
        <v>-17543</v>
      </c>
      <c r="V6" s="21">
        <v>8987</v>
      </c>
      <c r="W6" s="20">
        <f>IF(V6&gt;0,(V6-V7-$Q6),"")</f>
        <v>-13569</v>
      </c>
      <c r="X6" s="21">
        <v>17448</v>
      </c>
      <c r="Y6" s="20">
        <f>IF(X6&gt;0,(X6-X7-$Q6),"")</f>
        <v>-5116</v>
      </c>
      <c r="Z6" s="21">
        <v>17448</v>
      </c>
      <c r="AA6" s="20">
        <f>IF(Z6&gt;0,(Z6-Z7-$Q6),"")</f>
        <v>-5116</v>
      </c>
      <c r="AB6" s="21">
        <v>17448</v>
      </c>
      <c r="AC6" s="22">
        <f>IF(AB6&gt;0,(AB6-AB7-$Q6),"")</f>
        <v>-5116</v>
      </c>
      <c r="AD6" s="21">
        <v>17448</v>
      </c>
      <c r="AE6" s="22">
        <f>IF(AD6&gt;0,(AD6-AD7-$Q6),"")</f>
        <v>-5116</v>
      </c>
    </row>
    <row r="7" spans="2:42" x14ac:dyDescent="0.3">
      <c r="B7" s="16" t="s">
        <v>23</v>
      </c>
      <c r="C7" s="17">
        <v>2796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85</v>
      </c>
      <c r="S7" s="24"/>
      <c r="T7" s="25">
        <v>87</v>
      </c>
      <c r="U7" s="24"/>
      <c r="V7" s="25">
        <v>90</v>
      </c>
      <c r="W7" s="24"/>
      <c r="X7" s="25">
        <v>98</v>
      </c>
      <c r="Y7" s="24"/>
      <c r="Z7" s="25">
        <v>98</v>
      </c>
      <c r="AA7" s="24"/>
      <c r="AB7" s="25">
        <v>98</v>
      </c>
      <c r="AC7" s="26"/>
      <c r="AD7" s="25">
        <v>98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2270</v>
      </c>
      <c r="E8" s="29" t="s">
        <v>27</v>
      </c>
      <c r="F8" s="119">
        <v>4341</v>
      </c>
      <c r="G8" s="117">
        <v>4298.9480000000003</v>
      </c>
      <c r="H8" s="117">
        <v>14245.322808560009</v>
      </c>
      <c r="I8" s="19">
        <f>G8+H8</f>
        <v>18544.27080856001</v>
      </c>
      <c r="J8" s="119">
        <v>4295</v>
      </c>
      <c r="K8" s="117">
        <v>4387.110999999999</v>
      </c>
      <c r="L8" s="117">
        <v>14020.47825478001</v>
      </c>
      <c r="M8" s="19">
        <f>K8+L8</f>
        <v>18407.58925478001</v>
      </c>
      <c r="N8" s="87">
        <v>24</v>
      </c>
      <c r="O8" s="87">
        <v>16</v>
      </c>
      <c r="P8" s="92"/>
      <c r="Q8" s="20">
        <f>J8-P8</f>
        <v>4295</v>
      </c>
      <c r="R8" s="21">
        <v>488</v>
      </c>
      <c r="S8" s="20">
        <f>IF(R8&gt;0,(R8-R9-$Q8),"")</f>
        <v>-3840</v>
      </c>
      <c r="T8" s="21">
        <v>977</v>
      </c>
      <c r="U8" s="20">
        <f>IF(T8&gt;0,(T8-T9-$Q8),"")</f>
        <v>-3353</v>
      </c>
      <c r="V8" s="21">
        <v>977</v>
      </c>
      <c r="W8" s="20">
        <f>IF(V8&gt;0,(V8-V9-$Q8),"")</f>
        <v>-3353</v>
      </c>
      <c r="X8" s="21">
        <v>2196</v>
      </c>
      <c r="Y8" s="20">
        <f>IF(X8&gt;0,(X8-X9-$Q8),"")</f>
        <v>-2134</v>
      </c>
      <c r="Z8" s="21">
        <v>2196</v>
      </c>
      <c r="AA8" s="20">
        <f>IF(Z8&gt;0,(Z8-Z9-$Q8),"")</f>
        <v>-2134</v>
      </c>
      <c r="AB8" s="21">
        <v>2196</v>
      </c>
      <c r="AC8" s="22">
        <f>IF(AB8&gt;0,(AB8-AB9-$Q8),"")</f>
        <v>-2134</v>
      </c>
      <c r="AD8" s="21">
        <v>2196</v>
      </c>
      <c r="AE8" s="22">
        <f>IF(AD8&gt;0,(AD8-AD9-$Q8),"")</f>
        <v>-2134</v>
      </c>
    </row>
    <row r="9" spans="2:42" x14ac:dyDescent="0.3">
      <c r="B9" s="28" t="s">
        <v>28</v>
      </c>
      <c r="C9" s="17">
        <v>1273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33</v>
      </c>
      <c r="S9" s="24"/>
      <c r="T9" s="30">
        <v>35</v>
      </c>
      <c r="U9" s="24"/>
      <c r="V9" s="30">
        <v>35</v>
      </c>
      <c r="W9" s="24"/>
      <c r="X9" s="30">
        <v>35</v>
      </c>
      <c r="Y9" s="24"/>
      <c r="Z9" s="30">
        <v>35</v>
      </c>
      <c r="AA9" s="24"/>
      <c r="AB9" s="30">
        <v>35</v>
      </c>
      <c r="AC9" s="26"/>
      <c r="AD9" s="30">
        <v>35</v>
      </c>
      <c r="AE9" s="26"/>
    </row>
    <row r="10" spans="2:42" x14ac:dyDescent="0.3">
      <c r="B10" s="16" t="s">
        <v>30</v>
      </c>
      <c r="C10" s="17">
        <v>3678</v>
      </c>
      <c r="E10" s="18" t="s">
        <v>31</v>
      </c>
      <c r="F10" s="119">
        <v>20213</v>
      </c>
      <c r="G10" s="117">
        <v>14528.294437500001</v>
      </c>
      <c r="H10" s="117">
        <v>1184.0982449999999</v>
      </c>
      <c r="I10" s="19">
        <f>G10+H10</f>
        <v>15712.3926825</v>
      </c>
      <c r="J10" s="119">
        <v>20558</v>
      </c>
      <c r="K10" s="117">
        <v>14715.6939375</v>
      </c>
      <c r="L10" s="117">
        <v>1259.4864196000001</v>
      </c>
      <c r="M10" s="19">
        <f>K10+L10</f>
        <v>15975.1803571</v>
      </c>
      <c r="N10" s="88">
        <v>45</v>
      </c>
      <c r="O10" s="88">
        <v>37</v>
      </c>
      <c r="P10" s="92"/>
      <c r="Q10" s="20">
        <f>J10-P10</f>
        <v>20558</v>
      </c>
      <c r="R10" s="21">
        <v>3813</v>
      </c>
      <c r="S10" s="20">
        <f>IF(R10&gt;0,(R10-R11-$Q10),"")</f>
        <v>-16877</v>
      </c>
      <c r="T10" s="21">
        <v>5473</v>
      </c>
      <c r="U10" s="20">
        <f>IF(T10&gt;0,(T10-T11-$Q10),"")</f>
        <v>-15356</v>
      </c>
      <c r="V10" s="21">
        <v>9979</v>
      </c>
      <c r="W10" s="20">
        <f>IF(V10&gt;0,(V10-V11-$Q10),"")</f>
        <v>-10855</v>
      </c>
      <c r="X10" s="21">
        <v>11523</v>
      </c>
      <c r="Y10" s="20">
        <f>IF(X10&gt;0,(X10-X11-$Q10),"")</f>
        <v>-9312</v>
      </c>
      <c r="Z10" s="21">
        <v>14498</v>
      </c>
      <c r="AA10" s="20">
        <f>IF(Z10&gt;0,(Z10-Z11-$Q10),"")</f>
        <v>-6337</v>
      </c>
      <c r="AB10" s="21">
        <v>14498</v>
      </c>
      <c r="AC10" s="22">
        <f>IF(AB10&gt;0,(AB10-AB11-$Q10),"")</f>
        <v>-6337</v>
      </c>
      <c r="AD10" s="21">
        <v>14498</v>
      </c>
      <c r="AE10" s="22">
        <f>IF(AD10&gt;0,(AD10-AD11-$Q10),"")</f>
        <v>-6337</v>
      </c>
    </row>
    <row r="11" spans="2:42" x14ac:dyDescent="0.3">
      <c r="B11" s="16" t="s">
        <v>38</v>
      </c>
      <c r="C11" s="17">
        <v>11609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132</v>
      </c>
      <c r="S11" s="24"/>
      <c r="T11" s="30">
        <v>271</v>
      </c>
      <c r="U11" s="24"/>
      <c r="V11" s="30">
        <v>276</v>
      </c>
      <c r="W11" s="24"/>
      <c r="X11" s="30">
        <v>277</v>
      </c>
      <c r="Y11" s="24"/>
      <c r="Z11" s="30">
        <v>277</v>
      </c>
      <c r="AA11" s="24"/>
      <c r="AB11" s="30">
        <v>277</v>
      </c>
      <c r="AC11" s="26"/>
      <c r="AD11" s="30">
        <v>277</v>
      </c>
      <c r="AE11" s="26"/>
    </row>
    <row r="12" spans="2:42" x14ac:dyDescent="0.3">
      <c r="B12" s="16" t="s">
        <v>40</v>
      </c>
      <c r="C12" s="17">
        <v>3428</v>
      </c>
      <c r="E12" s="29" t="s">
        <v>35</v>
      </c>
      <c r="F12" s="119">
        <v>12200</v>
      </c>
      <c r="G12" s="117">
        <v>11873.527749999999</v>
      </c>
      <c r="H12" s="117">
        <v>15124.25446791001</v>
      </c>
      <c r="I12" s="19">
        <f>G12+H12</f>
        <v>26997.782217910011</v>
      </c>
      <c r="J12" s="119">
        <v>10632</v>
      </c>
      <c r="K12" s="117">
        <v>9944.0019999999986</v>
      </c>
      <c r="L12" s="117">
        <v>12825.651098800001</v>
      </c>
      <c r="M12" s="19">
        <f>K12+L12</f>
        <v>22769.653098800001</v>
      </c>
      <c r="N12" s="88">
        <v>47</v>
      </c>
      <c r="O12" s="88">
        <v>39</v>
      </c>
      <c r="P12" s="92"/>
      <c r="Q12" s="20">
        <f>J12-P12</f>
        <v>10632</v>
      </c>
      <c r="R12" s="21">
        <v>4573</v>
      </c>
      <c r="S12" s="20">
        <f>IF(R12&gt;0,(R12-R13-$Q12),"")</f>
        <v>-6521</v>
      </c>
      <c r="T12" s="21">
        <v>6410</v>
      </c>
      <c r="U12" s="20">
        <f>IF(T12&gt;0,(T12-T13-$Q12),"")</f>
        <v>-4894</v>
      </c>
      <c r="V12" s="21">
        <v>9937</v>
      </c>
      <c r="W12" s="20">
        <f>IF(V12&gt;0,(V12-V13-$Q12),"")</f>
        <v>-1381</v>
      </c>
      <c r="X12" s="21">
        <v>10293</v>
      </c>
      <c r="Y12" s="20">
        <f>IF(X12&gt;0,(X12-X13-$Q12),"")</f>
        <v>-1025</v>
      </c>
      <c r="Z12" s="21">
        <v>10293</v>
      </c>
      <c r="AA12" s="20">
        <f>IF(Z12&gt;0,(Z12-Z13-$Q12),"")</f>
        <v>-1025</v>
      </c>
      <c r="AB12" s="21">
        <v>10293</v>
      </c>
      <c r="AC12" s="22">
        <f>IF(AB12&gt;0,(AB12-AB13-$Q12),"")</f>
        <v>-1025</v>
      </c>
      <c r="AD12" s="21">
        <v>10293</v>
      </c>
      <c r="AE12" s="22">
        <f>IF(AD12&gt;0,(AD12-AD13-$Q12),"")</f>
        <v>-1025</v>
      </c>
    </row>
    <row r="13" spans="2:42" x14ac:dyDescent="0.3">
      <c r="B13" s="28" t="s">
        <v>42</v>
      </c>
      <c r="C13" s="17">
        <v>13573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462</v>
      </c>
      <c r="S13" s="24"/>
      <c r="T13" s="30">
        <v>672</v>
      </c>
      <c r="U13" s="24"/>
      <c r="V13" s="30">
        <v>686</v>
      </c>
      <c r="W13" s="24"/>
      <c r="X13" s="30">
        <v>686</v>
      </c>
      <c r="Y13" s="24"/>
      <c r="Z13" s="30">
        <v>686</v>
      </c>
      <c r="AA13" s="24"/>
      <c r="AB13" s="30">
        <v>686</v>
      </c>
      <c r="AC13" s="26"/>
      <c r="AD13" s="30">
        <v>686</v>
      </c>
      <c r="AE13" s="26"/>
    </row>
    <row r="14" spans="2:42" x14ac:dyDescent="0.3">
      <c r="B14" s="43" t="s">
        <v>47</v>
      </c>
      <c r="C14" s="17">
        <v>1890</v>
      </c>
      <c r="E14" s="18" t="s">
        <v>39</v>
      </c>
      <c r="F14" s="119">
        <v>22980</v>
      </c>
      <c r="G14" s="117">
        <v>14925.79975</v>
      </c>
      <c r="H14" s="117">
        <v>18421.44119192498</v>
      </c>
      <c r="I14" s="19">
        <f>G14+H14</f>
        <v>33347.240941924982</v>
      </c>
      <c r="J14" s="119">
        <v>23192</v>
      </c>
      <c r="K14" s="117">
        <v>15236.28125</v>
      </c>
      <c r="L14" s="117">
        <v>18795.025153704992</v>
      </c>
      <c r="M14" s="19">
        <f>K14+L14</f>
        <v>34031.306403704992</v>
      </c>
      <c r="N14" s="88">
        <v>66</v>
      </c>
      <c r="O14" s="88">
        <v>46</v>
      </c>
      <c r="P14" s="92"/>
      <c r="Q14" s="20">
        <f>J14-P14</f>
        <v>23192</v>
      </c>
      <c r="R14" s="21">
        <v>3913</v>
      </c>
      <c r="S14" s="20">
        <f>IF(R14&gt;0,(R14-R15-$Q14),"")</f>
        <v>-19280</v>
      </c>
      <c r="T14" s="21">
        <v>6118</v>
      </c>
      <c r="U14" s="20">
        <f>IF(T14&gt;0,(T14-T15-$Q14),"")</f>
        <v>-17078</v>
      </c>
      <c r="V14" s="21">
        <v>7821</v>
      </c>
      <c r="W14" s="20">
        <f>IF(V14&gt;0,(V14-V15-$Q14),"")</f>
        <v>-15376</v>
      </c>
      <c r="X14" s="21">
        <v>10052</v>
      </c>
      <c r="Y14" s="20">
        <f>IF(X14&gt;0,(X14-X15-$Q14),"")</f>
        <v>-13150</v>
      </c>
      <c r="Z14" s="21">
        <v>10440</v>
      </c>
      <c r="AA14" s="20">
        <f>IF(Z14&gt;0,(Z14-Z15-$Q14),"")</f>
        <v>-12762</v>
      </c>
      <c r="AB14" s="21">
        <v>10440</v>
      </c>
      <c r="AC14" s="22">
        <f>IF(AB14&gt;0,(AB14-AB15-$Q14),"")</f>
        <v>-12762</v>
      </c>
      <c r="AD14" s="21">
        <v>10440</v>
      </c>
      <c r="AE14" s="22">
        <f>IF(AD14&gt;0,(AD14-AD15-$Q14),"")</f>
        <v>-12762</v>
      </c>
    </row>
    <row r="15" spans="2:42" ht="15" customHeight="1" thickBot="1" x14ac:dyDescent="0.35">
      <c r="B15" s="43" t="s">
        <v>48</v>
      </c>
      <c r="C15" s="50">
        <v>594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1</v>
      </c>
      <c r="S15" s="24"/>
      <c r="T15" s="25">
        <v>4</v>
      </c>
      <c r="U15" s="24"/>
      <c r="V15" s="25">
        <v>5</v>
      </c>
      <c r="W15" s="24"/>
      <c r="X15" s="25">
        <v>10</v>
      </c>
      <c r="Y15" s="24"/>
      <c r="Z15" s="25">
        <v>10</v>
      </c>
      <c r="AA15" s="24"/>
      <c r="AB15" s="25">
        <v>10</v>
      </c>
      <c r="AC15" s="26"/>
      <c r="AD15" s="25">
        <v>10</v>
      </c>
      <c r="AE15" s="26"/>
    </row>
    <row r="16" spans="2:42" ht="15" customHeight="1" thickBot="1" x14ac:dyDescent="0.35">
      <c r="B16" s="16" t="s">
        <v>50</v>
      </c>
      <c r="C16" s="17">
        <v>10057</v>
      </c>
      <c r="E16" s="84"/>
      <c r="F16" s="31">
        <f t="shared" ref="F16:M16" si="0">SUM(F6:F15)</f>
        <v>81861</v>
      </c>
      <c r="G16" s="31">
        <f t="shared" si="0"/>
        <v>56820.591187500002</v>
      </c>
      <c r="H16" s="31">
        <f t="shared" si="0"/>
        <v>49253.094140895002</v>
      </c>
      <c r="I16" s="32">
        <f t="shared" si="0"/>
        <v>106073.68532839499</v>
      </c>
      <c r="J16" s="33">
        <f t="shared" si="0"/>
        <v>81143</v>
      </c>
      <c r="K16" s="33">
        <f t="shared" si="0"/>
        <v>55475.826687499997</v>
      </c>
      <c r="L16" s="33">
        <f t="shared" si="0"/>
        <v>47164.960809385004</v>
      </c>
      <c r="M16" s="33">
        <f t="shared" si="0"/>
        <v>102640.78749688501</v>
      </c>
      <c r="N16" s="31">
        <f>SUM(N14,N12,N10,N8,N6)</f>
        <v>245</v>
      </c>
      <c r="O16" s="31">
        <f>SUM(O14,O12,O10,O8,O6)</f>
        <v>192</v>
      </c>
      <c r="P16" s="34">
        <f>SUM(P6:P15)</f>
        <v>0</v>
      </c>
      <c r="Q16" s="34">
        <f>SUM(Q6:Q15)</f>
        <v>81143</v>
      </c>
      <c r="R16" s="35">
        <f>R6+R8+R10+R12+R14-R7-R9-R11-R13-R15</f>
        <v>15536</v>
      </c>
      <c r="S16" s="36">
        <f>IF(R16&gt;1,(R16-$Q16),"")</f>
        <v>-65607</v>
      </c>
      <c r="T16" s="35">
        <f>T6+T8+T10+T12+T14-T7-T9-T11-T13-T15</f>
        <v>22919</v>
      </c>
      <c r="U16" s="36">
        <f>IF(T16&gt;1,(T16-$Q16),"")</f>
        <v>-58224</v>
      </c>
      <c r="V16" s="35">
        <f>V6+V8+V10+V12+V14-V7-V9-V11-V13-V15</f>
        <v>36609</v>
      </c>
      <c r="W16" s="36">
        <f>IF(V16&gt;1,(V16-$Q16),"")</f>
        <v>-44534</v>
      </c>
      <c r="X16" s="35">
        <f>X6+X8+X10+X12+X14-X7-X9-X11-X13-X15</f>
        <v>50406</v>
      </c>
      <c r="Y16" s="36">
        <f>IF(X16&gt;1,(X16-$Q16),"")</f>
        <v>-30737</v>
      </c>
      <c r="Z16" s="35">
        <f>Z6+Z8+Z10+Z12+Z14-Z7-Z9-Z11-Z13-Z15</f>
        <v>53769</v>
      </c>
      <c r="AA16" s="36">
        <f>IF(Z16&gt;1,(Z16-$Q16),"")</f>
        <v>-27374</v>
      </c>
      <c r="AB16" s="35">
        <f>AB6+AB8+AB10+AB12+AB14-AB7-AB9-AB11-AB13-AB15</f>
        <v>53769</v>
      </c>
      <c r="AC16" s="37">
        <f>IF(AB16&gt;1,(AB16-$Q16),"")</f>
        <v>-27374</v>
      </c>
      <c r="AD16" s="35">
        <f>AD6+AD8+AD10+AD12+AD14-AD7-AD9-AD11-AD13-AD15</f>
        <v>53769</v>
      </c>
      <c r="AE16" s="37">
        <f>IF(AD16&gt;1,(AD16-$Q16),"")</f>
        <v>-27374</v>
      </c>
    </row>
    <row r="17" spans="2:43" s="4" customFormat="1" ht="15" customHeight="1" thickBot="1" x14ac:dyDescent="0.35">
      <c r="B17" s="16" t="s">
        <v>51</v>
      </c>
      <c r="C17" s="17">
        <v>1308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713</v>
      </c>
      <c r="S17" s="41"/>
      <c r="T17" s="40">
        <f>T15+T13+T11+T9+T7</f>
        <v>1069</v>
      </c>
      <c r="U17" s="41"/>
      <c r="V17" s="40">
        <f>V15+V13+V11+V9+V7</f>
        <v>1092</v>
      </c>
      <c r="W17" s="41"/>
      <c r="X17" s="40">
        <f>X15+X13+X11+X9+X7</f>
        <v>1106</v>
      </c>
      <c r="Y17" s="41"/>
      <c r="Z17" s="40">
        <f>Z15+Z13+Z11+Z9+Z7</f>
        <v>1106</v>
      </c>
      <c r="AA17" s="41"/>
      <c r="AB17" s="40">
        <f>AB15+AB13+AB11+AB9+AB7</f>
        <v>1106</v>
      </c>
      <c r="AC17" s="42"/>
      <c r="AD17" s="40">
        <f>AD15+AD13+AD11+AD9+AD7</f>
        <v>1106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4714</v>
      </c>
      <c r="P18" s="45" t="s">
        <v>46</v>
      </c>
      <c r="Q18" s="46"/>
      <c r="R18" s="47">
        <f>IF(R16&gt;0,(R16)/2,"")</f>
        <v>7768</v>
      </c>
      <c r="S18" s="46"/>
      <c r="T18" s="47">
        <f>IF(T16&gt;0,(T16-R16)/2,"")</f>
        <v>3691.5</v>
      </c>
      <c r="U18" s="46"/>
      <c r="V18" s="47">
        <f>IF(V16&gt;0,(V16-T16)/2,"")</f>
        <v>6845</v>
      </c>
      <c r="W18" s="46"/>
      <c r="X18" s="47">
        <f>IF(X16&gt;0,(X16-V16)/2,"")</f>
        <v>6898.5</v>
      </c>
      <c r="Y18" s="46"/>
      <c r="Z18" s="47">
        <f>IF(Z16&gt;0,(Z16-X16)/2,"")</f>
        <v>1681.5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11220</v>
      </c>
      <c r="S20" s="36">
        <v>-60024</v>
      </c>
      <c r="T20" s="35">
        <v>17583</v>
      </c>
      <c r="U20" s="36">
        <v>-53661</v>
      </c>
      <c r="V20" s="35">
        <v>26097</v>
      </c>
      <c r="W20" s="36">
        <v>-45147</v>
      </c>
      <c r="X20" s="35">
        <v>39181</v>
      </c>
      <c r="Y20" s="36">
        <v>-32063</v>
      </c>
      <c r="Z20" s="35">
        <v>41922</v>
      </c>
      <c r="AA20" s="36">
        <v>-29322</v>
      </c>
      <c r="AB20" s="35">
        <v>41922</v>
      </c>
      <c r="AC20" s="37">
        <v>-29322</v>
      </c>
      <c r="AD20" s="35">
        <v>41922</v>
      </c>
      <c r="AE20" s="37">
        <v>-29322</v>
      </c>
    </row>
    <row r="21" spans="2:43" ht="15" customHeight="1" thickBot="1" x14ac:dyDescent="0.35">
      <c r="M21" s="4"/>
      <c r="Q21" s="52"/>
      <c r="R21" s="40">
        <v>1871</v>
      </c>
      <c r="S21" s="41"/>
      <c r="T21" s="40">
        <v>2620</v>
      </c>
      <c r="U21" s="41"/>
      <c r="V21" s="40">
        <v>2388</v>
      </c>
      <c r="W21" s="41"/>
      <c r="X21" s="40">
        <v>2476</v>
      </c>
      <c r="Y21" s="41"/>
      <c r="Z21" s="40">
        <v>2481</v>
      </c>
      <c r="AA21" s="41"/>
      <c r="AB21" s="40">
        <v>2481</v>
      </c>
      <c r="AC21" s="42"/>
      <c r="AD21" s="40">
        <v>2481</v>
      </c>
      <c r="AE21" s="42"/>
    </row>
    <row r="22" spans="2:43" ht="15" customHeight="1" thickBot="1" x14ac:dyDescent="0.35">
      <c r="M22" s="4"/>
      <c r="Q22" s="54"/>
      <c r="R22" s="47">
        <v>5610</v>
      </c>
      <c r="S22" s="46"/>
      <c r="T22" s="47">
        <v>3181.5</v>
      </c>
      <c r="U22" s="46"/>
      <c r="V22" s="47">
        <v>4257</v>
      </c>
      <c r="W22" s="46"/>
      <c r="X22" s="47">
        <v>6542</v>
      </c>
      <c r="Y22" s="46"/>
      <c r="Z22" s="47">
        <v>1370.5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4316</v>
      </c>
      <c r="S24" s="60"/>
      <c r="T24" s="60">
        <f>IF(T16&gt;0,T16-T20,"")</f>
        <v>5336</v>
      </c>
      <c r="U24" s="60"/>
      <c r="V24" s="60">
        <f>IF(V16&gt;0,V16-V20,"")</f>
        <v>10512</v>
      </c>
      <c r="W24" s="60"/>
      <c r="X24" s="60">
        <f>IF(X16&gt;0,X16-X20,"")</f>
        <v>11225</v>
      </c>
      <c r="Y24" s="60"/>
      <c r="Z24" s="60">
        <f>IF(Z16&gt;0,Z16-Z20,"")</f>
        <v>11847</v>
      </c>
      <c r="AA24" s="60"/>
      <c r="AB24" s="60">
        <f>IF(AB16&gt;0,AB16-AB20,"")</f>
        <v>11847</v>
      </c>
      <c r="AC24" s="61"/>
      <c r="AD24" s="60">
        <f>IF(AD16&gt;0,AD16-AD20,"")</f>
        <v>11847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-1158</v>
      </c>
      <c r="S25" s="64"/>
      <c r="T25" s="63">
        <f>IF(T17&gt;=0,T17-T21,"")</f>
        <v>-1551</v>
      </c>
      <c r="U25" s="64"/>
      <c r="V25" s="63">
        <f>IF(V17&gt;=0,V17-V21,"")</f>
        <v>-1296</v>
      </c>
      <c r="W25" s="64"/>
      <c r="X25" s="63">
        <f>IF(X17&gt;=0,X17-X21,"")</f>
        <v>-1370</v>
      </c>
      <c r="Y25" s="64"/>
      <c r="Z25" s="63">
        <f>IF(Z17&gt;=0,Z17-Z21,"")</f>
        <v>-1375</v>
      </c>
      <c r="AA25" s="64"/>
      <c r="AB25" s="63">
        <f>IF(AB17&gt;=0,AB17-AB21,"")</f>
        <v>-1375</v>
      </c>
      <c r="AC25" s="65"/>
      <c r="AD25" s="63">
        <f>IF(AD17&gt;=0,AD17-AD21,"")</f>
        <v>-1375</v>
      </c>
      <c r="AE25" s="65"/>
    </row>
    <row r="26" spans="2:43" ht="15" customHeight="1" thickBot="1" x14ac:dyDescent="0.35">
      <c r="B26" s="74" t="s">
        <v>55</v>
      </c>
      <c r="C26" s="122">
        <v>11363</v>
      </c>
      <c r="D26" s="76">
        <f>C11</f>
        <v>11609</v>
      </c>
      <c r="E26" s="77">
        <f>D26-C26</f>
        <v>246</v>
      </c>
      <c r="M26" s="4"/>
      <c r="Q26" s="66"/>
      <c r="R26" s="67">
        <f>IFERROR(IF(R18&gt;0,R18-R22,""),"")</f>
        <v>2158</v>
      </c>
      <c r="S26" s="55"/>
      <c r="T26" s="67">
        <f>IFERROR(IF(T18&gt;0,T18-T22,""),"")</f>
        <v>510</v>
      </c>
      <c r="U26" s="55"/>
      <c r="V26" s="67">
        <f>IFERROR(IF(V18&gt;0,V18-V22,""),"")</f>
        <v>2588</v>
      </c>
      <c r="W26" s="55"/>
      <c r="X26" s="67">
        <f>IFERROR(IF(X18&gt;0,X18-X22,""),"")</f>
        <v>356.5</v>
      </c>
      <c r="Y26" s="55"/>
      <c r="Z26" s="67">
        <f>IFERROR(IF(Z18&gt;0,Z18-Z22,""),"")</f>
        <v>311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33993</v>
      </c>
      <c r="D27" s="76">
        <f>C7+C12+C13+C14+C15</f>
        <v>22281</v>
      </c>
      <c r="E27" s="77">
        <f>D27-C27</f>
        <v>-11712</v>
      </c>
      <c r="O27" s="4"/>
      <c r="AF27" s="69"/>
    </row>
    <row r="28" spans="2:43" x14ac:dyDescent="0.3">
      <c r="B28" s="74" t="s">
        <v>21</v>
      </c>
      <c r="C28" s="122">
        <v>4880</v>
      </c>
      <c r="D28" s="76">
        <f>C6</f>
        <v>4880</v>
      </c>
      <c r="E28" s="77">
        <f>D28-C28</f>
        <v>0</v>
      </c>
      <c r="O28" s="4"/>
    </row>
    <row r="29" spans="2:43" x14ac:dyDescent="0.3">
      <c r="B29" s="74" t="s">
        <v>57</v>
      </c>
      <c r="C29" s="122">
        <v>3678</v>
      </c>
      <c r="D29" s="76">
        <f>C10</f>
        <v>3678</v>
      </c>
      <c r="E29" s="77">
        <f>D29-C29</f>
        <v>0</v>
      </c>
      <c r="O29" s="4"/>
    </row>
    <row r="30" spans="2:43" x14ac:dyDescent="0.3">
      <c r="B30" s="74" t="s">
        <v>59</v>
      </c>
      <c r="C30" s="122">
        <v>15030</v>
      </c>
      <c r="D30" s="76">
        <f>C16+C17+C18</f>
        <v>16079</v>
      </c>
      <c r="E30" s="77">
        <f>D30-C30</f>
        <v>1049</v>
      </c>
      <c r="J30" s="53"/>
      <c r="O30" s="4"/>
    </row>
    <row r="31" spans="2:43" ht="15" customHeight="1" thickBot="1" x14ac:dyDescent="0.35">
      <c r="B31" s="78" t="s">
        <v>60</v>
      </c>
      <c r="C31" s="121">
        <v>3543</v>
      </c>
      <c r="D31" s="80">
        <f>SUM(C8+C9)</f>
        <v>3543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783</v>
      </c>
      <c r="S35" s="104">
        <f t="shared" ref="S35:S64" si="1">IF(T35&gt;0,(T35-R35)/2,"")</f>
        <v>280.5</v>
      </c>
      <c r="T35" s="104">
        <v>1344</v>
      </c>
      <c r="U35" s="104">
        <f t="shared" ref="U35:U64" si="2">IF(V35&gt;0,(V35-T35)/2,"")</f>
        <v>474.5</v>
      </c>
      <c r="V35" s="104">
        <v>2293</v>
      </c>
      <c r="W35" s="104">
        <f t="shared" ref="W35:W64" si="3">IF(X35&gt;0,(X35-V35)/2,"")</f>
        <v>1074</v>
      </c>
      <c r="X35" s="104">
        <v>4441</v>
      </c>
      <c r="Y35" s="104">
        <f t="shared" ref="Y35:Y64" si="4">IF(Z35&gt;0,(Z35-X35)/2,"")</f>
        <v>0</v>
      </c>
      <c r="Z35" s="104">
        <v>4441</v>
      </c>
      <c r="AA35" s="104">
        <f t="shared" ref="AA35:AA64" si="5">IF(AB35&gt;0,(AB35-Z35)/2,"")</f>
        <v>0</v>
      </c>
      <c r="AB35" s="104">
        <v>4441</v>
      </c>
      <c r="AC35" s="104">
        <f t="shared" ref="AC35:AC64" si="6">IF(AD35&gt;0,(AD35-AB35)/2,"")</f>
        <v>0</v>
      </c>
      <c r="AD35" s="104">
        <v>4441</v>
      </c>
      <c r="AE35" s="105">
        <f t="shared" ref="AE35:AE64" si="7">AD35-Q35</f>
        <v>4441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7</v>
      </c>
      <c r="S36" s="106">
        <f t="shared" si="1"/>
        <v>4.5</v>
      </c>
      <c r="T36" s="106">
        <v>16</v>
      </c>
      <c r="U36" s="106">
        <f t="shared" si="2"/>
        <v>0</v>
      </c>
      <c r="V36" s="106">
        <v>16</v>
      </c>
      <c r="W36" s="106">
        <f t="shared" si="3"/>
        <v>38.5</v>
      </c>
      <c r="X36" s="106">
        <v>93</v>
      </c>
      <c r="Y36" s="106">
        <f t="shared" si="4"/>
        <v>0</v>
      </c>
      <c r="Z36" s="106">
        <v>93</v>
      </c>
      <c r="AA36" s="106">
        <f t="shared" si="5"/>
        <v>0</v>
      </c>
      <c r="AB36" s="106">
        <v>93</v>
      </c>
      <c r="AC36" s="106">
        <f t="shared" si="6"/>
        <v>0</v>
      </c>
      <c r="AD36" s="106">
        <v>93</v>
      </c>
      <c r="AE36" s="107">
        <f t="shared" si="7"/>
        <v>93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2491</v>
      </c>
      <c r="S37" s="108">
        <f t="shared" si="1"/>
        <v>489</v>
      </c>
      <c r="T37" s="108">
        <v>3469</v>
      </c>
      <c r="U37" s="108">
        <f t="shared" si="2"/>
        <v>1004.5</v>
      </c>
      <c r="V37" s="108">
        <v>5478</v>
      </c>
      <c r="W37" s="108">
        <f t="shared" si="3"/>
        <v>230.5</v>
      </c>
      <c r="X37" s="108">
        <v>5939</v>
      </c>
      <c r="Y37" s="108">
        <f t="shared" si="4"/>
        <v>0</v>
      </c>
      <c r="Z37" s="108">
        <v>5939</v>
      </c>
      <c r="AA37" s="108">
        <f t="shared" si="5"/>
        <v>0</v>
      </c>
      <c r="AB37" s="108">
        <v>5939</v>
      </c>
      <c r="AC37" s="108">
        <f t="shared" si="6"/>
        <v>0</v>
      </c>
      <c r="AD37" s="108">
        <v>5939</v>
      </c>
      <c r="AE37" s="109">
        <f t="shared" si="7"/>
        <v>5939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509.5</v>
      </c>
      <c r="V38" s="106">
        <v>1019</v>
      </c>
      <c r="W38" s="106">
        <f t="shared" si="3"/>
        <v>1446</v>
      </c>
      <c r="X38" s="106">
        <v>3911</v>
      </c>
      <c r="Y38" s="106">
        <f t="shared" si="4"/>
        <v>0</v>
      </c>
      <c r="Z38" s="106">
        <v>3911</v>
      </c>
      <c r="AA38" s="106">
        <f t="shared" si="5"/>
        <v>0</v>
      </c>
      <c r="AB38" s="106">
        <v>3911</v>
      </c>
      <c r="AC38" s="106">
        <f t="shared" si="6"/>
        <v>0</v>
      </c>
      <c r="AD38" s="106">
        <v>3911</v>
      </c>
      <c r="AE38" s="107">
        <f t="shared" si="7"/>
        <v>3911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181</v>
      </c>
      <c r="S39" s="108">
        <f t="shared" si="1"/>
        <v>0</v>
      </c>
      <c r="T39" s="108">
        <v>181</v>
      </c>
      <c r="U39" s="108">
        <f t="shared" si="2"/>
        <v>0</v>
      </c>
      <c r="V39" s="108">
        <v>181</v>
      </c>
      <c r="W39" s="108">
        <f t="shared" si="3"/>
        <v>1441.5</v>
      </c>
      <c r="X39" s="108">
        <v>3064</v>
      </c>
      <c r="Y39" s="108">
        <f t="shared" si="4"/>
        <v>0</v>
      </c>
      <c r="Z39" s="108">
        <v>3064</v>
      </c>
      <c r="AA39" s="108">
        <f t="shared" si="5"/>
        <v>0</v>
      </c>
      <c r="AB39" s="108">
        <v>3064</v>
      </c>
      <c r="AC39" s="108">
        <f t="shared" si="6"/>
        <v>0</v>
      </c>
      <c r="AD39" s="108">
        <v>3064</v>
      </c>
      <c r="AE39" s="109">
        <f t="shared" si="7"/>
        <v>3064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216</v>
      </c>
      <c r="S44" s="112">
        <f t="shared" si="1"/>
        <v>78.5</v>
      </c>
      <c r="T44" s="112">
        <v>373</v>
      </c>
      <c r="U44" s="112">
        <f t="shared" si="2"/>
        <v>0</v>
      </c>
      <c r="V44" s="112">
        <v>373</v>
      </c>
      <c r="W44" s="112">
        <f t="shared" si="3"/>
        <v>230.5</v>
      </c>
      <c r="X44" s="112">
        <v>834</v>
      </c>
      <c r="Y44" s="112">
        <f t="shared" si="4"/>
        <v>0</v>
      </c>
      <c r="Z44" s="112">
        <v>834</v>
      </c>
      <c r="AA44" s="112">
        <f t="shared" si="5"/>
        <v>0</v>
      </c>
      <c r="AB44" s="112">
        <v>834</v>
      </c>
      <c r="AC44" s="112">
        <f t="shared" si="6"/>
        <v>0</v>
      </c>
      <c r="AD44" s="112">
        <v>834</v>
      </c>
      <c r="AE44" s="113">
        <f t="shared" si="7"/>
        <v>834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272</v>
      </c>
      <c r="S45" s="108">
        <f t="shared" si="1"/>
        <v>166</v>
      </c>
      <c r="T45" s="108">
        <v>604</v>
      </c>
      <c r="U45" s="108">
        <f t="shared" si="2"/>
        <v>0</v>
      </c>
      <c r="V45" s="108">
        <v>604</v>
      </c>
      <c r="W45" s="108">
        <f t="shared" si="3"/>
        <v>379</v>
      </c>
      <c r="X45" s="108">
        <v>1362</v>
      </c>
      <c r="Y45" s="108">
        <f t="shared" si="4"/>
        <v>0</v>
      </c>
      <c r="Z45" s="108">
        <v>1362</v>
      </c>
      <c r="AA45" s="108">
        <f t="shared" si="5"/>
        <v>0</v>
      </c>
      <c r="AB45" s="108">
        <v>1362</v>
      </c>
      <c r="AC45" s="108">
        <f t="shared" si="6"/>
        <v>0</v>
      </c>
      <c r="AD45" s="108">
        <v>1362</v>
      </c>
      <c r="AE45" s="109">
        <f t="shared" si="7"/>
        <v>1362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150</v>
      </c>
      <c r="S48" s="112">
        <f t="shared" si="1"/>
        <v>266.5</v>
      </c>
      <c r="T48" s="112">
        <v>683</v>
      </c>
      <c r="U48" s="112">
        <f t="shared" si="2"/>
        <v>899.5</v>
      </c>
      <c r="V48" s="112">
        <v>2482</v>
      </c>
      <c r="W48" s="112">
        <f t="shared" si="3"/>
        <v>430</v>
      </c>
      <c r="X48" s="112">
        <v>3342</v>
      </c>
      <c r="Y48" s="112">
        <f t="shared" si="4"/>
        <v>0</v>
      </c>
      <c r="Z48" s="112">
        <v>3342</v>
      </c>
      <c r="AA48" s="112">
        <f t="shared" si="5"/>
        <v>0</v>
      </c>
      <c r="AB48" s="112">
        <v>3342</v>
      </c>
      <c r="AC48" s="112">
        <f t="shared" si="6"/>
        <v>0</v>
      </c>
      <c r="AD48" s="112">
        <v>3342</v>
      </c>
      <c r="AE48" s="113">
        <f t="shared" si="7"/>
        <v>3342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150</v>
      </c>
      <c r="S49" s="108">
        <f t="shared" si="1"/>
        <v>0</v>
      </c>
      <c r="T49" s="108">
        <v>150</v>
      </c>
      <c r="U49" s="108">
        <f t="shared" si="2"/>
        <v>500</v>
      </c>
      <c r="V49" s="108">
        <v>1150</v>
      </c>
      <c r="W49" s="108">
        <f t="shared" si="3"/>
        <v>-16.5</v>
      </c>
      <c r="X49" s="108">
        <v>1117</v>
      </c>
      <c r="Y49" s="108">
        <f t="shared" si="4"/>
        <v>793</v>
      </c>
      <c r="Z49" s="108">
        <v>2703</v>
      </c>
      <c r="AA49" s="108">
        <f t="shared" si="5"/>
        <v>0</v>
      </c>
      <c r="AB49" s="108">
        <v>2703</v>
      </c>
      <c r="AC49" s="108">
        <f t="shared" si="6"/>
        <v>0</v>
      </c>
      <c r="AD49" s="108">
        <v>2703</v>
      </c>
      <c r="AE49" s="109">
        <f t="shared" si="7"/>
        <v>2703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1459</v>
      </c>
      <c r="S50" s="106">
        <f t="shared" si="1"/>
        <v>390</v>
      </c>
      <c r="T50" s="106">
        <v>2239</v>
      </c>
      <c r="U50" s="106">
        <f t="shared" si="2"/>
        <v>0</v>
      </c>
      <c r="V50" s="106">
        <v>2239</v>
      </c>
      <c r="W50" s="106">
        <f t="shared" si="3"/>
        <v>11.5</v>
      </c>
      <c r="X50" s="106">
        <v>2262</v>
      </c>
      <c r="Y50" s="106">
        <f t="shared" si="4"/>
        <v>390</v>
      </c>
      <c r="Z50" s="106">
        <v>3042</v>
      </c>
      <c r="AA50" s="106">
        <f t="shared" si="5"/>
        <v>0</v>
      </c>
      <c r="AB50" s="106">
        <v>3042</v>
      </c>
      <c r="AC50" s="106">
        <f t="shared" si="6"/>
        <v>0</v>
      </c>
      <c r="AD50" s="106">
        <v>3042</v>
      </c>
      <c r="AE50" s="107">
        <f t="shared" si="7"/>
        <v>3042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1620</v>
      </c>
      <c r="S51" s="108">
        <f t="shared" si="1"/>
        <v>0</v>
      </c>
      <c r="T51" s="108">
        <v>1620</v>
      </c>
      <c r="U51" s="108">
        <f t="shared" si="2"/>
        <v>126</v>
      </c>
      <c r="V51" s="108">
        <v>1872</v>
      </c>
      <c r="W51" s="108">
        <f t="shared" si="3"/>
        <v>-128</v>
      </c>
      <c r="X51" s="108">
        <v>1616</v>
      </c>
      <c r="Y51" s="108">
        <f t="shared" si="4"/>
        <v>126</v>
      </c>
      <c r="Z51" s="108">
        <v>1868</v>
      </c>
      <c r="AA51" s="108">
        <f t="shared" si="5"/>
        <v>0</v>
      </c>
      <c r="AB51" s="108">
        <v>1868</v>
      </c>
      <c r="AC51" s="108">
        <f t="shared" si="6"/>
        <v>0</v>
      </c>
      <c r="AD51" s="108">
        <v>1868</v>
      </c>
      <c r="AE51" s="109">
        <f t="shared" si="7"/>
        <v>1868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434</v>
      </c>
      <c r="S52" s="106">
        <f t="shared" si="1"/>
        <v>0</v>
      </c>
      <c r="T52" s="106">
        <v>434</v>
      </c>
      <c r="U52" s="106">
        <f t="shared" si="2"/>
        <v>11</v>
      </c>
      <c r="V52" s="106">
        <v>456</v>
      </c>
      <c r="W52" s="106">
        <f t="shared" si="3"/>
        <v>51.5</v>
      </c>
      <c r="X52" s="106">
        <v>559</v>
      </c>
      <c r="Y52" s="106">
        <f t="shared" si="4"/>
        <v>149.5</v>
      </c>
      <c r="Z52" s="106">
        <v>858</v>
      </c>
      <c r="AA52" s="106">
        <f t="shared" si="5"/>
        <v>0</v>
      </c>
      <c r="AB52" s="106">
        <v>858</v>
      </c>
      <c r="AC52" s="106">
        <f t="shared" si="6"/>
        <v>0</v>
      </c>
      <c r="AD52" s="106">
        <v>858</v>
      </c>
      <c r="AE52" s="107">
        <f t="shared" si="7"/>
        <v>858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173.5</v>
      </c>
      <c r="T53" s="108">
        <v>347</v>
      </c>
      <c r="U53" s="108">
        <f t="shared" si="2"/>
        <v>716.5</v>
      </c>
      <c r="V53" s="108">
        <v>1780</v>
      </c>
      <c r="W53" s="108">
        <f t="shared" si="3"/>
        <v>423.5</v>
      </c>
      <c r="X53" s="108">
        <v>2627</v>
      </c>
      <c r="Y53" s="108">
        <f t="shared" si="4"/>
        <v>29</v>
      </c>
      <c r="Z53" s="108">
        <v>2685</v>
      </c>
      <c r="AA53" s="108">
        <f t="shared" si="5"/>
        <v>0</v>
      </c>
      <c r="AB53" s="108">
        <v>2685</v>
      </c>
      <c r="AC53" s="108">
        <f t="shared" si="6"/>
        <v>0</v>
      </c>
      <c r="AD53" s="108">
        <v>2685</v>
      </c>
      <c r="AE53" s="109">
        <f t="shared" si="7"/>
        <v>2685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1226</v>
      </c>
      <c r="S57" s="104">
        <f t="shared" si="1"/>
        <v>234.5</v>
      </c>
      <c r="T57" s="104">
        <v>1695</v>
      </c>
      <c r="U57" s="104">
        <f t="shared" si="2"/>
        <v>402.5</v>
      </c>
      <c r="V57" s="104">
        <v>2500</v>
      </c>
      <c r="W57" s="104">
        <f t="shared" si="3"/>
        <v>0</v>
      </c>
      <c r="X57" s="104">
        <v>2500</v>
      </c>
      <c r="Y57" s="104">
        <f t="shared" si="4"/>
        <v>0</v>
      </c>
      <c r="Z57" s="104">
        <v>2500</v>
      </c>
      <c r="AA57" s="104">
        <f t="shared" si="5"/>
        <v>0</v>
      </c>
      <c r="AB57" s="104">
        <v>2500</v>
      </c>
      <c r="AC57" s="104">
        <f t="shared" si="6"/>
        <v>0</v>
      </c>
      <c r="AD57" s="104">
        <v>2500</v>
      </c>
      <c r="AE57" s="105">
        <f t="shared" si="7"/>
        <v>2500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906</v>
      </c>
      <c r="S58" s="106">
        <f t="shared" si="1"/>
        <v>137.5</v>
      </c>
      <c r="T58" s="106">
        <v>1181</v>
      </c>
      <c r="U58" s="106">
        <f t="shared" si="2"/>
        <v>738</v>
      </c>
      <c r="V58" s="106">
        <v>2657</v>
      </c>
      <c r="W58" s="106">
        <f t="shared" si="3"/>
        <v>0</v>
      </c>
      <c r="X58" s="106">
        <v>2657</v>
      </c>
      <c r="Y58" s="106">
        <f t="shared" si="4"/>
        <v>0</v>
      </c>
      <c r="Z58" s="106">
        <v>2657</v>
      </c>
      <c r="AA58" s="106">
        <f t="shared" si="5"/>
        <v>0</v>
      </c>
      <c r="AB58" s="106">
        <v>2657</v>
      </c>
      <c r="AC58" s="106">
        <f t="shared" si="6"/>
        <v>0</v>
      </c>
      <c r="AD58" s="106">
        <v>2657</v>
      </c>
      <c r="AE58" s="107">
        <f t="shared" si="7"/>
        <v>2657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592</v>
      </c>
      <c r="S59" s="108">
        <f t="shared" si="1"/>
        <v>367.5</v>
      </c>
      <c r="T59" s="108">
        <v>1327</v>
      </c>
      <c r="U59" s="108">
        <f t="shared" si="2"/>
        <v>122</v>
      </c>
      <c r="V59" s="108">
        <v>1571</v>
      </c>
      <c r="W59" s="108">
        <f t="shared" si="3"/>
        <v>0</v>
      </c>
      <c r="X59" s="108">
        <v>1571</v>
      </c>
      <c r="Y59" s="108">
        <f t="shared" si="4"/>
        <v>0</v>
      </c>
      <c r="Z59" s="108">
        <v>1571</v>
      </c>
      <c r="AA59" s="108">
        <f t="shared" si="5"/>
        <v>0</v>
      </c>
      <c r="AB59" s="108">
        <v>1571</v>
      </c>
      <c r="AC59" s="108">
        <f t="shared" si="6"/>
        <v>0</v>
      </c>
      <c r="AD59" s="108">
        <v>1571</v>
      </c>
      <c r="AE59" s="109">
        <f t="shared" si="7"/>
        <v>1571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0</v>
      </c>
      <c r="S60" s="114">
        <f t="shared" si="1"/>
        <v>179</v>
      </c>
      <c r="T60" s="114">
        <v>358</v>
      </c>
      <c r="U60" s="114">
        <f t="shared" si="2"/>
        <v>194</v>
      </c>
      <c r="V60" s="114">
        <v>746</v>
      </c>
      <c r="W60" s="114">
        <f t="shared" si="3"/>
        <v>0</v>
      </c>
      <c r="X60" s="114">
        <v>746</v>
      </c>
      <c r="Y60" s="114">
        <f t="shared" si="4"/>
        <v>0</v>
      </c>
      <c r="Z60" s="114">
        <v>746</v>
      </c>
      <c r="AA60" s="114">
        <f t="shared" si="5"/>
        <v>0</v>
      </c>
      <c r="AB60" s="114">
        <v>746</v>
      </c>
      <c r="AC60" s="114">
        <f t="shared" si="6"/>
        <v>0</v>
      </c>
      <c r="AD60" s="114">
        <v>746</v>
      </c>
      <c r="AE60" s="115">
        <f t="shared" si="7"/>
        <v>746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540</v>
      </c>
      <c r="S61" s="104">
        <f t="shared" si="1"/>
        <v>231.5</v>
      </c>
      <c r="T61" s="104">
        <v>1003</v>
      </c>
      <c r="U61" s="104">
        <f t="shared" si="2"/>
        <v>297.5</v>
      </c>
      <c r="V61" s="104">
        <v>1598</v>
      </c>
      <c r="W61" s="104">
        <f t="shared" si="3"/>
        <v>351.5</v>
      </c>
      <c r="X61" s="104">
        <v>2301</v>
      </c>
      <c r="Y61" s="104">
        <f t="shared" si="4"/>
        <v>-21</v>
      </c>
      <c r="Z61" s="104">
        <v>2259</v>
      </c>
      <c r="AA61" s="104">
        <f t="shared" si="5"/>
        <v>0</v>
      </c>
      <c r="AB61" s="104">
        <v>2259</v>
      </c>
      <c r="AC61" s="104">
        <f t="shared" si="6"/>
        <v>0</v>
      </c>
      <c r="AD61" s="104">
        <v>2259</v>
      </c>
      <c r="AE61" s="105">
        <f t="shared" si="7"/>
        <v>2259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340</v>
      </c>
      <c r="S62" s="106">
        <f t="shared" si="1"/>
        <v>132</v>
      </c>
      <c r="T62" s="106">
        <v>604</v>
      </c>
      <c r="U62" s="106">
        <f t="shared" si="2"/>
        <v>102</v>
      </c>
      <c r="V62" s="106">
        <v>808</v>
      </c>
      <c r="W62" s="106">
        <f t="shared" si="3"/>
        <v>47.5</v>
      </c>
      <c r="X62" s="106">
        <v>903</v>
      </c>
      <c r="Y62" s="106">
        <f t="shared" si="4"/>
        <v>22.5</v>
      </c>
      <c r="Z62" s="106">
        <v>948</v>
      </c>
      <c r="AA62" s="106">
        <f t="shared" si="5"/>
        <v>0</v>
      </c>
      <c r="AB62" s="106">
        <v>948</v>
      </c>
      <c r="AC62" s="106">
        <f t="shared" si="6"/>
        <v>0</v>
      </c>
      <c r="AD62" s="106">
        <v>948</v>
      </c>
      <c r="AE62" s="107">
        <f t="shared" si="7"/>
        <v>948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283</v>
      </c>
      <c r="S63" s="108">
        <f t="shared" si="1"/>
        <v>105</v>
      </c>
      <c r="T63" s="108">
        <v>493</v>
      </c>
      <c r="U63" s="108">
        <f t="shared" si="2"/>
        <v>99</v>
      </c>
      <c r="V63" s="108">
        <v>691</v>
      </c>
      <c r="W63" s="108">
        <f t="shared" si="3"/>
        <v>174</v>
      </c>
      <c r="X63" s="108">
        <v>1039</v>
      </c>
      <c r="Y63" s="108">
        <f t="shared" si="4"/>
        <v>31.5</v>
      </c>
      <c r="Z63" s="108">
        <v>1102</v>
      </c>
      <c r="AA63" s="108">
        <f t="shared" si="5"/>
        <v>0</v>
      </c>
      <c r="AB63" s="108">
        <v>1102</v>
      </c>
      <c r="AC63" s="108">
        <f t="shared" si="6"/>
        <v>0</v>
      </c>
      <c r="AD63" s="108">
        <v>1102</v>
      </c>
      <c r="AE63" s="109">
        <f t="shared" si="7"/>
        <v>1102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996</v>
      </c>
      <c r="S64" s="114">
        <f t="shared" si="1"/>
        <v>298</v>
      </c>
      <c r="T64" s="114">
        <v>1592</v>
      </c>
      <c r="U64" s="114">
        <f t="shared" si="2"/>
        <v>332</v>
      </c>
      <c r="V64" s="114">
        <v>2256</v>
      </c>
      <c r="W64" s="114">
        <f t="shared" si="3"/>
        <v>390</v>
      </c>
      <c r="X64" s="114">
        <v>3036</v>
      </c>
      <c r="Y64" s="114">
        <f t="shared" si="4"/>
        <v>-94.5</v>
      </c>
      <c r="Z64" s="114">
        <v>2847</v>
      </c>
      <c r="AA64" s="114">
        <f t="shared" si="5"/>
        <v>0</v>
      </c>
      <c r="AB64" s="114">
        <v>2847</v>
      </c>
      <c r="AC64" s="114">
        <f t="shared" si="6"/>
        <v>0</v>
      </c>
      <c r="AD64" s="114">
        <v>2847</v>
      </c>
      <c r="AE64" s="115">
        <f t="shared" si="7"/>
        <v>2847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95" priority="11" operator="lessThan">
      <formula>0</formula>
    </cfRule>
    <cfRule type="cellIs" dxfId="694" priority="12" operator="greaterThan">
      <formula>0</formula>
    </cfRule>
  </conditionalFormatting>
  <conditionalFormatting sqref="R25:AC25">
    <cfRule type="cellIs" dxfId="693" priority="9" operator="lessThan">
      <formula>0</formula>
    </cfRule>
    <cfRule type="cellIs" dxfId="692" priority="10" operator="greaterThan">
      <formula>0</formula>
    </cfRule>
  </conditionalFormatting>
  <conditionalFormatting sqref="R26 T26 V26 X26 Z26 AB26">
    <cfRule type="cellIs" dxfId="691" priority="7" operator="lessThan">
      <formula>0</formula>
    </cfRule>
    <cfRule type="cellIs" dxfId="690" priority="8" operator="greaterThan">
      <formula>0</formula>
    </cfRule>
  </conditionalFormatting>
  <conditionalFormatting sqref="AD24:AE24">
    <cfRule type="cellIs" dxfId="689" priority="5" operator="lessThan">
      <formula>0</formula>
    </cfRule>
    <cfRule type="cellIs" dxfId="688" priority="6" operator="greaterThan">
      <formula>0</formula>
    </cfRule>
  </conditionalFormatting>
  <conditionalFormatting sqref="AD25:AE25">
    <cfRule type="cellIs" dxfId="687" priority="3" operator="lessThan">
      <formula>0</formula>
    </cfRule>
    <cfRule type="cellIs" dxfId="686" priority="4" operator="greaterThan">
      <formula>0</formula>
    </cfRule>
  </conditionalFormatting>
  <conditionalFormatting sqref="AD26">
    <cfRule type="cellIs" dxfId="685" priority="1" operator="lessThan">
      <formula>0</formula>
    </cfRule>
    <cfRule type="cellIs" dxfId="68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>
    <tabColor theme="1"/>
    <pageSetUpPr fitToPage="1"/>
  </sheetPr>
  <dimension ref="B1:AQ64"/>
  <sheetViews>
    <sheetView topLeftCell="H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44461</v>
      </c>
    </row>
    <row r="3" spans="2:42" ht="18.75" customHeight="1" thickBot="1" x14ac:dyDescent="0.35">
      <c r="B3" t="s">
        <v>1</v>
      </c>
      <c r="C3" s="3">
        <f>C2+1</f>
        <v>44462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21346</v>
      </c>
      <c r="G6" s="117">
        <v>10324.83675</v>
      </c>
      <c r="H6" s="117">
        <v>276.15196500000002</v>
      </c>
      <c r="I6" s="19">
        <f>G6+H6</f>
        <v>10600.988715</v>
      </c>
      <c r="J6" s="119">
        <v>21162</v>
      </c>
      <c r="K6" s="117">
        <v>10121.507625</v>
      </c>
      <c r="L6" s="117">
        <v>258.52739250000002</v>
      </c>
      <c r="M6" s="19">
        <f>K6+L6</f>
        <v>10380.0350175</v>
      </c>
      <c r="N6" s="85">
        <v>61</v>
      </c>
      <c r="O6" s="85">
        <v>52</v>
      </c>
      <c r="P6" s="92"/>
      <c r="Q6" s="20">
        <f>J6-P6</f>
        <v>21162</v>
      </c>
      <c r="R6" s="21">
        <v>3703</v>
      </c>
      <c r="S6" s="20">
        <f>IF(R6&gt;0,(R6-R7-$Q6),"")</f>
        <v>-17787</v>
      </c>
      <c r="T6" s="21">
        <v>6247</v>
      </c>
      <c r="U6" s="20">
        <f>IF(T6&gt;0,(T6-T7-$Q6),"")</f>
        <v>-15286</v>
      </c>
      <c r="V6" s="21">
        <v>9837</v>
      </c>
      <c r="W6" s="20">
        <f>IF(V6&gt;0,(V6-V7-$Q6),"")</f>
        <v>-11711</v>
      </c>
      <c r="X6" s="21">
        <v>19284</v>
      </c>
      <c r="Y6" s="20">
        <f>IF(X6&gt;0,(X6-X7-$Q6),"")</f>
        <v>-2295</v>
      </c>
      <c r="Z6" s="21">
        <v>19284</v>
      </c>
      <c r="AA6" s="20">
        <f>IF(Z6&gt;0,(Z6-Z7-$Q6),"")</f>
        <v>-2295</v>
      </c>
      <c r="AB6" s="21">
        <v>19284</v>
      </c>
      <c r="AC6" s="22">
        <f>IF(AB6&gt;0,(AB6-AB7-$Q6),"")</f>
        <v>-2295</v>
      </c>
      <c r="AD6" s="21">
        <v>19284</v>
      </c>
      <c r="AE6" s="22">
        <f>IF(AD6&gt;0,(AD6-AD7-$Q6),"")</f>
        <v>-2295</v>
      </c>
    </row>
    <row r="7" spans="2:42" x14ac:dyDescent="0.3">
      <c r="B7" s="16" t="s">
        <v>23</v>
      </c>
      <c r="C7" s="17">
        <v>1067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328</v>
      </c>
      <c r="S7" s="24"/>
      <c r="T7" s="25">
        <v>371</v>
      </c>
      <c r="U7" s="24"/>
      <c r="V7" s="25">
        <v>386</v>
      </c>
      <c r="W7" s="24"/>
      <c r="X7" s="25">
        <v>417</v>
      </c>
      <c r="Y7" s="24"/>
      <c r="Z7" s="25">
        <v>417</v>
      </c>
      <c r="AA7" s="24"/>
      <c r="AB7" s="25">
        <v>417</v>
      </c>
      <c r="AC7" s="26"/>
      <c r="AD7" s="25">
        <v>417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2368</v>
      </c>
      <c r="E8" s="29" t="s">
        <v>27</v>
      </c>
      <c r="F8" s="119">
        <v>4027</v>
      </c>
      <c r="G8" s="117">
        <v>4905.2595000000001</v>
      </c>
      <c r="H8" s="117">
        <v>13892.476705200001</v>
      </c>
      <c r="I8" s="19">
        <f>G8+H8</f>
        <v>18797.736205200003</v>
      </c>
      <c r="J8" s="119">
        <v>3796</v>
      </c>
      <c r="K8" s="117">
        <v>4436.773000000001</v>
      </c>
      <c r="L8" s="117">
        <v>13802.06168508</v>
      </c>
      <c r="M8" s="19">
        <f>K8+L8</f>
        <v>18238.834685080001</v>
      </c>
      <c r="N8" s="87">
        <v>26</v>
      </c>
      <c r="O8" s="87">
        <v>17</v>
      </c>
      <c r="P8" s="92"/>
      <c r="Q8" s="20">
        <f>J8-P8</f>
        <v>3796</v>
      </c>
      <c r="R8" s="21">
        <v>835</v>
      </c>
      <c r="S8" s="20">
        <f>IF(R8&gt;0,(R8-R9-$Q8),"")</f>
        <v>-3008</v>
      </c>
      <c r="T8" s="21">
        <v>1071</v>
      </c>
      <c r="U8" s="20">
        <f>IF(T8&gt;0,(T8-T9-$Q8),"")</f>
        <v>-2772</v>
      </c>
      <c r="V8" s="21">
        <v>2347</v>
      </c>
      <c r="W8" s="20">
        <f>IF(V8&gt;0,(V8-V9-$Q8),"")</f>
        <v>-1496</v>
      </c>
      <c r="X8" s="21">
        <v>2550</v>
      </c>
      <c r="Y8" s="20">
        <f>IF(X8&gt;0,(X8-X9-$Q8),"")</f>
        <v>-1293</v>
      </c>
      <c r="Z8" s="21">
        <v>2550</v>
      </c>
      <c r="AA8" s="20">
        <f>IF(Z8&gt;0,(Z8-Z9-$Q8),"")</f>
        <v>-1293</v>
      </c>
      <c r="AB8" s="21">
        <v>2550</v>
      </c>
      <c r="AC8" s="22">
        <f>IF(AB8&gt;0,(AB8-AB9-$Q8),"")</f>
        <v>-1293</v>
      </c>
      <c r="AD8" s="21">
        <v>2550</v>
      </c>
      <c r="AE8" s="22">
        <f>IF(AD8&gt;0,(AD8-AD9-$Q8),"")</f>
        <v>-1293</v>
      </c>
    </row>
    <row r="9" spans="2:42" x14ac:dyDescent="0.3">
      <c r="B9" s="28" t="s">
        <v>28</v>
      </c>
      <c r="C9" s="17">
        <v>1527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47</v>
      </c>
      <c r="S9" s="24"/>
      <c r="T9" s="30">
        <v>47</v>
      </c>
      <c r="U9" s="24"/>
      <c r="V9" s="30">
        <v>47</v>
      </c>
      <c r="W9" s="24"/>
      <c r="X9" s="30">
        <v>47</v>
      </c>
      <c r="Y9" s="24"/>
      <c r="Z9" s="30">
        <v>47</v>
      </c>
      <c r="AA9" s="24"/>
      <c r="AB9" s="30">
        <v>47</v>
      </c>
      <c r="AC9" s="26"/>
      <c r="AD9" s="30">
        <v>47</v>
      </c>
      <c r="AE9" s="26"/>
    </row>
    <row r="10" spans="2:42" x14ac:dyDescent="0.3">
      <c r="B10" s="16" t="s">
        <v>30</v>
      </c>
      <c r="C10" s="17">
        <v>4253</v>
      </c>
      <c r="E10" s="18" t="s">
        <v>31</v>
      </c>
      <c r="F10" s="119">
        <v>16099</v>
      </c>
      <c r="G10" s="117">
        <v>12175.800343749999</v>
      </c>
      <c r="H10" s="117">
        <v>1337.1594725</v>
      </c>
      <c r="I10" s="19">
        <f>G10+H10</f>
        <v>13512.959816249999</v>
      </c>
      <c r="J10" s="119">
        <v>16371</v>
      </c>
      <c r="K10" s="117">
        <v>12211.76684375</v>
      </c>
      <c r="L10" s="117">
        <v>1353.1730226</v>
      </c>
      <c r="M10" s="19">
        <f>K10+L10</f>
        <v>13564.93986635</v>
      </c>
      <c r="N10" s="88">
        <v>43</v>
      </c>
      <c r="O10" s="88">
        <v>39</v>
      </c>
      <c r="P10" s="92"/>
      <c r="Q10" s="20">
        <f>J10-P10</f>
        <v>16371</v>
      </c>
      <c r="R10" s="21">
        <v>3945</v>
      </c>
      <c r="S10" s="20">
        <f>IF(R10&gt;0,(R10-R11-$Q10),"")</f>
        <v>-12437</v>
      </c>
      <c r="T10" s="21">
        <v>4453</v>
      </c>
      <c r="U10" s="20">
        <f>IF(T10&gt;0,(T10-T11-$Q10),"")</f>
        <v>-11932</v>
      </c>
      <c r="V10" s="21">
        <v>8685</v>
      </c>
      <c r="W10" s="20">
        <f>IF(V10&gt;0,(V10-V11-$Q10),"")</f>
        <v>-7703</v>
      </c>
      <c r="X10" s="21">
        <v>8201</v>
      </c>
      <c r="Y10" s="20">
        <f>IF(X10&gt;0,(X10-X11-$Q10),"")</f>
        <v>-8189</v>
      </c>
      <c r="Z10" s="21">
        <v>8201</v>
      </c>
      <c r="AA10" s="20">
        <f>IF(Z10&gt;0,(Z10-Z11-$Q10),"")</f>
        <v>-8189</v>
      </c>
      <c r="AB10" s="21">
        <v>8201</v>
      </c>
      <c r="AC10" s="22">
        <f>IF(AB10&gt;0,(AB10-AB11-$Q10),"")</f>
        <v>-8189</v>
      </c>
      <c r="AD10" s="21">
        <v>8201</v>
      </c>
      <c r="AE10" s="22">
        <f>IF(AD10&gt;0,(AD10-AD11-$Q10),"")</f>
        <v>-8189</v>
      </c>
    </row>
    <row r="11" spans="2:42" x14ac:dyDescent="0.3">
      <c r="B11" s="16" t="s">
        <v>38</v>
      </c>
      <c r="C11" s="17">
        <v>12180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11</v>
      </c>
      <c r="S11" s="24"/>
      <c r="T11" s="30">
        <v>14</v>
      </c>
      <c r="U11" s="24"/>
      <c r="V11" s="30">
        <v>17</v>
      </c>
      <c r="W11" s="24"/>
      <c r="X11" s="30">
        <v>19</v>
      </c>
      <c r="Y11" s="24"/>
      <c r="Z11" s="30">
        <v>19</v>
      </c>
      <c r="AA11" s="24"/>
      <c r="AB11" s="30">
        <v>19</v>
      </c>
      <c r="AC11" s="26"/>
      <c r="AD11" s="30">
        <v>19</v>
      </c>
      <c r="AE11" s="26"/>
    </row>
    <row r="12" spans="2:42" x14ac:dyDescent="0.3">
      <c r="B12" s="16" t="s">
        <v>40</v>
      </c>
      <c r="C12" s="17">
        <v>1372</v>
      </c>
      <c r="E12" s="29" t="s">
        <v>35</v>
      </c>
      <c r="F12" s="119">
        <v>12039</v>
      </c>
      <c r="G12" s="117">
        <v>11707.96675</v>
      </c>
      <c r="H12" s="117">
        <v>14859.05359938</v>
      </c>
      <c r="I12" s="19">
        <f>G12+H12</f>
        <v>26567.02034938</v>
      </c>
      <c r="J12" s="119">
        <v>10803</v>
      </c>
      <c r="K12" s="117">
        <v>10409.656499999999</v>
      </c>
      <c r="L12" s="117">
        <v>13479.774048499999</v>
      </c>
      <c r="M12" s="19">
        <f>K12+L12</f>
        <v>23889.4305485</v>
      </c>
      <c r="N12" s="88">
        <v>48</v>
      </c>
      <c r="O12" s="88">
        <v>40</v>
      </c>
      <c r="P12" s="92"/>
      <c r="Q12" s="20">
        <f>J12-P12</f>
        <v>10803</v>
      </c>
      <c r="R12" s="21">
        <v>4683</v>
      </c>
      <c r="S12" s="20">
        <f>IF(R12&gt;0,(R12-R13-$Q12),"")</f>
        <v>-6297</v>
      </c>
      <c r="T12" s="21">
        <v>6926</v>
      </c>
      <c r="U12" s="20">
        <f>IF(T12&gt;0,(T12-T13-$Q12),"")</f>
        <v>-4145</v>
      </c>
      <c r="V12" s="21">
        <v>10208</v>
      </c>
      <c r="W12" s="20">
        <f>IF(V12&gt;0,(V12-V13-$Q12),"")</f>
        <v>-1033</v>
      </c>
      <c r="X12" s="21">
        <v>10208</v>
      </c>
      <c r="Y12" s="20">
        <f>IF(X12&gt;0,(X12-X13-$Q12),"")</f>
        <v>-1033</v>
      </c>
      <c r="Z12" s="21">
        <v>10208</v>
      </c>
      <c r="AA12" s="20">
        <f>IF(Z12&gt;0,(Z12-Z13-$Q12),"")</f>
        <v>-1033</v>
      </c>
      <c r="AB12" s="21">
        <v>10208</v>
      </c>
      <c r="AC12" s="22">
        <f>IF(AB12&gt;0,(AB12-AB13-$Q12),"")</f>
        <v>-1033</v>
      </c>
      <c r="AD12" s="21">
        <v>10208</v>
      </c>
      <c r="AE12" s="22">
        <f>IF(AD12&gt;0,(AD12-AD13-$Q12),"")</f>
        <v>-1033</v>
      </c>
    </row>
    <row r="13" spans="2:42" x14ac:dyDescent="0.3">
      <c r="B13" s="28" t="s">
        <v>42</v>
      </c>
      <c r="C13" s="17">
        <v>11915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177</v>
      </c>
      <c r="S13" s="24"/>
      <c r="T13" s="30">
        <v>268</v>
      </c>
      <c r="U13" s="24"/>
      <c r="V13" s="30">
        <v>438</v>
      </c>
      <c r="W13" s="24"/>
      <c r="X13" s="30">
        <v>438</v>
      </c>
      <c r="Y13" s="24"/>
      <c r="Z13" s="30">
        <v>438</v>
      </c>
      <c r="AA13" s="24"/>
      <c r="AB13" s="30">
        <v>438</v>
      </c>
      <c r="AC13" s="26"/>
      <c r="AD13" s="30">
        <v>438</v>
      </c>
      <c r="AE13" s="26"/>
    </row>
    <row r="14" spans="2:42" x14ac:dyDescent="0.3">
      <c r="B14" s="43" t="s">
        <v>47</v>
      </c>
      <c r="C14" s="17">
        <v>877</v>
      </c>
      <c r="E14" s="18" t="s">
        <v>39</v>
      </c>
      <c r="F14" s="119">
        <v>25895</v>
      </c>
      <c r="G14" s="117">
        <v>15428.2685</v>
      </c>
      <c r="H14" s="117">
        <v>28033.062362799999</v>
      </c>
      <c r="I14" s="19">
        <f>G14+H14</f>
        <v>43461.330862800001</v>
      </c>
      <c r="J14" s="119">
        <v>25837</v>
      </c>
      <c r="K14" s="117">
        <v>15252.40625</v>
      </c>
      <c r="L14" s="117">
        <v>27913.096469939999</v>
      </c>
      <c r="M14" s="19">
        <f>K14+L14</f>
        <v>43165.502719939999</v>
      </c>
      <c r="N14" s="88">
        <v>70</v>
      </c>
      <c r="O14" s="88">
        <v>45</v>
      </c>
      <c r="P14" s="92"/>
      <c r="Q14" s="20">
        <f>J14-P14</f>
        <v>25837</v>
      </c>
      <c r="R14" s="21">
        <v>3998</v>
      </c>
      <c r="S14" s="20">
        <f>IF(R14&gt;0,(R14-R15-$Q14),"")</f>
        <v>-21846</v>
      </c>
      <c r="T14" s="21">
        <v>6074</v>
      </c>
      <c r="U14" s="20">
        <f>IF(T14&gt;0,(T14-T15-$Q14),"")</f>
        <v>-19779</v>
      </c>
      <c r="V14" s="21">
        <v>7759</v>
      </c>
      <c r="W14" s="20">
        <f>IF(V14&gt;0,(V14-V15-$Q14),"")</f>
        <v>-18097</v>
      </c>
      <c r="X14" s="21">
        <v>7654</v>
      </c>
      <c r="Y14" s="20">
        <f>IF(X14&gt;0,(X14-X15-$Q14),"")</f>
        <v>-18206</v>
      </c>
      <c r="Z14" s="21">
        <v>8658</v>
      </c>
      <c r="AA14" s="20">
        <f>IF(Z14&gt;0,(Z14-Z15-$Q14),"")</f>
        <v>-17210</v>
      </c>
      <c r="AB14" s="21">
        <v>8658</v>
      </c>
      <c r="AC14" s="22">
        <f>IF(AB14&gt;0,(AB14-AB15-$Q14),"")</f>
        <v>-17210</v>
      </c>
      <c r="AD14" s="21">
        <v>8658</v>
      </c>
      <c r="AE14" s="22">
        <f>IF(AD14&gt;0,(AD14-AD15-$Q14),"")</f>
        <v>-17210</v>
      </c>
    </row>
    <row r="15" spans="2:42" ht="15" customHeight="1" thickBot="1" x14ac:dyDescent="0.35">
      <c r="B15" s="43" t="s">
        <v>48</v>
      </c>
      <c r="C15" s="50">
        <v>263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7</v>
      </c>
      <c r="S15" s="24"/>
      <c r="T15" s="25">
        <v>16</v>
      </c>
      <c r="U15" s="24"/>
      <c r="V15" s="25">
        <v>19</v>
      </c>
      <c r="W15" s="24"/>
      <c r="X15" s="25">
        <v>23</v>
      </c>
      <c r="Y15" s="24"/>
      <c r="Z15" s="25">
        <v>31</v>
      </c>
      <c r="AA15" s="24"/>
      <c r="AB15" s="25">
        <v>31</v>
      </c>
      <c r="AC15" s="26"/>
      <c r="AD15" s="25">
        <v>31</v>
      </c>
      <c r="AE15" s="26"/>
    </row>
    <row r="16" spans="2:42" ht="15" customHeight="1" thickBot="1" x14ac:dyDescent="0.35">
      <c r="B16" s="16" t="s">
        <v>50</v>
      </c>
      <c r="C16" s="17">
        <v>9898</v>
      </c>
      <c r="E16" s="84"/>
      <c r="F16" s="31">
        <f t="shared" ref="F16:M16" si="0">SUM(F6:F15)</f>
        <v>79406</v>
      </c>
      <c r="G16" s="31">
        <f t="shared" si="0"/>
        <v>54542.131843749994</v>
      </c>
      <c r="H16" s="31">
        <f t="shared" si="0"/>
        <v>58397.904104879999</v>
      </c>
      <c r="I16" s="32">
        <f t="shared" si="0"/>
        <v>112940.03594863001</v>
      </c>
      <c r="J16" s="33">
        <f t="shared" si="0"/>
        <v>77969</v>
      </c>
      <c r="K16" s="33">
        <f t="shared" si="0"/>
        <v>52432.11021875</v>
      </c>
      <c r="L16" s="33">
        <f t="shared" si="0"/>
        <v>56806.632618620002</v>
      </c>
      <c r="M16" s="33">
        <f t="shared" si="0"/>
        <v>109238.74283736999</v>
      </c>
      <c r="N16" s="31">
        <f>SUM(N14,N12,N10,N8,N6)</f>
        <v>248</v>
      </c>
      <c r="O16" s="31">
        <f>SUM(O14,O12,O10,O8,O6)</f>
        <v>193</v>
      </c>
      <c r="P16" s="34">
        <f>SUM(P6:P15)</f>
        <v>0</v>
      </c>
      <c r="Q16" s="34">
        <f>SUM(Q6:Q15)</f>
        <v>77969</v>
      </c>
      <c r="R16" s="35">
        <f>R6+R8+R10+R12+R14-R7-R9-R11-R13-R15</f>
        <v>16594</v>
      </c>
      <c r="S16" s="36">
        <f>IF(R16&gt;1,(R16-$Q16),"")</f>
        <v>-61375</v>
      </c>
      <c r="T16" s="35">
        <f>T6+T8+T10+T12+T14-T7-T9-T11-T13-T15</f>
        <v>24055</v>
      </c>
      <c r="U16" s="36">
        <f>IF(T16&gt;1,(T16-$Q16),"")</f>
        <v>-53914</v>
      </c>
      <c r="V16" s="35">
        <f>V6+V8+V10+V12+V14-V7-V9-V11-V13-V15</f>
        <v>37929</v>
      </c>
      <c r="W16" s="36">
        <f>IF(V16&gt;1,(V16-$Q16),"")</f>
        <v>-40040</v>
      </c>
      <c r="X16" s="35">
        <f>X6+X8+X10+X12+X14-X7-X9-X11-X13-X15</f>
        <v>46953</v>
      </c>
      <c r="Y16" s="36">
        <f>IF(X16&gt;1,(X16-$Q16),"")</f>
        <v>-31016</v>
      </c>
      <c r="Z16" s="35">
        <f>Z6+Z8+Z10+Z12+Z14-Z7-Z9-Z11-Z13-Z15</f>
        <v>47949</v>
      </c>
      <c r="AA16" s="36">
        <f>IF(Z16&gt;1,(Z16-$Q16),"")</f>
        <v>-30020</v>
      </c>
      <c r="AB16" s="35">
        <f>AB6+AB8+AB10+AB12+AB14-AB7-AB9-AB11-AB13-AB15</f>
        <v>47949</v>
      </c>
      <c r="AC16" s="37">
        <f>IF(AB16&gt;1,(AB16-$Q16),"")</f>
        <v>-30020</v>
      </c>
      <c r="AD16" s="35">
        <f>AD6+AD8+AD10+AD12+AD14-AD7-AD9-AD11-AD13-AD15</f>
        <v>47949</v>
      </c>
      <c r="AE16" s="37">
        <f>IF(AD16&gt;1,(AD16-$Q16),"")</f>
        <v>-30020</v>
      </c>
    </row>
    <row r="17" spans="2:43" s="4" customFormat="1" ht="15" customHeight="1" thickBot="1" x14ac:dyDescent="0.35">
      <c r="B17" s="16" t="s">
        <v>51</v>
      </c>
      <c r="C17" s="17">
        <v>2775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570</v>
      </c>
      <c r="S17" s="41"/>
      <c r="T17" s="40">
        <f>T15+T13+T11+T9+T7</f>
        <v>716</v>
      </c>
      <c r="U17" s="41"/>
      <c r="V17" s="40">
        <f>V15+V13+V11+V9+V7</f>
        <v>907</v>
      </c>
      <c r="W17" s="41"/>
      <c r="X17" s="40">
        <f>X15+X13+X11+X9+X7</f>
        <v>944</v>
      </c>
      <c r="Y17" s="41"/>
      <c r="Z17" s="40">
        <f>Z15+Z13+Z11+Z9+Z7</f>
        <v>952</v>
      </c>
      <c r="AA17" s="41"/>
      <c r="AB17" s="40">
        <f>AB15+AB13+AB11+AB9+AB7</f>
        <v>952</v>
      </c>
      <c r="AC17" s="42"/>
      <c r="AD17" s="40">
        <f>AD15+AD13+AD11+AD9+AD7</f>
        <v>952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4850</v>
      </c>
      <c r="P18" s="45" t="s">
        <v>46</v>
      </c>
      <c r="Q18" s="46"/>
      <c r="R18" s="47">
        <f>IF(R16&gt;0,(R16)/2,"")</f>
        <v>8297</v>
      </c>
      <c r="S18" s="46"/>
      <c r="T18" s="47">
        <f>IF(T16&gt;0,(T16-R16)/2,"")</f>
        <v>3730.5</v>
      </c>
      <c r="U18" s="46"/>
      <c r="V18" s="47">
        <f>IF(V16&gt;0,(V16-T16)/2,"")</f>
        <v>6937</v>
      </c>
      <c r="W18" s="46"/>
      <c r="X18" s="47">
        <f>IF(X16&gt;0,(X16-V16)/2,"")</f>
        <v>4512</v>
      </c>
      <c r="Y18" s="46"/>
      <c r="Z18" s="47">
        <f>IF(Z16&gt;0,(Z16-X16)/2,"")</f>
        <v>498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15536</v>
      </c>
      <c r="S20" s="36">
        <v>-65607</v>
      </c>
      <c r="T20" s="35">
        <v>22919</v>
      </c>
      <c r="U20" s="36">
        <v>-58224</v>
      </c>
      <c r="V20" s="35">
        <v>36609</v>
      </c>
      <c r="W20" s="36">
        <v>-44534</v>
      </c>
      <c r="X20" s="35">
        <v>50406</v>
      </c>
      <c r="Y20" s="36">
        <v>-30737</v>
      </c>
      <c r="Z20" s="35">
        <v>53769</v>
      </c>
      <c r="AA20" s="36">
        <v>-27374</v>
      </c>
      <c r="AB20" s="35">
        <v>53769</v>
      </c>
      <c r="AC20" s="37">
        <v>-27374</v>
      </c>
      <c r="AD20" s="35">
        <v>53769</v>
      </c>
      <c r="AE20" s="37"/>
    </row>
    <row r="21" spans="2:43" ht="15" customHeight="1" thickBot="1" x14ac:dyDescent="0.35">
      <c r="M21" s="4"/>
      <c r="Q21" s="52"/>
      <c r="R21" s="40">
        <v>713</v>
      </c>
      <c r="S21" s="41"/>
      <c r="T21" s="40">
        <v>1069</v>
      </c>
      <c r="U21" s="41"/>
      <c r="V21" s="40">
        <v>1092</v>
      </c>
      <c r="W21" s="41"/>
      <c r="X21" s="40">
        <v>1106</v>
      </c>
      <c r="Y21" s="41"/>
      <c r="Z21" s="40">
        <v>1106</v>
      </c>
      <c r="AA21" s="41"/>
      <c r="AB21" s="40">
        <v>1106</v>
      </c>
      <c r="AC21" s="42"/>
      <c r="AD21" s="40">
        <v>1106</v>
      </c>
      <c r="AE21" s="42"/>
    </row>
    <row r="22" spans="2:43" ht="15" customHeight="1" thickBot="1" x14ac:dyDescent="0.35">
      <c r="M22" s="4"/>
      <c r="Q22" s="54"/>
      <c r="R22" s="47">
        <v>7768</v>
      </c>
      <c r="S22" s="46"/>
      <c r="T22" s="47">
        <v>3691.5</v>
      </c>
      <c r="U22" s="46"/>
      <c r="V22" s="47">
        <v>6845</v>
      </c>
      <c r="W22" s="46"/>
      <c r="X22" s="47">
        <v>6898.5</v>
      </c>
      <c r="Y22" s="46"/>
      <c r="Z22" s="47">
        <v>1681.5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1058</v>
      </c>
      <c r="S24" s="60"/>
      <c r="T24" s="60">
        <f>IF(T16&gt;0,T16-T20,"")</f>
        <v>1136</v>
      </c>
      <c r="U24" s="60"/>
      <c r="V24" s="60">
        <f>IF(V16&gt;0,V16-V20,"")</f>
        <v>1320</v>
      </c>
      <c r="W24" s="60"/>
      <c r="X24" s="60">
        <f>IF(X16&gt;0,X16-X20,"")</f>
        <v>-3453</v>
      </c>
      <c r="Y24" s="60"/>
      <c r="Z24" s="60">
        <f>IF(Z16&gt;0,Z16-Z20,"")</f>
        <v>-5820</v>
      </c>
      <c r="AA24" s="60"/>
      <c r="AB24" s="60">
        <f>IF(AB16&gt;0,AB16-AB20,"")</f>
        <v>-5820</v>
      </c>
      <c r="AC24" s="61"/>
      <c r="AD24" s="60">
        <f>IF(AD16&gt;0,AD16-AD20,"")</f>
        <v>-5820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-143</v>
      </c>
      <c r="S25" s="64"/>
      <c r="T25" s="63">
        <f>IF(T17&gt;=0,T17-T21,"")</f>
        <v>-353</v>
      </c>
      <c r="U25" s="64"/>
      <c r="V25" s="63">
        <f>IF(V17&gt;=0,V17-V21,"")</f>
        <v>-185</v>
      </c>
      <c r="W25" s="64"/>
      <c r="X25" s="63">
        <f>IF(X17&gt;=0,X17-X21,"")</f>
        <v>-162</v>
      </c>
      <c r="Y25" s="64"/>
      <c r="Z25" s="63">
        <f>IF(Z17&gt;=0,Z17-Z21,"")</f>
        <v>-154</v>
      </c>
      <c r="AA25" s="64"/>
      <c r="AB25" s="63">
        <f>IF(AB17&gt;=0,AB17-AB21,"")</f>
        <v>-154</v>
      </c>
      <c r="AC25" s="65"/>
      <c r="AD25" s="63">
        <f>IF(AD17&gt;=0,AD17-AD21,"")</f>
        <v>-154</v>
      </c>
      <c r="AE25" s="65"/>
    </row>
    <row r="26" spans="2:43" ht="15" customHeight="1" thickBot="1" x14ac:dyDescent="0.35">
      <c r="B26" s="74" t="s">
        <v>55</v>
      </c>
      <c r="C26" s="122">
        <v>11798</v>
      </c>
      <c r="D26" s="76">
        <f>C11</f>
        <v>12180</v>
      </c>
      <c r="E26" s="77">
        <f>D26-C26</f>
        <v>382</v>
      </c>
      <c r="M26" s="4"/>
      <c r="Q26" s="66"/>
      <c r="R26" s="67">
        <f>IFERROR(IF(R18&gt;0,R18-R22,""),"")</f>
        <v>529</v>
      </c>
      <c r="S26" s="55"/>
      <c r="T26" s="67">
        <f>IFERROR(IF(T18&gt;0,T18-T22,""),"")</f>
        <v>39</v>
      </c>
      <c r="U26" s="55"/>
      <c r="V26" s="67">
        <f>IFERROR(IF(V18&gt;0,V18-V22,""),"")</f>
        <v>92</v>
      </c>
      <c r="W26" s="55"/>
      <c r="X26" s="67">
        <f>IFERROR(IF(X18&gt;0,X18-X22,""),"")</f>
        <v>-2386.5</v>
      </c>
      <c r="Y26" s="55"/>
      <c r="Z26" s="67">
        <f>IFERROR(IF(Z18&gt;0,Z18-Z22,""),"")</f>
        <v>-1183.5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30922</v>
      </c>
      <c r="D27" s="76">
        <f>C7+C12+C13+C14+C15</f>
        <v>15494</v>
      </c>
      <c r="E27" s="77">
        <f>D27-C27</f>
        <v>-15428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4253</v>
      </c>
      <c r="D29" s="76">
        <f>C10</f>
        <v>4253</v>
      </c>
      <c r="E29" s="77">
        <f>D29-C29</f>
        <v>0</v>
      </c>
      <c r="O29" s="4"/>
    </row>
    <row r="30" spans="2:43" x14ac:dyDescent="0.3">
      <c r="B30" s="74" t="s">
        <v>59</v>
      </c>
      <c r="C30" s="122">
        <v>17127</v>
      </c>
      <c r="D30" s="76">
        <f>C16+C17+C18</f>
        <v>17523</v>
      </c>
      <c r="E30" s="77">
        <f>D30-C30</f>
        <v>396</v>
      </c>
      <c r="J30" s="53"/>
      <c r="O30" s="4"/>
    </row>
    <row r="31" spans="2:43" ht="15" customHeight="1" thickBot="1" x14ac:dyDescent="0.35">
      <c r="B31" s="78" t="s">
        <v>60</v>
      </c>
      <c r="C31" s="121">
        <v>3895</v>
      </c>
      <c r="D31" s="80">
        <f>SUM(C8+C9)</f>
        <v>3895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1892</v>
      </c>
      <c r="S35" s="104">
        <f t="shared" ref="S35:S64" si="1">IF(T35&gt;0,(T35-R35)/2,"")</f>
        <v>613.5</v>
      </c>
      <c r="T35" s="104">
        <v>3119</v>
      </c>
      <c r="U35" s="104">
        <f t="shared" ref="U35:U64" si="2">IF(V35&gt;0,(V35-T35)/2,"")</f>
        <v>326</v>
      </c>
      <c r="V35" s="104">
        <v>3771</v>
      </c>
      <c r="W35" s="104">
        <f t="shared" ref="W35:W64" si="3">IF(X35&gt;0,(X35-V35)/2,"")</f>
        <v>727</v>
      </c>
      <c r="X35" s="104">
        <v>5225</v>
      </c>
      <c r="Y35" s="104">
        <f t="shared" ref="Y35:Y64" si="4">IF(Z35&gt;0,(Z35-X35)/2,"")</f>
        <v>0</v>
      </c>
      <c r="Z35" s="104">
        <v>5225</v>
      </c>
      <c r="AA35" s="104">
        <f t="shared" ref="AA35:AA64" si="5">IF(AB35&gt;0,(AB35-Z35)/2,"")</f>
        <v>0</v>
      </c>
      <c r="AB35" s="104">
        <v>5225</v>
      </c>
      <c r="AC35" s="104">
        <f t="shared" ref="AC35:AC64" si="6">IF(AD35&gt;0,(AD35-AB35)/2,"")</f>
        <v>0</v>
      </c>
      <c r="AD35" s="104">
        <v>5225</v>
      </c>
      <c r="AE35" s="105">
        <f t="shared" ref="AE35:AE64" si="7">AD35-Q35</f>
        <v>5225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33.5</v>
      </c>
      <c r="X36" s="106">
        <v>67</v>
      </c>
      <c r="Y36" s="106">
        <f t="shared" si="4"/>
        <v>0</v>
      </c>
      <c r="Z36" s="106">
        <v>67</v>
      </c>
      <c r="AA36" s="106">
        <f t="shared" si="5"/>
        <v>0</v>
      </c>
      <c r="AB36" s="106">
        <v>67</v>
      </c>
      <c r="AC36" s="106">
        <f t="shared" si="6"/>
        <v>0</v>
      </c>
      <c r="AD36" s="106">
        <v>67</v>
      </c>
      <c r="AE36" s="107">
        <f t="shared" si="7"/>
        <v>67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1811</v>
      </c>
      <c r="S37" s="108">
        <f t="shared" si="1"/>
        <v>658.5</v>
      </c>
      <c r="T37" s="108">
        <v>3128</v>
      </c>
      <c r="U37" s="108">
        <f t="shared" si="2"/>
        <v>685</v>
      </c>
      <c r="V37" s="108">
        <v>4498</v>
      </c>
      <c r="W37" s="108">
        <f t="shared" si="3"/>
        <v>891</v>
      </c>
      <c r="X37" s="108">
        <v>6280</v>
      </c>
      <c r="Y37" s="108">
        <f t="shared" si="4"/>
        <v>0</v>
      </c>
      <c r="Z37" s="108">
        <v>6280</v>
      </c>
      <c r="AA37" s="108">
        <f t="shared" si="5"/>
        <v>0</v>
      </c>
      <c r="AB37" s="108">
        <v>6280</v>
      </c>
      <c r="AC37" s="108">
        <f t="shared" si="6"/>
        <v>0</v>
      </c>
      <c r="AD37" s="108">
        <v>6280</v>
      </c>
      <c r="AE37" s="109">
        <f t="shared" si="7"/>
        <v>6280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>
        <f t="shared" si="3"/>
        <v>2163</v>
      </c>
      <c r="X38" s="106">
        <v>4326</v>
      </c>
      <c r="Y38" s="106">
        <f t="shared" si="4"/>
        <v>0</v>
      </c>
      <c r="Z38" s="106">
        <v>4326</v>
      </c>
      <c r="AA38" s="106">
        <f t="shared" si="5"/>
        <v>0</v>
      </c>
      <c r="AB38" s="106">
        <v>4326</v>
      </c>
      <c r="AC38" s="106">
        <f t="shared" si="6"/>
        <v>0</v>
      </c>
      <c r="AD38" s="106">
        <v>4326</v>
      </c>
      <c r="AE38" s="107">
        <f t="shared" si="7"/>
        <v>4326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784</v>
      </c>
      <c r="V39" s="108">
        <v>1568</v>
      </c>
      <c r="W39" s="108">
        <f t="shared" si="3"/>
        <v>909</v>
      </c>
      <c r="X39" s="108">
        <v>3386</v>
      </c>
      <c r="Y39" s="108">
        <f t="shared" si="4"/>
        <v>0</v>
      </c>
      <c r="Z39" s="108">
        <v>3386</v>
      </c>
      <c r="AA39" s="108">
        <f t="shared" si="5"/>
        <v>0</v>
      </c>
      <c r="AB39" s="108">
        <v>3386</v>
      </c>
      <c r="AC39" s="108">
        <f t="shared" si="6"/>
        <v>0</v>
      </c>
      <c r="AD39" s="108">
        <v>3386</v>
      </c>
      <c r="AE39" s="109">
        <f t="shared" si="7"/>
        <v>3386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165</v>
      </c>
      <c r="S44" s="112">
        <f t="shared" si="1"/>
        <v>118</v>
      </c>
      <c r="T44" s="112">
        <v>401</v>
      </c>
      <c r="U44" s="112">
        <f t="shared" si="2"/>
        <v>163</v>
      </c>
      <c r="V44" s="112">
        <v>727</v>
      </c>
      <c r="W44" s="112">
        <f t="shared" si="3"/>
        <v>101</v>
      </c>
      <c r="X44" s="112">
        <v>929</v>
      </c>
      <c r="Y44" s="112">
        <f t="shared" si="4"/>
        <v>0</v>
      </c>
      <c r="Z44" s="112">
        <v>929</v>
      </c>
      <c r="AA44" s="112">
        <f t="shared" si="5"/>
        <v>0</v>
      </c>
      <c r="AB44" s="112">
        <v>929</v>
      </c>
      <c r="AC44" s="112">
        <f t="shared" si="6"/>
        <v>0</v>
      </c>
      <c r="AD44" s="112">
        <v>929</v>
      </c>
      <c r="AE44" s="113">
        <f t="shared" si="7"/>
        <v>929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670</v>
      </c>
      <c r="S45" s="108">
        <f t="shared" si="1"/>
        <v>0</v>
      </c>
      <c r="T45" s="108">
        <v>670</v>
      </c>
      <c r="U45" s="108">
        <f t="shared" si="2"/>
        <v>475</v>
      </c>
      <c r="V45" s="108">
        <v>1620</v>
      </c>
      <c r="W45" s="108">
        <f t="shared" si="3"/>
        <v>0</v>
      </c>
      <c r="X45" s="108">
        <v>1620</v>
      </c>
      <c r="Y45" s="108">
        <f t="shared" si="4"/>
        <v>0</v>
      </c>
      <c r="Z45" s="108">
        <v>1620</v>
      </c>
      <c r="AA45" s="108">
        <f t="shared" si="5"/>
        <v>0</v>
      </c>
      <c r="AB45" s="108">
        <v>1620</v>
      </c>
      <c r="AC45" s="108">
        <f t="shared" si="6"/>
        <v>0</v>
      </c>
      <c r="AD45" s="108">
        <v>1620</v>
      </c>
      <c r="AE45" s="109">
        <f t="shared" si="7"/>
        <v>1620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1019</v>
      </c>
      <c r="S48" s="112">
        <f t="shared" si="1"/>
        <v>0</v>
      </c>
      <c r="T48" s="112">
        <v>1019</v>
      </c>
      <c r="U48" s="112">
        <f t="shared" si="2"/>
        <v>646</v>
      </c>
      <c r="V48" s="112">
        <v>2311</v>
      </c>
      <c r="W48" s="112">
        <f t="shared" si="3"/>
        <v>-612.5</v>
      </c>
      <c r="X48" s="112">
        <v>1086</v>
      </c>
      <c r="Y48" s="112">
        <f t="shared" si="4"/>
        <v>0</v>
      </c>
      <c r="Z48" s="112">
        <v>1086</v>
      </c>
      <c r="AA48" s="112">
        <f t="shared" si="5"/>
        <v>0</v>
      </c>
      <c r="AB48" s="112">
        <v>1086</v>
      </c>
      <c r="AC48" s="112">
        <f t="shared" si="6"/>
        <v>0</v>
      </c>
      <c r="AD48" s="112">
        <v>1086</v>
      </c>
      <c r="AE48" s="113">
        <f t="shared" si="7"/>
        <v>1086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1164</v>
      </c>
      <c r="S49" s="108">
        <f t="shared" si="1"/>
        <v>14</v>
      </c>
      <c r="T49" s="108">
        <v>1192</v>
      </c>
      <c r="U49" s="108">
        <f t="shared" si="2"/>
        <v>880</v>
      </c>
      <c r="V49" s="108">
        <v>2952</v>
      </c>
      <c r="W49" s="108">
        <f t="shared" si="3"/>
        <v>0</v>
      </c>
      <c r="X49" s="108">
        <v>2952</v>
      </c>
      <c r="Y49" s="108">
        <f t="shared" si="4"/>
        <v>0</v>
      </c>
      <c r="Z49" s="108">
        <v>2952</v>
      </c>
      <c r="AA49" s="108">
        <f t="shared" si="5"/>
        <v>0</v>
      </c>
      <c r="AB49" s="108">
        <v>2952</v>
      </c>
      <c r="AC49" s="108">
        <f t="shared" si="6"/>
        <v>0</v>
      </c>
      <c r="AD49" s="108">
        <v>2952</v>
      </c>
      <c r="AE49" s="109">
        <f t="shared" si="7"/>
        <v>2952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385</v>
      </c>
      <c r="S50" s="106">
        <f t="shared" si="1"/>
        <v>78</v>
      </c>
      <c r="T50" s="106">
        <v>541</v>
      </c>
      <c r="U50" s="106">
        <f t="shared" si="2"/>
        <v>0</v>
      </c>
      <c r="V50" s="106">
        <v>541</v>
      </c>
      <c r="W50" s="106">
        <f t="shared" si="3"/>
        <v>-27.5</v>
      </c>
      <c r="X50" s="106">
        <v>486</v>
      </c>
      <c r="Y50" s="106">
        <f t="shared" si="4"/>
        <v>0</v>
      </c>
      <c r="Z50" s="106">
        <v>486</v>
      </c>
      <c r="AA50" s="106">
        <f t="shared" si="5"/>
        <v>0</v>
      </c>
      <c r="AB50" s="106">
        <v>486</v>
      </c>
      <c r="AC50" s="106">
        <f t="shared" si="6"/>
        <v>0</v>
      </c>
      <c r="AD50" s="106">
        <v>486</v>
      </c>
      <c r="AE50" s="107">
        <f t="shared" si="7"/>
        <v>486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1200</v>
      </c>
      <c r="S51" s="108">
        <f t="shared" si="1"/>
        <v>0</v>
      </c>
      <c r="T51" s="108">
        <v>1200</v>
      </c>
      <c r="U51" s="108">
        <f t="shared" si="2"/>
        <v>-298.5</v>
      </c>
      <c r="V51" s="108">
        <v>603</v>
      </c>
      <c r="W51" s="108">
        <f t="shared" si="3"/>
        <v>0</v>
      </c>
      <c r="X51" s="108">
        <v>603</v>
      </c>
      <c r="Y51" s="108">
        <f t="shared" si="4"/>
        <v>0</v>
      </c>
      <c r="Z51" s="108">
        <v>603</v>
      </c>
      <c r="AA51" s="108">
        <f t="shared" si="5"/>
        <v>0</v>
      </c>
      <c r="AB51" s="108">
        <v>603</v>
      </c>
      <c r="AC51" s="108">
        <f t="shared" si="6"/>
        <v>0</v>
      </c>
      <c r="AD51" s="108">
        <v>603</v>
      </c>
      <c r="AE51" s="109">
        <f t="shared" si="7"/>
        <v>603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177</v>
      </c>
      <c r="S52" s="106">
        <f t="shared" si="1"/>
        <v>162</v>
      </c>
      <c r="T52" s="106">
        <v>501</v>
      </c>
      <c r="U52" s="106">
        <f t="shared" si="2"/>
        <v>52.5</v>
      </c>
      <c r="V52" s="106">
        <v>606</v>
      </c>
      <c r="W52" s="106">
        <f t="shared" si="3"/>
        <v>-56.5</v>
      </c>
      <c r="X52" s="106">
        <v>493</v>
      </c>
      <c r="Y52" s="106">
        <f t="shared" si="4"/>
        <v>0</v>
      </c>
      <c r="Z52" s="106">
        <v>493</v>
      </c>
      <c r="AA52" s="106">
        <f t="shared" si="5"/>
        <v>0</v>
      </c>
      <c r="AB52" s="106">
        <v>493</v>
      </c>
      <c r="AC52" s="106">
        <f t="shared" si="6"/>
        <v>0</v>
      </c>
      <c r="AD52" s="106">
        <v>493</v>
      </c>
      <c r="AE52" s="107">
        <f t="shared" si="7"/>
        <v>493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836</v>
      </c>
      <c r="V53" s="108">
        <v>1672</v>
      </c>
      <c r="W53" s="108">
        <f t="shared" si="3"/>
        <v>454.5</v>
      </c>
      <c r="X53" s="108">
        <v>2581</v>
      </c>
      <c r="Y53" s="108">
        <f t="shared" si="4"/>
        <v>0</v>
      </c>
      <c r="Z53" s="108">
        <v>2581</v>
      </c>
      <c r="AA53" s="108">
        <f t="shared" si="5"/>
        <v>0</v>
      </c>
      <c r="AB53" s="108">
        <v>2581</v>
      </c>
      <c r="AC53" s="108">
        <f t="shared" si="6"/>
        <v>0</v>
      </c>
      <c r="AD53" s="108">
        <v>2581</v>
      </c>
      <c r="AE53" s="109">
        <f t="shared" si="7"/>
        <v>2581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1833</v>
      </c>
      <c r="S57" s="104">
        <f t="shared" si="1"/>
        <v>119.5</v>
      </c>
      <c r="T57" s="104">
        <v>2072</v>
      </c>
      <c r="U57" s="104">
        <f t="shared" si="2"/>
        <v>212</v>
      </c>
      <c r="V57" s="104">
        <v>2496</v>
      </c>
      <c r="W57" s="104">
        <f t="shared" si="3"/>
        <v>0</v>
      </c>
      <c r="X57" s="104">
        <v>2496</v>
      </c>
      <c r="Y57" s="104">
        <f t="shared" si="4"/>
        <v>0</v>
      </c>
      <c r="Z57" s="104">
        <v>2496</v>
      </c>
      <c r="AA57" s="104">
        <f t="shared" si="5"/>
        <v>0</v>
      </c>
      <c r="AB57" s="104">
        <v>2496</v>
      </c>
      <c r="AC57" s="104">
        <f t="shared" si="6"/>
        <v>0</v>
      </c>
      <c r="AD57" s="104">
        <v>2496</v>
      </c>
      <c r="AE57" s="105">
        <f t="shared" si="7"/>
        <v>2496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725</v>
      </c>
      <c r="S58" s="106">
        <f t="shared" si="1"/>
        <v>147.5</v>
      </c>
      <c r="T58" s="106">
        <v>1020</v>
      </c>
      <c r="U58" s="106">
        <f t="shared" si="2"/>
        <v>826</v>
      </c>
      <c r="V58" s="106">
        <v>2672</v>
      </c>
      <c r="W58" s="106">
        <f t="shared" si="3"/>
        <v>0</v>
      </c>
      <c r="X58" s="106">
        <v>2672</v>
      </c>
      <c r="Y58" s="106">
        <f t="shared" si="4"/>
        <v>0</v>
      </c>
      <c r="Z58" s="106">
        <v>2672</v>
      </c>
      <c r="AA58" s="106">
        <f t="shared" si="5"/>
        <v>0</v>
      </c>
      <c r="AB58" s="106">
        <v>2672</v>
      </c>
      <c r="AC58" s="106">
        <f t="shared" si="6"/>
        <v>0</v>
      </c>
      <c r="AD58" s="106">
        <v>2672</v>
      </c>
      <c r="AE58" s="107">
        <f t="shared" si="7"/>
        <v>2672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990</v>
      </c>
      <c r="S59" s="108">
        <f t="shared" si="1"/>
        <v>161</v>
      </c>
      <c r="T59" s="108">
        <v>1312</v>
      </c>
      <c r="U59" s="108">
        <f t="shared" si="2"/>
        <v>33.5</v>
      </c>
      <c r="V59" s="108">
        <v>1379</v>
      </c>
      <c r="W59" s="108">
        <f t="shared" si="3"/>
        <v>0</v>
      </c>
      <c r="X59" s="108">
        <v>1379</v>
      </c>
      <c r="Y59" s="108">
        <f t="shared" si="4"/>
        <v>0</v>
      </c>
      <c r="Z59" s="108">
        <v>1379</v>
      </c>
      <c r="AA59" s="108">
        <f t="shared" si="5"/>
        <v>0</v>
      </c>
      <c r="AB59" s="108">
        <v>1379</v>
      </c>
      <c r="AC59" s="108">
        <f t="shared" si="6"/>
        <v>0</v>
      </c>
      <c r="AD59" s="108">
        <v>1379</v>
      </c>
      <c r="AE59" s="109">
        <f t="shared" si="7"/>
        <v>1379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0</v>
      </c>
      <c r="S60" s="114">
        <f t="shared" si="1"/>
        <v>319</v>
      </c>
      <c r="T60" s="114">
        <v>638</v>
      </c>
      <c r="U60" s="114">
        <f t="shared" si="2"/>
        <v>5</v>
      </c>
      <c r="V60" s="114">
        <v>648</v>
      </c>
      <c r="W60" s="114">
        <f t="shared" si="3"/>
        <v>0</v>
      </c>
      <c r="X60" s="114">
        <v>648</v>
      </c>
      <c r="Y60" s="114">
        <f t="shared" si="4"/>
        <v>0</v>
      </c>
      <c r="Z60" s="114">
        <v>648</v>
      </c>
      <c r="AA60" s="114">
        <f t="shared" si="5"/>
        <v>0</v>
      </c>
      <c r="AB60" s="114">
        <v>648</v>
      </c>
      <c r="AC60" s="114">
        <f t="shared" si="6"/>
        <v>0</v>
      </c>
      <c r="AD60" s="114">
        <v>648</v>
      </c>
      <c r="AE60" s="115">
        <f t="shared" si="7"/>
        <v>648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798</v>
      </c>
      <c r="S61" s="104">
        <f t="shared" si="1"/>
        <v>184</v>
      </c>
      <c r="T61" s="104">
        <v>1166</v>
      </c>
      <c r="U61" s="104">
        <f t="shared" si="2"/>
        <v>211.5</v>
      </c>
      <c r="V61" s="104">
        <v>1589</v>
      </c>
      <c r="W61" s="104">
        <f t="shared" si="3"/>
        <v>-355.5</v>
      </c>
      <c r="X61" s="104">
        <v>878</v>
      </c>
      <c r="Y61" s="104">
        <f t="shared" si="4"/>
        <v>-63.5</v>
      </c>
      <c r="Z61" s="104">
        <v>751</v>
      </c>
      <c r="AA61" s="104">
        <f t="shared" si="5"/>
        <v>0</v>
      </c>
      <c r="AB61" s="104">
        <v>751</v>
      </c>
      <c r="AC61" s="104">
        <f t="shared" si="6"/>
        <v>0</v>
      </c>
      <c r="AD61" s="104">
        <v>751</v>
      </c>
      <c r="AE61" s="105">
        <f t="shared" si="7"/>
        <v>751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260</v>
      </c>
      <c r="S62" s="106">
        <f t="shared" si="1"/>
        <v>84</v>
      </c>
      <c r="T62" s="106">
        <v>428</v>
      </c>
      <c r="U62" s="106">
        <f t="shared" si="2"/>
        <v>115</v>
      </c>
      <c r="V62" s="106">
        <v>658</v>
      </c>
      <c r="W62" s="106">
        <f t="shared" si="3"/>
        <v>79</v>
      </c>
      <c r="X62" s="106">
        <v>816</v>
      </c>
      <c r="Y62" s="106">
        <f t="shared" si="4"/>
        <v>45</v>
      </c>
      <c r="Z62" s="106">
        <v>906</v>
      </c>
      <c r="AA62" s="106">
        <f t="shared" si="5"/>
        <v>0</v>
      </c>
      <c r="AB62" s="106">
        <v>906</v>
      </c>
      <c r="AC62" s="106">
        <f t="shared" si="6"/>
        <v>0</v>
      </c>
      <c r="AD62" s="106">
        <v>906</v>
      </c>
      <c r="AE62" s="107">
        <f t="shared" si="7"/>
        <v>906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226</v>
      </c>
      <c r="S63" s="108">
        <f t="shared" si="1"/>
        <v>48.5</v>
      </c>
      <c r="T63" s="108">
        <v>323</v>
      </c>
      <c r="U63" s="108">
        <f t="shared" si="2"/>
        <v>0</v>
      </c>
      <c r="V63" s="108">
        <v>323</v>
      </c>
      <c r="W63" s="108">
        <f t="shared" si="3"/>
        <v>147</v>
      </c>
      <c r="X63" s="108">
        <v>617</v>
      </c>
      <c r="Y63" s="108">
        <f t="shared" si="4"/>
        <v>179</v>
      </c>
      <c r="Z63" s="108">
        <v>975</v>
      </c>
      <c r="AA63" s="108">
        <f t="shared" si="5"/>
        <v>0</v>
      </c>
      <c r="AB63" s="108">
        <v>975</v>
      </c>
      <c r="AC63" s="108">
        <f t="shared" si="6"/>
        <v>0</v>
      </c>
      <c r="AD63" s="108">
        <v>975</v>
      </c>
      <c r="AE63" s="109">
        <f t="shared" si="7"/>
        <v>975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892</v>
      </c>
      <c r="S64" s="114">
        <f t="shared" si="1"/>
        <v>616.5</v>
      </c>
      <c r="T64" s="114">
        <v>2125</v>
      </c>
      <c r="U64" s="114">
        <f t="shared" si="2"/>
        <v>516</v>
      </c>
      <c r="V64" s="114">
        <v>3157</v>
      </c>
      <c r="W64" s="114">
        <f t="shared" si="3"/>
        <v>-59</v>
      </c>
      <c r="X64" s="114">
        <v>3039</v>
      </c>
      <c r="Y64" s="114">
        <f t="shared" si="4"/>
        <v>8.5</v>
      </c>
      <c r="Z64" s="114">
        <v>3056</v>
      </c>
      <c r="AA64" s="114">
        <f t="shared" si="5"/>
        <v>0</v>
      </c>
      <c r="AB64" s="114">
        <v>3056</v>
      </c>
      <c r="AC64" s="114">
        <f t="shared" si="6"/>
        <v>0</v>
      </c>
      <c r="AD64" s="114">
        <v>3056</v>
      </c>
      <c r="AE64" s="115">
        <f t="shared" si="7"/>
        <v>3056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83" priority="11" operator="lessThan">
      <formula>0</formula>
    </cfRule>
    <cfRule type="cellIs" dxfId="682" priority="12" operator="greaterThan">
      <formula>0</formula>
    </cfRule>
  </conditionalFormatting>
  <conditionalFormatting sqref="R25:AC25">
    <cfRule type="cellIs" dxfId="681" priority="9" operator="lessThan">
      <formula>0</formula>
    </cfRule>
    <cfRule type="cellIs" dxfId="680" priority="10" operator="greaterThan">
      <formula>0</formula>
    </cfRule>
  </conditionalFormatting>
  <conditionalFormatting sqref="R26 T26 V26 X26 Z26 AB26">
    <cfRule type="cellIs" dxfId="679" priority="7" operator="lessThan">
      <formula>0</formula>
    </cfRule>
    <cfRule type="cellIs" dxfId="678" priority="8" operator="greaterThan">
      <formula>0</formula>
    </cfRule>
  </conditionalFormatting>
  <conditionalFormatting sqref="AD24:AE24">
    <cfRule type="cellIs" dxfId="677" priority="5" operator="lessThan">
      <formula>0</formula>
    </cfRule>
    <cfRule type="cellIs" dxfId="676" priority="6" operator="greaterThan">
      <formula>0</formula>
    </cfRule>
  </conditionalFormatting>
  <conditionalFormatting sqref="AD25:AE25">
    <cfRule type="cellIs" dxfId="675" priority="3" operator="lessThan">
      <formula>0</formula>
    </cfRule>
    <cfRule type="cellIs" dxfId="674" priority="4" operator="greaterThan">
      <formula>0</formula>
    </cfRule>
  </conditionalFormatting>
  <conditionalFormatting sqref="AD26">
    <cfRule type="cellIs" dxfId="673" priority="1" operator="lessThan">
      <formula>0</formula>
    </cfRule>
    <cfRule type="cellIs" dxfId="67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>
    <tabColor theme="1"/>
    <pageSetUpPr fitToPage="1"/>
  </sheetPr>
  <dimension ref="B1:AQ64"/>
  <sheetViews>
    <sheetView topLeftCell="G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44462</v>
      </c>
    </row>
    <row r="3" spans="2:42" ht="18.75" customHeight="1" thickBot="1" x14ac:dyDescent="0.35">
      <c r="B3" t="s">
        <v>1</v>
      </c>
      <c r="C3" s="3">
        <f>C2+1</f>
        <v>44463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6088</v>
      </c>
      <c r="E6" s="18" t="s">
        <v>22</v>
      </c>
      <c r="F6" s="119">
        <v>23153</v>
      </c>
      <c r="G6" s="117">
        <v>11661.205875</v>
      </c>
      <c r="H6" s="117">
        <v>270.8</v>
      </c>
      <c r="I6" s="19">
        <f>G6+H6</f>
        <v>11932.005874999999</v>
      </c>
      <c r="J6" s="119">
        <v>24307</v>
      </c>
      <c r="K6" s="117">
        <v>12214.892250000001</v>
      </c>
      <c r="L6" s="117">
        <v>259.07017500000001</v>
      </c>
      <c r="M6" s="19">
        <f>K6+L6</f>
        <v>12473.962425000002</v>
      </c>
      <c r="N6" s="85">
        <v>63</v>
      </c>
      <c r="O6" s="85">
        <v>52</v>
      </c>
      <c r="P6" s="92"/>
      <c r="Q6" s="20">
        <f>J6-P6</f>
        <v>24307</v>
      </c>
      <c r="R6" s="21">
        <v>2833</v>
      </c>
      <c r="S6" s="20">
        <f>IF(R6&gt;0,(R6-R7-$Q6),"")</f>
        <v>-21545</v>
      </c>
      <c r="T6" s="21">
        <v>5663</v>
      </c>
      <c r="U6" s="20">
        <f>IF(T6&gt;0,(T6-T7-$Q6),"")</f>
        <v>-18726</v>
      </c>
      <c r="V6" s="21">
        <v>11897</v>
      </c>
      <c r="W6" s="20">
        <f>IF(V6&gt;0,(V6-V7-$Q6),"")</f>
        <v>-12496</v>
      </c>
      <c r="X6" s="21">
        <v>19080</v>
      </c>
      <c r="Y6" s="20">
        <f>IF(X6&gt;0,(X6-X7-$Q6),"")</f>
        <v>-5321</v>
      </c>
      <c r="Z6" s="21">
        <v>19080</v>
      </c>
      <c r="AA6" s="20">
        <f>IF(Z6&gt;0,(Z6-Z7-$Q6),"")</f>
        <v>-5321</v>
      </c>
      <c r="AB6" s="21">
        <v>19080</v>
      </c>
      <c r="AC6" s="22">
        <f>IF(AB6&gt;0,(AB6-AB7-$Q6),"")</f>
        <v>-5321</v>
      </c>
      <c r="AD6" s="21">
        <v>19080</v>
      </c>
      <c r="AE6" s="22">
        <f>IF(AD6&gt;0,(AD6-AD7-$Q6),"")</f>
        <v>-5321</v>
      </c>
    </row>
    <row r="7" spans="2:42" x14ac:dyDescent="0.3">
      <c r="B7" s="16" t="s">
        <v>23</v>
      </c>
      <c r="C7" s="17">
        <v>1619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71</v>
      </c>
      <c r="S7" s="24"/>
      <c r="T7" s="25">
        <v>82</v>
      </c>
      <c r="U7" s="24"/>
      <c r="V7" s="25">
        <v>86</v>
      </c>
      <c r="W7" s="24"/>
      <c r="X7" s="25">
        <v>94</v>
      </c>
      <c r="Y7" s="24"/>
      <c r="Z7" s="25">
        <v>94</v>
      </c>
      <c r="AA7" s="24"/>
      <c r="AB7" s="25">
        <v>94</v>
      </c>
      <c r="AC7" s="26"/>
      <c r="AD7" s="25">
        <v>94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2230</v>
      </c>
      <c r="E8" s="29" t="s">
        <v>27</v>
      </c>
      <c r="F8" s="119">
        <v>5126</v>
      </c>
      <c r="G8" s="117">
        <v>4356.7010000000009</v>
      </c>
      <c r="H8" s="117">
        <v>56811.543649239953</v>
      </c>
      <c r="I8" s="19">
        <f>G8+H8</f>
        <v>61168.244649239954</v>
      </c>
      <c r="J8" s="119">
        <v>4982</v>
      </c>
      <c r="K8" s="117">
        <v>4261.2859999999991</v>
      </c>
      <c r="L8" s="117">
        <v>57425.611753819983</v>
      </c>
      <c r="M8" s="19">
        <f>K8+L8</f>
        <v>61686.897753819983</v>
      </c>
      <c r="N8" s="87">
        <v>17</v>
      </c>
      <c r="O8" s="87">
        <v>13</v>
      </c>
      <c r="P8" s="92"/>
      <c r="Q8" s="20">
        <f>J8-P8</f>
        <v>4982</v>
      </c>
      <c r="R8" s="21">
        <v>614</v>
      </c>
      <c r="S8" s="20">
        <f>IF(R8&gt;0,(R8-R9-$Q8),"")</f>
        <v>-4368</v>
      </c>
      <c r="T8" s="21">
        <v>918</v>
      </c>
      <c r="U8" s="20">
        <f>IF(T8&gt;0,(T8-T9-$Q8),"")</f>
        <v>-4064</v>
      </c>
      <c r="V8" s="21">
        <v>2281</v>
      </c>
      <c r="W8" s="20">
        <f>IF(V8&gt;0,(V8-V9-$Q8),"")</f>
        <v>-2704</v>
      </c>
      <c r="X8" s="21">
        <v>2281</v>
      </c>
      <c r="Y8" s="20">
        <f>IF(X8&gt;0,(X8-X9-$Q8),"")</f>
        <v>-2704</v>
      </c>
      <c r="Z8" s="21">
        <v>2281</v>
      </c>
      <c r="AA8" s="20">
        <f>IF(Z8&gt;0,(Z8-Z9-$Q8),"")</f>
        <v>-2704</v>
      </c>
      <c r="AB8" s="21">
        <v>2281</v>
      </c>
      <c r="AC8" s="22">
        <f>IF(AB8&gt;0,(AB8-AB9-$Q8),"")</f>
        <v>-2704</v>
      </c>
      <c r="AD8" s="21">
        <v>2281</v>
      </c>
      <c r="AE8" s="22">
        <f>IF(AD8&gt;0,(AD8-AD9-$Q8),"")</f>
        <v>-2704</v>
      </c>
    </row>
    <row r="9" spans="2:42" x14ac:dyDescent="0.3">
      <c r="B9" s="28" t="s">
        <v>28</v>
      </c>
      <c r="C9" s="17">
        <v>1711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3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3</v>
      </c>
      <c r="AE9" s="26"/>
    </row>
    <row r="10" spans="2:42" x14ac:dyDescent="0.3">
      <c r="B10" s="16" t="s">
        <v>30</v>
      </c>
      <c r="C10" s="17">
        <v>1938</v>
      </c>
      <c r="E10" s="18" t="s">
        <v>31</v>
      </c>
      <c r="F10" s="119">
        <v>20497</v>
      </c>
      <c r="G10" s="117">
        <v>14736.715281250001</v>
      </c>
      <c r="H10" s="117">
        <v>1209.7789634999999</v>
      </c>
      <c r="I10" s="19">
        <f>G10+H10</f>
        <v>15946.49424475</v>
      </c>
      <c r="J10" s="119">
        <v>20967</v>
      </c>
      <c r="K10" s="117">
        <v>14953.87925</v>
      </c>
      <c r="L10" s="117">
        <v>1285.2346545</v>
      </c>
      <c r="M10" s="19">
        <f>K10+L10</f>
        <v>16239.1139045</v>
      </c>
      <c r="N10" s="88">
        <v>51</v>
      </c>
      <c r="O10" s="88">
        <v>45</v>
      </c>
      <c r="P10" s="92"/>
      <c r="Q10" s="20">
        <f>J10-P10</f>
        <v>20967</v>
      </c>
      <c r="R10" s="21">
        <v>3070</v>
      </c>
      <c r="S10" s="20">
        <f>IF(R10&gt;0,(R10-R11-$Q10),"")</f>
        <v>-17914</v>
      </c>
      <c r="T10" s="21">
        <v>5669</v>
      </c>
      <c r="U10" s="20">
        <f>IF(T10&gt;0,(T10-T11-$Q10),"")</f>
        <v>-15324</v>
      </c>
      <c r="V10" s="21">
        <v>8219</v>
      </c>
      <c r="W10" s="20">
        <f>IF(V10&gt;0,(V10-V11-$Q10),"")</f>
        <v>-12792</v>
      </c>
      <c r="X10" s="21">
        <v>10883</v>
      </c>
      <c r="Y10" s="20">
        <f>IF(X10&gt;0,(X10-X11-$Q10),"")</f>
        <v>-10131</v>
      </c>
      <c r="Z10" s="21">
        <v>14159</v>
      </c>
      <c r="AA10" s="20">
        <f>IF(Z10&gt;0,(Z10-Z11-$Q10),"")</f>
        <v>-6858</v>
      </c>
      <c r="AB10" s="21">
        <v>14159</v>
      </c>
      <c r="AC10" s="22">
        <f>IF(AB10&gt;0,(AB10-AB11-$Q10),"")</f>
        <v>-6858</v>
      </c>
      <c r="AD10" s="21">
        <v>14159</v>
      </c>
      <c r="AE10" s="22">
        <f>IF(AD10&gt;0,(AD10-AD11-$Q10),"")</f>
        <v>-6858</v>
      </c>
    </row>
    <row r="11" spans="2:42" x14ac:dyDescent="0.3">
      <c r="B11" s="16" t="s">
        <v>38</v>
      </c>
      <c r="C11" s="17">
        <v>13416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17</v>
      </c>
      <c r="S11" s="24"/>
      <c r="T11" s="30">
        <v>26</v>
      </c>
      <c r="U11" s="24"/>
      <c r="V11" s="30">
        <v>44</v>
      </c>
      <c r="W11" s="24"/>
      <c r="X11" s="30">
        <v>47</v>
      </c>
      <c r="Y11" s="24"/>
      <c r="Z11" s="30">
        <v>50</v>
      </c>
      <c r="AA11" s="24"/>
      <c r="AB11" s="30">
        <v>50</v>
      </c>
      <c r="AC11" s="26"/>
      <c r="AD11" s="30">
        <v>50</v>
      </c>
      <c r="AE11" s="26"/>
    </row>
    <row r="12" spans="2:42" x14ac:dyDescent="0.3">
      <c r="B12" s="16" t="s">
        <v>40</v>
      </c>
      <c r="C12" s="17">
        <v>1799</v>
      </c>
      <c r="E12" s="29" t="s">
        <v>35</v>
      </c>
      <c r="F12" s="119">
        <v>11617</v>
      </c>
      <c r="G12" s="117">
        <v>11327.326499999999</v>
      </c>
      <c r="H12" s="117">
        <v>16010.320217470011</v>
      </c>
      <c r="I12" s="19">
        <f>G12+H12</f>
        <v>27337.646717470008</v>
      </c>
      <c r="J12" s="119">
        <v>11752</v>
      </c>
      <c r="K12" s="117">
        <v>11139.614</v>
      </c>
      <c r="L12" s="117">
        <v>15722.52328072001</v>
      </c>
      <c r="M12" s="19">
        <f>K12+L12</f>
        <v>26862.13728072001</v>
      </c>
      <c r="N12" s="88">
        <v>45</v>
      </c>
      <c r="O12" s="88">
        <v>35</v>
      </c>
      <c r="P12" s="92"/>
      <c r="Q12" s="20">
        <f>J12-P12</f>
        <v>11752</v>
      </c>
      <c r="R12" s="21">
        <v>5720</v>
      </c>
      <c r="S12" s="20">
        <f>IF(R12&gt;0,(R12-R13-$Q12),"")</f>
        <v>-6307</v>
      </c>
      <c r="T12" s="21">
        <v>7903</v>
      </c>
      <c r="U12" s="20">
        <f>IF(T12&gt;0,(T12-T13-$Q12),"")</f>
        <v>-4172</v>
      </c>
      <c r="V12" s="21">
        <v>11240</v>
      </c>
      <c r="W12" s="20">
        <f>IF(V12&gt;0,(V12-V13-$Q12),"")</f>
        <v>-927</v>
      </c>
      <c r="X12" s="21">
        <v>11240</v>
      </c>
      <c r="Y12" s="20">
        <f>IF(X12&gt;0,(X12-X13-$Q12),"")</f>
        <v>-927</v>
      </c>
      <c r="Z12" s="21">
        <v>11240</v>
      </c>
      <c r="AA12" s="20">
        <f>IF(Z12&gt;0,(Z12-Z13-$Q12),"")</f>
        <v>-927</v>
      </c>
      <c r="AB12" s="21">
        <v>11240</v>
      </c>
      <c r="AC12" s="22">
        <f>IF(AB12&gt;0,(AB12-AB13-$Q12),"")</f>
        <v>-927</v>
      </c>
      <c r="AD12" s="21">
        <v>11240</v>
      </c>
      <c r="AE12" s="22">
        <f>IF(AD12&gt;0,(AD12-AD13-$Q12),"")</f>
        <v>-927</v>
      </c>
    </row>
    <row r="13" spans="2:42" x14ac:dyDescent="0.3">
      <c r="B13" s="28" t="s">
        <v>42</v>
      </c>
      <c r="C13" s="17">
        <v>14088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275</v>
      </c>
      <c r="S13" s="24"/>
      <c r="T13" s="30">
        <v>323</v>
      </c>
      <c r="U13" s="24"/>
      <c r="V13" s="30">
        <v>415</v>
      </c>
      <c r="W13" s="24"/>
      <c r="X13" s="30">
        <v>415</v>
      </c>
      <c r="Y13" s="24"/>
      <c r="Z13" s="30">
        <v>415</v>
      </c>
      <c r="AA13" s="24"/>
      <c r="AB13" s="30">
        <v>415</v>
      </c>
      <c r="AC13" s="26"/>
      <c r="AD13" s="30">
        <v>415</v>
      </c>
      <c r="AE13" s="26"/>
    </row>
    <row r="14" spans="2:42" x14ac:dyDescent="0.3">
      <c r="B14" s="43" t="s">
        <v>47</v>
      </c>
      <c r="C14" s="17">
        <v>1050</v>
      </c>
      <c r="E14" s="18" t="s">
        <v>39</v>
      </c>
      <c r="F14" s="119">
        <v>17891</v>
      </c>
      <c r="G14" s="117">
        <v>13936.5</v>
      </c>
      <c r="H14" s="117">
        <v>30969.297779680001</v>
      </c>
      <c r="I14" s="19">
        <f>G14+H14</f>
        <v>44905.797779679997</v>
      </c>
      <c r="J14" s="119">
        <v>17578</v>
      </c>
      <c r="K14" s="117">
        <v>14446.71875</v>
      </c>
      <c r="L14" s="117">
        <v>30653.114109599981</v>
      </c>
      <c r="M14" s="19">
        <f>K14+L14</f>
        <v>45099.832859599977</v>
      </c>
      <c r="N14" s="88">
        <v>64</v>
      </c>
      <c r="O14" s="88">
        <v>46</v>
      </c>
      <c r="P14" s="92"/>
      <c r="Q14" s="20">
        <f>J14-P14</f>
        <v>17578</v>
      </c>
      <c r="R14" s="21">
        <v>3220</v>
      </c>
      <c r="S14" s="20">
        <f>IF(R14&gt;0,(R14-R15-$Q14),"")</f>
        <v>-14628</v>
      </c>
      <c r="T14" s="21">
        <v>6114</v>
      </c>
      <c r="U14" s="20">
        <f>IF(T14&gt;0,(T14-T15-$Q14),"")</f>
        <v>-11747</v>
      </c>
      <c r="V14" s="21">
        <v>7727</v>
      </c>
      <c r="W14" s="20">
        <f>IF(V14&gt;0,(V14-V15-$Q14),"")</f>
        <v>-10143</v>
      </c>
      <c r="X14" s="21">
        <v>6052</v>
      </c>
      <c r="Y14" s="20">
        <f>IF(X14&gt;0,(X14-X15-$Q14),"")</f>
        <v>-11825</v>
      </c>
      <c r="Z14" s="21">
        <v>6052</v>
      </c>
      <c r="AA14" s="20">
        <f>IF(Z14&gt;0,(Z14-Z15-$Q14),"")</f>
        <v>-11825</v>
      </c>
      <c r="AB14" s="21">
        <v>6052</v>
      </c>
      <c r="AC14" s="22">
        <f>IF(AB14&gt;0,(AB14-AB15-$Q14),"")</f>
        <v>-11825</v>
      </c>
      <c r="AD14" s="21">
        <v>6052</v>
      </c>
      <c r="AE14" s="22">
        <f>IF(AD14&gt;0,(AD14-AD15-$Q14),"")</f>
        <v>-11825</v>
      </c>
    </row>
    <row r="15" spans="2:42" ht="15" customHeight="1" thickBot="1" x14ac:dyDescent="0.35">
      <c r="B15" s="43" t="s">
        <v>48</v>
      </c>
      <c r="C15" s="50">
        <v>279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270</v>
      </c>
      <c r="S15" s="24"/>
      <c r="T15" s="25">
        <v>283</v>
      </c>
      <c r="U15" s="24"/>
      <c r="V15" s="25">
        <v>292</v>
      </c>
      <c r="W15" s="24"/>
      <c r="X15" s="25">
        <v>299</v>
      </c>
      <c r="Y15" s="24"/>
      <c r="Z15" s="25">
        <v>299</v>
      </c>
      <c r="AA15" s="24"/>
      <c r="AB15" s="25">
        <v>299</v>
      </c>
      <c r="AC15" s="26"/>
      <c r="AD15" s="25">
        <v>299</v>
      </c>
      <c r="AE15" s="26"/>
    </row>
    <row r="16" spans="2:42" ht="15" customHeight="1" thickBot="1" x14ac:dyDescent="0.35">
      <c r="B16" s="16" t="s">
        <v>50</v>
      </c>
      <c r="C16" s="17">
        <v>9373</v>
      </c>
      <c r="E16" s="84"/>
      <c r="F16" s="31">
        <f t="shared" ref="F16:M16" si="0">SUM(F6:F15)</f>
        <v>78284</v>
      </c>
      <c r="G16" s="31">
        <f t="shared" si="0"/>
        <v>56018.448656249995</v>
      </c>
      <c r="H16" s="31">
        <f t="shared" si="0"/>
        <v>105271.74060988997</v>
      </c>
      <c r="I16" s="32">
        <f t="shared" si="0"/>
        <v>161290.18926613993</v>
      </c>
      <c r="J16" s="33">
        <f t="shared" si="0"/>
        <v>79586</v>
      </c>
      <c r="K16" s="33">
        <f t="shared" si="0"/>
        <v>57016.390250000004</v>
      </c>
      <c r="L16" s="33">
        <f t="shared" si="0"/>
        <v>105345.55397363997</v>
      </c>
      <c r="M16" s="33">
        <f t="shared" si="0"/>
        <v>162361.94422363996</v>
      </c>
      <c r="N16" s="31">
        <f>SUM(N14,N12,N10,N8,N6)</f>
        <v>240</v>
      </c>
      <c r="O16" s="31">
        <f>SUM(O14,O12,O10,O8,O6)</f>
        <v>191</v>
      </c>
      <c r="P16" s="34">
        <f>SUM(P6:P15)</f>
        <v>0</v>
      </c>
      <c r="Q16" s="34">
        <f>SUM(Q6:Q15)</f>
        <v>79586</v>
      </c>
      <c r="R16" s="35">
        <f>R6+R8+R10+R12+R14-R7-R9-R11-R13-R15</f>
        <v>14824</v>
      </c>
      <c r="S16" s="36">
        <f>IF(R16&gt;1,(R16-$Q16),"")</f>
        <v>-64762</v>
      </c>
      <c r="T16" s="35">
        <f>T6+T8+T10+T12+T14-T7-T9-T11-T13-T15</f>
        <v>25553</v>
      </c>
      <c r="U16" s="36">
        <f>IF(T16&gt;1,(T16-$Q16),"")</f>
        <v>-54033</v>
      </c>
      <c r="V16" s="35">
        <f>V6+V8+V10+V12+V14-V7-V9-V11-V13-V15</f>
        <v>40524</v>
      </c>
      <c r="W16" s="36">
        <f>IF(V16&gt;1,(V16-$Q16),"")</f>
        <v>-39062</v>
      </c>
      <c r="X16" s="35">
        <f>X6+X8+X10+X12+X14-X7-X9-X11-X13-X15</f>
        <v>48678</v>
      </c>
      <c r="Y16" s="36">
        <f>IF(X16&gt;1,(X16-$Q16),"")</f>
        <v>-30908</v>
      </c>
      <c r="Z16" s="35">
        <f>Z6+Z8+Z10+Z12+Z14-Z7-Z9-Z11-Z13-Z15</f>
        <v>51951</v>
      </c>
      <c r="AA16" s="36">
        <f>IF(Z16&gt;1,(Z16-$Q16),"")</f>
        <v>-27635</v>
      </c>
      <c r="AB16" s="35">
        <f>AB6+AB8+AB10+AB12+AB14-AB7-AB9-AB11-AB13-AB15</f>
        <v>51951</v>
      </c>
      <c r="AC16" s="37">
        <f>IF(AB16&gt;1,(AB16-$Q16),"")</f>
        <v>-27635</v>
      </c>
      <c r="AD16" s="35">
        <f>AD6+AD8+AD10+AD12+AD14-AD7-AD9-AD11-AD13-AD15</f>
        <v>51951</v>
      </c>
      <c r="AE16" s="37">
        <f>IF(AD16&gt;1,(AD16-$Q16),"")</f>
        <v>-27635</v>
      </c>
    </row>
    <row r="17" spans="2:43" s="4" customFormat="1" ht="15" customHeight="1" thickBot="1" x14ac:dyDescent="0.35">
      <c r="B17" s="16" t="s">
        <v>51</v>
      </c>
      <c r="C17" s="17">
        <v>2669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633</v>
      </c>
      <c r="S17" s="41"/>
      <c r="T17" s="40">
        <f>T15+T13+T11+T9+T7</f>
        <v>714</v>
      </c>
      <c r="U17" s="41"/>
      <c r="V17" s="40">
        <f>V15+V13+V11+V9+V7</f>
        <v>840</v>
      </c>
      <c r="W17" s="41"/>
      <c r="X17" s="40">
        <f>X15+X13+X11+X9+X7</f>
        <v>858</v>
      </c>
      <c r="Y17" s="41"/>
      <c r="Z17" s="40">
        <f>Z15+Z13+Z11+Z9+Z7</f>
        <v>861</v>
      </c>
      <c r="AA17" s="41"/>
      <c r="AB17" s="40">
        <f>AB15+AB13+AB11+AB9+AB7</f>
        <v>861</v>
      </c>
      <c r="AC17" s="42"/>
      <c r="AD17" s="40">
        <f>AD15+AD13+AD11+AD9+AD7</f>
        <v>861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4475</v>
      </c>
      <c r="P18" s="45" t="s">
        <v>46</v>
      </c>
      <c r="Q18" s="46"/>
      <c r="R18" s="47">
        <f>IF(R16&gt;0,(R16)/2,"")</f>
        <v>7412</v>
      </c>
      <c r="S18" s="46"/>
      <c r="T18" s="47">
        <f>IF(T16&gt;0,(T16-R16)/2,"")</f>
        <v>5364.5</v>
      </c>
      <c r="U18" s="46"/>
      <c r="V18" s="47">
        <f>IF(V16&gt;0,(V16-T16)/2,"")</f>
        <v>7485.5</v>
      </c>
      <c r="W18" s="46"/>
      <c r="X18" s="47">
        <f>IF(X16&gt;0,(X16-V16)/2,"")</f>
        <v>4077</v>
      </c>
      <c r="Y18" s="46"/>
      <c r="Z18" s="47">
        <f>IF(Z16&gt;0,(Z16-X16)/2,"")</f>
        <v>1636.5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16594</v>
      </c>
      <c r="S20" s="36">
        <v>-61375</v>
      </c>
      <c r="T20" s="35">
        <v>24055</v>
      </c>
      <c r="U20" s="36">
        <v>-53914</v>
      </c>
      <c r="V20" s="35">
        <v>37929</v>
      </c>
      <c r="W20" s="36">
        <v>-40040</v>
      </c>
      <c r="X20" s="35">
        <v>46953</v>
      </c>
      <c r="Y20" s="36">
        <v>-31016</v>
      </c>
      <c r="Z20" s="35">
        <v>47949</v>
      </c>
      <c r="AA20" s="36">
        <v>-30020</v>
      </c>
      <c r="AB20" s="35">
        <v>47949</v>
      </c>
      <c r="AC20" s="37">
        <v>-30020</v>
      </c>
      <c r="AD20" s="35">
        <v>47949</v>
      </c>
      <c r="AE20" s="37">
        <v>-30020</v>
      </c>
    </row>
    <row r="21" spans="2:43" ht="15" customHeight="1" thickBot="1" x14ac:dyDescent="0.35">
      <c r="M21" s="4"/>
      <c r="Q21" s="52"/>
      <c r="R21" s="40">
        <v>570</v>
      </c>
      <c r="S21" s="41"/>
      <c r="T21" s="40">
        <v>716</v>
      </c>
      <c r="U21" s="41"/>
      <c r="V21" s="40">
        <v>907</v>
      </c>
      <c r="W21" s="41"/>
      <c r="X21" s="40">
        <v>944</v>
      </c>
      <c r="Y21" s="41"/>
      <c r="Z21" s="40">
        <v>952</v>
      </c>
      <c r="AA21" s="41"/>
      <c r="AB21" s="40">
        <v>952</v>
      </c>
      <c r="AC21" s="42"/>
      <c r="AD21" s="40">
        <v>952</v>
      </c>
      <c r="AE21" s="42"/>
    </row>
    <row r="22" spans="2:43" ht="15" customHeight="1" thickBot="1" x14ac:dyDescent="0.35">
      <c r="M22" s="4"/>
      <c r="Q22" s="54"/>
      <c r="R22" s="47">
        <v>8297</v>
      </c>
      <c r="S22" s="46"/>
      <c r="T22" s="47">
        <v>3730.5</v>
      </c>
      <c r="U22" s="46"/>
      <c r="V22" s="47">
        <v>6937</v>
      </c>
      <c r="W22" s="46"/>
      <c r="X22" s="47">
        <v>4512</v>
      </c>
      <c r="Y22" s="46"/>
      <c r="Z22" s="47">
        <v>498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-1770</v>
      </c>
      <c r="S24" s="60"/>
      <c r="T24" s="60">
        <f>IF(T16&gt;0,T16-T20,"")</f>
        <v>1498</v>
      </c>
      <c r="U24" s="60"/>
      <c r="V24" s="60">
        <f>IF(V16&gt;0,V16-V20,"")</f>
        <v>2595</v>
      </c>
      <c r="W24" s="60"/>
      <c r="X24" s="60">
        <f>IF(X16&gt;0,X16-X20,"")</f>
        <v>1725</v>
      </c>
      <c r="Y24" s="60"/>
      <c r="Z24" s="60">
        <f>IF(Z16&gt;0,Z16-Z20,"")</f>
        <v>4002</v>
      </c>
      <c r="AA24" s="60"/>
      <c r="AB24" s="60">
        <f>IF(AB16&gt;0,AB16-AB20,"")</f>
        <v>4002</v>
      </c>
      <c r="AC24" s="61"/>
      <c r="AD24" s="60">
        <f>IF(AD16&gt;0,AD16-AD20,"")</f>
        <v>4002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63</v>
      </c>
      <c r="S25" s="64"/>
      <c r="T25" s="63">
        <f>IF(T17&gt;=0,T17-T21,"")</f>
        <v>-2</v>
      </c>
      <c r="U25" s="64"/>
      <c r="V25" s="63">
        <f>IF(V17&gt;=0,V17-V21,"")</f>
        <v>-67</v>
      </c>
      <c r="W25" s="64"/>
      <c r="X25" s="63">
        <f>IF(X17&gt;=0,X17-X21,"")</f>
        <v>-86</v>
      </c>
      <c r="Y25" s="64"/>
      <c r="Z25" s="63">
        <f>IF(Z17&gt;=0,Z17-Z21,"")</f>
        <v>-91</v>
      </c>
      <c r="AA25" s="64"/>
      <c r="AB25" s="63">
        <f>IF(AB17&gt;=0,AB17-AB21,"")</f>
        <v>-91</v>
      </c>
      <c r="AC25" s="65"/>
      <c r="AD25" s="63">
        <f>IF(AD17&gt;=0,AD17-AD21,"")</f>
        <v>-91</v>
      </c>
      <c r="AE25" s="65"/>
    </row>
    <row r="26" spans="2:43" ht="15" customHeight="1" thickBot="1" x14ac:dyDescent="0.35">
      <c r="B26" s="74" t="s">
        <v>55</v>
      </c>
      <c r="C26" s="122">
        <v>11912</v>
      </c>
      <c r="D26" s="76">
        <f>C11</f>
        <v>13416</v>
      </c>
      <c r="E26" s="77">
        <f>D26-C26</f>
        <v>1504</v>
      </c>
      <c r="M26" s="4"/>
      <c r="Q26" s="66"/>
      <c r="R26" s="67">
        <f>IFERROR(IF(R18&gt;0,R18-R22,""),"")</f>
        <v>-885</v>
      </c>
      <c r="S26" s="55"/>
      <c r="T26" s="67">
        <f>IFERROR(IF(T18&gt;0,T18-T22,""),"")</f>
        <v>1634</v>
      </c>
      <c r="U26" s="55"/>
      <c r="V26" s="67">
        <f>IFERROR(IF(V18&gt;0,V18-V22,""),"")</f>
        <v>548.5</v>
      </c>
      <c r="W26" s="55"/>
      <c r="X26" s="67">
        <f>IFERROR(IF(X18&gt;0,X18-X22,""),"")</f>
        <v>-435</v>
      </c>
      <c r="Y26" s="55"/>
      <c r="Z26" s="67">
        <f>IFERROR(IF(Z18&gt;0,Z18-Z22,""),"")</f>
        <v>1138.5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32729</v>
      </c>
      <c r="D27" s="76">
        <f>C7+C12+C13+C14+C15</f>
        <v>18835</v>
      </c>
      <c r="E27" s="77">
        <f>D27-C27</f>
        <v>-13894</v>
      </c>
      <c r="O27" s="4"/>
      <c r="AF27" s="69"/>
    </row>
    <row r="28" spans="2:43" x14ac:dyDescent="0.3">
      <c r="B28" s="74" t="s">
        <v>21</v>
      </c>
      <c r="C28" s="122">
        <v>6088</v>
      </c>
      <c r="D28" s="76">
        <f>C6</f>
        <v>6088</v>
      </c>
      <c r="E28" s="77">
        <f>D28-C28</f>
        <v>0</v>
      </c>
      <c r="O28" s="4"/>
    </row>
    <row r="29" spans="2:43" x14ac:dyDescent="0.3">
      <c r="B29" s="74" t="s">
        <v>57</v>
      </c>
      <c r="C29" s="122">
        <v>1938</v>
      </c>
      <c r="D29" s="76">
        <f>C10</f>
        <v>1938</v>
      </c>
      <c r="E29" s="77">
        <f>D29-C29</f>
        <v>0</v>
      </c>
      <c r="O29" s="4"/>
    </row>
    <row r="30" spans="2:43" x14ac:dyDescent="0.3">
      <c r="B30" s="74" t="s">
        <v>59</v>
      </c>
      <c r="C30" s="122">
        <v>15706</v>
      </c>
      <c r="D30" s="76">
        <f>C16+C17+C18</f>
        <v>16517</v>
      </c>
      <c r="E30" s="77">
        <f>D30-C30</f>
        <v>811</v>
      </c>
      <c r="J30" s="53"/>
      <c r="O30" s="4"/>
    </row>
    <row r="31" spans="2:43" ht="15" customHeight="1" thickBot="1" x14ac:dyDescent="0.35">
      <c r="B31" s="78" t="s">
        <v>60</v>
      </c>
      <c r="C31" s="121">
        <v>3941</v>
      </c>
      <c r="D31" s="80">
        <f>SUM(C8+C9)</f>
        <v>3941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866</v>
      </c>
      <c r="S35" s="104">
        <f t="shared" ref="S35:S64" si="1">IF(T35&gt;0,(T35-R35)/2,"")</f>
        <v>327.5</v>
      </c>
      <c r="T35" s="104">
        <v>1521</v>
      </c>
      <c r="U35" s="104">
        <f t="shared" ref="U35:U64" si="2">IF(V35&gt;0,(V35-T35)/2,"")</f>
        <v>681</v>
      </c>
      <c r="V35" s="104">
        <v>2883</v>
      </c>
      <c r="W35" s="104">
        <f t="shared" ref="W35:W64" si="3">IF(X35&gt;0,(X35-V35)/2,"")</f>
        <v>1178</v>
      </c>
      <c r="X35" s="104">
        <v>5239</v>
      </c>
      <c r="Y35" s="104">
        <f t="shared" ref="Y35:Y64" si="4">IF(Z35&gt;0,(Z35-X35)/2,"")</f>
        <v>0</v>
      </c>
      <c r="Z35" s="104">
        <v>5239</v>
      </c>
      <c r="AA35" s="104">
        <f t="shared" ref="AA35:AA64" si="5">IF(AB35&gt;0,(AB35-Z35)/2,"")</f>
        <v>0</v>
      </c>
      <c r="AB35" s="104">
        <v>5239</v>
      </c>
      <c r="AC35" s="104">
        <f t="shared" ref="AC35:AC64" si="6">IF(AD35&gt;0,(AD35-AB35)/2,"")</f>
        <v>0</v>
      </c>
      <c r="AD35" s="104">
        <v>5239</v>
      </c>
      <c r="AE35" s="105">
        <f t="shared" ref="AE35:AE64" si="7">AD35-Q35</f>
        <v>5239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20</v>
      </c>
      <c r="S36" s="106">
        <f t="shared" si="1"/>
        <v>-6.5</v>
      </c>
      <c r="T36" s="106">
        <v>7</v>
      </c>
      <c r="U36" s="106">
        <f t="shared" si="2"/>
        <v>0</v>
      </c>
      <c r="V36" s="106">
        <v>7</v>
      </c>
      <c r="W36" s="106">
        <f t="shared" si="3"/>
        <v>43.5</v>
      </c>
      <c r="X36" s="106">
        <v>94</v>
      </c>
      <c r="Y36" s="106">
        <f t="shared" si="4"/>
        <v>0</v>
      </c>
      <c r="Z36" s="106">
        <v>94</v>
      </c>
      <c r="AA36" s="106">
        <f t="shared" si="5"/>
        <v>0</v>
      </c>
      <c r="AB36" s="106">
        <v>94</v>
      </c>
      <c r="AC36" s="106">
        <f t="shared" si="6"/>
        <v>0</v>
      </c>
      <c r="AD36" s="106">
        <v>94</v>
      </c>
      <c r="AE36" s="107">
        <f t="shared" si="7"/>
        <v>94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1947</v>
      </c>
      <c r="S37" s="108">
        <f t="shared" si="1"/>
        <v>1094</v>
      </c>
      <c r="T37" s="108">
        <v>4135</v>
      </c>
      <c r="U37" s="108">
        <f t="shared" si="2"/>
        <v>833</v>
      </c>
      <c r="V37" s="108">
        <v>5801</v>
      </c>
      <c r="W37" s="108">
        <f t="shared" si="3"/>
        <v>281.5</v>
      </c>
      <c r="X37" s="108">
        <v>6364</v>
      </c>
      <c r="Y37" s="108">
        <f t="shared" si="4"/>
        <v>0</v>
      </c>
      <c r="Z37" s="108">
        <v>6364</v>
      </c>
      <c r="AA37" s="108">
        <f t="shared" si="5"/>
        <v>0</v>
      </c>
      <c r="AB37" s="108">
        <v>6364</v>
      </c>
      <c r="AC37" s="108">
        <f t="shared" si="6"/>
        <v>0</v>
      </c>
      <c r="AD37" s="108">
        <v>6364</v>
      </c>
      <c r="AE37" s="109">
        <f t="shared" si="7"/>
        <v>6364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1503</v>
      </c>
      <c r="V38" s="106">
        <v>3006</v>
      </c>
      <c r="W38" s="106">
        <f t="shared" si="3"/>
        <v>566.5</v>
      </c>
      <c r="X38" s="106">
        <v>4139</v>
      </c>
      <c r="Y38" s="106">
        <f t="shared" si="4"/>
        <v>0</v>
      </c>
      <c r="Z38" s="106">
        <v>4139</v>
      </c>
      <c r="AA38" s="106">
        <f t="shared" si="5"/>
        <v>0</v>
      </c>
      <c r="AB38" s="106">
        <v>4139</v>
      </c>
      <c r="AC38" s="106">
        <f t="shared" si="6"/>
        <v>0</v>
      </c>
      <c r="AD38" s="106">
        <v>4139</v>
      </c>
      <c r="AE38" s="107">
        <f t="shared" si="7"/>
        <v>4139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100</v>
      </c>
      <c r="V39" s="108">
        <v>200</v>
      </c>
      <c r="W39" s="108">
        <f t="shared" si="3"/>
        <v>1522</v>
      </c>
      <c r="X39" s="108">
        <v>3244</v>
      </c>
      <c r="Y39" s="108">
        <f t="shared" si="4"/>
        <v>0</v>
      </c>
      <c r="Z39" s="108">
        <v>3244</v>
      </c>
      <c r="AA39" s="108">
        <f t="shared" si="5"/>
        <v>0</v>
      </c>
      <c r="AB39" s="108">
        <v>3244</v>
      </c>
      <c r="AC39" s="108">
        <f t="shared" si="6"/>
        <v>0</v>
      </c>
      <c r="AD39" s="108">
        <v>3244</v>
      </c>
      <c r="AE39" s="109">
        <f t="shared" si="7"/>
        <v>3244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314</v>
      </c>
      <c r="S44" s="112">
        <f t="shared" si="1"/>
        <v>130</v>
      </c>
      <c r="T44" s="112">
        <v>574</v>
      </c>
      <c r="U44" s="112">
        <f t="shared" si="2"/>
        <v>16</v>
      </c>
      <c r="V44" s="112">
        <v>606</v>
      </c>
      <c r="W44" s="112">
        <f t="shared" si="3"/>
        <v>0</v>
      </c>
      <c r="X44" s="112">
        <v>606</v>
      </c>
      <c r="Y44" s="112">
        <f t="shared" si="4"/>
        <v>0</v>
      </c>
      <c r="Z44" s="112">
        <v>606</v>
      </c>
      <c r="AA44" s="112">
        <f t="shared" si="5"/>
        <v>0</v>
      </c>
      <c r="AB44" s="112">
        <v>606</v>
      </c>
      <c r="AC44" s="112">
        <f t="shared" si="6"/>
        <v>0</v>
      </c>
      <c r="AD44" s="112">
        <v>606</v>
      </c>
      <c r="AE44" s="113">
        <f t="shared" si="7"/>
        <v>606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300</v>
      </c>
      <c r="S45" s="108">
        <f t="shared" si="1"/>
        <v>22</v>
      </c>
      <c r="T45" s="108">
        <v>344</v>
      </c>
      <c r="U45" s="108">
        <f t="shared" si="2"/>
        <v>665.5</v>
      </c>
      <c r="V45" s="108">
        <v>1675</v>
      </c>
      <c r="W45" s="108">
        <f t="shared" si="3"/>
        <v>0</v>
      </c>
      <c r="X45" s="108">
        <v>1675</v>
      </c>
      <c r="Y45" s="108">
        <f t="shared" si="4"/>
        <v>0</v>
      </c>
      <c r="Z45" s="108">
        <v>1675</v>
      </c>
      <c r="AA45" s="108">
        <f t="shared" si="5"/>
        <v>0</v>
      </c>
      <c r="AB45" s="108">
        <v>1675</v>
      </c>
      <c r="AC45" s="108">
        <f t="shared" si="6"/>
        <v>0</v>
      </c>
      <c r="AD45" s="108">
        <v>1675</v>
      </c>
      <c r="AE45" s="109">
        <f t="shared" si="7"/>
        <v>1675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21</v>
      </c>
      <c r="S48" s="112">
        <f t="shared" si="1"/>
        <v>544</v>
      </c>
      <c r="T48" s="112">
        <v>1109</v>
      </c>
      <c r="U48" s="112">
        <f t="shared" si="2"/>
        <v>95.5</v>
      </c>
      <c r="V48" s="112">
        <v>1300</v>
      </c>
      <c r="W48" s="112">
        <f t="shared" si="3"/>
        <v>597.5</v>
      </c>
      <c r="X48" s="112">
        <v>2495</v>
      </c>
      <c r="Y48" s="112">
        <f t="shared" si="4"/>
        <v>0</v>
      </c>
      <c r="Z48" s="112">
        <v>2495</v>
      </c>
      <c r="AA48" s="112">
        <f t="shared" si="5"/>
        <v>0</v>
      </c>
      <c r="AB48" s="112">
        <v>2495</v>
      </c>
      <c r="AC48" s="112">
        <f t="shared" si="6"/>
        <v>0</v>
      </c>
      <c r="AD48" s="112">
        <v>2495</v>
      </c>
      <c r="AE48" s="113">
        <f t="shared" si="7"/>
        <v>2495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0</v>
      </c>
      <c r="S49" s="108">
        <f t="shared" si="1"/>
        <v>115</v>
      </c>
      <c r="T49" s="108">
        <v>230</v>
      </c>
      <c r="U49" s="108">
        <f t="shared" si="2"/>
        <v>500</v>
      </c>
      <c r="V49" s="108">
        <v>1230</v>
      </c>
      <c r="W49" s="108">
        <f t="shared" si="3"/>
        <v>0</v>
      </c>
      <c r="X49" s="108">
        <v>1230</v>
      </c>
      <c r="Y49" s="108">
        <f t="shared" si="4"/>
        <v>838</v>
      </c>
      <c r="Z49" s="108">
        <v>2906</v>
      </c>
      <c r="AA49" s="108">
        <f t="shared" si="5"/>
        <v>0</v>
      </c>
      <c r="AB49" s="108">
        <v>2906</v>
      </c>
      <c r="AC49" s="108">
        <f t="shared" si="6"/>
        <v>0</v>
      </c>
      <c r="AD49" s="108">
        <v>2906</v>
      </c>
      <c r="AE49" s="109">
        <f t="shared" si="7"/>
        <v>2906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888</v>
      </c>
      <c r="S50" s="106">
        <f t="shared" si="1"/>
        <v>216</v>
      </c>
      <c r="T50" s="106">
        <v>1320</v>
      </c>
      <c r="U50" s="106">
        <f t="shared" si="2"/>
        <v>0</v>
      </c>
      <c r="V50" s="106">
        <v>1320</v>
      </c>
      <c r="W50" s="106">
        <f t="shared" si="3"/>
        <v>390</v>
      </c>
      <c r="X50" s="106">
        <v>2100</v>
      </c>
      <c r="Y50" s="106">
        <f t="shared" si="4"/>
        <v>390</v>
      </c>
      <c r="Z50" s="106">
        <v>2880</v>
      </c>
      <c r="AA50" s="106">
        <f t="shared" si="5"/>
        <v>0</v>
      </c>
      <c r="AB50" s="106">
        <v>2880</v>
      </c>
      <c r="AC50" s="106">
        <f t="shared" si="6"/>
        <v>0</v>
      </c>
      <c r="AD50" s="106">
        <v>2880</v>
      </c>
      <c r="AE50" s="107">
        <f t="shared" si="7"/>
        <v>2880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1656</v>
      </c>
      <c r="S51" s="108">
        <f t="shared" si="1"/>
        <v>0</v>
      </c>
      <c r="T51" s="108">
        <v>1656</v>
      </c>
      <c r="U51" s="108">
        <f t="shared" si="2"/>
        <v>252</v>
      </c>
      <c r="V51" s="108">
        <v>2160</v>
      </c>
      <c r="W51" s="108">
        <f t="shared" si="3"/>
        <v>252.5</v>
      </c>
      <c r="X51" s="108">
        <v>2665</v>
      </c>
      <c r="Y51" s="108">
        <f t="shared" si="4"/>
        <v>126</v>
      </c>
      <c r="Z51" s="108">
        <v>2917</v>
      </c>
      <c r="AA51" s="108">
        <f t="shared" si="5"/>
        <v>0</v>
      </c>
      <c r="AB51" s="108">
        <v>2917</v>
      </c>
      <c r="AC51" s="108">
        <f t="shared" si="6"/>
        <v>0</v>
      </c>
      <c r="AD51" s="108">
        <v>2917</v>
      </c>
      <c r="AE51" s="109">
        <f t="shared" si="7"/>
        <v>2917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505</v>
      </c>
      <c r="S52" s="106">
        <f t="shared" si="1"/>
        <v>15</v>
      </c>
      <c r="T52" s="106">
        <v>535</v>
      </c>
      <c r="U52" s="106">
        <f t="shared" si="2"/>
        <v>13</v>
      </c>
      <c r="V52" s="106">
        <v>561</v>
      </c>
      <c r="W52" s="106">
        <f t="shared" si="3"/>
        <v>-156.5</v>
      </c>
      <c r="X52" s="106">
        <v>248</v>
      </c>
      <c r="Y52" s="106">
        <f t="shared" si="4"/>
        <v>55</v>
      </c>
      <c r="Z52" s="106">
        <v>358</v>
      </c>
      <c r="AA52" s="106">
        <f t="shared" si="5"/>
        <v>0</v>
      </c>
      <c r="AB52" s="106">
        <v>358</v>
      </c>
      <c r="AC52" s="106">
        <f t="shared" si="6"/>
        <v>0</v>
      </c>
      <c r="AD52" s="106">
        <v>358</v>
      </c>
      <c r="AE52" s="107">
        <f t="shared" si="7"/>
        <v>358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409.5</v>
      </c>
      <c r="T53" s="108">
        <v>819</v>
      </c>
      <c r="U53" s="108">
        <f t="shared" si="2"/>
        <v>414.5</v>
      </c>
      <c r="V53" s="108">
        <v>1648</v>
      </c>
      <c r="W53" s="108">
        <f t="shared" si="3"/>
        <v>248.5</v>
      </c>
      <c r="X53" s="108">
        <v>2145</v>
      </c>
      <c r="Y53" s="108">
        <f t="shared" si="4"/>
        <v>229</v>
      </c>
      <c r="Z53" s="108">
        <v>2603</v>
      </c>
      <c r="AA53" s="108">
        <f t="shared" si="5"/>
        <v>0</v>
      </c>
      <c r="AB53" s="108">
        <v>2603</v>
      </c>
      <c r="AC53" s="108">
        <f t="shared" si="6"/>
        <v>0</v>
      </c>
      <c r="AD53" s="108">
        <v>2603</v>
      </c>
      <c r="AE53" s="109">
        <f t="shared" si="7"/>
        <v>2603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1504</v>
      </c>
      <c r="S57" s="104">
        <f t="shared" si="1"/>
        <v>367.5</v>
      </c>
      <c r="T57" s="104">
        <v>2239</v>
      </c>
      <c r="U57" s="104">
        <f t="shared" si="2"/>
        <v>201.5</v>
      </c>
      <c r="V57" s="104">
        <v>2642</v>
      </c>
      <c r="W57" s="104">
        <f t="shared" si="3"/>
        <v>0</v>
      </c>
      <c r="X57" s="104">
        <v>2642</v>
      </c>
      <c r="Y57" s="104">
        <f t="shared" si="4"/>
        <v>0</v>
      </c>
      <c r="Z57" s="104">
        <v>2642</v>
      </c>
      <c r="AA57" s="104">
        <f t="shared" si="5"/>
        <v>0</v>
      </c>
      <c r="AB57" s="104">
        <v>2642</v>
      </c>
      <c r="AC57" s="104">
        <f t="shared" si="6"/>
        <v>0</v>
      </c>
      <c r="AD57" s="104">
        <v>2642</v>
      </c>
      <c r="AE57" s="105">
        <f t="shared" si="7"/>
        <v>2642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1131</v>
      </c>
      <c r="S58" s="106">
        <f t="shared" si="1"/>
        <v>132.5</v>
      </c>
      <c r="T58" s="106">
        <v>1396</v>
      </c>
      <c r="U58" s="106">
        <f t="shared" si="2"/>
        <v>731</v>
      </c>
      <c r="V58" s="106">
        <v>2858</v>
      </c>
      <c r="W58" s="106">
        <f t="shared" si="3"/>
        <v>0</v>
      </c>
      <c r="X58" s="106">
        <v>2858</v>
      </c>
      <c r="Y58" s="106">
        <f t="shared" si="4"/>
        <v>0</v>
      </c>
      <c r="Z58" s="106">
        <v>2858</v>
      </c>
      <c r="AA58" s="106">
        <f t="shared" si="5"/>
        <v>0</v>
      </c>
      <c r="AB58" s="106">
        <v>2858</v>
      </c>
      <c r="AC58" s="106">
        <f t="shared" si="6"/>
        <v>0</v>
      </c>
      <c r="AD58" s="106">
        <v>2858</v>
      </c>
      <c r="AE58" s="107">
        <f t="shared" si="7"/>
        <v>2858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1409</v>
      </c>
      <c r="S59" s="108">
        <f t="shared" si="1"/>
        <v>134.5</v>
      </c>
      <c r="T59" s="108">
        <v>1678</v>
      </c>
      <c r="U59" s="108">
        <f t="shared" si="2"/>
        <v>158</v>
      </c>
      <c r="V59" s="108">
        <v>1994</v>
      </c>
      <c r="W59" s="108">
        <f t="shared" si="3"/>
        <v>0</v>
      </c>
      <c r="X59" s="108">
        <v>1994</v>
      </c>
      <c r="Y59" s="108">
        <f t="shared" si="4"/>
        <v>0</v>
      </c>
      <c r="Z59" s="108">
        <v>1994</v>
      </c>
      <c r="AA59" s="108">
        <f t="shared" si="5"/>
        <v>0</v>
      </c>
      <c r="AB59" s="108">
        <v>1994</v>
      </c>
      <c r="AC59" s="108">
        <f t="shared" si="6"/>
        <v>0</v>
      </c>
      <c r="AD59" s="108">
        <v>1994</v>
      </c>
      <c r="AE59" s="109">
        <f t="shared" si="7"/>
        <v>1994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0</v>
      </c>
      <c r="S60" s="114">
        <f t="shared" si="1"/>
        <v>457</v>
      </c>
      <c r="T60" s="114">
        <v>914</v>
      </c>
      <c r="U60" s="114">
        <f t="shared" si="2"/>
        <v>1.5</v>
      </c>
      <c r="V60" s="114">
        <v>917</v>
      </c>
      <c r="W60" s="114">
        <f t="shared" si="3"/>
        <v>0</v>
      </c>
      <c r="X60" s="114">
        <v>917</v>
      </c>
      <c r="Y60" s="114">
        <f t="shared" si="4"/>
        <v>0</v>
      </c>
      <c r="Z60" s="114">
        <v>917</v>
      </c>
      <c r="AA60" s="114">
        <f t="shared" si="5"/>
        <v>0</v>
      </c>
      <c r="AB60" s="114">
        <v>917</v>
      </c>
      <c r="AC60" s="114">
        <f t="shared" si="6"/>
        <v>0</v>
      </c>
      <c r="AD60" s="114">
        <v>917</v>
      </c>
      <c r="AE60" s="115">
        <f t="shared" si="7"/>
        <v>917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141</v>
      </c>
      <c r="S61" s="104">
        <f t="shared" si="1"/>
        <v>598.5</v>
      </c>
      <c r="T61" s="104">
        <v>1338</v>
      </c>
      <c r="U61" s="104">
        <f t="shared" si="2"/>
        <v>228</v>
      </c>
      <c r="V61" s="104">
        <v>1794</v>
      </c>
      <c r="W61" s="104">
        <f t="shared" si="3"/>
        <v>-574</v>
      </c>
      <c r="X61" s="104">
        <v>646</v>
      </c>
      <c r="Y61" s="104">
        <f t="shared" si="4"/>
        <v>0</v>
      </c>
      <c r="Z61" s="104">
        <v>646</v>
      </c>
      <c r="AA61" s="104">
        <f t="shared" si="5"/>
        <v>0</v>
      </c>
      <c r="AB61" s="104">
        <v>646</v>
      </c>
      <c r="AC61" s="104">
        <f t="shared" si="6"/>
        <v>0</v>
      </c>
      <c r="AD61" s="104">
        <v>646</v>
      </c>
      <c r="AE61" s="105">
        <f t="shared" si="7"/>
        <v>646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267</v>
      </c>
      <c r="S62" s="106">
        <f t="shared" si="1"/>
        <v>96</v>
      </c>
      <c r="T62" s="106">
        <v>459</v>
      </c>
      <c r="U62" s="106">
        <f t="shared" si="2"/>
        <v>4.5</v>
      </c>
      <c r="V62" s="106">
        <v>468</v>
      </c>
      <c r="W62" s="106">
        <f t="shared" si="3"/>
        <v>0</v>
      </c>
      <c r="X62" s="106">
        <v>468</v>
      </c>
      <c r="Y62" s="106">
        <f t="shared" si="4"/>
        <v>0</v>
      </c>
      <c r="Z62" s="106">
        <v>468</v>
      </c>
      <c r="AA62" s="106">
        <f t="shared" si="5"/>
        <v>0</v>
      </c>
      <c r="AB62" s="106">
        <v>468</v>
      </c>
      <c r="AC62" s="106">
        <f t="shared" si="6"/>
        <v>0</v>
      </c>
      <c r="AD62" s="106">
        <v>468</v>
      </c>
      <c r="AE62" s="107">
        <f t="shared" si="7"/>
        <v>468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360</v>
      </c>
      <c r="S63" s="108">
        <f t="shared" si="1"/>
        <v>36.5</v>
      </c>
      <c r="T63" s="108">
        <v>433</v>
      </c>
      <c r="U63" s="108">
        <f t="shared" si="2"/>
        <v>82.5</v>
      </c>
      <c r="V63" s="108">
        <v>598</v>
      </c>
      <c r="W63" s="108">
        <f t="shared" si="3"/>
        <v>7</v>
      </c>
      <c r="X63" s="108">
        <v>612</v>
      </c>
      <c r="Y63" s="108">
        <f t="shared" si="4"/>
        <v>0</v>
      </c>
      <c r="Z63" s="108">
        <v>612</v>
      </c>
      <c r="AA63" s="108">
        <f t="shared" si="5"/>
        <v>0</v>
      </c>
      <c r="AB63" s="108">
        <v>612</v>
      </c>
      <c r="AC63" s="108">
        <f t="shared" si="6"/>
        <v>0</v>
      </c>
      <c r="AD63" s="108">
        <v>612</v>
      </c>
      <c r="AE63" s="109">
        <f t="shared" si="7"/>
        <v>612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1358</v>
      </c>
      <c r="S64" s="114">
        <f t="shared" si="1"/>
        <v>624</v>
      </c>
      <c r="T64" s="114">
        <v>2606</v>
      </c>
      <c r="U64" s="114">
        <f t="shared" si="2"/>
        <v>269.5</v>
      </c>
      <c r="V64" s="114">
        <v>3145</v>
      </c>
      <c r="W64" s="114">
        <f t="shared" si="3"/>
        <v>-454.5</v>
      </c>
      <c r="X64" s="114">
        <v>2236</v>
      </c>
      <c r="Y64" s="114">
        <f t="shared" si="4"/>
        <v>0</v>
      </c>
      <c r="Z64" s="114">
        <v>2236</v>
      </c>
      <c r="AA64" s="114">
        <f t="shared" si="5"/>
        <v>0</v>
      </c>
      <c r="AB64" s="114">
        <v>2236</v>
      </c>
      <c r="AC64" s="114">
        <f t="shared" si="6"/>
        <v>0</v>
      </c>
      <c r="AD64" s="114">
        <v>2236</v>
      </c>
      <c r="AE64" s="115">
        <f t="shared" si="7"/>
        <v>2236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71" priority="11" operator="lessThan">
      <formula>0</formula>
    </cfRule>
    <cfRule type="cellIs" dxfId="670" priority="12" operator="greaterThan">
      <formula>0</formula>
    </cfRule>
  </conditionalFormatting>
  <conditionalFormatting sqref="R25:AC25">
    <cfRule type="cellIs" dxfId="669" priority="9" operator="lessThan">
      <formula>0</formula>
    </cfRule>
    <cfRule type="cellIs" dxfId="668" priority="10" operator="greaterThan">
      <formula>0</formula>
    </cfRule>
  </conditionalFormatting>
  <conditionalFormatting sqref="R26 T26 V26 X26 Z26 AB26">
    <cfRule type="cellIs" dxfId="667" priority="7" operator="lessThan">
      <formula>0</formula>
    </cfRule>
    <cfRule type="cellIs" dxfId="666" priority="8" operator="greaterThan">
      <formula>0</formula>
    </cfRule>
  </conditionalFormatting>
  <conditionalFormatting sqref="AD24:AE24">
    <cfRule type="cellIs" dxfId="665" priority="5" operator="lessThan">
      <formula>0</formula>
    </cfRule>
    <cfRule type="cellIs" dxfId="664" priority="6" operator="greaterThan">
      <formula>0</formula>
    </cfRule>
  </conditionalFormatting>
  <conditionalFormatting sqref="AD25:AE25">
    <cfRule type="cellIs" dxfId="663" priority="3" operator="lessThan">
      <formula>0</formula>
    </cfRule>
    <cfRule type="cellIs" dxfId="662" priority="4" operator="greaterThan">
      <formula>0</formula>
    </cfRule>
  </conditionalFormatting>
  <conditionalFormatting sqref="AD26">
    <cfRule type="cellIs" dxfId="661" priority="1" operator="lessThan">
      <formula>0</formula>
    </cfRule>
    <cfRule type="cellIs" dxfId="66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44463</v>
      </c>
    </row>
    <row r="3" spans="2:42" ht="18.75" customHeight="1" thickBot="1" x14ac:dyDescent="0.35">
      <c r="B3" t="s">
        <v>1</v>
      </c>
      <c r="C3" s="3">
        <f>C2+1</f>
        <v>44464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18195</v>
      </c>
      <c r="G6" s="117">
        <v>9091.5221250000031</v>
      </c>
      <c r="H6" s="117">
        <v>262.85928749999999</v>
      </c>
      <c r="I6" s="19">
        <f>G6+H6</f>
        <v>9354.3814125000026</v>
      </c>
      <c r="J6" s="119">
        <v>18911</v>
      </c>
      <c r="K6" s="117">
        <v>9445.2292500000003</v>
      </c>
      <c r="L6" s="117">
        <v>251.85319250000001</v>
      </c>
      <c r="M6" s="19">
        <f>K6+L6</f>
        <v>9697.082442500001</v>
      </c>
      <c r="N6" s="85">
        <v>62</v>
      </c>
      <c r="O6" s="85">
        <v>50</v>
      </c>
      <c r="P6" s="92"/>
      <c r="Q6" s="20">
        <f>J6-P6</f>
        <v>18911</v>
      </c>
      <c r="R6" s="21">
        <v>3438</v>
      </c>
      <c r="S6" s="20">
        <f>IF(R6&gt;0,(R6-R7-$Q6),"")</f>
        <v>-18911</v>
      </c>
      <c r="T6" s="21">
        <v>5910</v>
      </c>
      <c r="U6" s="20">
        <f>IF(T6&gt;0,(T6-T7-$Q6),"")</f>
        <v>-18911</v>
      </c>
      <c r="V6" s="21">
        <v>14662</v>
      </c>
      <c r="W6" s="20">
        <f>IF(V6&gt;0,(V6-V7-$Q6),"")</f>
        <v>-18906</v>
      </c>
      <c r="X6" s="21">
        <v>17424</v>
      </c>
      <c r="Y6" s="20">
        <f>IF(X6&gt;0,(X6-X7-$Q6),"")</f>
        <v>-18906</v>
      </c>
      <c r="Z6" s="21">
        <v>17424</v>
      </c>
      <c r="AA6" s="20">
        <f>IF(Z6&gt;0,(Z6-Z7-$Q6),"")</f>
        <v>-18906</v>
      </c>
      <c r="AB6" s="21">
        <v>17424</v>
      </c>
      <c r="AC6" s="22">
        <f>IF(AB6&gt;0,(AB6-AB7-$Q6),"")</f>
        <v>-18906</v>
      </c>
      <c r="AD6" s="21">
        <v>17424</v>
      </c>
      <c r="AE6" s="22">
        <f>IF(AD6&gt;0,(AD6-AD7-$Q6),"")</f>
        <v>-18906</v>
      </c>
    </row>
    <row r="7" spans="2:42" x14ac:dyDescent="0.3">
      <c r="B7" s="16" t="s">
        <v>23</v>
      </c>
      <c r="C7" s="17">
        <v>212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3438</v>
      </c>
      <c r="S7" s="24"/>
      <c r="T7" s="25">
        <v>5910</v>
      </c>
      <c r="U7" s="24"/>
      <c r="V7" s="25">
        <v>14657</v>
      </c>
      <c r="W7" s="24"/>
      <c r="X7" s="25">
        <v>17419</v>
      </c>
      <c r="Y7" s="24"/>
      <c r="Z7" s="25">
        <v>17419</v>
      </c>
      <c r="AA7" s="24"/>
      <c r="AB7" s="25">
        <v>17419</v>
      </c>
      <c r="AC7" s="26"/>
      <c r="AD7" s="25">
        <v>17419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2414</v>
      </c>
      <c r="E8" s="29" t="s">
        <v>27</v>
      </c>
      <c r="F8" s="119">
        <v>3412</v>
      </c>
      <c r="G8" s="117">
        <v>3831.2774999999988</v>
      </c>
      <c r="H8" s="117">
        <v>12734.035831419989</v>
      </c>
      <c r="I8" s="19">
        <f>G8+H8</f>
        <v>16565.313331419988</v>
      </c>
      <c r="J8" s="119">
        <v>3259</v>
      </c>
      <c r="K8" s="117">
        <v>3712.2265000000002</v>
      </c>
      <c r="L8" s="117">
        <v>13534.09581604001</v>
      </c>
      <c r="M8" s="19">
        <f>K8+L8</f>
        <v>17246.322316040008</v>
      </c>
      <c r="N8" s="87">
        <v>16</v>
      </c>
      <c r="O8" s="87">
        <v>11</v>
      </c>
      <c r="P8" s="92"/>
      <c r="Q8" s="20">
        <f>J8-P8</f>
        <v>3259</v>
      </c>
      <c r="R8" s="21">
        <v>300</v>
      </c>
      <c r="S8" s="20">
        <f>IF(R8&gt;0,(R8-R9-$Q8),"")</f>
        <v>-2959</v>
      </c>
      <c r="T8" s="21">
        <v>1231</v>
      </c>
      <c r="U8" s="20">
        <f>IF(T8&gt;0,(T8-T9-$Q8),"")</f>
        <v>-2488</v>
      </c>
      <c r="V8" s="21">
        <v>2019</v>
      </c>
      <c r="W8" s="20">
        <f>IF(V8&gt;0,(V8-V9-$Q8),"")</f>
        <v>-2488</v>
      </c>
      <c r="X8" s="21">
        <v>2019</v>
      </c>
      <c r="Y8" s="20">
        <f>IF(X8&gt;0,(X8-X9-$Q8),"")</f>
        <v>-2488</v>
      </c>
      <c r="Z8" s="21">
        <v>2019</v>
      </c>
      <c r="AA8" s="20">
        <f>IF(Z8&gt;0,(Z8-Z9-$Q8),"")</f>
        <v>-2488</v>
      </c>
      <c r="AB8" s="21">
        <v>2019</v>
      </c>
      <c r="AC8" s="22">
        <f>IF(AB8&gt;0,(AB8-AB9-$Q8),"")</f>
        <v>-2488</v>
      </c>
      <c r="AD8" s="21">
        <v>2019</v>
      </c>
      <c r="AE8" s="22">
        <f>IF(AD8&gt;0,(AD8-AD9-$Q8),"")</f>
        <v>-2488</v>
      </c>
    </row>
    <row r="9" spans="2:42" x14ac:dyDescent="0.3">
      <c r="B9" s="28" t="s">
        <v>28</v>
      </c>
      <c r="C9" s="17">
        <v>1504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460</v>
      </c>
      <c r="U9" s="24"/>
      <c r="V9" s="30">
        <v>1248</v>
      </c>
      <c r="W9" s="24"/>
      <c r="X9" s="30">
        <v>1248</v>
      </c>
      <c r="Y9" s="24"/>
      <c r="Z9" s="30">
        <v>1248</v>
      </c>
      <c r="AA9" s="24"/>
      <c r="AB9" s="30">
        <v>1248</v>
      </c>
      <c r="AC9" s="26"/>
      <c r="AD9" s="30">
        <v>1248</v>
      </c>
      <c r="AE9" s="26"/>
    </row>
    <row r="10" spans="2:42" x14ac:dyDescent="0.3">
      <c r="B10" s="16" t="s">
        <v>30</v>
      </c>
      <c r="C10" s="17">
        <v>2336</v>
      </c>
      <c r="E10" s="18" t="s">
        <v>31</v>
      </c>
      <c r="F10" s="119">
        <v>14952</v>
      </c>
      <c r="G10" s="117">
        <v>11901.868</v>
      </c>
      <c r="H10" s="117">
        <v>1005.4219665000001</v>
      </c>
      <c r="I10" s="19">
        <f>G10+H10</f>
        <v>12907.2899665</v>
      </c>
      <c r="J10" s="119">
        <v>15353</v>
      </c>
      <c r="K10" s="117">
        <v>12270.082</v>
      </c>
      <c r="L10" s="117">
        <v>989.08078779999983</v>
      </c>
      <c r="M10" s="19">
        <f>K10+L10</f>
        <v>13259.1627878</v>
      </c>
      <c r="N10" s="88">
        <v>45</v>
      </c>
      <c r="O10" s="88">
        <v>39</v>
      </c>
      <c r="P10" s="92"/>
      <c r="Q10" s="20">
        <f>J10-P10</f>
        <v>15353</v>
      </c>
      <c r="R10" s="21">
        <v>3978</v>
      </c>
      <c r="S10" s="20">
        <f>IF(R10&gt;0,(R10-R11-$Q10),"")</f>
        <v>-14279</v>
      </c>
      <c r="T10" s="21">
        <v>5339</v>
      </c>
      <c r="U10" s="20">
        <f>IF(T10&gt;0,(T10-T11-$Q10),"")</f>
        <v>-14127</v>
      </c>
      <c r="V10" s="21">
        <v>9201</v>
      </c>
      <c r="W10" s="20">
        <f>IF(V10&gt;0,(V10-V11-$Q10),"")</f>
        <v>-14127</v>
      </c>
      <c r="X10" s="21">
        <v>10878</v>
      </c>
      <c r="Y10" s="20">
        <f>IF(X10&gt;0,(X10-X11-$Q10),"")</f>
        <v>-14127</v>
      </c>
      <c r="Z10" s="21">
        <v>10878</v>
      </c>
      <c r="AA10" s="20">
        <f>IF(Z10&gt;0,(Z10-Z11-$Q10),"")</f>
        <v>-14127</v>
      </c>
      <c r="AB10" s="21">
        <v>10878</v>
      </c>
      <c r="AC10" s="22">
        <f>IF(AB10&gt;0,(AB10-AB11-$Q10),"")</f>
        <v>-14127</v>
      </c>
      <c r="AD10" s="21">
        <v>10878</v>
      </c>
      <c r="AE10" s="22">
        <f>IF(AD10&gt;0,(AD10-AD11-$Q10),"")</f>
        <v>-14127</v>
      </c>
    </row>
    <row r="11" spans="2:42" x14ac:dyDescent="0.3">
      <c r="B11" s="16" t="s">
        <v>38</v>
      </c>
      <c r="C11" s="17">
        <v>12429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2904</v>
      </c>
      <c r="S11" s="24"/>
      <c r="T11" s="30">
        <v>4113</v>
      </c>
      <c r="U11" s="24"/>
      <c r="V11" s="30">
        <v>7975</v>
      </c>
      <c r="W11" s="24"/>
      <c r="X11" s="30">
        <v>9652</v>
      </c>
      <c r="Y11" s="24"/>
      <c r="Z11" s="30">
        <v>9652</v>
      </c>
      <c r="AA11" s="24"/>
      <c r="AB11" s="30">
        <v>9652</v>
      </c>
      <c r="AC11" s="26"/>
      <c r="AD11" s="30">
        <v>9652</v>
      </c>
      <c r="AE11" s="26"/>
    </row>
    <row r="12" spans="2:42" x14ac:dyDescent="0.3">
      <c r="B12" s="16" t="s">
        <v>40</v>
      </c>
      <c r="C12" s="17">
        <v>1372</v>
      </c>
      <c r="E12" s="29" t="s">
        <v>35</v>
      </c>
      <c r="F12" s="119">
        <v>11480</v>
      </c>
      <c r="G12" s="117">
        <v>11396.390249999989</v>
      </c>
      <c r="H12" s="117">
        <v>14450.34957183</v>
      </c>
      <c r="I12" s="19">
        <f>G12+H12</f>
        <v>25846.73982182999</v>
      </c>
      <c r="J12" s="119">
        <v>12827</v>
      </c>
      <c r="K12" s="117">
        <v>12274.822499999989</v>
      </c>
      <c r="L12" s="117">
        <v>15212.75611370001</v>
      </c>
      <c r="M12" s="19">
        <f>K12+L12</f>
        <v>27487.5786137</v>
      </c>
      <c r="N12" s="88">
        <v>45</v>
      </c>
      <c r="O12" s="88">
        <v>32</v>
      </c>
      <c r="P12" s="92"/>
      <c r="Q12" s="20">
        <f>J12-P12</f>
        <v>12827</v>
      </c>
      <c r="R12" s="21">
        <v>4370</v>
      </c>
      <c r="S12" s="20">
        <f>IF(R12&gt;0,(R12-R13-$Q12),"")</f>
        <v>-11091</v>
      </c>
      <c r="T12" s="21">
        <v>7339</v>
      </c>
      <c r="U12" s="20">
        <f>IF(T12&gt;0,(T12-T13-$Q12),"")</f>
        <v>-9705</v>
      </c>
      <c r="V12" s="21">
        <v>10720</v>
      </c>
      <c r="W12" s="20">
        <f>IF(V12&gt;0,(V12-V13-$Q12),"")</f>
        <v>-8144</v>
      </c>
      <c r="X12" s="21">
        <v>12149</v>
      </c>
      <c r="Y12" s="20">
        <f>IF(X12&gt;0,(X12-X13-$Q12),"")</f>
        <v>-8104</v>
      </c>
      <c r="Z12" s="21">
        <v>12149</v>
      </c>
      <c r="AA12" s="20">
        <f>IF(Z12&gt;0,(Z12-Z13-$Q12),"")</f>
        <v>-8104</v>
      </c>
      <c r="AB12" s="21">
        <v>12149</v>
      </c>
      <c r="AC12" s="22">
        <f>IF(AB12&gt;0,(AB12-AB13-$Q12),"")</f>
        <v>-8104</v>
      </c>
      <c r="AD12" s="21">
        <v>12149</v>
      </c>
      <c r="AE12" s="22">
        <f>IF(AD12&gt;0,(AD12-AD13-$Q12),"")</f>
        <v>-8104</v>
      </c>
    </row>
    <row r="13" spans="2:42" x14ac:dyDescent="0.3">
      <c r="B13" s="28" t="s">
        <v>42</v>
      </c>
      <c r="C13" s="17">
        <v>29220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2634</v>
      </c>
      <c r="S13" s="24"/>
      <c r="T13" s="30">
        <v>4217</v>
      </c>
      <c r="U13" s="24"/>
      <c r="V13" s="30">
        <v>6037</v>
      </c>
      <c r="W13" s="24"/>
      <c r="X13" s="30">
        <v>7426</v>
      </c>
      <c r="Y13" s="24"/>
      <c r="Z13" s="30">
        <v>7426</v>
      </c>
      <c r="AA13" s="24"/>
      <c r="AB13" s="30">
        <v>7426</v>
      </c>
      <c r="AC13" s="26"/>
      <c r="AD13" s="30">
        <v>7426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20023</v>
      </c>
      <c r="G14" s="117">
        <v>16777.125</v>
      </c>
      <c r="H14" s="117">
        <v>21916.138847980001</v>
      </c>
      <c r="I14" s="19">
        <f>G14+H14</f>
        <v>38693.263847980001</v>
      </c>
      <c r="J14" s="119">
        <v>21782</v>
      </c>
      <c r="K14" s="117">
        <v>20298.864249999999</v>
      </c>
      <c r="L14" s="117">
        <v>25316.805418659998</v>
      </c>
      <c r="M14" s="19">
        <f>K14+L14</f>
        <v>45615.669668659997</v>
      </c>
      <c r="N14" s="88">
        <v>63</v>
      </c>
      <c r="O14" s="88">
        <v>49</v>
      </c>
      <c r="P14" s="92"/>
      <c r="Q14" s="20">
        <f>J14-P14</f>
        <v>21782</v>
      </c>
      <c r="R14" s="21">
        <v>3127</v>
      </c>
      <c r="S14" s="20">
        <f>IF(R14&gt;0,(R14-R15-$Q14),"")</f>
        <v>-18658</v>
      </c>
      <c r="T14" s="21">
        <v>5341</v>
      </c>
      <c r="U14" s="20">
        <f>IF(T14&gt;0,(T14-T15-$Q14),"")</f>
        <v>-16446</v>
      </c>
      <c r="V14" s="21">
        <v>7046</v>
      </c>
      <c r="W14" s="20">
        <f>IF(V14&gt;0,(V14-V15-$Q14),"")</f>
        <v>-14751</v>
      </c>
      <c r="X14" s="21">
        <v>7554</v>
      </c>
      <c r="Y14" s="20">
        <f>IF(X14&gt;0,(X14-X15-$Q14),"")</f>
        <v>-14243</v>
      </c>
      <c r="Z14" s="21">
        <v>7565</v>
      </c>
      <c r="AA14" s="20">
        <f>IF(Z14&gt;0,(Z14-Z15-$Q14),"")</f>
        <v>-14232</v>
      </c>
      <c r="AB14" s="21">
        <v>7565</v>
      </c>
      <c r="AC14" s="22">
        <f>IF(AB14&gt;0,(AB14-AB15-$Q14),"")</f>
        <v>-14232</v>
      </c>
      <c r="AD14" s="21">
        <v>7565</v>
      </c>
      <c r="AE14" s="22">
        <f>IF(AD14&gt;0,(AD14-AD15-$Q14),"")</f>
        <v>-14232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3</v>
      </c>
      <c r="S15" s="24"/>
      <c r="T15" s="25">
        <v>5</v>
      </c>
      <c r="U15" s="24"/>
      <c r="V15" s="25">
        <v>15</v>
      </c>
      <c r="W15" s="24"/>
      <c r="X15" s="25">
        <v>15</v>
      </c>
      <c r="Y15" s="24"/>
      <c r="Z15" s="25">
        <v>15</v>
      </c>
      <c r="AA15" s="24"/>
      <c r="AB15" s="25">
        <v>15</v>
      </c>
      <c r="AC15" s="26"/>
      <c r="AD15" s="25">
        <v>15</v>
      </c>
      <c r="AE15" s="26"/>
    </row>
    <row r="16" spans="2:42" ht="15" customHeight="1" thickBot="1" x14ac:dyDescent="0.35">
      <c r="B16" s="16" t="s">
        <v>50</v>
      </c>
      <c r="C16" s="17">
        <v>7665</v>
      </c>
      <c r="E16" s="84"/>
      <c r="F16" s="31">
        <f t="shared" ref="F16:M16" si="0">SUM(F6:F15)</f>
        <v>68062</v>
      </c>
      <c r="G16" s="31">
        <f t="shared" si="0"/>
        <v>52998.182874999991</v>
      </c>
      <c r="H16" s="31">
        <f t="shared" si="0"/>
        <v>50368.80550522999</v>
      </c>
      <c r="I16" s="32">
        <f t="shared" si="0"/>
        <v>103366.98838022997</v>
      </c>
      <c r="J16" s="33">
        <f t="shared" si="0"/>
        <v>72132</v>
      </c>
      <c r="K16" s="33">
        <f t="shared" si="0"/>
        <v>58001.224499999989</v>
      </c>
      <c r="L16" s="33">
        <f t="shared" si="0"/>
        <v>55304.591328700015</v>
      </c>
      <c r="M16" s="33">
        <f t="shared" si="0"/>
        <v>113305.8158287</v>
      </c>
      <c r="N16" s="31">
        <f>SUM(N14,N12,N10,N8,N6)</f>
        <v>231</v>
      </c>
      <c r="O16" s="31">
        <f>SUM(O14,O12,O10,O8,O6)</f>
        <v>181</v>
      </c>
      <c r="P16" s="34">
        <f>SUM(P6:P15)</f>
        <v>0</v>
      </c>
      <c r="Q16" s="34">
        <f>SUM(Q6:Q15)</f>
        <v>72132</v>
      </c>
      <c r="R16" s="35">
        <f>R6+R8+R10+R12+R14-R7-R9-R11-R13-R15</f>
        <v>6234</v>
      </c>
      <c r="S16" s="36">
        <f>IF(R16&gt;1,(R16-$Q16),"")</f>
        <v>-65898</v>
      </c>
      <c r="T16" s="35">
        <f>T6+T8+T10+T12+T14-T7-T9-T11-T13-T15</f>
        <v>10455</v>
      </c>
      <c r="U16" s="36">
        <f>IF(T16&gt;1,(T16-$Q16),"")</f>
        <v>-61677</v>
      </c>
      <c r="V16" s="35">
        <f>V6+V8+V10+V12+V14-V7-V9-V11-V13-V15</f>
        <v>13716</v>
      </c>
      <c r="W16" s="36">
        <f>IF(V16&gt;1,(V16-$Q16),"")</f>
        <v>-58416</v>
      </c>
      <c r="X16" s="35">
        <f>X6+X8+X10+X12+X14-X7-X9-X11-X13-X15</f>
        <v>14264</v>
      </c>
      <c r="Y16" s="36">
        <f>IF(X16&gt;1,(X16-$Q16),"")</f>
        <v>-57868</v>
      </c>
      <c r="Z16" s="35">
        <f>Z6+Z8+Z10+Z12+Z14-Z7-Z9-Z11-Z13-Z15</f>
        <v>14275</v>
      </c>
      <c r="AA16" s="36">
        <f>IF(Z16&gt;1,(Z16-$Q16),"")</f>
        <v>-57857</v>
      </c>
      <c r="AB16" s="35">
        <f>AB6+AB8+AB10+AB12+AB14-AB7-AB9-AB11-AB13-AB15</f>
        <v>14275</v>
      </c>
      <c r="AC16" s="37">
        <f>IF(AB16&gt;1,(AB16-$Q16),"")</f>
        <v>-57857</v>
      </c>
      <c r="AD16" s="35">
        <f>AD6+AD8+AD10+AD12+AD14-AD7-AD9-AD11-AD13-AD15</f>
        <v>14275</v>
      </c>
      <c r="AE16" s="37">
        <f>IF(AD16&gt;1,(AD16-$Q16),"")</f>
        <v>-57857</v>
      </c>
    </row>
    <row r="17" spans="2:43" s="4" customFormat="1" ht="15" customHeight="1" thickBot="1" x14ac:dyDescent="0.35">
      <c r="B17" s="16" t="s">
        <v>51</v>
      </c>
      <c r="C17" s="17">
        <v>855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50</v>
      </c>
      <c r="P17" s="38" t="s">
        <v>44</v>
      </c>
      <c r="Q17" s="39"/>
      <c r="R17" s="40">
        <f>R15+R13+R11+R9+R7</f>
        <v>8979</v>
      </c>
      <c r="S17" s="41"/>
      <c r="T17" s="40">
        <f>T15+T13+T11+T9+T7</f>
        <v>14705</v>
      </c>
      <c r="U17" s="41"/>
      <c r="V17" s="40">
        <f>V15+V13+V11+V9+V7</f>
        <v>29932</v>
      </c>
      <c r="W17" s="41"/>
      <c r="X17" s="40">
        <f>X15+X13+X11+X9+X7</f>
        <v>35760</v>
      </c>
      <c r="Y17" s="41"/>
      <c r="Z17" s="40">
        <f>Z15+Z13+Z11+Z9+Z7</f>
        <v>35760</v>
      </c>
      <c r="AA17" s="41"/>
      <c r="AB17" s="40">
        <f>AB15+AB13+AB11+AB9+AB7</f>
        <v>35760</v>
      </c>
      <c r="AC17" s="42"/>
      <c r="AD17" s="40">
        <f>AD15+AD13+AD11+AD9+AD7</f>
        <v>35760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4056</v>
      </c>
      <c r="P18" s="45" t="s">
        <v>46</v>
      </c>
      <c r="Q18" s="46"/>
      <c r="R18" s="47">
        <f>IF(R16&gt;0,(R16)/2,"")</f>
        <v>3117</v>
      </c>
      <c r="S18" s="46"/>
      <c r="T18" s="47">
        <f>IF(T16&gt;0,(T16-R16)/2,"")</f>
        <v>2110.5</v>
      </c>
      <c r="U18" s="46"/>
      <c r="V18" s="47">
        <f>IF(V16&gt;0,(V16-T16)/2,"")</f>
        <v>1630.5</v>
      </c>
      <c r="W18" s="46"/>
      <c r="X18" s="47">
        <f>IF(X16&gt;0,(X16-V16)/2,"")</f>
        <v>274</v>
      </c>
      <c r="Y18" s="46"/>
      <c r="Z18" s="47">
        <f>IF(Z16&gt;0,(Z16-X16)/2,"")</f>
        <v>5.5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14824</v>
      </c>
      <c r="S20" s="36">
        <v>-64762</v>
      </c>
      <c r="T20" s="35">
        <v>25553</v>
      </c>
      <c r="U20" s="36">
        <v>-54033</v>
      </c>
      <c r="V20" s="35">
        <v>40524</v>
      </c>
      <c r="W20" s="36">
        <v>-39062</v>
      </c>
      <c r="X20" s="35">
        <v>48678</v>
      </c>
      <c r="Y20" s="36">
        <v>-30908</v>
      </c>
      <c r="Z20" s="35">
        <v>51951</v>
      </c>
      <c r="AA20" s="36">
        <v>-27635</v>
      </c>
      <c r="AB20" s="35">
        <v>51951</v>
      </c>
      <c r="AC20" s="37">
        <v>-27635</v>
      </c>
      <c r="AD20" s="35">
        <v>51951</v>
      </c>
      <c r="AE20" s="37">
        <v>-27635</v>
      </c>
    </row>
    <row r="21" spans="2:43" ht="15" customHeight="1" thickBot="1" x14ac:dyDescent="0.35">
      <c r="M21" s="4"/>
      <c r="Q21" s="52"/>
      <c r="R21" s="40">
        <v>633</v>
      </c>
      <c r="S21" s="41"/>
      <c r="T21" s="40">
        <v>714</v>
      </c>
      <c r="U21" s="41"/>
      <c r="V21" s="40">
        <v>840</v>
      </c>
      <c r="W21" s="41"/>
      <c r="X21" s="40">
        <v>858</v>
      </c>
      <c r="Y21" s="41"/>
      <c r="Z21" s="40">
        <v>861</v>
      </c>
      <c r="AA21" s="41"/>
      <c r="AB21" s="40">
        <v>861</v>
      </c>
      <c r="AC21" s="42"/>
      <c r="AD21" s="40">
        <v>861</v>
      </c>
      <c r="AE21" s="42"/>
    </row>
    <row r="22" spans="2:43" ht="15" customHeight="1" thickBot="1" x14ac:dyDescent="0.35">
      <c r="M22" s="4"/>
      <c r="Q22" s="54"/>
      <c r="R22" s="47">
        <v>7412</v>
      </c>
      <c r="S22" s="46"/>
      <c r="T22" s="47">
        <v>5364.5</v>
      </c>
      <c r="U22" s="46"/>
      <c r="V22" s="47">
        <v>7485.5</v>
      </c>
      <c r="W22" s="46"/>
      <c r="X22" s="47">
        <v>4077</v>
      </c>
      <c r="Y22" s="46"/>
      <c r="Z22" s="47">
        <v>1636.5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-8590</v>
      </c>
      <c r="S24" s="60"/>
      <c r="T24" s="60">
        <f>IF(T16&gt;0,T16-T20,"")</f>
        <v>-15098</v>
      </c>
      <c r="U24" s="60"/>
      <c r="V24" s="60">
        <f>IF(V16&gt;0,V16-V20,"")</f>
        <v>-26808</v>
      </c>
      <c r="W24" s="60"/>
      <c r="X24" s="60">
        <f>IF(X16&gt;0,X16-X20,"")</f>
        <v>-34414</v>
      </c>
      <c r="Y24" s="60"/>
      <c r="Z24" s="60">
        <f>IF(Z16&gt;0,Z16-Z20,"")</f>
        <v>-37676</v>
      </c>
      <c r="AA24" s="60"/>
      <c r="AB24" s="60">
        <f>IF(AB16&gt;0,AB16-AB20,"")</f>
        <v>-37676</v>
      </c>
      <c r="AC24" s="61"/>
      <c r="AD24" s="60">
        <f>IF(AD16&gt;0,AD16-AD20,"")</f>
        <v>-37676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8346</v>
      </c>
      <c r="S25" s="64"/>
      <c r="T25" s="63">
        <f>IF(T17&gt;=0,T17-T21,"")</f>
        <v>13991</v>
      </c>
      <c r="U25" s="64"/>
      <c r="V25" s="63">
        <f>IF(V17&gt;=0,V17-V21,"")</f>
        <v>29092</v>
      </c>
      <c r="W25" s="64"/>
      <c r="X25" s="63">
        <f>IF(X17&gt;=0,X17-X21,"")</f>
        <v>34902</v>
      </c>
      <c r="Y25" s="64"/>
      <c r="Z25" s="63">
        <f>IF(Z17&gt;=0,Z17-Z21,"")</f>
        <v>34899</v>
      </c>
      <c r="AA25" s="64"/>
      <c r="AB25" s="63">
        <f>IF(AB17&gt;=0,AB17-AB21,"")</f>
        <v>34899</v>
      </c>
      <c r="AC25" s="65"/>
      <c r="AD25" s="63">
        <f>IF(AD17&gt;=0,AD17-AD21,"")</f>
        <v>34899</v>
      </c>
      <c r="AE25" s="65"/>
    </row>
    <row r="26" spans="2:43" ht="15" customHeight="1" thickBot="1" x14ac:dyDescent="0.35">
      <c r="B26" s="74" t="s">
        <v>55</v>
      </c>
      <c r="C26" s="122">
        <v>11065</v>
      </c>
      <c r="D26" s="76">
        <f>C11</f>
        <v>12429</v>
      </c>
      <c r="E26" s="77">
        <f>D26-C26</f>
        <v>1364</v>
      </c>
      <c r="M26" s="4"/>
      <c r="Q26" s="66"/>
      <c r="R26" s="67">
        <f>IFERROR(IF(R18&gt;0,R18-R22,""),"")</f>
        <v>-4295</v>
      </c>
      <c r="S26" s="55"/>
      <c r="T26" s="67">
        <f>IFERROR(IF(T18&gt;0,T18-T22,""),"")</f>
        <v>-3254</v>
      </c>
      <c r="U26" s="55"/>
      <c r="V26" s="67">
        <f>IFERROR(IF(V18&gt;0,V18-V22,""),"")</f>
        <v>-5855</v>
      </c>
      <c r="W26" s="55"/>
      <c r="X26" s="67">
        <f>IFERROR(IF(X18&gt;0,X18-X22,""),"")</f>
        <v>-3803</v>
      </c>
      <c r="Y26" s="55"/>
      <c r="Z26" s="67">
        <f>IFERROR(IF(Z18&gt;0,Z18-Z22,""),"")</f>
        <v>-1631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31511</v>
      </c>
      <c r="D27" s="76">
        <f>C7+C12+C13+C14+C15</f>
        <v>30804</v>
      </c>
      <c r="E27" s="77">
        <f>D27-C27</f>
        <v>-707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2336</v>
      </c>
      <c r="D29" s="76">
        <f>C10</f>
        <v>2336</v>
      </c>
      <c r="E29" s="77">
        <f>D29-C29</f>
        <v>0</v>
      </c>
      <c r="O29" s="4"/>
    </row>
    <row r="30" spans="2:43" x14ac:dyDescent="0.3">
      <c r="B30" s="74" t="s">
        <v>59</v>
      </c>
      <c r="C30" s="122">
        <v>12742</v>
      </c>
      <c r="D30" s="76">
        <f>C16+C17+C18</f>
        <v>12576</v>
      </c>
      <c r="E30" s="77">
        <f>D30-C30</f>
        <v>-166</v>
      </c>
      <c r="J30" s="53"/>
      <c r="O30" s="4"/>
    </row>
    <row r="31" spans="2:43" ht="15" customHeight="1" thickBot="1" x14ac:dyDescent="0.35">
      <c r="B31" s="78" t="s">
        <v>60</v>
      </c>
      <c r="C31" s="121">
        <v>3918</v>
      </c>
      <c r="D31" s="80">
        <f>SUM(C8+C9)</f>
        <v>3918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1497</v>
      </c>
      <c r="S35" s="104">
        <f t="shared" ref="S35:S64" si="1">IF(T35&gt;0,(T35-R35)/2,"")</f>
        <v>415</v>
      </c>
      <c r="T35" s="104">
        <v>2327</v>
      </c>
      <c r="U35" s="104">
        <f t="shared" ref="U35:U64" si="2">IF(V35&gt;0,(V35-T35)/2,"")</f>
        <v>756.5</v>
      </c>
      <c r="V35" s="104">
        <v>3840</v>
      </c>
      <c r="W35" s="104">
        <f t="shared" ref="W35:W64" si="3">IF(X35&gt;0,(X35-V35)/2,"")</f>
        <v>445.5</v>
      </c>
      <c r="X35" s="104">
        <v>4731</v>
      </c>
      <c r="Y35" s="104">
        <f t="shared" ref="Y35:Y64" si="4">IF(Z35&gt;0,(Z35-X35)/2,"")</f>
        <v>0</v>
      </c>
      <c r="Z35" s="104">
        <v>4731</v>
      </c>
      <c r="AA35" s="104">
        <f t="shared" ref="AA35:AA64" si="5">IF(AB35&gt;0,(AB35-Z35)/2,"")</f>
        <v>0</v>
      </c>
      <c r="AB35" s="104">
        <v>4731</v>
      </c>
      <c r="AC35" s="104">
        <f t="shared" ref="AC35:AC64" si="6">IF(AD35&gt;0,(AD35-AB35)/2,"")</f>
        <v>0</v>
      </c>
      <c r="AD35" s="104">
        <v>4731</v>
      </c>
      <c r="AE35" s="105">
        <f t="shared" ref="AE35:AE64" si="7">AD35-Q35</f>
        <v>4731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48.5</v>
      </c>
      <c r="X36" s="106">
        <v>97</v>
      </c>
      <c r="Y36" s="106">
        <f t="shared" si="4"/>
        <v>0</v>
      </c>
      <c r="Z36" s="106">
        <v>97</v>
      </c>
      <c r="AA36" s="106">
        <f t="shared" si="5"/>
        <v>0</v>
      </c>
      <c r="AB36" s="106">
        <v>97</v>
      </c>
      <c r="AC36" s="106">
        <f t="shared" si="6"/>
        <v>0</v>
      </c>
      <c r="AD36" s="106">
        <v>97</v>
      </c>
      <c r="AE36" s="107">
        <f t="shared" si="7"/>
        <v>97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1941</v>
      </c>
      <c r="S37" s="108">
        <f t="shared" si="1"/>
        <v>821</v>
      </c>
      <c r="T37" s="108">
        <v>3583</v>
      </c>
      <c r="U37" s="108">
        <f t="shared" si="2"/>
        <v>650.5</v>
      </c>
      <c r="V37" s="108">
        <v>4884</v>
      </c>
      <c r="W37" s="108">
        <f t="shared" si="3"/>
        <v>283</v>
      </c>
      <c r="X37" s="108">
        <v>5450</v>
      </c>
      <c r="Y37" s="108">
        <f t="shared" si="4"/>
        <v>0</v>
      </c>
      <c r="Z37" s="108">
        <v>5450</v>
      </c>
      <c r="AA37" s="108">
        <f t="shared" si="5"/>
        <v>0</v>
      </c>
      <c r="AB37" s="108">
        <v>5450</v>
      </c>
      <c r="AC37" s="108">
        <f t="shared" si="6"/>
        <v>0</v>
      </c>
      <c r="AD37" s="108">
        <v>5450</v>
      </c>
      <c r="AE37" s="109">
        <f t="shared" si="7"/>
        <v>5450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1565.5</v>
      </c>
      <c r="V38" s="106">
        <v>3131</v>
      </c>
      <c r="W38" s="106">
        <f t="shared" si="3"/>
        <v>0</v>
      </c>
      <c r="X38" s="106">
        <v>3131</v>
      </c>
      <c r="Y38" s="106">
        <f t="shared" si="4"/>
        <v>0</v>
      </c>
      <c r="Z38" s="106">
        <v>3131</v>
      </c>
      <c r="AA38" s="106">
        <f t="shared" si="5"/>
        <v>0</v>
      </c>
      <c r="AB38" s="106">
        <v>3131</v>
      </c>
      <c r="AC38" s="106">
        <f t="shared" si="6"/>
        <v>0</v>
      </c>
      <c r="AD38" s="106">
        <v>3131</v>
      </c>
      <c r="AE38" s="107">
        <f t="shared" si="7"/>
        <v>3131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1403.5</v>
      </c>
      <c r="V39" s="108">
        <v>2807</v>
      </c>
      <c r="W39" s="108">
        <f t="shared" si="3"/>
        <v>604</v>
      </c>
      <c r="X39" s="108">
        <v>4015</v>
      </c>
      <c r="Y39" s="108">
        <f t="shared" si="4"/>
        <v>0</v>
      </c>
      <c r="Z39" s="108">
        <v>4015</v>
      </c>
      <c r="AA39" s="108">
        <f t="shared" si="5"/>
        <v>0</v>
      </c>
      <c r="AB39" s="108">
        <v>4015</v>
      </c>
      <c r="AC39" s="108">
        <f t="shared" si="6"/>
        <v>0</v>
      </c>
      <c r="AD39" s="108">
        <v>4015</v>
      </c>
      <c r="AE39" s="109">
        <f t="shared" si="7"/>
        <v>4015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222.5</v>
      </c>
      <c r="T44" s="112">
        <v>445</v>
      </c>
      <c r="U44" s="112">
        <f t="shared" si="2"/>
        <v>84.5</v>
      </c>
      <c r="V44" s="112">
        <v>614</v>
      </c>
      <c r="W44" s="112">
        <f t="shared" si="3"/>
        <v>0</v>
      </c>
      <c r="X44" s="112">
        <v>614</v>
      </c>
      <c r="Y44" s="112">
        <f t="shared" si="4"/>
        <v>0</v>
      </c>
      <c r="Z44" s="112">
        <v>614</v>
      </c>
      <c r="AA44" s="112">
        <f t="shared" si="5"/>
        <v>0</v>
      </c>
      <c r="AB44" s="112">
        <v>614</v>
      </c>
      <c r="AC44" s="112">
        <f t="shared" si="6"/>
        <v>0</v>
      </c>
      <c r="AD44" s="112">
        <v>614</v>
      </c>
      <c r="AE44" s="113">
        <f t="shared" si="7"/>
        <v>614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300</v>
      </c>
      <c r="S45" s="108">
        <f t="shared" si="1"/>
        <v>243</v>
      </c>
      <c r="T45" s="108">
        <v>786</v>
      </c>
      <c r="U45" s="108">
        <f t="shared" si="2"/>
        <v>309</v>
      </c>
      <c r="V45" s="108">
        <v>1404</v>
      </c>
      <c r="W45" s="108">
        <f t="shared" si="3"/>
        <v>0</v>
      </c>
      <c r="X45" s="108">
        <v>1404</v>
      </c>
      <c r="Y45" s="108">
        <f t="shared" si="4"/>
        <v>0</v>
      </c>
      <c r="Z45" s="108">
        <v>1404</v>
      </c>
      <c r="AA45" s="108">
        <f t="shared" si="5"/>
        <v>0</v>
      </c>
      <c r="AB45" s="108">
        <v>1404</v>
      </c>
      <c r="AC45" s="108">
        <f t="shared" si="6"/>
        <v>0</v>
      </c>
      <c r="AD45" s="108">
        <v>1404</v>
      </c>
      <c r="AE45" s="109">
        <f t="shared" si="7"/>
        <v>1404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474</v>
      </c>
      <c r="S48" s="112">
        <f t="shared" si="1"/>
        <v>340</v>
      </c>
      <c r="T48" s="112">
        <v>1154</v>
      </c>
      <c r="U48" s="112">
        <f t="shared" si="2"/>
        <v>722</v>
      </c>
      <c r="V48" s="112">
        <v>2598</v>
      </c>
      <c r="W48" s="112">
        <f t="shared" si="3"/>
        <v>64</v>
      </c>
      <c r="X48" s="112">
        <v>2726</v>
      </c>
      <c r="Y48" s="112">
        <f t="shared" si="4"/>
        <v>0</v>
      </c>
      <c r="Z48" s="112">
        <v>2726</v>
      </c>
      <c r="AA48" s="112">
        <f t="shared" si="5"/>
        <v>0</v>
      </c>
      <c r="AB48" s="112">
        <v>2726</v>
      </c>
      <c r="AC48" s="112">
        <f t="shared" si="6"/>
        <v>0</v>
      </c>
      <c r="AD48" s="112">
        <v>2726</v>
      </c>
      <c r="AE48" s="113">
        <f t="shared" si="7"/>
        <v>2726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904</v>
      </c>
      <c r="S49" s="108">
        <f t="shared" si="1"/>
        <v>65.5</v>
      </c>
      <c r="T49" s="108">
        <v>1035</v>
      </c>
      <c r="U49" s="108">
        <f t="shared" si="2"/>
        <v>520.5</v>
      </c>
      <c r="V49" s="108">
        <v>2076</v>
      </c>
      <c r="W49" s="108">
        <f t="shared" si="3"/>
        <v>0</v>
      </c>
      <c r="X49" s="108">
        <v>2076</v>
      </c>
      <c r="Y49" s="108">
        <f t="shared" si="4"/>
        <v>0</v>
      </c>
      <c r="Z49" s="108">
        <v>2076</v>
      </c>
      <c r="AA49" s="108">
        <f t="shared" si="5"/>
        <v>0</v>
      </c>
      <c r="AB49" s="108">
        <v>2076</v>
      </c>
      <c r="AC49" s="108">
        <f t="shared" si="6"/>
        <v>0</v>
      </c>
      <c r="AD49" s="108">
        <v>2076</v>
      </c>
      <c r="AE49" s="109">
        <f t="shared" si="7"/>
        <v>2076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1360</v>
      </c>
      <c r="S50" s="106">
        <f t="shared" si="1"/>
        <v>0</v>
      </c>
      <c r="T50" s="106">
        <v>1360</v>
      </c>
      <c r="U50" s="106">
        <f t="shared" si="2"/>
        <v>-127.5</v>
      </c>
      <c r="V50" s="106">
        <v>1105</v>
      </c>
      <c r="W50" s="106">
        <f t="shared" si="3"/>
        <v>0</v>
      </c>
      <c r="X50" s="106">
        <v>1105</v>
      </c>
      <c r="Y50" s="106">
        <f t="shared" si="4"/>
        <v>0</v>
      </c>
      <c r="Z50" s="106">
        <v>1105</v>
      </c>
      <c r="AA50" s="106">
        <f t="shared" si="5"/>
        <v>0</v>
      </c>
      <c r="AB50" s="106">
        <v>1105</v>
      </c>
      <c r="AC50" s="106">
        <f t="shared" si="6"/>
        <v>0</v>
      </c>
      <c r="AD50" s="106">
        <v>1105</v>
      </c>
      <c r="AE50" s="107">
        <f t="shared" si="7"/>
        <v>1105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665</v>
      </c>
      <c r="S51" s="108">
        <f t="shared" si="1"/>
        <v>264</v>
      </c>
      <c r="T51" s="108">
        <v>1193</v>
      </c>
      <c r="U51" s="108">
        <f t="shared" si="2"/>
        <v>0</v>
      </c>
      <c r="V51" s="108">
        <v>1193</v>
      </c>
      <c r="W51" s="108">
        <f t="shared" si="3"/>
        <v>0</v>
      </c>
      <c r="X51" s="108">
        <v>1193</v>
      </c>
      <c r="Y51" s="108">
        <f t="shared" si="4"/>
        <v>0</v>
      </c>
      <c r="Z51" s="108">
        <v>1193</v>
      </c>
      <c r="AA51" s="108">
        <f t="shared" si="5"/>
        <v>0</v>
      </c>
      <c r="AB51" s="108">
        <v>1193</v>
      </c>
      <c r="AC51" s="108">
        <f t="shared" si="6"/>
        <v>0</v>
      </c>
      <c r="AD51" s="108">
        <v>1193</v>
      </c>
      <c r="AE51" s="109">
        <f t="shared" si="7"/>
        <v>1193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575</v>
      </c>
      <c r="S52" s="106">
        <f t="shared" si="1"/>
        <v>11</v>
      </c>
      <c r="T52" s="106">
        <v>597</v>
      </c>
      <c r="U52" s="106">
        <f t="shared" si="2"/>
        <v>24.5</v>
      </c>
      <c r="V52" s="106">
        <v>646</v>
      </c>
      <c r="W52" s="106">
        <f t="shared" si="3"/>
        <v>113.5</v>
      </c>
      <c r="X52" s="106">
        <v>873</v>
      </c>
      <c r="Y52" s="106">
        <f t="shared" si="4"/>
        <v>0</v>
      </c>
      <c r="Z52" s="106">
        <v>873</v>
      </c>
      <c r="AA52" s="106">
        <f t="shared" si="5"/>
        <v>0</v>
      </c>
      <c r="AB52" s="106">
        <v>873</v>
      </c>
      <c r="AC52" s="106">
        <f t="shared" si="6"/>
        <v>0</v>
      </c>
      <c r="AD52" s="106">
        <v>873</v>
      </c>
      <c r="AE52" s="107">
        <f t="shared" si="7"/>
        <v>873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791.5</v>
      </c>
      <c r="V53" s="108">
        <v>1583</v>
      </c>
      <c r="W53" s="108">
        <f t="shared" si="3"/>
        <v>661</v>
      </c>
      <c r="X53" s="108">
        <v>2905</v>
      </c>
      <c r="Y53" s="108">
        <f t="shared" si="4"/>
        <v>0</v>
      </c>
      <c r="Z53" s="108">
        <v>2905</v>
      </c>
      <c r="AA53" s="108">
        <f t="shared" si="5"/>
        <v>0</v>
      </c>
      <c r="AB53" s="108">
        <v>2905</v>
      </c>
      <c r="AC53" s="108">
        <f t="shared" si="6"/>
        <v>0</v>
      </c>
      <c r="AD53" s="108">
        <v>2905</v>
      </c>
      <c r="AE53" s="109">
        <f t="shared" si="7"/>
        <v>2905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878</v>
      </c>
      <c r="S57" s="104">
        <f t="shared" si="1"/>
        <v>439.5</v>
      </c>
      <c r="T57" s="104">
        <v>1757</v>
      </c>
      <c r="U57" s="104">
        <f t="shared" si="2"/>
        <v>581.5</v>
      </c>
      <c r="V57" s="104">
        <v>2920</v>
      </c>
      <c r="W57" s="104">
        <f t="shared" si="3"/>
        <v>20</v>
      </c>
      <c r="X57" s="104">
        <v>2960</v>
      </c>
      <c r="Y57" s="104">
        <f t="shared" si="4"/>
        <v>0</v>
      </c>
      <c r="Z57" s="104">
        <v>2960</v>
      </c>
      <c r="AA57" s="104">
        <f t="shared" si="5"/>
        <v>0</v>
      </c>
      <c r="AB57" s="104">
        <v>2960</v>
      </c>
      <c r="AC57" s="104">
        <f t="shared" si="6"/>
        <v>0</v>
      </c>
      <c r="AD57" s="104">
        <v>2960</v>
      </c>
      <c r="AE57" s="105">
        <f t="shared" si="7"/>
        <v>2960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850</v>
      </c>
      <c r="S58" s="106">
        <f t="shared" si="1"/>
        <v>201</v>
      </c>
      <c r="T58" s="106">
        <v>1252</v>
      </c>
      <c r="U58" s="106">
        <f t="shared" si="2"/>
        <v>515</v>
      </c>
      <c r="V58" s="106">
        <v>2282</v>
      </c>
      <c r="W58" s="106">
        <f t="shared" si="3"/>
        <v>165</v>
      </c>
      <c r="X58" s="106">
        <v>2612</v>
      </c>
      <c r="Y58" s="106">
        <f t="shared" si="4"/>
        <v>0</v>
      </c>
      <c r="Z58" s="106">
        <v>2612</v>
      </c>
      <c r="AA58" s="106">
        <f t="shared" si="5"/>
        <v>0</v>
      </c>
      <c r="AB58" s="106">
        <v>2612</v>
      </c>
      <c r="AC58" s="106">
        <f t="shared" si="6"/>
        <v>0</v>
      </c>
      <c r="AD58" s="106">
        <v>2612</v>
      </c>
      <c r="AE58" s="107">
        <f t="shared" si="7"/>
        <v>2612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1283</v>
      </c>
      <c r="S59" s="108">
        <f t="shared" si="1"/>
        <v>299</v>
      </c>
      <c r="T59" s="108">
        <v>1881</v>
      </c>
      <c r="U59" s="108">
        <f t="shared" si="2"/>
        <v>189.5</v>
      </c>
      <c r="V59" s="108">
        <v>2260</v>
      </c>
      <c r="W59" s="108">
        <f t="shared" si="3"/>
        <v>0</v>
      </c>
      <c r="X59" s="108">
        <v>2260</v>
      </c>
      <c r="Y59" s="108">
        <f t="shared" si="4"/>
        <v>0</v>
      </c>
      <c r="Z59" s="108">
        <v>2260</v>
      </c>
      <c r="AA59" s="108">
        <f t="shared" si="5"/>
        <v>0</v>
      </c>
      <c r="AB59" s="108">
        <v>2260</v>
      </c>
      <c r="AC59" s="108">
        <f t="shared" si="6"/>
        <v>0</v>
      </c>
      <c r="AD59" s="108">
        <v>2260</v>
      </c>
      <c r="AE59" s="109">
        <f t="shared" si="7"/>
        <v>2260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0</v>
      </c>
      <c r="S60" s="114">
        <f t="shared" si="1"/>
        <v>165</v>
      </c>
      <c r="T60" s="114">
        <v>330</v>
      </c>
      <c r="U60" s="114">
        <f t="shared" si="2"/>
        <v>339.5</v>
      </c>
      <c r="V60" s="114">
        <v>1009</v>
      </c>
      <c r="W60" s="114">
        <f t="shared" si="3"/>
        <v>0</v>
      </c>
      <c r="X60" s="114">
        <v>1009</v>
      </c>
      <c r="Y60" s="114">
        <f t="shared" si="4"/>
        <v>0</v>
      </c>
      <c r="Z60" s="114">
        <v>1009</v>
      </c>
      <c r="AA60" s="114">
        <f t="shared" si="5"/>
        <v>0</v>
      </c>
      <c r="AB60" s="114">
        <v>1009</v>
      </c>
      <c r="AC60" s="114">
        <f t="shared" si="6"/>
        <v>0</v>
      </c>
      <c r="AD60" s="114">
        <v>1009</v>
      </c>
      <c r="AE60" s="115">
        <f t="shared" si="7"/>
        <v>1009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680</v>
      </c>
      <c r="S61" s="104">
        <f t="shared" si="1"/>
        <v>87</v>
      </c>
      <c r="T61" s="104">
        <v>854</v>
      </c>
      <c r="U61" s="104">
        <f t="shared" si="2"/>
        <v>112</v>
      </c>
      <c r="V61" s="104">
        <v>1078</v>
      </c>
      <c r="W61" s="104">
        <f t="shared" si="3"/>
        <v>173</v>
      </c>
      <c r="X61" s="104">
        <v>1424</v>
      </c>
      <c r="Y61" s="104">
        <f t="shared" si="4"/>
        <v>92.5</v>
      </c>
      <c r="Z61" s="104">
        <v>1609</v>
      </c>
      <c r="AA61" s="104">
        <f t="shared" si="5"/>
        <v>0</v>
      </c>
      <c r="AB61" s="104">
        <v>1609</v>
      </c>
      <c r="AC61" s="104">
        <f t="shared" si="6"/>
        <v>0</v>
      </c>
      <c r="AD61" s="104">
        <v>1609</v>
      </c>
      <c r="AE61" s="105">
        <f t="shared" si="7"/>
        <v>1609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26</v>
      </c>
      <c r="S62" s="106">
        <f t="shared" si="1"/>
        <v>175.5</v>
      </c>
      <c r="T62" s="106">
        <v>377</v>
      </c>
      <c r="U62" s="106">
        <f t="shared" si="2"/>
        <v>57</v>
      </c>
      <c r="V62" s="106">
        <v>491</v>
      </c>
      <c r="W62" s="106">
        <f t="shared" si="3"/>
        <v>48</v>
      </c>
      <c r="X62" s="106">
        <v>587</v>
      </c>
      <c r="Y62" s="106">
        <f t="shared" si="4"/>
        <v>0</v>
      </c>
      <c r="Z62" s="106">
        <v>587</v>
      </c>
      <c r="AA62" s="106">
        <f t="shared" si="5"/>
        <v>0</v>
      </c>
      <c r="AB62" s="106">
        <v>587</v>
      </c>
      <c r="AC62" s="106">
        <f t="shared" si="6"/>
        <v>0</v>
      </c>
      <c r="AD62" s="106">
        <v>587</v>
      </c>
      <c r="AE62" s="107">
        <f t="shared" si="7"/>
        <v>587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312</v>
      </c>
      <c r="S63" s="108">
        <f t="shared" si="1"/>
        <v>117</v>
      </c>
      <c r="T63" s="108">
        <v>546</v>
      </c>
      <c r="U63" s="108">
        <f t="shared" si="2"/>
        <v>0</v>
      </c>
      <c r="V63" s="108">
        <v>546</v>
      </c>
      <c r="W63" s="108">
        <f t="shared" si="3"/>
        <v>14</v>
      </c>
      <c r="X63" s="108">
        <v>574</v>
      </c>
      <c r="Y63" s="108">
        <f t="shared" si="4"/>
        <v>0</v>
      </c>
      <c r="Z63" s="108">
        <v>574</v>
      </c>
      <c r="AA63" s="108">
        <f t="shared" si="5"/>
        <v>0</v>
      </c>
      <c r="AB63" s="108">
        <v>574</v>
      </c>
      <c r="AC63" s="108">
        <f t="shared" si="6"/>
        <v>0</v>
      </c>
      <c r="AD63" s="108">
        <v>574</v>
      </c>
      <c r="AE63" s="109">
        <f t="shared" si="7"/>
        <v>574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768</v>
      </c>
      <c r="S64" s="114">
        <f t="shared" si="1"/>
        <v>636.5</v>
      </c>
      <c r="T64" s="114">
        <v>2041</v>
      </c>
      <c r="U64" s="114">
        <f t="shared" si="2"/>
        <v>599.5</v>
      </c>
      <c r="V64" s="114">
        <v>3240</v>
      </c>
      <c r="W64" s="114">
        <f t="shared" si="3"/>
        <v>-51</v>
      </c>
      <c r="X64" s="114">
        <v>3138</v>
      </c>
      <c r="Y64" s="114">
        <f t="shared" si="4"/>
        <v>-142</v>
      </c>
      <c r="Z64" s="114">
        <v>2854</v>
      </c>
      <c r="AA64" s="114">
        <f t="shared" si="5"/>
        <v>0</v>
      </c>
      <c r="AB64" s="114">
        <v>2854</v>
      </c>
      <c r="AC64" s="114">
        <f t="shared" si="6"/>
        <v>0</v>
      </c>
      <c r="AD64" s="114">
        <v>2854</v>
      </c>
      <c r="AE64" s="115">
        <f t="shared" si="7"/>
        <v>2854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59" priority="11" operator="lessThan">
      <formula>0</formula>
    </cfRule>
    <cfRule type="cellIs" dxfId="658" priority="12" operator="greaterThan">
      <formula>0</formula>
    </cfRule>
  </conditionalFormatting>
  <conditionalFormatting sqref="R25:AC25">
    <cfRule type="cellIs" dxfId="657" priority="9" operator="lessThan">
      <formula>0</formula>
    </cfRule>
    <cfRule type="cellIs" dxfId="656" priority="10" operator="greaterThan">
      <formula>0</formula>
    </cfRule>
  </conditionalFormatting>
  <conditionalFormatting sqref="R26 T26 V26 X26 Z26 AB26">
    <cfRule type="cellIs" dxfId="655" priority="7" operator="lessThan">
      <formula>0</formula>
    </cfRule>
    <cfRule type="cellIs" dxfId="654" priority="8" operator="greaterThan">
      <formula>0</formula>
    </cfRule>
  </conditionalFormatting>
  <conditionalFormatting sqref="AD24:AE24">
    <cfRule type="cellIs" dxfId="653" priority="5" operator="lessThan">
      <formula>0</formula>
    </cfRule>
    <cfRule type="cellIs" dxfId="652" priority="6" operator="greaterThan">
      <formula>0</formula>
    </cfRule>
  </conditionalFormatting>
  <conditionalFormatting sqref="AD25:AE25">
    <cfRule type="cellIs" dxfId="651" priority="3" operator="lessThan">
      <formula>0</formula>
    </cfRule>
    <cfRule type="cellIs" dxfId="650" priority="4" operator="greaterThan">
      <formula>0</formula>
    </cfRule>
  </conditionalFormatting>
  <conditionalFormatting sqref="AD26">
    <cfRule type="cellIs" dxfId="649" priority="1" operator="lessThan">
      <formula>0</formula>
    </cfRule>
    <cfRule type="cellIs" dxfId="64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44464</v>
      </c>
    </row>
    <row r="3" spans="2:42" ht="18.75" customHeight="1" thickBot="1" x14ac:dyDescent="0.35">
      <c r="B3" t="s">
        <v>1</v>
      </c>
      <c r="C3" s="3">
        <f>C2+1</f>
        <v>44465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17702</v>
      </c>
      <c r="G6" s="117">
        <v>8325.5792499999989</v>
      </c>
      <c r="H6" s="117">
        <v>226.8272225</v>
      </c>
      <c r="I6" s="19">
        <f>G6+H6</f>
        <v>8552.4064724999989</v>
      </c>
      <c r="J6" s="119">
        <v>18750</v>
      </c>
      <c r="K6" s="117">
        <v>8787.3591250000009</v>
      </c>
      <c r="L6" s="117">
        <v>224.54109</v>
      </c>
      <c r="M6" s="19">
        <f>K6+L6</f>
        <v>9011.9002150000015</v>
      </c>
      <c r="N6" s="85">
        <v>76</v>
      </c>
      <c r="O6" s="85">
        <v>63</v>
      </c>
      <c r="P6" s="92"/>
      <c r="Q6" s="20">
        <f>J6-P6</f>
        <v>18750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2296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2704</v>
      </c>
      <c r="E8" s="29" t="s">
        <v>27</v>
      </c>
      <c r="F8" s="119">
        <v>3327</v>
      </c>
      <c r="G8" s="117">
        <v>3547.8255000000008</v>
      </c>
      <c r="H8" s="117">
        <v>10100.424606700009</v>
      </c>
      <c r="I8" s="19">
        <f>G8+H8</f>
        <v>13648.25010670001</v>
      </c>
      <c r="J8" s="119">
        <v>3228</v>
      </c>
      <c r="K8" s="117">
        <v>3447.1510000000012</v>
      </c>
      <c r="L8" s="117">
        <v>10155.54971988</v>
      </c>
      <c r="M8" s="19">
        <f>K8+L8</f>
        <v>13602.700719880002</v>
      </c>
      <c r="N8" s="87">
        <v>27</v>
      </c>
      <c r="O8" s="87">
        <v>16</v>
      </c>
      <c r="P8" s="92"/>
      <c r="Q8" s="20">
        <f>J8-P8</f>
        <v>3228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1476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1908</v>
      </c>
      <c r="E10" s="18" t="s">
        <v>31</v>
      </c>
      <c r="F10" s="119">
        <v>16842</v>
      </c>
      <c r="G10" s="117">
        <v>12640.00375</v>
      </c>
      <c r="H10" s="117">
        <v>1216.296949</v>
      </c>
      <c r="I10" s="19">
        <f>G10+H10</f>
        <v>13856.300698999999</v>
      </c>
      <c r="J10" s="119">
        <v>17178</v>
      </c>
      <c r="K10" s="117">
        <v>12744.04175</v>
      </c>
      <c r="L10" s="117">
        <v>1292.2310167000001</v>
      </c>
      <c r="M10" s="19">
        <f>K10+L10</f>
        <v>14036.2727667</v>
      </c>
      <c r="N10" s="88">
        <v>51</v>
      </c>
      <c r="O10" s="88">
        <v>43</v>
      </c>
      <c r="P10" s="92"/>
      <c r="Q10" s="20">
        <f>J10-P10</f>
        <v>17178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8598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2949</v>
      </c>
      <c r="E12" s="29" t="s">
        <v>35</v>
      </c>
      <c r="F12" s="119">
        <v>10658</v>
      </c>
      <c r="G12" s="117">
        <v>10565.64075</v>
      </c>
      <c r="H12" s="117">
        <v>13157.846789869989</v>
      </c>
      <c r="I12" s="19">
        <f>G12+H12</f>
        <v>23723.487539869988</v>
      </c>
      <c r="J12" s="119">
        <v>10925</v>
      </c>
      <c r="K12" s="117">
        <v>10642.451999999999</v>
      </c>
      <c r="L12" s="117">
        <v>13101.682460839989</v>
      </c>
      <c r="M12" s="19">
        <f>K12+L12</f>
        <v>23744.134460839989</v>
      </c>
      <c r="N12" s="88">
        <v>50</v>
      </c>
      <c r="O12" s="88">
        <v>41</v>
      </c>
      <c r="P12" s="92"/>
      <c r="Q12" s="20">
        <f>J12-P12</f>
        <v>10925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28627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2319</v>
      </c>
      <c r="E14" s="18" t="s">
        <v>39</v>
      </c>
      <c r="F14" s="119">
        <v>18285</v>
      </c>
      <c r="G14" s="117">
        <v>17453.224999999999</v>
      </c>
      <c r="H14" s="117">
        <v>21975.08799982</v>
      </c>
      <c r="I14" s="19">
        <f>G14+H14</f>
        <v>39428.312999820002</v>
      </c>
      <c r="J14" s="119">
        <v>18510</v>
      </c>
      <c r="K14" s="117">
        <v>17397.5605</v>
      </c>
      <c r="L14" s="117">
        <v>22062.74940680002</v>
      </c>
      <c r="M14" s="19">
        <f>K14+L14</f>
        <v>39460.309906800016</v>
      </c>
      <c r="N14" s="88">
        <v>74</v>
      </c>
      <c r="O14" s="88">
        <v>47</v>
      </c>
      <c r="P14" s="92"/>
      <c r="Q14" s="20">
        <f>J14-P14</f>
        <v>18510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524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10362</v>
      </c>
      <c r="E16" s="84"/>
      <c r="F16" s="31">
        <f t="shared" ref="F16:M16" si="0">SUM(F6:F15)</f>
        <v>66814</v>
      </c>
      <c r="G16" s="31">
        <f t="shared" si="0"/>
        <v>52532.274249999995</v>
      </c>
      <c r="H16" s="31">
        <f t="shared" si="0"/>
        <v>46676.483567889998</v>
      </c>
      <c r="I16" s="32">
        <f t="shared" si="0"/>
        <v>99208.75781789</v>
      </c>
      <c r="J16" s="33">
        <f t="shared" si="0"/>
        <v>68591</v>
      </c>
      <c r="K16" s="33">
        <f t="shared" si="0"/>
        <v>53018.564375000002</v>
      </c>
      <c r="L16" s="33">
        <f t="shared" si="0"/>
        <v>46836.753694220009</v>
      </c>
      <c r="M16" s="33">
        <f t="shared" si="0"/>
        <v>99855.318069219997</v>
      </c>
      <c r="N16" s="31">
        <f>SUM(N14,N12,N10,N8,N6)</f>
        <v>278</v>
      </c>
      <c r="O16" s="31">
        <f>SUM(O14,O12,O10,O8,O6)</f>
        <v>210</v>
      </c>
      <c r="P16" s="34">
        <f>SUM(P6:P15)</f>
        <v>0</v>
      </c>
      <c r="Q16" s="34">
        <f>SUM(Q6:Q15)</f>
        <v>68591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2194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68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4480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8475</v>
      </c>
      <c r="D26" s="76">
        <f>C11</f>
        <v>8598</v>
      </c>
      <c r="E26" s="77">
        <f>D26-C26</f>
        <v>123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31254</v>
      </c>
      <c r="D27" s="76">
        <f>C7+C12+C13+C14+C15</f>
        <v>36715</v>
      </c>
      <c r="E27" s="77">
        <f>D27-C27</f>
        <v>5461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1908</v>
      </c>
      <c r="D29" s="76">
        <f>C10</f>
        <v>1908</v>
      </c>
      <c r="E29" s="77">
        <f>D29-C29</f>
        <v>0</v>
      </c>
      <c r="O29" s="4"/>
    </row>
    <row r="30" spans="2:43" x14ac:dyDescent="0.3">
      <c r="B30" s="74" t="s">
        <v>59</v>
      </c>
      <c r="C30" s="122">
        <v>15781</v>
      </c>
      <c r="D30" s="76">
        <f>C16+C17+C18</f>
        <v>17036</v>
      </c>
      <c r="E30" s="77">
        <f>D30-C30</f>
        <v>1255</v>
      </c>
      <c r="J30" s="53"/>
      <c r="O30" s="4"/>
    </row>
    <row r="31" spans="2:43" ht="15" customHeight="1" thickBot="1" x14ac:dyDescent="0.35">
      <c r="B31" s="78" t="s">
        <v>60</v>
      </c>
      <c r="C31" s="121">
        <v>4180</v>
      </c>
      <c r="D31" s="80">
        <f>SUM(C8+C9)</f>
        <v>4180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47" priority="11" operator="lessThan">
      <formula>0</formula>
    </cfRule>
    <cfRule type="cellIs" dxfId="646" priority="12" operator="greaterThan">
      <formula>0</formula>
    </cfRule>
  </conditionalFormatting>
  <conditionalFormatting sqref="R25:AC25">
    <cfRule type="cellIs" dxfId="645" priority="9" operator="lessThan">
      <formula>0</formula>
    </cfRule>
    <cfRule type="cellIs" dxfId="644" priority="10" operator="greaterThan">
      <formula>0</formula>
    </cfRule>
  </conditionalFormatting>
  <conditionalFormatting sqref="R26 T26 V26 X26 Z26 AB26">
    <cfRule type="cellIs" dxfId="643" priority="7" operator="lessThan">
      <formula>0</formula>
    </cfRule>
    <cfRule type="cellIs" dxfId="642" priority="8" operator="greaterThan">
      <formula>0</formula>
    </cfRule>
  </conditionalFormatting>
  <conditionalFormatting sqref="AD24:AE24">
    <cfRule type="cellIs" dxfId="641" priority="5" operator="lessThan">
      <formula>0</formula>
    </cfRule>
    <cfRule type="cellIs" dxfId="640" priority="6" operator="greaterThan">
      <formula>0</formula>
    </cfRule>
  </conditionalFormatting>
  <conditionalFormatting sqref="AD25:AE25">
    <cfRule type="cellIs" dxfId="639" priority="3" operator="lessThan">
      <formula>0</formula>
    </cfRule>
    <cfRule type="cellIs" dxfId="638" priority="4" operator="greaterThan">
      <formula>0</formula>
    </cfRule>
  </conditionalFormatting>
  <conditionalFormatting sqref="AD26">
    <cfRule type="cellIs" dxfId="637" priority="1" operator="lessThan">
      <formula>0</formula>
    </cfRule>
    <cfRule type="cellIs" dxfId="63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44466</v>
      </c>
    </row>
    <row r="3" spans="2:42" ht="18.75" customHeight="1" thickBot="1" x14ac:dyDescent="0.35">
      <c r="B3" t="s">
        <v>1</v>
      </c>
      <c r="C3" s="3">
        <f>C2+1</f>
        <v>44467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2414</v>
      </c>
      <c r="E6" s="18" t="s">
        <v>22</v>
      </c>
      <c r="F6" s="119">
        <v>19890</v>
      </c>
      <c r="G6" s="117">
        <v>9651.150249999997</v>
      </c>
      <c r="H6" s="117">
        <v>228.58707749999999</v>
      </c>
      <c r="I6" s="19">
        <f>G6+H6</f>
        <v>9879.7373274999973</v>
      </c>
      <c r="J6" s="119">
        <v>20551</v>
      </c>
      <c r="K6" s="117">
        <v>9793.9428750000006</v>
      </c>
      <c r="L6" s="117">
        <v>213.07763499999999</v>
      </c>
      <c r="M6" s="19">
        <f>K6+L6</f>
        <v>10007.02051</v>
      </c>
      <c r="N6" s="85">
        <v>59</v>
      </c>
      <c r="O6" s="85">
        <v>51</v>
      </c>
      <c r="P6" s="92"/>
      <c r="Q6" s="20">
        <f>J6-P6</f>
        <v>20551</v>
      </c>
      <c r="R6" s="21">
        <v>3503</v>
      </c>
      <c r="S6" s="20">
        <f>IF(R6&gt;0,(R6-R7-$Q6),"")</f>
        <v>-17227</v>
      </c>
      <c r="T6" s="21">
        <v>5396</v>
      </c>
      <c r="U6" s="20">
        <f>IF(T6&gt;0,(T6-T7-$Q6),"")</f>
        <v>-15346</v>
      </c>
      <c r="V6" s="21">
        <v>8198</v>
      </c>
      <c r="W6" s="20">
        <f>IF(V6&gt;0,(V6-V7-$Q6),"")</f>
        <v>-12566</v>
      </c>
      <c r="X6" s="21">
        <v>17038</v>
      </c>
      <c r="Y6" s="20">
        <f>IF(X6&gt;0,(X6-X7-$Q6),"")</f>
        <v>-3753</v>
      </c>
      <c r="Z6" s="21">
        <v>17038</v>
      </c>
      <c r="AA6" s="20">
        <f>IF(Z6&gt;0,(Z6-Z7-$Q6),"")</f>
        <v>-3753</v>
      </c>
      <c r="AB6" s="21">
        <v>17038</v>
      </c>
      <c r="AC6" s="22">
        <f>IF(AB6&gt;0,(AB6-AB7-$Q6),"")</f>
        <v>-3753</v>
      </c>
      <c r="AD6" s="21">
        <v>17038</v>
      </c>
      <c r="AE6" s="22">
        <f>IF(AD6&gt;0,(AD6-AD7-$Q6),"")</f>
        <v>-3753</v>
      </c>
    </row>
    <row r="7" spans="2:42" x14ac:dyDescent="0.3">
      <c r="B7" s="16" t="s">
        <v>23</v>
      </c>
      <c r="C7" s="17">
        <v>1509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179</v>
      </c>
      <c r="S7" s="24"/>
      <c r="T7" s="25">
        <v>191</v>
      </c>
      <c r="U7" s="24"/>
      <c r="V7" s="25">
        <v>213</v>
      </c>
      <c r="W7" s="24"/>
      <c r="X7" s="25">
        <v>240</v>
      </c>
      <c r="Y7" s="24"/>
      <c r="Z7" s="25">
        <v>240</v>
      </c>
      <c r="AA7" s="24"/>
      <c r="AB7" s="25">
        <v>240</v>
      </c>
      <c r="AC7" s="26"/>
      <c r="AD7" s="25">
        <v>240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2204</v>
      </c>
      <c r="E8" s="29" t="s">
        <v>27</v>
      </c>
      <c r="F8" s="119">
        <v>4121</v>
      </c>
      <c r="G8" s="117">
        <v>3737.0844999999999</v>
      </c>
      <c r="H8" s="117">
        <v>12123.994203160009</v>
      </c>
      <c r="I8" s="19">
        <f>G8+H8</f>
        <v>15861.078703160008</v>
      </c>
      <c r="J8" s="119">
        <v>4180</v>
      </c>
      <c r="K8" s="117">
        <v>4416.3504999999996</v>
      </c>
      <c r="L8" s="117">
        <v>12553.43114398</v>
      </c>
      <c r="M8" s="19">
        <f>K8+L8</f>
        <v>16969.781643980001</v>
      </c>
      <c r="N8" s="87">
        <v>17</v>
      </c>
      <c r="O8" s="87">
        <v>9</v>
      </c>
      <c r="P8" s="92"/>
      <c r="Q8" s="20">
        <f>J8-P8</f>
        <v>4180</v>
      </c>
      <c r="R8" s="21">
        <v>435</v>
      </c>
      <c r="S8" s="20">
        <f>IF(R8&gt;0,(R8-R9-$Q8),"")</f>
        <v>-3745</v>
      </c>
      <c r="T8" s="21">
        <v>794</v>
      </c>
      <c r="U8" s="20">
        <f>IF(T8&gt;0,(T8-T9-$Q8),"")</f>
        <v>-3386</v>
      </c>
      <c r="V8" s="21">
        <v>1600</v>
      </c>
      <c r="W8" s="20">
        <f>IF(V8&gt;0,(V8-V9-$Q8),"")</f>
        <v>-2580</v>
      </c>
      <c r="X8" s="21">
        <v>2253</v>
      </c>
      <c r="Y8" s="20">
        <f>IF(X8&gt;0,(X8-X9-$Q8),"")</f>
        <v>-1927</v>
      </c>
      <c r="Z8" s="21">
        <v>2253</v>
      </c>
      <c r="AA8" s="20">
        <f>IF(Z8&gt;0,(Z8-Z9-$Q8),"")</f>
        <v>-1927</v>
      </c>
      <c r="AB8" s="21">
        <v>2253</v>
      </c>
      <c r="AC8" s="22">
        <f>IF(AB8&gt;0,(AB8-AB9-$Q8),"")</f>
        <v>-1927</v>
      </c>
      <c r="AD8" s="21">
        <v>2253</v>
      </c>
      <c r="AE8" s="22">
        <f>IF(AD8&gt;0,(AD8-AD9-$Q8),"")</f>
        <v>-1927</v>
      </c>
    </row>
    <row r="9" spans="2:42" x14ac:dyDescent="0.3">
      <c r="B9" s="28" t="s">
        <v>28</v>
      </c>
      <c r="C9" s="17">
        <v>1262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4699</v>
      </c>
      <c r="E10" s="18" t="s">
        <v>31</v>
      </c>
      <c r="F10" s="119">
        <v>16305</v>
      </c>
      <c r="G10" s="117">
        <v>11889.222</v>
      </c>
      <c r="H10" s="117">
        <v>1279.4718058000001</v>
      </c>
      <c r="I10" s="19">
        <f>G10+H10</f>
        <v>13168.6938058</v>
      </c>
      <c r="J10" s="119">
        <v>18545</v>
      </c>
      <c r="K10" s="117">
        <v>13541.897999999999</v>
      </c>
      <c r="L10" s="117">
        <v>1352.4711347</v>
      </c>
      <c r="M10" s="19">
        <f>K10+L10</f>
        <v>14894.369134699999</v>
      </c>
      <c r="N10" s="88">
        <v>41</v>
      </c>
      <c r="O10" s="88">
        <v>35</v>
      </c>
      <c r="P10" s="92"/>
      <c r="Q10" s="20">
        <f>J10-P10</f>
        <v>18545</v>
      </c>
      <c r="R10" s="21">
        <v>3079</v>
      </c>
      <c r="S10" s="20">
        <f>IF(R10&gt;0,(R10-R11-$Q10),"")</f>
        <v>-15477</v>
      </c>
      <c r="T10" s="21">
        <v>3808</v>
      </c>
      <c r="U10" s="20">
        <f>IF(T10&gt;0,(T10-T11-$Q10),"")</f>
        <v>-14759</v>
      </c>
      <c r="V10" s="21">
        <v>6379</v>
      </c>
      <c r="W10" s="20">
        <f>IF(V10&gt;0,(V10-V11-$Q10),"")</f>
        <v>-12199</v>
      </c>
      <c r="X10" s="21">
        <v>10153</v>
      </c>
      <c r="Y10" s="20">
        <f>IF(X10&gt;0,(X10-X11-$Q10),"")</f>
        <v>-8437</v>
      </c>
      <c r="Z10" s="21">
        <v>9483</v>
      </c>
      <c r="AA10" s="20">
        <f>IF(Z10&gt;0,(Z10-Z11-$Q10),"")</f>
        <v>-9107</v>
      </c>
      <c r="AB10" s="21">
        <v>9483</v>
      </c>
      <c r="AC10" s="22">
        <f>IF(AB10&gt;0,(AB10-AB11-$Q10),"")</f>
        <v>-9107</v>
      </c>
      <c r="AD10" s="21">
        <v>9483</v>
      </c>
      <c r="AE10" s="22">
        <f>IF(AD10&gt;0,(AD10-AD11-$Q10),"")</f>
        <v>-9107</v>
      </c>
    </row>
    <row r="11" spans="2:42" x14ac:dyDescent="0.3">
      <c r="B11" s="16" t="s">
        <v>38</v>
      </c>
      <c r="C11" s="17">
        <v>10321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11</v>
      </c>
      <c r="S11" s="24"/>
      <c r="T11" s="30">
        <v>22</v>
      </c>
      <c r="U11" s="24"/>
      <c r="V11" s="30">
        <v>33</v>
      </c>
      <c r="W11" s="24"/>
      <c r="X11" s="30">
        <v>45</v>
      </c>
      <c r="Y11" s="24"/>
      <c r="Z11" s="30">
        <v>45</v>
      </c>
      <c r="AA11" s="24"/>
      <c r="AB11" s="30">
        <v>45</v>
      </c>
      <c r="AC11" s="26"/>
      <c r="AD11" s="30">
        <v>45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10263</v>
      </c>
      <c r="G12" s="117">
        <v>10134.9285</v>
      </c>
      <c r="H12" s="117">
        <v>12996.54722025</v>
      </c>
      <c r="I12" s="19">
        <f>G12+H12</f>
        <v>23131.47572025</v>
      </c>
      <c r="J12" s="119">
        <v>9921</v>
      </c>
      <c r="K12" s="117">
        <v>9739.4517500000002</v>
      </c>
      <c r="L12" s="117">
        <v>12640.38494482</v>
      </c>
      <c r="M12" s="19">
        <f>K12+L12</f>
        <v>22379.836694819998</v>
      </c>
      <c r="N12" s="88">
        <v>38</v>
      </c>
      <c r="O12" s="88">
        <v>36</v>
      </c>
      <c r="P12" s="92"/>
      <c r="Q12" s="20">
        <f>J12-P12</f>
        <v>9921</v>
      </c>
      <c r="R12" s="21">
        <v>5804</v>
      </c>
      <c r="S12" s="20">
        <f>IF(R12&gt;0,(R12-R13-$Q12),"")</f>
        <v>-4494</v>
      </c>
      <c r="T12" s="21">
        <v>7440</v>
      </c>
      <c r="U12" s="20">
        <f>IF(T12&gt;0,(T12-T13-$Q12),"")</f>
        <v>-2948</v>
      </c>
      <c r="V12" s="21">
        <v>9477</v>
      </c>
      <c r="W12" s="20">
        <f>IF(V12&gt;0,(V12-V13-$Q12),"")</f>
        <v>-1106</v>
      </c>
      <c r="X12" s="21">
        <v>10319</v>
      </c>
      <c r="Y12" s="20">
        <f>IF(X12&gt;0,(X12-X13-$Q12),"")</f>
        <v>-268</v>
      </c>
      <c r="Z12" s="21">
        <v>10319</v>
      </c>
      <c r="AA12" s="20">
        <f>IF(Z12&gt;0,(Z12-Z13-$Q12),"")</f>
        <v>-268</v>
      </c>
      <c r="AB12" s="21">
        <v>10319</v>
      </c>
      <c r="AC12" s="22">
        <f>IF(AB12&gt;0,(AB12-AB13-$Q12),"")</f>
        <v>-268</v>
      </c>
      <c r="AD12" s="21">
        <v>10319</v>
      </c>
      <c r="AE12" s="22">
        <f>IF(AD12&gt;0,(AD12-AD13-$Q12),"")</f>
        <v>-268</v>
      </c>
    </row>
    <row r="13" spans="2:42" x14ac:dyDescent="0.3">
      <c r="B13" s="28" t="s">
        <v>42</v>
      </c>
      <c r="C13" s="17">
        <v>23863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</v>
      </c>
      <c r="P13" s="93" t="s">
        <v>37</v>
      </c>
      <c r="Q13" s="24"/>
      <c r="R13" s="30">
        <v>377</v>
      </c>
      <c r="S13" s="24"/>
      <c r="T13" s="30">
        <v>467</v>
      </c>
      <c r="U13" s="24"/>
      <c r="V13" s="30">
        <v>662</v>
      </c>
      <c r="W13" s="24"/>
      <c r="X13" s="30">
        <v>666</v>
      </c>
      <c r="Y13" s="24"/>
      <c r="Z13" s="30">
        <v>666</v>
      </c>
      <c r="AA13" s="24"/>
      <c r="AB13" s="30">
        <v>666</v>
      </c>
      <c r="AC13" s="26"/>
      <c r="AD13" s="30">
        <v>666</v>
      </c>
      <c r="AE13" s="26"/>
    </row>
    <row r="14" spans="2:42" x14ac:dyDescent="0.3">
      <c r="B14" s="43" t="s">
        <v>47</v>
      </c>
      <c r="C14" s="17">
        <v>1201</v>
      </c>
      <c r="E14" s="18" t="s">
        <v>39</v>
      </c>
      <c r="F14" s="119">
        <v>26340</v>
      </c>
      <c r="G14" s="117">
        <v>19015.631249999999</v>
      </c>
      <c r="H14" s="117">
        <v>30623.45375424001</v>
      </c>
      <c r="I14" s="19">
        <f>G14+H14</f>
        <v>49639.085004240012</v>
      </c>
      <c r="J14" s="119">
        <v>26361</v>
      </c>
      <c r="K14" s="117">
        <v>18881.432499999999</v>
      </c>
      <c r="L14" s="117">
        <v>30717.33063774</v>
      </c>
      <c r="M14" s="19">
        <f>K14+L14</f>
        <v>49598.763137739996</v>
      </c>
      <c r="N14" s="88">
        <v>64</v>
      </c>
      <c r="O14" s="88">
        <v>44</v>
      </c>
      <c r="P14" s="92"/>
      <c r="Q14" s="20">
        <f>J14-P14</f>
        <v>26361</v>
      </c>
      <c r="R14" s="21">
        <v>4050</v>
      </c>
      <c r="S14" s="20">
        <f>IF(R14&gt;0,(R14-R15-$Q14),"")</f>
        <v>-22344</v>
      </c>
      <c r="T14" s="21">
        <v>5720</v>
      </c>
      <c r="U14" s="20">
        <f>IF(T14&gt;0,(T14-T15-$Q14),"")</f>
        <v>-20686</v>
      </c>
      <c r="V14" s="21">
        <v>7755</v>
      </c>
      <c r="W14" s="20">
        <f>IF(V14&gt;0,(V14-V15-$Q14),"")</f>
        <v>-18665</v>
      </c>
      <c r="X14" s="21">
        <v>9204</v>
      </c>
      <c r="Y14" s="20">
        <f>IF(X14&gt;0,(X14-X15-$Q14),"")</f>
        <v>-17221</v>
      </c>
      <c r="Z14" s="21">
        <v>9354</v>
      </c>
      <c r="AA14" s="20">
        <f>IF(Z14&gt;0,(Z14-Z15-$Q14),"")</f>
        <v>-17071</v>
      </c>
      <c r="AB14" s="21">
        <v>9776</v>
      </c>
      <c r="AC14" s="22">
        <f>IF(AB14&gt;0,(AB14-AB15-$Q14),"")</f>
        <v>-16649</v>
      </c>
      <c r="AD14" s="21">
        <v>9776</v>
      </c>
      <c r="AE14" s="22">
        <f>IF(AD14&gt;0,(AD14-AD15-$Q14),"")</f>
        <v>-16649</v>
      </c>
    </row>
    <row r="15" spans="2:42" ht="15" customHeight="1" thickBot="1" x14ac:dyDescent="0.35">
      <c r="B15" s="43" t="s">
        <v>48</v>
      </c>
      <c r="C15" s="50">
        <v>366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33</v>
      </c>
      <c r="S15" s="24"/>
      <c r="T15" s="25">
        <v>45</v>
      </c>
      <c r="U15" s="24"/>
      <c r="V15" s="25">
        <v>59</v>
      </c>
      <c r="W15" s="24"/>
      <c r="X15" s="25">
        <v>64</v>
      </c>
      <c r="Y15" s="24"/>
      <c r="Z15" s="25">
        <v>64</v>
      </c>
      <c r="AA15" s="24"/>
      <c r="AB15" s="25">
        <v>64</v>
      </c>
      <c r="AC15" s="26"/>
      <c r="AD15" s="25">
        <v>64</v>
      </c>
      <c r="AE15" s="26"/>
    </row>
    <row r="16" spans="2:42" ht="15" customHeight="1" thickBot="1" x14ac:dyDescent="0.35">
      <c r="B16" s="16" t="s">
        <v>50</v>
      </c>
      <c r="C16" s="17">
        <v>10735</v>
      </c>
      <c r="E16" s="84"/>
      <c r="F16" s="31">
        <f t="shared" ref="F16:M16" si="0">SUM(F6:F15)</f>
        <v>76919</v>
      </c>
      <c r="G16" s="31">
        <f t="shared" si="0"/>
        <v>54428.016499999998</v>
      </c>
      <c r="H16" s="31">
        <f t="shared" si="0"/>
        <v>57252.054060950017</v>
      </c>
      <c r="I16" s="32">
        <f t="shared" si="0"/>
        <v>111680.07056095001</v>
      </c>
      <c r="J16" s="33">
        <f t="shared" si="0"/>
        <v>79558</v>
      </c>
      <c r="K16" s="33">
        <f t="shared" si="0"/>
        <v>56373.075624999998</v>
      </c>
      <c r="L16" s="33">
        <f t="shared" si="0"/>
        <v>57476.695496239998</v>
      </c>
      <c r="M16" s="33">
        <f t="shared" si="0"/>
        <v>113849.77112123999</v>
      </c>
      <c r="N16" s="31">
        <f>SUM(N14,N12,N10,N8,N6)</f>
        <v>219</v>
      </c>
      <c r="O16" s="31">
        <f>SUM(O14,O12,O10,O8,O6)</f>
        <v>175</v>
      </c>
      <c r="P16" s="34">
        <f>SUM(P6:P15)</f>
        <v>0</v>
      </c>
      <c r="Q16" s="34">
        <f>SUM(Q6:Q15)</f>
        <v>79558</v>
      </c>
      <c r="R16" s="35">
        <f>R6+R8+R10+R12+R14-R7-R9-R11-R13-R15</f>
        <v>16271</v>
      </c>
      <c r="S16" s="36">
        <f>IF(R16&gt;1,(R16-$Q16),"")</f>
        <v>-63287</v>
      </c>
      <c r="T16" s="35">
        <f>T6+T8+T10+T12+T14-T7-T9-T11-T13-T15</f>
        <v>22433</v>
      </c>
      <c r="U16" s="36">
        <f>IF(T16&gt;1,(T16-$Q16),"")</f>
        <v>-57125</v>
      </c>
      <c r="V16" s="35">
        <f>V6+V8+V10+V12+V14-V7-V9-V11-V13-V15</f>
        <v>32442</v>
      </c>
      <c r="W16" s="36">
        <f>IF(V16&gt;1,(V16-$Q16),"")</f>
        <v>-47116</v>
      </c>
      <c r="X16" s="35">
        <f>X6+X8+X10+X12+X14-X7-X9-X11-X13-X15</f>
        <v>47952</v>
      </c>
      <c r="Y16" s="36">
        <f>IF(X16&gt;1,(X16-$Q16),"")</f>
        <v>-31606</v>
      </c>
      <c r="Z16" s="35">
        <f>Z6+Z8+Z10+Z12+Z14-Z7-Z9-Z11-Z13-Z15</f>
        <v>47432</v>
      </c>
      <c r="AA16" s="36">
        <f>IF(Z16&gt;1,(Z16-$Q16),"")</f>
        <v>-32126</v>
      </c>
      <c r="AB16" s="35">
        <f>AB6+AB8+AB10+AB12+AB14-AB7-AB9-AB11-AB13-AB15</f>
        <v>47854</v>
      </c>
      <c r="AC16" s="37">
        <f>IF(AB16&gt;1,(AB16-$Q16),"")</f>
        <v>-31704</v>
      </c>
      <c r="AD16" s="35">
        <f>AD6+AD8+AD10+AD12+AD14-AD7-AD9-AD11-AD13-AD15</f>
        <v>47854</v>
      </c>
      <c r="AE16" s="37">
        <f>IF(AD16&gt;1,(AD16-$Q16),"")</f>
        <v>-31704</v>
      </c>
    </row>
    <row r="17" spans="2:43" s="4" customFormat="1" ht="15" customHeight="1" thickBot="1" x14ac:dyDescent="0.35">
      <c r="B17" s="16" t="s">
        <v>51</v>
      </c>
      <c r="C17" s="17">
        <v>2107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600</v>
      </c>
      <c r="S17" s="41"/>
      <c r="T17" s="40">
        <f>T15+T13+T11+T9+T7</f>
        <v>725</v>
      </c>
      <c r="U17" s="41"/>
      <c r="V17" s="40">
        <f>V15+V13+V11+V9+V7</f>
        <v>967</v>
      </c>
      <c r="W17" s="41"/>
      <c r="X17" s="40">
        <f>X15+X13+X11+X9+X7</f>
        <v>1015</v>
      </c>
      <c r="Y17" s="41"/>
      <c r="Z17" s="40">
        <f>Z15+Z13+Z11+Z9+Z7</f>
        <v>1015</v>
      </c>
      <c r="AA17" s="41"/>
      <c r="AB17" s="40">
        <f>AB15+AB13+AB11+AB9+AB7</f>
        <v>1015</v>
      </c>
      <c r="AC17" s="42"/>
      <c r="AD17" s="40">
        <f>AD15+AD13+AD11+AD9+AD7</f>
        <v>1015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4720</v>
      </c>
      <c r="P18" s="45" t="s">
        <v>46</v>
      </c>
      <c r="Q18" s="46"/>
      <c r="R18" s="47">
        <f>IF(R16&gt;0,(R16)/2,"")</f>
        <v>8135.5</v>
      </c>
      <c r="S18" s="46"/>
      <c r="T18" s="47">
        <f>IF(T16&gt;0,(T16-R16)/2,"")</f>
        <v>3081</v>
      </c>
      <c r="U18" s="46"/>
      <c r="V18" s="47">
        <f>IF(V16&gt;0,(V16-T16)/2,"")</f>
        <v>5004.5</v>
      </c>
      <c r="W18" s="46"/>
      <c r="X18" s="47">
        <f>IF(X16&gt;0,(X16-V16)/2,"")</f>
        <v>7755</v>
      </c>
      <c r="Y18" s="46"/>
      <c r="Z18" s="47">
        <f>IF(Z16&gt;0,(Z16-X16)/2,"")</f>
        <v>-260</v>
      </c>
      <c r="AA18" s="46"/>
      <c r="AB18" s="47">
        <f>IF(AB16&gt;0,(AB16-Z16)/2,"")</f>
        <v>211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16271</v>
      </c>
      <c r="S24" s="60"/>
      <c r="T24" s="60">
        <f>IF(T16&gt;0,T16-T20,"")</f>
        <v>22433</v>
      </c>
      <c r="U24" s="60"/>
      <c r="V24" s="60">
        <f>IF(V16&gt;0,V16-V20,"")</f>
        <v>32442</v>
      </c>
      <c r="W24" s="60"/>
      <c r="X24" s="60">
        <f>IF(X16&gt;0,X16-X20,"")</f>
        <v>47952</v>
      </c>
      <c r="Y24" s="60"/>
      <c r="Z24" s="60">
        <f>IF(Z16&gt;0,Z16-Z20,"")</f>
        <v>47432</v>
      </c>
      <c r="AA24" s="60"/>
      <c r="AB24" s="60">
        <f>IF(AB16&gt;0,AB16-AB20,"")</f>
        <v>47854</v>
      </c>
      <c r="AC24" s="61"/>
      <c r="AD24" s="60">
        <f>IF(AD16&gt;0,AD16-AD20,"")</f>
        <v>47854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600</v>
      </c>
      <c r="S25" s="64"/>
      <c r="T25" s="63">
        <f>IF(T17&gt;=0,T17-T21,"")</f>
        <v>725</v>
      </c>
      <c r="U25" s="64"/>
      <c r="V25" s="63">
        <f>IF(V17&gt;=0,V17-V21,"")</f>
        <v>967</v>
      </c>
      <c r="W25" s="64"/>
      <c r="X25" s="63">
        <f>IF(X17&gt;=0,X17-X21,"")</f>
        <v>1015</v>
      </c>
      <c r="Y25" s="64"/>
      <c r="Z25" s="63">
        <f>IF(Z17&gt;=0,Z17-Z21,"")</f>
        <v>1015</v>
      </c>
      <c r="AA25" s="64"/>
      <c r="AB25" s="63">
        <f>IF(AB17&gt;=0,AB17-AB21,"")</f>
        <v>1015</v>
      </c>
      <c r="AC25" s="65"/>
      <c r="AD25" s="63">
        <f>IF(AD17&gt;=0,AD17-AD21,"")</f>
        <v>1015</v>
      </c>
      <c r="AE25" s="65"/>
    </row>
    <row r="26" spans="2:43" ht="15" customHeight="1" thickBot="1" x14ac:dyDescent="0.35">
      <c r="B26" s="74" t="s">
        <v>55</v>
      </c>
      <c r="C26" s="122">
        <v>10186</v>
      </c>
      <c r="D26" s="76">
        <f>C11</f>
        <v>10321</v>
      </c>
      <c r="E26" s="77">
        <f>D26-C26</f>
        <v>135</v>
      </c>
      <c r="M26" s="4"/>
      <c r="Q26" s="66"/>
      <c r="R26" s="67">
        <f>IFERROR(IF(R18&gt;0,R18-R22,""),"")</f>
        <v>8135.5</v>
      </c>
      <c r="S26" s="55"/>
      <c r="T26" s="67">
        <f>IFERROR(IF(T18&gt;0,T18-T22,""),"")</f>
        <v>3081</v>
      </c>
      <c r="U26" s="55"/>
      <c r="V26" s="67">
        <f>IFERROR(IF(V18&gt;0,V18-V22,""),"")</f>
        <v>5004.5</v>
      </c>
      <c r="W26" s="55"/>
      <c r="X26" s="67">
        <f>IFERROR(IF(X18&gt;0,X18-X22,""),"")</f>
        <v>7755</v>
      </c>
      <c r="Y26" s="55"/>
      <c r="Z26" s="67" t="str">
        <f>IFERROR(IF(Z18&gt;0,Z18-Z22,""),"")</f>
        <v/>
      </c>
      <c r="AA26" s="55"/>
      <c r="AB26" s="67">
        <f>IFERROR(IF(AB18&gt;0,AB18-AB22,""),"")</f>
        <v>211</v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27622</v>
      </c>
      <c r="D27" s="76">
        <f>C7+C12+C13+C14+C15</f>
        <v>26939</v>
      </c>
      <c r="E27" s="77">
        <f>D27-C27</f>
        <v>-683</v>
      </c>
      <c r="O27" s="4"/>
      <c r="AF27" s="69"/>
    </row>
    <row r="28" spans="2:43" x14ac:dyDescent="0.3">
      <c r="B28" s="74" t="s">
        <v>21</v>
      </c>
      <c r="C28" s="122">
        <v>2414</v>
      </c>
      <c r="D28" s="76">
        <f>C6</f>
        <v>2414</v>
      </c>
      <c r="E28" s="77">
        <f>D28-C28</f>
        <v>0</v>
      </c>
      <c r="O28" s="4"/>
    </row>
    <row r="29" spans="2:43" x14ac:dyDescent="0.3">
      <c r="B29" s="74" t="s">
        <v>57</v>
      </c>
      <c r="C29" s="122">
        <v>4699</v>
      </c>
      <c r="D29" s="76">
        <f>C10</f>
        <v>4699</v>
      </c>
      <c r="E29" s="77">
        <f>D29-C29</f>
        <v>0</v>
      </c>
      <c r="O29" s="4"/>
    </row>
    <row r="30" spans="2:43" x14ac:dyDescent="0.3">
      <c r="B30" s="74" t="s">
        <v>59</v>
      </c>
      <c r="C30" s="122">
        <v>16279</v>
      </c>
      <c r="D30" s="76">
        <f>C16+C17+C18</f>
        <v>17562</v>
      </c>
      <c r="E30" s="77">
        <f>D30-C30</f>
        <v>1283</v>
      </c>
      <c r="J30" s="53"/>
      <c r="O30" s="4"/>
    </row>
    <row r="31" spans="2:43" ht="15" customHeight="1" thickBot="1" x14ac:dyDescent="0.35">
      <c r="B31" s="78" t="s">
        <v>60</v>
      </c>
      <c r="C31" s="121">
        <v>3466</v>
      </c>
      <c r="D31" s="80">
        <f>SUM(C8+C9)</f>
        <v>3466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1107</v>
      </c>
      <c r="S35" s="104">
        <f t="shared" ref="S35:S64" si="1">IF(T35&gt;0,(T35-R35)/2,"")</f>
        <v>338.5</v>
      </c>
      <c r="T35" s="104">
        <v>1784</v>
      </c>
      <c r="U35" s="104">
        <f t="shared" ref="U35:U64" si="2">IF(V35&gt;0,(V35-T35)/2,"")</f>
        <v>563.5</v>
      </c>
      <c r="V35" s="104">
        <v>2911</v>
      </c>
      <c r="W35" s="104">
        <f t="shared" ref="W35:W64" si="3">IF(X35&gt;0,(X35-V35)/2,"")</f>
        <v>420</v>
      </c>
      <c r="X35" s="104">
        <v>3751</v>
      </c>
      <c r="Y35" s="104">
        <f t="shared" ref="Y35:Y64" si="4">IF(Z35&gt;0,(Z35-X35)/2,"")</f>
        <v>0</v>
      </c>
      <c r="Z35" s="104">
        <v>3751</v>
      </c>
      <c r="AA35" s="104">
        <f t="shared" ref="AA35:AA64" si="5">IF(AB35&gt;0,(AB35-Z35)/2,"")</f>
        <v>0</v>
      </c>
      <c r="AB35" s="104">
        <v>3751</v>
      </c>
      <c r="AC35" s="104">
        <f t="shared" ref="AC35:AC64" si="6">IF(AD35&gt;0,(AD35-AB35)/2,"")</f>
        <v>0</v>
      </c>
      <c r="AD35" s="104">
        <v>3751</v>
      </c>
      <c r="AE35" s="105">
        <f t="shared" ref="AE35:AE64" si="7">AD35-Q35</f>
        <v>3751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11</v>
      </c>
      <c r="S36" s="106">
        <f t="shared" si="1"/>
        <v>0</v>
      </c>
      <c r="T36" s="106">
        <v>11</v>
      </c>
      <c r="U36" s="106">
        <f t="shared" si="2"/>
        <v>12</v>
      </c>
      <c r="V36" s="106">
        <v>35</v>
      </c>
      <c r="W36" s="106">
        <f t="shared" si="3"/>
        <v>0</v>
      </c>
      <c r="X36" s="106">
        <v>35</v>
      </c>
      <c r="Y36" s="106">
        <f t="shared" si="4"/>
        <v>0</v>
      </c>
      <c r="Z36" s="106">
        <v>35</v>
      </c>
      <c r="AA36" s="106">
        <f t="shared" si="5"/>
        <v>0</v>
      </c>
      <c r="AB36" s="106">
        <v>35</v>
      </c>
      <c r="AC36" s="106">
        <f t="shared" si="6"/>
        <v>0</v>
      </c>
      <c r="AD36" s="106">
        <v>35</v>
      </c>
      <c r="AE36" s="107">
        <f t="shared" si="7"/>
        <v>35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2385</v>
      </c>
      <c r="S37" s="108">
        <f t="shared" si="1"/>
        <v>608</v>
      </c>
      <c r="T37" s="108">
        <v>3601</v>
      </c>
      <c r="U37" s="108">
        <f t="shared" si="2"/>
        <v>755</v>
      </c>
      <c r="V37" s="108">
        <v>5111</v>
      </c>
      <c r="W37" s="108">
        <f t="shared" si="3"/>
        <v>135</v>
      </c>
      <c r="X37" s="108">
        <v>5381</v>
      </c>
      <c r="Y37" s="108">
        <f t="shared" si="4"/>
        <v>0</v>
      </c>
      <c r="Z37" s="108">
        <v>5381</v>
      </c>
      <c r="AA37" s="108">
        <f t="shared" si="5"/>
        <v>0</v>
      </c>
      <c r="AB37" s="108">
        <v>5381</v>
      </c>
      <c r="AC37" s="108">
        <f t="shared" si="6"/>
        <v>0</v>
      </c>
      <c r="AD37" s="108">
        <v>5381</v>
      </c>
      <c r="AE37" s="109">
        <f t="shared" si="7"/>
        <v>5381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>
        <f t="shared" si="3"/>
        <v>2221</v>
      </c>
      <c r="X38" s="106">
        <v>4442</v>
      </c>
      <c r="Y38" s="106">
        <f t="shared" si="4"/>
        <v>0</v>
      </c>
      <c r="Z38" s="106">
        <v>4442</v>
      </c>
      <c r="AA38" s="106">
        <f t="shared" si="5"/>
        <v>0</v>
      </c>
      <c r="AB38" s="106">
        <v>4442</v>
      </c>
      <c r="AC38" s="106">
        <f t="shared" si="6"/>
        <v>0</v>
      </c>
      <c r="AD38" s="106">
        <v>4442</v>
      </c>
      <c r="AE38" s="107">
        <f t="shared" si="7"/>
        <v>4442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70.5</v>
      </c>
      <c r="V39" s="108">
        <v>141</v>
      </c>
      <c r="W39" s="108">
        <f t="shared" si="3"/>
        <v>1644</v>
      </c>
      <c r="X39" s="108">
        <v>3429</v>
      </c>
      <c r="Y39" s="108">
        <f t="shared" si="4"/>
        <v>0</v>
      </c>
      <c r="Z39" s="108">
        <v>3429</v>
      </c>
      <c r="AA39" s="108">
        <f t="shared" si="5"/>
        <v>0</v>
      </c>
      <c r="AB39" s="108">
        <v>3429</v>
      </c>
      <c r="AC39" s="108">
        <f t="shared" si="6"/>
        <v>0</v>
      </c>
      <c r="AD39" s="108">
        <v>3429</v>
      </c>
      <c r="AE39" s="109">
        <f t="shared" si="7"/>
        <v>3429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135</v>
      </c>
      <c r="S44" s="112">
        <f t="shared" si="1"/>
        <v>0</v>
      </c>
      <c r="T44" s="112">
        <v>135</v>
      </c>
      <c r="U44" s="112">
        <f t="shared" si="2"/>
        <v>138.5</v>
      </c>
      <c r="V44" s="112">
        <v>412</v>
      </c>
      <c r="W44" s="112">
        <f t="shared" si="3"/>
        <v>163.5</v>
      </c>
      <c r="X44" s="112">
        <v>739</v>
      </c>
      <c r="Y44" s="112">
        <f t="shared" si="4"/>
        <v>0</v>
      </c>
      <c r="Z44" s="112">
        <v>739</v>
      </c>
      <c r="AA44" s="112">
        <f t="shared" si="5"/>
        <v>0</v>
      </c>
      <c r="AB44" s="112">
        <v>739</v>
      </c>
      <c r="AC44" s="112">
        <f t="shared" si="6"/>
        <v>0</v>
      </c>
      <c r="AD44" s="112">
        <v>739</v>
      </c>
      <c r="AE44" s="113">
        <f t="shared" si="7"/>
        <v>739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300</v>
      </c>
      <c r="S45" s="108">
        <f t="shared" si="1"/>
        <v>179.5</v>
      </c>
      <c r="T45" s="108">
        <v>659</v>
      </c>
      <c r="U45" s="108">
        <f t="shared" si="2"/>
        <v>263</v>
      </c>
      <c r="V45" s="108">
        <v>1185</v>
      </c>
      <c r="W45" s="108">
        <f t="shared" si="3"/>
        <v>163</v>
      </c>
      <c r="X45" s="108">
        <v>1511</v>
      </c>
      <c r="Y45" s="108">
        <f t="shared" si="4"/>
        <v>0</v>
      </c>
      <c r="Z45" s="108">
        <v>1511</v>
      </c>
      <c r="AA45" s="108">
        <f t="shared" si="5"/>
        <v>0</v>
      </c>
      <c r="AB45" s="108">
        <v>1511</v>
      </c>
      <c r="AC45" s="108">
        <f t="shared" si="6"/>
        <v>0</v>
      </c>
      <c r="AD45" s="108">
        <v>1511</v>
      </c>
      <c r="AE45" s="109">
        <f t="shared" si="7"/>
        <v>1511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101</v>
      </c>
      <c r="S48" s="112">
        <f t="shared" si="1"/>
        <v>269.5</v>
      </c>
      <c r="T48" s="112">
        <v>640</v>
      </c>
      <c r="U48" s="112">
        <f t="shared" si="2"/>
        <v>542</v>
      </c>
      <c r="V48" s="112">
        <v>1724</v>
      </c>
      <c r="W48" s="112">
        <f t="shared" si="3"/>
        <v>500</v>
      </c>
      <c r="X48" s="112">
        <v>2724</v>
      </c>
      <c r="Y48" s="112">
        <f t="shared" si="4"/>
        <v>-83</v>
      </c>
      <c r="Z48" s="112">
        <v>2558</v>
      </c>
      <c r="AA48" s="112">
        <f t="shared" si="5"/>
        <v>0</v>
      </c>
      <c r="AB48" s="112">
        <v>2558</v>
      </c>
      <c r="AC48" s="112">
        <f t="shared" si="6"/>
        <v>0</v>
      </c>
      <c r="AD48" s="112">
        <v>2558</v>
      </c>
      <c r="AE48" s="113">
        <f t="shared" si="7"/>
        <v>2558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1083</v>
      </c>
      <c r="S49" s="108">
        <f t="shared" si="1"/>
        <v>69</v>
      </c>
      <c r="T49" s="108">
        <v>1221</v>
      </c>
      <c r="U49" s="108">
        <f t="shared" si="2"/>
        <v>0</v>
      </c>
      <c r="V49" s="108">
        <v>1221</v>
      </c>
      <c r="W49" s="108">
        <f t="shared" si="3"/>
        <v>902.5</v>
      </c>
      <c r="X49" s="108">
        <v>3026</v>
      </c>
      <c r="Y49" s="108">
        <f t="shared" si="4"/>
        <v>0</v>
      </c>
      <c r="Z49" s="108">
        <v>3026</v>
      </c>
      <c r="AA49" s="108">
        <f t="shared" si="5"/>
        <v>0</v>
      </c>
      <c r="AB49" s="108">
        <v>3026</v>
      </c>
      <c r="AC49" s="108">
        <f t="shared" si="6"/>
        <v>0</v>
      </c>
      <c r="AD49" s="108">
        <v>3026</v>
      </c>
      <c r="AE49" s="109">
        <f t="shared" si="7"/>
        <v>3026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1381</v>
      </c>
      <c r="S50" s="106">
        <f t="shared" si="1"/>
        <v>0</v>
      </c>
      <c r="T50" s="106">
        <v>1381</v>
      </c>
      <c r="U50" s="106">
        <f t="shared" si="2"/>
        <v>-228</v>
      </c>
      <c r="V50" s="106">
        <v>925</v>
      </c>
      <c r="W50" s="106">
        <f t="shared" si="3"/>
        <v>0</v>
      </c>
      <c r="X50" s="106">
        <v>925</v>
      </c>
      <c r="Y50" s="106">
        <f t="shared" si="4"/>
        <v>0</v>
      </c>
      <c r="Z50" s="106">
        <v>925</v>
      </c>
      <c r="AA50" s="106">
        <f t="shared" si="5"/>
        <v>0</v>
      </c>
      <c r="AB50" s="106">
        <v>925</v>
      </c>
      <c r="AC50" s="106">
        <f t="shared" si="6"/>
        <v>0</v>
      </c>
      <c r="AD50" s="106">
        <v>925</v>
      </c>
      <c r="AE50" s="107">
        <f t="shared" si="7"/>
        <v>925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</v>
      </c>
      <c r="S51" s="108">
        <f t="shared" si="1"/>
        <v>0</v>
      </c>
      <c r="T51" s="108">
        <v>1</v>
      </c>
      <c r="U51" s="108">
        <f t="shared" si="2"/>
        <v>360</v>
      </c>
      <c r="V51" s="108">
        <v>721</v>
      </c>
      <c r="W51" s="108">
        <f t="shared" si="3"/>
        <v>-153.5</v>
      </c>
      <c r="X51" s="108">
        <v>414</v>
      </c>
      <c r="Y51" s="108">
        <f t="shared" si="4"/>
        <v>0</v>
      </c>
      <c r="Z51" s="108">
        <v>414</v>
      </c>
      <c r="AA51" s="108">
        <f t="shared" si="5"/>
        <v>0</v>
      </c>
      <c r="AB51" s="108">
        <v>414</v>
      </c>
      <c r="AC51" s="108">
        <f t="shared" si="6"/>
        <v>0</v>
      </c>
      <c r="AD51" s="108">
        <v>414</v>
      </c>
      <c r="AE51" s="109">
        <f t="shared" si="7"/>
        <v>414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513</v>
      </c>
      <c r="S52" s="106">
        <f t="shared" si="1"/>
        <v>13.5</v>
      </c>
      <c r="T52" s="106">
        <v>540</v>
      </c>
      <c r="U52" s="106">
        <f t="shared" si="2"/>
        <v>0</v>
      </c>
      <c r="V52" s="106">
        <v>540</v>
      </c>
      <c r="W52" s="106">
        <f t="shared" si="3"/>
        <v>108</v>
      </c>
      <c r="X52" s="106">
        <v>756</v>
      </c>
      <c r="Y52" s="106">
        <f t="shared" si="4"/>
        <v>0</v>
      </c>
      <c r="Z52" s="106">
        <v>756</v>
      </c>
      <c r="AA52" s="106">
        <f t="shared" si="5"/>
        <v>0</v>
      </c>
      <c r="AB52" s="106">
        <v>756</v>
      </c>
      <c r="AC52" s="106">
        <f t="shared" si="6"/>
        <v>0</v>
      </c>
      <c r="AD52" s="106">
        <v>756</v>
      </c>
      <c r="AE52" s="107">
        <f t="shared" si="7"/>
        <v>756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12.5</v>
      </c>
      <c r="T53" s="108">
        <v>25</v>
      </c>
      <c r="U53" s="108">
        <f t="shared" si="2"/>
        <v>611.5</v>
      </c>
      <c r="V53" s="108">
        <v>1248</v>
      </c>
      <c r="W53" s="108">
        <f t="shared" si="3"/>
        <v>530</v>
      </c>
      <c r="X53" s="108">
        <v>2308</v>
      </c>
      <c r="Y53" s="108">
        <f t="shared" si="4"/>
        <v>-252</v>
      </c>
      <c r="Z53" s="108">
        <v>1804</v>
      </c>
      <c r="AA53" s="108">
        <f t="shared" si="5"/>
        <v>0</v>
      </c>
      <c r="AB53" s="108">
        <v>1804</v>
      </c>
      <c r="AC53" s="108">
        <f t="shared" si="6"/>
        <v>0</v>
      </c>
      <c r="AD53" s="108">
        <v>1804</v>
      </c>
      <c r="AE53" s="109">
        <f t="shared" si="7"/>
        <v>1804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1781</v>
      </c>
      <c r="S57" s="104">
        <f t="shared" si="1"/>
        <v>360</v>
      </c>
      <c r="T57" s="104">
        <v>2501</v>
      </c>
      <c r="U57" s="104">
        <f t="shared" si="2"/>
        <v>67.5</v>
      </c>
      <c r="V57" s="104">
        <v>2636</v>
      </c>
      <c r="W57" s="104">
        <f t="shared" si="3"/>
        <v>0</v>
      </c>
      <c r="X57" s="104">
        <v>2636</v>
      </c>
      <c r="Y57" s="104">
        <f t="shared" si="4"/>
        <v>0</v>
      </c>
      <c r="Z57" s="104">
        <v>2636</v>
      </c>
      <c r="AA57" s="104">
        <f t="shared" si="5"/>
        <v>0</v>
      </c>
      <c r="AB57" s="104">
        <v>2636</v>
      </c>
      <c r="AC57" s="104">
        <f t="shared" si="6"/>
        <v>0</v>
      </c>
      <c r="AD57" s="104">
        <v>2636</v>
      </c>
      <c r="AE57" s="105">
        <f t="shared" si="7"/>
        <v>2636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1033</v>
      </c>
      <c r="S58" s="106">
        <f t="shared" si="1"/>
        <v>271.5</v>
      </c>
      <c r="T58" s="106">
        <v>1576</v>
      </c>
      <c r="U58" s="106">
        <f t="shared" si="2"/>
        <v>450</v>
      </c>
      <c r="V58" s="106">
        <v>2476</v>
      </c>
      <c r="W58" s="106">
        <f t="shared" si="3"/>
        <v>0</v>
      </c>
      <c r="X58" s="106">
        <v>2476</v>
      </c>
      <c r="Y58" s="106">
        <f t="shared" si="4"/>
        <v>0</v>
      </c>
      <c r="Z58" s="106">
        <v>2476</v>
      </c>
      <c r="AA58" s="106">
        <f t="shared" si="5"/>
        <v>0</v>
      </c>
      <c r="AB58" s="106">
        <v>2476</v>
      </c>
      <c r="AC58" s="106">
        <f t="shared" si="6"/>
        <v>0</v>
      </c>
      <c r="AD58" s="106">
        <v>2476</v>
      </c>
      <c r="AE58" s="107">
        <f t="shared" si="7"/>
        <v>2476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1403</v>
      </c>
      <c r="S59" s="108">
        <f t="shared" si="1"/>
        <v>185</v>
      </c>
      <c r="T59" s="108">
        <v>1773</v>
      </c>
      <c r="U59" s="108">
        <f t="shared" si="2"/>
        <v>0</v>
      </c>
      <c r="V59" s="108">
        <v>1773</v>
      </c>
      <c r="W59" s="108">
        <f t="shared" si="3"/>
        <v>0</v>
      </c>
      <c r="X59" s="108">
        <v>1773</v>
      </c>
      <c r="Y59" s="108">
        <f t="shared" si="4"/>
        <v>0</v>
      </c>
      <c r="Z59" s="108">
        <v>1773</v>
      </c>
      <c r="AA59" s="108">
        <f t="shared" si="5"/>
        <v>0</v>
      </c>
      <c r="AB59" s="108">
        <v>1773</v>
      </c>
      <c r="AC59" s="108">
        <f t="shared" si="6"/>
        <v>0</v>
      </c>
      <c r="AD59" s="108">
        <v>1773</v>
      </c>
      <c r="AE59" s="109">
        <f t="shared" si="7"/>
        <v>1773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678</v>
      </c>
      <c r="S60" s="114">
        <f t="shared" si="1"/>
        <v>1.5</v>
      </c>
      <c r="T60" s="114">
        <v>681</v>
      </c>
      <c r="U60" s="114">
        <f t="shared" si="2"/>
        <v>29.5</v>
      </c>
      <c r="V60" s="114">
        <v>740</v>
      </c>
      <c r="W60" s="114">
        <f t="shared" si="3"/>
        <v>0</v>
      </c>
      <c r="X60" s="114">
        <v>740</v>
      </c>
      <c r="Y60" s="114">
        <f t="shared" si="4"/>
        <v>0</v>
      </c>
      <c r="Z60" s="114">
        <v>740</v>
      </c>
      <c r="AA60" s="114">
        <f t="shared" si="5"/>
        <v>0</v>
      </c>
      <c r="AB60" s="114">
        <v>740</v>
      </c>
      <c r="AC60" s="114">
        <f t="shared" si="6"/>
        <v>0</v>
      </c>
      <c r="AD60" s="114">
        <v>740</v>
      </c>
      <c r="AE60" s="115">
        <f t="shared" si="7"/>
        <v>740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688</v>
      </c>
      <c r="S61" s="104">
        <f t="shared" si="1"/>
        <v>0</v>
      </c>
      <c r="T61" s="104">
        <v>688</v>
      </c>
      <c r="U61" s="104">
        <f t="shared" si="2"/>
        <v>266.5</v>
      </c>
      <c r="V61" s="104">
        <v>1221</v>
      </c>
      <c r="W61" s="104">
        <f t="shared" si="3"/>
        <v>415</v>
      </c>
      <c r="X61" s="104">
        <v>2051</v>
      </c>
      <c r="Y61" s="104">
        <f t="shared" si="4"/>
        <v>-47</v>
      </c>
      <c r="Z61" s="104">
        <v>1957</v>
      </c>
      <c r="AA61" s="104">
        <f t="shared" si="5"/>
        <v>0</v>
      </c>
      <c r="AB61" s="104">
        <v>1957</v>
      </c>
      <c r="AC61" s="104">
        <f t="shared" si="6"/>
        <v>0</v>
      </c>
      <c r="AD61" s="104">
        <v>1957</v>
      </c>
      <c r="AE61" s="105">
        <f t="shared" si="7"/>
        <v>1957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258</v>
      </c>
      <c r="S62" s="106">
        <f t="shared" si="1"/>
        <v>0</v>
      </c>
      <c r="T62" s="106">
        <v>258</v>
      </c>
      <c r="U62" s="106">
        <f t="shared" si="2"/>
        <v>40</v>
      </c>
      <c r="V62" s="106">
        <v>338</v>
      </c>
      <c r="W62" s="106">
        <f t="shared" si="3"/>
        <v>98.5</v>
      </c>
      <c r="X62" s="106">
        <v>535</v>
      </c>
      <c r="Y62" s="106">
        <f t="shared" si="4"/>
        <v>204</v>
      </c>
      <c r="Z62" s="106">
        <v>943</v>
      </c>
      <c r="AA62" s="106">
        <f t="shared" si="5"/>
        <v>0</v>
      </c>
      <c r="AB62" s="106">
        <v>943</v>
      </c>
      <c r="AC62" s="106">
        <f t="shared" si="6"/>
        <v>0</v>
      </c>
      <c r="AD62" s="106">
        <v>943</v>
      </c>
      <c r="AE62" s="107">
        <f t="shared" si="7"/>
        <v>943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217</v>
      </c>
      <c r="S63" s="108">
        <f t="shared" si="1"/>
        <v>118.5</v>
      </c>
      <c r="T63" s="108">
        <v>454</v>
      </c>
      <c r="U63" s="108">
        <f t="shared" si="2"/>
        <v>167</v>
      </c>
      <c r="V63" s="108">
        <v>788</v>
      </c>
      <c r="W63" s="108">
        <f t="shared" si="3"/>
        <v>80</v>
      </c>
      <c r="X63" s="108">
        <v>948</v>
      </c>
      <c r="Y63" s="108">
        <f t="shared" si="4"/>
        <v>14</v>
      </c>
      <c r="Z63" s="108">
        <v>976</v>
      </c>
      <c r="AA63" s="108">
        <f t="shared" si="5"/>
        <v>0</v>
      </c>
      <c r="AB63" s="108">
        <v>976</v>
      </c>
      <c r="AC63" s="108">
        <f t="shared" si="6"/>
        <v>0</v>
      </c>
      <c r="AD63" s="108">
        <v>976</v>
      </c>
      <c r="AE63" s="109">
        <f t="shared" si="7"/>
        <v>976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1070</v>
      </c>
      <c r="S64" s="114">
        <f t="shared" si="1"/>
        <v>657.5</v>
      </c>
      <c r="T64" s="114">
        <v>2385</v>
      </c>
      <c r="U64" s="114">
        <f t="shared" si="2"/>
        <v>444.5</v>
      </c>
      <c r="V64" s="114">
        <v>3274</v>
      </c>
      <c r="W64" s="114">
        <f t="shared" si="3"/>
        <v>-13</v>
      </c>
      <c r="X64" s="114">
        <v>3248</v>
      </c>
      <c r="Y64" s="114">
        <f t="shared" si="4"/>
        <v>-57</v>
      </c>
      <c r="Z64" s="114">
        <v>3134</v>
      </c>
      <c r="AA64" s="114">
        <f t="shared" si="5"/>
        <v>0</v>
      </c>
      <c r="AB64" s="114">
        <v>3134</v>
      </c>
      <c r="AC64" s="114">
        <f t="shared" si="6"/>
        <v>0</v>
      </c>
      <c r="AD64" s="114">
        <v>3134</v>
      </c>
      <c r="AE64" s="115">
        <f t="shared" si="7"/>
        <v>3134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35" priority="11" operator="lessThan">
      <formula>0</formula>
    </cfRule>
    <cfRule type="cellIs" dxfId="634" priority="12" operator="greaterThan">
      <formula>0</formula>
    </cfRule>
  </conditionalFormatting>
  <conditionalFormatting sqref="R25:AC25">
    <cfRule type="cellIs" dxfId="633" priority="9" operator="lessThan">
      <formula>0</formula>
    </cfRule>
    <cfRule type="cellIs" dxfId="632" priority="10" operator="greaterThan">
      <formula>0</formula>
    </cfRule>
  </conditionalFormatting>
  <conditionalFormatting sqref="R26 T26 V26 X26 Z26 AB26">
    <cfRule type="cellIs" dxfId="631" priority="7" operator="lessThan">
      <formula>0</formula>
    </cfRule>
    <cfRule type="cellIs" dxfId="630" priority="8" operator="greaterThan">
      <formula>0</formula>
    </cfRule>
  </conditionalFormatting>
  <conditionalFormatting sqref="AD24:AE24">
    <cfRule type="cellIs" dxfId="629" priority="5" operator="lessThan">
      <formula>0</formula>
    </cfRule>
    <cfRule type="cellIs" dxfId="628" priority="6" operator="greaterThan">
      <formula>0</formula>
    </cfRule>
  </conditionalFormatting>
  <conditionalFormatting sqref="AD25:AE25">
    <cfRule type="cellIs" dxfId="627" priority="3" operator="lessThan">
      <formula>0</formula>
    </cfRule>
    <cfRule type="cellIs" dxfId="626" priority="4" operator="greaterThan">
      <formula>0</formula>
    </cfRule>
  </conditionalFormatting>
  <conditionalFormatting sqref="AD26">
    <cfRule type="cellIs" dxfId="625" priority="1" operator="lessThan">
      <formula>0</formula>
    </cfRule>
    <cfRule type="cellIs" dxfId="62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44465</v>
      </c>
    </row>
    <row r="3" spans="2:42" ht="18.75" customHeight="1" thickBot="1" x14ac:dyDescent="0.35">
      <c r="B3" t="s">
        <v>1</v>
      </c>
      <c r="C3" s="3">
        <f>C2+1</f>
        <v>44466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2616</v>
      </c>
      <c r="E6" s="18" t="s">
        <v>22</v>
      </c>
      <c r="F6" s="119">
        <v>18729</v>
      </c>
      <c r="G6" s="117">
        <v>9181.0920000000006</v>
      </c>
      <c r="H6" s="117">
        <v>193.21634</v>
      </c>
      <c r="I6" s="19">
        <f>G6+H6</f>
        <v>9374.3083400000014</v>
      </c>
      <c r="J6" s="119">
        <v>19563</v>
      </c>
      <c r="K6" s="117">
        <v>9704.4741250000006</v>
      </c>
      <c r="L6" s="117">
        <v>209.179765</v>
      </c>
      <c r="M6" s="19">
        <f>K6+L6</f>
        <v>9913.6538900000014</v>
      </c>
      <c r="N6" s="85">
        <v>66</v>
      </c>
      <c r="O6" s="85">
        <v>56</v>
      </c>
      <c r="P6" s="92"/>
      <c r="Q6" s="20">
        <f>J6-P6</f>
        <v>19563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244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2708</v>
      </c>
      <c r="E8" s="29" t="s">
        <v>27</v>
      </c>
      <c r="F8" s="119">
        <v>2890</v>
      </c>
      <c r="G8" s="117">
        <v>3790.412499999999</v>
      </c>
      <c r="H8" s="117">
        <v>11536.515699580001</v>
      </c>
      <c r="I8" s="19">
        <f>G8+H8</f>
        <v>15326.928199579999</v>
      </c>
      <c r="J8" s="119">
        <v>2786</v>
      </c>
      <c r="K8" s="117">
        <v>3715.4315000000001</v>
      </c>
      <c r="L8" s="117">
        <v>12547.61482216</v>
      </c>
      <c r="M8" s="19">
        <f>K8+L8</f>
        <v>16263.04632216</v>
      </c>
      <c r="N8" s="87">
        <v>24</v>
      </c>
      <c r="O8" s="87">
        <v>16</v>
      </c>
      <c r="P8" s="92"/>
      <c r="Q8" s="20">
        <f>J8-P8</f>
        <v>2786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1363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4414</v>
      </c>
      <c r="E10" s="18" t="s">
        <v>31</v>
      </c>
      <c r="F10" s="119">
        <v>11296</v>
      </c>
      <c r="G10" s="117">
        <v>7847.4432500000003</v>
      </c>
      <c r="H10" s="117">
        <v>1161.519495</v>
      </c>
      <c r="I10" s="19">
        <f>G10+H10</f>
        <v>9008.9627450000007</v>
      </c>
      <c r="J10" s="119">
        <v>11625</v>
      </c>
      <c r="K10" s="117">
        <v>8117.2027499999986</v>
      </c>
      <c r="L10" s="117">
        <v>1139.9779759999999</v>
      </c>
      <c r="M10" s="19">
        <f>K10+L10</f>
        <v>9257.1807259999987</v>
      </c>
      <c r="N10" s="88">
        <v>38</v>
      </c>
      <c r="O10" s="88">
        <v>33</v>
      </c>
      <c r="P10" s="92"/>
      <c r="Q10" s="20">
        <f>J10-P10</f>
        <v>11625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11133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11035</v>
      </c>
      <c r="G12" s="117">
        <v>10764.8485</v>
      </c>
      <c r="H12" s="117">
        <v>12712.622829780001</v>
      </c>
      <c r="I12" s="19">
        <f>G12+H12</f>
        <v>23477.471329780001</v>
      </c>
      <c r="J12" s="119">
        <v>11760</v>
      </c>
      <c r="K12" s="117">
        <v>10937.034750000001</v>
      </c>
      <c r="L12" s="117">
        <v>12923.852821709999</v>
      </c>
      <c r="M12" s="19">
        <f>K12+L12</f>
        <v>23860.887571710002</v>
      </c>
      <c r="N12" s="88">
        <v>44</v>
      </c>
      <c r="O12" s="88">
        <v>37</v>
      </c>
      <c r="P12" s="92"/>
      <c r="Q12" s="20">
        <f>J12-P12</f>
        <v>11760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10139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27889</v>
      </c>
      <c r="G14" s="117">
        <v>19597.162499999999</v>
      </c>
      <c r="H14" s="117">
        <v>29787.13349266001</v>
      </c>
      <c r="I14" s="19">
        <f>G14+H14</f>
        <v>49384.295992660009</v>
      </c>
      <c r="J14" s="119">
        <v>28822</v>
      </c>
      <c r="K14" s="117">
        <v>20648.969000000001</v>
      </c>
      <c r="L14" s="117">
        <v>30850.527460980011</v>
      </c>
      <c r="M14" s="19">
        <f>K14+L14</f>
        <v>51499.496460980008</v>
      </c>
      <c r="N14" s="88">
        <v>71</v>
      </c>
      <c r="O14" s="88">
        <v>50</v>
      </c>
      <c r="P14" s="92"/>
      <c r="Q14" s="20">
        <f>J14-P14</f>
        <v>28822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21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8660</v>
      </c>
      <c r="E16" s="84"/>
      <c r="F16" s="31">
        <f t="shared" ref="F16:M16" si="0">SUM(F6:F15)</f>
        <v>71839</v>
      </c>
      <c r="G16" s="31">
        <f t="shared" si="0"/>
        <v>51180.958749999998</v>
      </c>
      <c r="H16" s="31">
        <f t="shared" si="0"/>
        <v>55391.007857020013</v>
      </c>
      <c r="I16" s="32">
        <f t="shared" si="0"/>
        <v>106571.96660702</v>
      </c>
      <c r="J16" s="33">
        <f t="shared" si="0"/>
        <v>74556</v>
      </c>
      <c r="K16" s="33">
        <f t="shared" si="0"/>
        <v>53123.112125</v>
      </c>
      <c r="L16" s="33">
        <f t="shared" si="0"/>
        <v>57671.152845850011</v>
      </c>
      <c r="M16" s="33">
        <f t="shared" si="0"/>
        <v>110794.26497085001</v>
      </c>
      <c r="N16" s="31">
        <f>SUM(N14,N12,N10,N8,N6)</f>
        <v>243</v>
      </c>
      <c r="O16" s="31">
        <f>SUM(O14,O12,O10,O8,O6)</f>
        <v>192</v>
      </c>
      <c r="P16" s="34">
        <f>SUM(P6:P15)</f>
        <v>0</v>
      </c>
      <c r="Q16" s="34">
        <f>SUM(Q6:Q15)</f>
        <v>74556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1169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4568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10063</v>
      </c>
      <c r="D26" s="76">
        <f>C11</f>
        <v>11133</v>
      </c>
      <c r="E26" s="77">
        <f>D26-C26</f>
        <v>1070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24683</v>
      </c>
      <c r="D27" s="76">
        <f>C7+C12+C13+C14+C15</f>
        <v>10383</v>
      </c>
      <c r="E27" s="77">
        <f>D27-C27</f>
        <v>-14300</v>
      </c>
      <c r="O27" s="4"/>
      <c r="AF27" s="69"/>
    </row>
    <row r="28" spans="2:43" x14ac:dyDescent="0.3">
      <c r="B28" s="74" t="s">
        <v>21</v>
      </c>
      <c r="C28" s="122">
        <v>2616</v>
      </c>
      <c r="D28" s="76">
        <f>C6</f>
        <v>2616</v>
      </c>
      <c r="E28" s="77">
        <f>D28-C28</f>
        <v>0</v>
      </c>
      <c r="O28" s="4"/>
    </row>
    <row r="29" spans="2:43" x14ac:dyDescent="0.3">
      <c r="B29" s="74" t="s">
        <v>57</v>
      </c>
      <c r="C29" s="122">
        <v>4414</v>
      </c>
      <c r="D29" s="76">
        <f>C10</f>
        <v>4414</v>
      </c>
      <c r="E29" s="77">
        <f>D29-C29</f>
        <v>0</v>
      </c>
      <c r="O29" s="4"/>
    </row>
    <row r="30" spans="2:43" x14ac:dyDescent="0.3">
      <c r="B30" s="74" t="s">
        <v>59</v>
      </c>
      <c r="C30" s="122">
        <v>14686</v>
      </c>
      <c r="D30" s="76">
        <f>C16+C17+C18</f>
        <v>14397</v>
      </c>
      <c r="E30" s="77">
        <f>D30-C30</f>
        <v>-289</v>
      </c>
      <c r="J30" s="53"/>
      <c r="O30" s="4"/>
    </row>
    <row r="31" spans="2:43" ht="15" customHeight="1" thickBot="1" x14ac:dyDescent="0.35">
      <c r="B31" s="78" t="s">
        <v>60</v>
      </c>
      <c r="C31" s="121">
        <v>4071</v>
      </c>
      <c r="D31" s="80">
        <f>SUM(C8+C9)</f>
        <v>4071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23" priority="11" operator="lessThan">
      <formula>0</formula>
    </cfRule>
    <cfRule type="cellIs" dxfId="622" priority="12" operator="greaterThan">
      <formula>0</formula>
    </cfRule>
  </conditionalFormatting>
  <conditionalFormatting sqref="R25:AC25">
    <cfRule type="cellIs" dxfId="621" priority="9" operator="lessThan">
      <formula>0</formula>
    </cfRule>
    <cfRule type="cellIs" dxfId="620" priority="10" operator="greaterThan">
      <formula>0</formula>
    </cfRule>
  </conditionalFormatting>
  <conditionalFormatting sqref="R26 T26 V26 X26 Z26 AB26">
    <cfRule type="cellIs" dxfId="619" priority="7" operator="lessThan">
      <formula>0</formula>
    </cfRule>
    <cfRule type="cellIs" dxfId="618" priority="8" operator="greaterThan">
      <formula>0</formula>
    </cfRule>
  </conditionalFormatting>
  <conditionalFormatting sqref="AD24:AE24">
    <cfRule type="cellIs" dxfId="617" priority="5" operator="lessThan">
      <formula>0</formula>
    </cfRule>
    <cfRule type="cellIs" dxfId="616" priority="6" operator="greaterThan">
      <formula>0</formula>
    </cfRule>
  </conditionalFormatting>
  <conditionalFormatting sqref="AD25:AE25">
    <cfRule type="cellIs" dxfId="615" priority="3" operator="lessThan">
      <formula>0</formula>
    </cfRule>
    <cfRule type="cellIs" dxfId="614" priority="4" operator="greaterThan">
      <formula>0</formula>
    </cfRule>
  </conditionalFormatting>
  <conditionalFormatting sqref="AD26">
    <cfRule type="cellIs" dxfId="613" priority="1" operator="lessThan">
      <formula>0</formula>
    </cfRule>
    <cfRule type="cellIs" dxfId="61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>
    <tabColor theme="1"/>
    <pageSetUpPr fitToPage="1"/>
  </sheetPr>
  <dimension ref="B1:AQ64"/>
  <sheetViews>
    <sheetView topLeftCell="C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44467</v>
      </c>
    </row>
    <row r="3" spans="2:42" ht="18.75" customHeight="1" thickBot="1" x14ac:dyDescent="0.35">
      <c r="B3" t="s">
        <v>1</v>
      </c>
      <c r="C3" s="3">
        <f>C2+1</f>
        <v>44468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4896</v>
      </c>
      <c r="E6" s="18" t="s">
        <v>22</v>
      </c>
      <c r="F6" s="119">
        <v>21935</v>
      </c>
      <c r="G6" s="117">
        <v>11003.654500000001</v>
      </c>
      <c r="H6" s="117">
        <v>275.97742749999998</v>
      </c>
      <c r="I6" s="19">
        <f>G6+H6</f>
        <v>11279.631927500001</v>
      </c>
      <c r="J6" s="119">
        <v>21160</v>
      </c>
      <c r="K6" s="117">
        <v>10495.409250000001</v>
      </c>
      <c r="L6" s="117">
        <v>235.1396475</v>
      </c>
      <c r="M6" s="19">
        <f>K6+L6</f>
        <v>10730.548897500001</v>
      </c>
      <c r="N6" s="85">
        <v>62</v>
      </c>
      <c r="O6" s="85">
        <v>53</v>
      </c>
      <c r="P6" s="92"/>
      <c r="Q6" s="20">
        <f>J6-P6</f>
        <v>21160</v>
      </c>
      <c r="R6" s="21">
        <v>3962</v>
      </c>
      <c r="S6" s="20">
        <f>IF(R6&gt;0,(R6-R7-$Q6),"")</f>
        <v>-17554</v>
      </c>
      <c r="T6" s="21">
        <v>5315</v>
      </c>
      <c r="U6" s="20">
        <f>IF(T6&gt;0,(T6-T7-$Q6),"")</f>
        <v>-16209</v>
      </c>
      <c r="V6" s="21">
        <v>18820</v>
      </c>
      <c r="W6" s="20">
        <f>IF(V6&gt;0,(V6-V7-$Q6),"")</f>
        <v>-2831</v>
      </c>
      <c r="X6" s="21">
        <v>18945</v>
      </c>
      <c r="Y6" s="20">
        <f>IF(X6&gt;0,(X6-X7-$Q6),"")</f>
        <v>-2706</v>
      </c>
      <c r="Z6" s="21">
        <v>18945</v>
      </c>
      <c r="AA6" s="20">
        <f>IF(Z6&gt;0,(Z6-Z7-$Q6),"")</f>
        <v>-2706</v>
      </c>
      <c r="AB6" s="21">
        <v>18945</v>
      </c>
      <c r="AC6" s="22">
        <f>IF(AB6&gt;0,(AB6-AB7-$Q6),"")</f>
        <v>-2706</v>
      </c>
      <c r="AD6" s="21">
        <v>18945</v>
      </c>
      <c r="AE6" s="22">
        <f>IF(AD6&gt;0,(AD6-AD7-$Q6),"")</f>
        <v>-2706</v>
      </c>
    </row>
    <row r="7" spans="2:42" x14ac:dyDescent="0.3">
      <c r="B7" s="16" t="s">
        <v>23</v>
      </c>
      <c r="C7" s="17">
        <v>1385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356</v>
      </c>
      <c r="S7" s="24"/>
      <c r="T7" s="25">
        <v>364</v>
      </c>
      <c r="U7" s="24"/>
      <c r="V7" s="25">
        <v>491</v>
      </c>
      <c r="W7" s="24"/>
      <c r="X7" s="25">
        <v>491</v>
      </c>
      <c r="Y7" s="24"/>
      <c r="Z7" s="25">
        <v>491</v>
      </c>
      <c r="AA7" s="24"/>
      <c r="AB7" s="25">
        <v>491</v>
      </c>
      <c r="AC7" s="26"/>
      <c r="AD7" s="25">
        <v>491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2330</v>
      </c>
      <c r="E8" s="29" t="s">
        <v>27</v>
      </c>
      <c r="F8" s="119">
        <v>5310</v>
      </c>
      <c r="G8" s="117">
        <v>4286.1605000000009</v>
      </c>
      <c r="H8" s="117">
        <v>13837.789316840001</v>
      </c>
      <c r="I8" s="19">
        <f>G8+H8</f>
        <v>18123.949816840002</v>
      </c>
      <c r="J8" s="119">
        <v>5098</v>
      </c>
      <c r="K8" s="117">
        <v>3853.2089999999998</v>
      </c>
      <c r="L8" s="117">
        <v>13334.530487620001</v>
      </c>
      <c r="M8" s="19">
        <f>K8+L8</f>
        <v>17187.739487620001</v>
      </c>
      <c r="N8" s="87">
        <v>22</v>
      </c>
      <c r="O8" s="87">
        <v>14</v>
      </c>
      <c r="P8" s="92"/>
      <c r="Q8" s="20">
        <f>J8-P8</f>
        <v>5098</v>
      </c>
      <c r="R8" s="21">
        <v>459</v>
      </c>
      <c r="S8" s="20">
        <f>IF(R8&gt;0,(R8-R9-$Q8),"")</f>
        <v>-4648</v>
      </c>
      <c r="T8" s="21">
        <v>491</v>
      </c>
      <c r="U8" s="20">
        <f>IF(T8&gt;0,(T8-T9-$Q8),"")</f>
        <v>-4616</v>
      </c>
      <c r="V8" s="21">
        <v>1677</v>
      </c>
      <c r="W8" s="20">
        <f>IF(V8&gt;0,(V8-V9-$Q8),"")</f>
        <v>-3432</v>
      </c>
      <c r="X8" s="21">
        <v>2000</v>
      </c>
      <c r="Y8" s="20">
        <f>IF(X8&gt;0,(X8-X9-$Q8),"")</f>
        <v>-3109</v>
      </c>
      <c r="Z8" s="21">
        <v>2000</v>
      </c>
      <c r="AA8" s="20">
        <f>IF(Z8&gt;0,(Z8-Z9-$Q8),"")</f>
        <v>-3109</v>
      </c>
      <c r="AB8" s="21">
        <v>2000</v>
      </c>
      <c r="AC8" s="22">
        <f>IF(AB8&gt;0,(AB8-AB9-$Q8),"")</f>
        <v>-3109</v>
      </c>
      <c r="AD8" s="21">
        <v>2000</v>
      </c>
      <c r="AE8" s="22">
        <f>IF(AD8&gt;0,(AD8-AD9-$Q8),"")</f>
        <v>-3109</v>
      </c>
    </row>
    <row r="9" spans="2:42" x14ac:dyDescent="0.3">
      <c r="B9" s="28" t="s">
        <v>28</v>
      </c>
      <c r="C9" s="17">
        <v>1393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9</v>
      </c>
      <c r="S9" s="24"/>
      <c r="T9" s="30">
        <v>9</v>
      </c>
      <c r="U9" s="24"/>
      <c r="V9" s="30">
        <v>11</v>
      </c>
      <c r="W9" s="24"/>
      <c r="X9" s="30">
        <v>11</v>
      </c>
      <c r="Y9" s="24"/>
      <c r="Z9" s="30">
        <v>11</v>
      </c>
      <c r="AA9" s="24"/>
      <c r="AB9" s="30">
        <v>11</v>
      </c>
      <c r="AC9" s="26"/>
      <c r="AD9" s="30">
        <v>11</v>
      </c>
      <c r="AE9" s="26"/>
    </row>
    <row r="10" spans="2:42" x14ac:dyDescent="0.3">
      <c r="B10" s="16" t="s">
        <v>30</v>
      </c>
      <c r="C10" s="17">
        <v>3877</v>
      </c>
      <c r="E10" s="18" t="s">
        <v>31</v>
      </c>
      <c r="F10" s="119">
        <v>19825</v>
      </c>
      <c r="G10" s="117">
        <v>14157.0705</v>
      </c>
      <c r="H10" s="117">
        <v>1205.6139152999999</v>
      </c>
      <c r="I10" s="19">
        <f>G10+H10</f>
        <v>15362.6844153</v>
      </c>
      <c r="J10" s="119">
        <v>18581</v>
      </c>
      <c r="K10" s="117">
        <v>13015.4445</v>
      </c>
      <c r="L10" s="117">
        <v>1209.1646214</v>
      </c>
      <c r="M10" s="19">
        <f>K10+L10</f>
        <v>14224.609121399999</v>
      </c>
      <c r="N10" s="88">
        <v>44</v>
      </c>
      <c r="O10" s="88">
        <v>41</v>
      </c>
      <c r="P10" s="92"/>
      <c r="Q10" s="20">
        <f>J10-P10</f>
        <v>18581</v>
      </c>
      <c r="R10" s="21">
        <v>1673</v>
      </c>
      <c r="S10" s="20">
        <f>IF(R10&gt;0,(R10-R11-$Q10),"")</f>
        <v>-16925</v>
      </c>
      <c r="T10" s="21">
        <v>3767</v>
      </c>
      <c r="U10" s="20">
        <f>IF(T10&gt;0,(T10-T11-$Q10),"")</f>
        <v>-14838</v>
      </c>
      <c r="V10" s="21">
        <v>10032</v>
      </c>
      <c r="W10" s="20">
        <f>IF(V10&gt;0,(V10-V11-$Q10),"")</f>
        <v>-8603</v>
      </c>
      <c r="X10" s="21">
        <v>14525</v>
      </c>
      <c r="Y10" s="20">
        <f>IF(X10&gt;0,(X10-X11-$Q10),"")</f>
        <v>-4114</v>
      </c>
      <c r="Z10" s="21">
        <v>14525</v>
      </c>
      <c r="AA10" s="20">
        <f>IF(Z10&gt;0,(Z10-Z11-$Q10),"")</f>
        <v>-4114</v>
      </c>
      <c r="AB10" s="21">
        <v>14525</v>
      </c>
      <c r="AC10" s="22">
        <f>IF(AB10&gt;0,(AB10-AB11-$Q10),"")</f>
        <v>-4114</v>
      </c>
      <c r="AD10" s="21">
        <v>14525</v>
      </c>
      <c r="AE10" s="22">
        <f>IF(AD10&gt;0,(AD10-AD11-$Q10),"")</f>
        <v>-4114</v>
      </c>
    </row>
    <row r="11" spans="2:42" x14ac:dyDescent="0.3">
      <c r="B11" s="16" t="s">
        <v>38</v>
      </c>
      <c r="C11" s="17">
        <v>11311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3</v>
      </c>
      <c r="P11" s="93" t="s">
        <v>33</v>
      </c>
      <c r="Q11" s="24"/>
      <c r="R11" s="30">
        <v>17</v>
      </c>
      <c r="S11" s="24"/>
      <c r="T11" s="30">
        <v>24</v>
      </c>
      <c r="U11" s="24"/>
      <c r="V11" s="30">
        <v>54</v>
      </c>
      <c r="W11" s="24"/>
      <c r="X11" s="30">
        <v>58</v>
      </c>
      <c r="Y11" s="24"/>
      <c r="Z11" s="30">
        <v>58</v>
      </c>
      <c r="AA11" s="24"/>
      <c r="AB11" s="30">
        <v>58</v>
      </c>
      <c r="AC11" s="26"/>
      <c r="AD11" s="30">
        <v>58</v>
      </c>
      <c r="AE11" s="26"/>
    </row>
    <row r="12" spans="2:42" x14ac:dyDescent="0.3">
      <c r="B12" s="16" t="s">
        <v>40</v>
      </c>
      <c r="C12" s="17">
        <v>1303</v>
      </c>
      <c r="E12" s="29" t="s">
        <v>35</v>
      </c>
      <c r="F12" s="119">
        <v>11449</v>
      </c>
      <c r="G12" s="117">
        <v>11564.221</v>
      </c>
      <c r="H12" s="117">
        <v>14957.23546926</v>
      </c>
      <c r="I12" s="19">
        <f>G12+H12</f>
        <v>26521.45646926</v>
      </c>
      <c r="J12" s="119">
        <v>11291</v>
      </c>
      <c r="K12" s="117">
        <v>10751.926999999991</v>
      </c>
      <c r="L12" s="117">
        <v>13398.29247323</v>
      </c>
      <c r="M12" s="19">
        <f>K12+L12</f>
        <v>24150.21947322999</v>
      </c>
      <c r="N12" s="88">
        <v>42</v>
      </c>
      <c r="O12" s="88">
        <v>36</v>
      </c>
      <c r="P12" s="92"/>
      <c r="Q12" s="20">
        <f>J12-P12</f>
        <v>11291</v>
      </c>
      <c r="R12" s="21">
        <v>4846</v>
      </c>
      <c r="S12" s="20">
        <f>IF(R12&gt;0,(R12-R13-$Q12),"")</f>
        <v>-6681</v>
      </c>
      <c r="T12" s="21">
        <v>6226</v>
      </c>
      <c r="U12" s="20">
        <f>IF(T12&gt;0,(T12-T13-$Q12),"")</f>
        <v>-5426</v>
      </c>
      <c r="V12" s="21">
        <v>10850</v>
      </c>
      <c r="W12" s="20">
        <f>IF(V12&gt;0,(V12-V13-$Q12),"")</f>
        <v>-1206</v>
      </c>
      <c r="X12" s="21">
        <v>10850</v>
      </c>
      <c r="Y12" s="20">
        <f>IF(X12&gt;0,(X12-X13-$Q12),"")</f>
        <v>-1206</v>
      </c>
      <c r="Z12" s="21">
        <v>10850</v>
      </c>
      <c r="AA12" s="20">
        <f>IF(Z12&gt;0,(Z12-Z13-$Q12),"")</f>
        <v>-1206</v>
      </c>
      <c r="AB12" s="21">
        <v>10850</v>
      </c>
      <c r="AC12" s="22">
        <f>IF(AB12&gt;0,(AB12-AB13-$Q12),"")</f>
        <v>-1206</v>
      </c>
      <c r="AD12" s="21">
        <v>10850</v>
      </c>
      <c r="AE12" s="22">
        <f>IF(AD12&gt;0,(AD12-AD13-$Q12),"")</f>
        <v>-1206</v>
      </c>
    </row>
    <row r="13" spans="2:42" x14ac:dyDescent="0.3">
      <c r="B13" s="28" t="s">
        <v>42</v>
      </c>
      <c r="C13" s="17">
        <v>27587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236</v>
      </c>
      <c r="S13" s="24"/>
      <c r="T13" s="30">
        <v>361</v>
      </c>
      <c r="U13" s="24"/>
      <c r="V13" s="30">
        <v>765</v>
      </c>
      <c r="W13" s="24"/>
      <c r="X13" s="30">
        <v>765</v>
      </c>
      <c r="Y13" s="24"/>
      <c r="Z13" s="30">
        <v>765</v>
      </c>
      <c r="AA13" s="24"/>
      <c r="AB13" s="30">
        <v>765</v>
      </c>
      <c r="AC13" s="26"/>
      <c r="AD13" s="30">
        <v>765</v>
      </c>
      <c r="AE13" s="26"/>
    </row>
    <row r="14" spans="2:42" x14ac:dyDescent="0.3">
      <c r="B14" s="43" t="s">
        <v>47</v>
      </c>
      <c r="C14" s="17">
        <v>791</v>
      </c>
      <c r="E14" s="18" t="s">
        <v>39</v>
      </c>
      <c r="F14" s="119">
        <v>23708</v>
      </c>
      <c r="G14" s="117">
        <v>18779.818749999999</v>
      </c>
      <c r="H14" s="117">
        <v>27811.986317279989</v>
      </c>
      <c r="I14" s="19">
        <f>G14+H14</f>
        <v>46591.805067279987</v>
      </c>
      <c r="J14" s="119">
        <v>23527</v>
      </c>
      <c r="K14" s="117">
        <v>17946.845499999999</v>
      </c>
      <c r="L14" s="117">
        <v>27074.802267819989</v>
      </c>
      <c r="M14" s="19">
        <f>K14+L14</f>
        <v>45021.647767819988</v>
      </c>
      <c r="N14" s="88">
        <v>63</v>
      </c>
      <c r="O14" s="88">
        <v>42</v>
      </c>
      <c r="P14" s="92"/>
      <c r="Q14" s="20">
        <f>J14-P14</f>
        <v>23527</v>
      </c>
      <c r="R14" s="21">
        <v>5112</v>
      </c>
      <c r="S14" s="20">
        <f>IF(R14&gt;0,(R14-R15-$Q14),"")</f>
        <v>-18428</v>
      </c>
      <c r="T14" s="21">
        <v>6848</v>
      </c>
      <c r="U14" s="20">
        <f>IF(T14&gt;0,(T14-T15-$Q14),"")</f>
        <v>-16696</v>
      </c>
      <c r="V14" s="21">
        <v>8883</v>
      </c>
      <c r="W14" s="20">
        <f>IF(V14&gt;0,(V14-V15-$Q14),"")</f>
        <v>-14681</v>
      </c>
      <c r="X14" s="21">
        <v>9594</v>
      </c>
      <c r="Y14" s="20">
        <f>IF(X14&gt;0,(X14-X15-$Q14),"")</f>
        <v>-13979</v>
      </c>
      <c r="Z14" s="21">
        <v>9594</v>
      </c>
      <c r="AA14" s="20">
        <f>IF(Z14&gt;0,(Z14-Z15-$Q14),"")</f>
        <v>-13979</v>
      </c>
      <c r="AB14" s="21">
        <v>9594</v>
      </c>
      <c r="AC14" s="22">
        <f>IF(AB14&gt;0,(AB14-AB15-$Q14),"")</f>
        <v>-13979</v>
      </c>
      <c r="AD14" s="21">
        <v>9594</v>
      </c>
      <c r="AE14" s="22">
        <f>IF(AD14&gt;0,(AD14-AD15-$Q14),"")</f>
        <v>-13979</v>
      </c>
    </row>
    <row r="15" spans="2:42" ht="15" customHeight="1" thickBot="1" x14ac:dyDescent="0.35">
      <c r="B15" s="43" t="s">
        <v>48</v>
      </c>
      <c r="C15" s="50">
        <v>176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21</v>
      </c>
      <c r="P15" s="93" t="s">
        <v>41</v>
      </c>
      <c r="Q15" s="24"/>
      <c r="R15" s="25">
        <v>13</v>
      </c>
      <c r="S15" s="24"/>
      <c r="T15" s="25">
        <v>17</v>
      </c>
      <c r="U15" s="24"/>
      <c r="V15" s="25">
        <v>37</v>
      </c>
      <c r="W15" s="24"/>
      <c r="X15" s="25">
        <v>46</v>
      </c>
      <c r="Y15" s="24"/>
      <c r="Z15" s="25">
        <v>46</v>
      </c>
      <c r="AA15" s="24"/>
      <c r="AB15" s="25">
        <v>46</v>
      </c>
      <c r="AC15" s="26"/>
      <c r="AD15" s="25">
        <v>46</v>
      </c>
      <c r="AE15" s="26"/>
    </row>
    <row r="16" spans="2:42" ht="15" customHeight="1" thickBot="1" x14ac:dyDescent="0.35">
      <c r="B16" s="16" t="s">
        <v>50</v>
      </c>
      <c r="C16" s="17">
        <v>9505</v>
      </c>
      <c r="E16" s="84"/>
      <c r="F16" s="31">
        <f t="shared" ref="F16:M16" si="0">SUM(F6:F15)</f>
        <v>82227</v>
      </c>
      <c r="G16" s="31">
        <f t="shared" si="0"/>
        <v>59790.92525</v>
      </c>
      <c r="H16" s="31">
        <f t="shared" si="0"/>
        <v>58088.60244617999</v>
      </c>
      <c r="I16" s="32">
        <f t="shared" si="0"/>
        <v>117879.52769617998</v>
      </c>
      <c r="J16" s="33">
        <f t="shared" si="0"/>
        <v>79657</v>
      </c>
      <c r="K16" s="33">
        <f t="shared" si="0"/>
        <v>56062.835249999989</v>
      </c>
      <c r="L16" s="33">
        <f t="shared" si="0"/>
        <v>55251.929497569989</v>
      </c>
      <c r="M16" s="33">
        <f t="shared" si="0"/>
        <v>111314.76474756998</v>
      </c>
      <c r="N16" s="31">
        <f>SUM(N14,N12,N10,N8,N6)</f>
        <v>233</v>
      </c>
      <c r="O16" s="31">
        <f>SUM(O14,O12,O10,O8,O6)</f>
        <v>186</v>
      </c>
      <c r="P16" s="34">
        <f>SUM(P6:P15)</f>
        <v>0</v>
      </c>
      <c r="Q16" s="34">
        <f>SUM(Q6:Q15)</f>
        <v>79657</v>
      </c>
      <c r="R16" s="35">
        <f>R6+R8+R10+R12+R14-R7-R9-R11-R13-R15</f>
        <v>15421</v>
      </c>
      <c r="S16" s="36">
        <f>IF(R16&gt;1,(R16-$Q16),"")</f>
        <v>-64236</v>
      </c>
      <c r="T16" s="35">
        <f>T6+T8+T10+T12+T14-T7-T9-T11-T13-T15</f>
        <v>21872</v>
      </c>
      <c r="U16" s="36">
        <f>IF(T16&gt;1,(T16-$Q16),"")</f>
        <v>-57785</v>
      </c>
      <c r="V16" s="35">
        <f>V6+V8+V10+V12+V14-V7-V9-V11-V13-V15</f>
        <v>48904</v>
      </c>
      <c r="W16" s="36">
        <f>IF(V16&gt;1,(V16-$Q16),"")</f>
        <v>-30753</v>
      </c>
      <c r="X16" s="35">
        <f>X6+X8+X10+X12+X14-X7-X9-X11-X13-X15</f>
        <v>54543</v>
      </c>
      <c r="Y16" s="36">
        <f>IF(X16&gt;1,(X16-$Q16),"")</f>
        <v>-25114</v>
      </c>
      <c r="Z16" s="35">
        <f>Z6+Z8+Z10+Z12+Z14-Z7-Z9-Z11-Z13-Z15</f>
        <v>54543</v>
      </c>
      <c r="AA16" s="36">
        <f>IF(Z16&gt;1,(Z16-$Q16),"")</f>
        <v>-25114</v>
      </c>
      <c r="AB16" s="35">
        <f>AB6+AB8+AB10+AB12+AB14-AB7-AB9-AB11-AB13-AB15</f>
        <v>54543</v>
      </c>
      <c r="AC16" s="37">
        <f>IF(AB16&gt;1,(AB16-$Q16),"")</f>
        <v>-25114</v>
      </c>
      <c r="AD16" s="35">
        <f>AD6+AD8+AD10+AD12+AD14-AD7-AD9-AD11-AD13-AD15</f>
        <v>54543</v>
      </c>
      <c r="AE16" s="37">
        <f>IF(AD16&gt;1,(AD16-$Q16),"")</f>
        <v>-25114</v>
      </c>
    </row>
    <row r="17" spans="2:43" s="4" customFormat="1" ht="15" customHeight="1" thickBot="1" x14ac:dyDescent="0.35">
      <c r="B17" s="16" t="s">
        <v>51</v>
      </c>
      <c r="C17" s="17">
        <v>1204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631</v>
      </c>
      <c r="S17" s="41"/>
      <c r="T17" s="40">
        <f>T15+T13+T11+T9+T7</f>
        <v>775</v>
      </c>
      <c r="U17" s="41"/>
      <c r="V17" s="40">
        <f>V15+V13+V11+V9+V7</f>
        <v>1358</v>
      </c>
      <c r="W17" s="41"/>
      <c r="X17" s="40">
        <f>X15+X13+X11+X9+X7</f>
        <v>1371</v>
      </c>
      <c r="Y17" s="41"/>
      <c r="Z17" s="40">
        <f>Z15+Z13+Z11+Z9+Z7</f>
        <v>1371</v>
      </c>
      <c r="AA17" s="41"/>
      <c r="AB17" s="40">
        <f>AB15+AB13+AB11+AB9+AB7</f>
        <v>1371</v>
      </c>
      <c r="AC17" s="42"/>
      <c r="AD17" s="40">
        <f>AD15+AD13+AD11+AD9+AD7</f>
        <v>1371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4745</v>
      </c>
      <c r="P18" s="45" t="s">
        <v>46</v>
      </c>
      <c r="Q18" s="46"/>
      <c r="R18" s="47">
        <f>IF(R16&gt;0,(R16)/2,"")</f>
        <v>7710.5</v>
      </c>
      <c r="S18" s="46"/>
      <c r="T18" s="47">
        <f>IF(T16&gt;0,(T16-R16)/2,"")</f>
        <v>3225.5</v>
      </c>
      <c r="U18" s="46"/>
      <c r="V18" s="47">
        <f>IF(V16&gt;0,(V16-T16)/2,"")</f>
        <v>13516</v>
      </c>
      <c r="W18" s="46"/>
      <c r="X18" s="47">
        <f>IF(X16&gt;0,(X16-V16)/2,"")</f>
        <v>2819.5</v>
      </c>
      <c r="Y18" s="46"/>
      <c r="Z18" s="47">
        <f>IF(Z16&gt;0,(Z16-X16)/2,"")</f>
        <v>0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15421</v>
      </c>
      <c r="S24" s="60"/>
      <c r="T24" s="60">
        <f>IF(T16&gt;0,T16-T20,"")</f>
        <v>21872</v>
      </c>
      <c r="U24" s="60"/>
      <c r="V24" s="60">
        <f>IF(V16&gt;0,V16-V20,"")</f>
        <v>48904</v>
      </c>
      <c r="W24" s="60"/>
      <c r="X24" s="60">
        <f>IF(X16&gt;0,X16-X20,"")</f>
        <v>54543</v>
      </c>
      <c r="Y24" s="60"/>
      <c r="Z24" s="60">
        <f>IF(Z16&gt;0,Z16-Z20,"")</f>
        <v>54543</v>
      </c>
      <c r="AA24" s="60"/>
      <c r="AB24" s="60">
        <f>IF(AB16&gt;0,AB16-AB20,"")</f>
        <v>54543</v>
      </c>
      <c r="AC24" s="61"/>
      <c r="AD24" s="60">
        <f>IF(AD16&gt;0,AD16-AD20,"")</f>
        <v>54543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631</v>
      </c>
      <c r="S25" s="64"/>
      <c r="T25" s="63">
        <f>IF(T17&gt;=0,T17-T21,"")</f>
        <v>775</v>
      </c>
      <c r="U25" s="64"/>
      <c r="V25" s="63">
        <f>IF(V17&gt;=0,V17-V21,"")</f>
        <v>1358</v>
      </c>
      <c r="W25" s="64"/>
      <c r="X25" s="63">
        <f>IF(X17&gt;=0,X17-X21,"")</f>
        <v>1371</v>
      </c>
      <c r="Y25" s="64"/>
      <c r="Z25" s="63">
        <f>IF(Z17&gt;=0,Z17-Z21,"")</f>
        <v>1371</v>
      </c>
      <c r="AA25" s="64"/>
      <c r="AB25" s="63">
        <f>IF(AB17&gt;=0,AB17-AB21,"")</f>
        <v>1371</v>
      </c>
      <c r="AC25" s="65"/>
      <c r="AD25" s="63">
        <f>IF(AD17&gt;=0,AD17-AD21,"")</f>
        <v>1371</v>
      </c>
      <c r="AE25" s="65"/>
    </row>
    <row r="26" spans="2:43" ht="15" customHeight="1" thickBot="1" x14ac:dyDescent="0.35">
      <c r="B26" s="74" t="s">
        <v>55</v>
      </c>
      <c r="C26" s="122">
        <v>11329</v>
      </c>
      <c r="D26" s="76">
        <f>C11</f>
        <v>11311</v>
      </c>
      <c r="E26" s="77">
        <f>D26-C26</f>
        <v>-18</v>
      </c>
      <c r="M26" s="4"/>
      <c r="Q26" s="66"/>
      <c r="R26" s="67">
        <f>IFERROR(IF(R18&gt;0,R18-R22,""),"")</f>
        <v>7710.5</v>
      </c>
      <c r="S26" s="55"/>
      <c r="T26" s="67">
        <f>IFERROR(IF(T18&gt;0,T18-T22,""),"")</f>
        <v>3225.5</v>
      </c>
      <c r="U26" s="55"/>
      <c r="V26" s="67">
        <f>IFERROR(IF(V18&gt;0,V18-V22,""),"")</f>
        <v>13516</v>
      </c>
      <c r="W26" s="55"/>
      <c r="X26" s="67">
        <f>IFERROR(IF(X18&gt;0,X18-X22,""),"")</f>
        <v>2819.5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32525</v>
      </c>
      <c r="D27" s="76">
        <f>C7+C12+C13+C14+C15</f>
        <v>31242</v>
      </c>
      <c r="E27" s="77">
        <f>D27-C27</f>
        <v>-1283</v>
      </c>
      <c r="O27" s="4"/>
      <c r="AF27" s="69"/>
    </row>
    <row r="28" spans="2:43" x14ac:dyDescent="0.3">
      <c r="B28" s="74" t="s">
        <v>21</v>
      </c>
      <c r="C28" s="122">
        <v>4896</v>
      </c>
      <c r="D28" s="76">
        <f>C6</f>
        <v>4896</v>
      </c>
      <c r="E28" s="77">
        <f>D28-C28</f>
        <v>0</v>
      </c>
      <c r="O28" s="4"/>
    </row>
    <row r="29" spans="2:43" x14ac:dyDescent="0.3">
      <c r="B29" s="74" t="s">
        <v>57</v>
      </c>
      <c r="C29" s="122">
        <v>3877</v>
      </c>
      <c r="D29" s="76">
        <f>C10</f>
        <v>3877</v>
      </c>
      <c r="E29" s="77">
        <f>D29-C29</f>
        <v>0</v>
      </c>
      <c r="O29" s="4"/>
    </row>
    <row r="30" spans="2:43" x14ac:dyDescent="0.3">
      <c r="B30" s="74" t="s">
        <v>59</v>
      </c>
      <c r="C30" s="122">
        <v>15484</v>
      </c>
      <c r="D30" s="76">
        <f>C16+C17+C18</f>
        <v>15454</v>
      </c>
      <c r="E30" s="77">
        <f>D30-C30</f>
        <v>-30</v>
      </c>
      <c r="J30" s="53"/>
      <c r="O30" s="4"/>
    </row>
    <row r="31" spans="2:43" ht="15" customHeight="1" thickBot="1" x14ac:dyDescent="0.35">
      <c r="B31" s="78" t="s">
        <v>60</v>
      </c>
      <c r="C31" s="121">
        <v>3723</v>
      </c>
      <c r="D31" s="80">
        <f>SUM(C8+C9)</f>
        <v>3723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1185</v>
      </c>
      <c r="S35" s="104">
        <f t="shared" ref="S35:S64" si="1">IF(T35&gt;0,(T35-R35)/2,"")</f>
        <v>255</v>
      </c>
      <c r="T35" s="104">
        <v>1695</v>
      </c>
      <c r="U35" s="104">
        <f t="shared" ref="U35:U64" si="2">IF(V35&gt;0,(V35-T35)/2,"")</f>
        <v>1463</v>
      </c>
      <c r="V35" s="104">
        <v>4621</v>
      </c>
      <c r="W35" s="104">
        <f t="shared" ref="W35:W64" si="3">IF(X35&gt;0,(X35-V35)/2,"")</f>
        <v>0</v>
      </c>
      <c r="X35" s="104">
        <v>4621</v>
      </c>
      <c r="Y35" s="104">
        <f t="shared" ref="Y35:Y64" si="4">IF(Z35&gt;0,(Z35-X35)/2,"")</f>
        <v>0</v>
      </c>
      <c r="Z35" s="104">
        <v>4621</v>
      </c>
      <c r="AA35" s="104">
        <f t="shared" ref="AA35:AA64" si="5">IF(AB35&gt;0,(AB35-Z35)/2,"")</f>
        <v>0</v>
      </c>
      <c r="AB35" s="104">
        <v>4621</v>
      </c>
      <c r="AC35" s="104">
        <f t="shared" ref="AC35:AC64" si="6">IF(AD35&gt;0,(AD35-AB35)/2,"")</f>
        <v>0</v>
      </c>
      <c r="AD35" s="104">
        <v>4621</v>
      </c>
      <c r="AE35" s="105">
        <f t="shared" ref="AE35:AE64" si="7">AD35-Q35</f>
        <v>4621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20</v>
      </c>
      <c r="S36" s="106">
        <f t="shared" si="1"/>
        <v>0</v>
      </c>
      <c r="T36" s="106">
        <v>20</v>
      </c>
      <c r="U36" s="106">
        <f t="shared" si="2"/>
        <v>29</v>
      </c>
      <c r="V36" s="106">
        <v>78</v>
      </c>
      <c r="W36" s="106">
        <f t="shared" si="3"/>
        <v>0</v>
      </c>
      <c r="X36" s="106">
        <v>78</v>
      </c>
      <c r="Y36" s="106">
        <f t="shared" si="4"/>
        <v>0</v>
      </c>
      <c r="Z36" s="106">
        <v>78</v>
      </c>
      <c r="AA36" s="106">
        <f t="shared" si="5"/>
        <v>0</v>
      </c>
      <c r="AB36" s="106">
        <v>78</v>
      </c>
      <c r="AC36" s="106">
        <f t="shared" si="6"/>
        <v>0</v>
      </c>
      <c r="AD36" s="106">
        <v>78</v>
      </c>
      <c r="AE36" s="107">
        <f t="shared" si="7"/>
        <v>78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2757</v>
      </c>
      <c r="S37" s="108">
        <f t="shared" si="1"/>
        <v>421.5</v>
      </c>
      <c r="T37" s="108">
        <v>3600</v>
      </c>
      <c r="U37" s="108">
        <f t="shared" si="2"/>
        <v>1064</v>
      </c>
      <c r="V37" s="108">
        <v>5728</v>
      </c>
      <c r="W37" s="108">
        <f t="shared" si="3"/>
        <v>62.5</v>
      </c>
      <c r="X37" s="108">
        <v>5853</v>
      </c>
      <c r="Y37" s="108">
        <f t="shared" si="4"/>
        <v>0</v>
      </c>
      <c r="Z37" s="108">
        <v>5853</v>
      </c>
      <c r="AA37" s="108">
        <f t="shared" si="5"/>
        <v>0</v>
      </c>
      <c r="AB37" s="108">
        <v>5853</v>
      </c>
      <c r="AC37" s="108">
        <f t="shared" si="6"/>
        <v>0</v>
      </c>
      <c r="AD37" s="108">
        <v>5853</v>
      </c>
      <c r="AE37" s="109">
        <f t="shared" si="7"/>
        <v>5853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1885.5</v>
      </c>
      <c r="V38" s="106">
        <v>3771</v>
      </c>
      <c r="W38" s="106">
        <f t="shared" si="3"/>
        <v>0</v>
      </c>
      <c r="X38" s="106">
        <v>3771</v>
      </c>
      <c r="Y38" s="106">
        <f t="shared" si="4"/>
        <v>0</v>
      </c>
      <c r="Z38" s="106">
        <v>3771</v>
      </c>
      <c r="AA38" s="106">
        <f t="shared" si="5"/>
        <v>0</v>
      </c>
      <c r="AB38" s="106">
        <v>3771</v>
      </c>
      <c r="AC38" s="106">
        <f t="shared" si="6"/>
        <v>0</v>
      </c>
      <c r="AD38" s="106">
        <v>3771</v>
      </c>
      <c r="AE38" s="107">
        <f t="shared" si="7"/>
        <v>3771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2311</v>
      </c>
      <c r="V39" s="108">
        <v>4622</v>
      </c>
      <c r="W39" s="108">
        <f t="shared" si="3"/>
        <v>0</v>
      </c>
      <c r="X39" s="108">
        <v>4622</v>
      </c>
      <c r="Y39" s="108">
        <f t="shared" si="4"/>
        <v>0</v>
      </c>
      <c r="Z39" s="108">
        <v>4622</v>
      </c>
      <c r="AA39" s="108">
        <f t="shared" si="5"/>
        <v>0</v>
      </c>
      <c r="AB39" s="108">
        <v>4622</v>
      </c>
      <c r="AC39" s="108">
        <f t="shared" si="6"/>
        <v>0</v>
      </c>
      <c r="AD39" s="108">
        <v>4622</v>
      </c>
      <c r="AE39" s="109">
        <f t="shared" si="7"/>
        <v>4622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197</v>
      </c>
      <c r="S44" s="112">
        <f t="shared" si="1"/>
        <v>0</v>
      </c>
      <c r="T44" s="112">
        <v>197</v>
      </c>
      <c r="U44" s="112">
        <f t="shared" si="2"/>
        <v>179.5</v>
      </c>
      <c r="V44" s="112">
        <v>556</v>
      </c>
      <c r="W44" s="112">
        <f t="shared" si="3"/>
        <v>0</v>
      </c>
      <c r="X44" s="112">
        <v>556</v>
      </c>
      <c r="Y44" s="112">
        <f t="shared" si="4"/>
        <v>0</v>
      </c>
      <c r="Z44" s="112">
        <v>556</v>
      </c>
      <c r="AA44" s="112">
        <f t="shared" si="5"/>
        <v>0</v>
      </c>
      <c r="AB44" s="112">
        <v>556</v>
      </c>
      <c r="AC44" s="112">
        <f t="shared" si="6"/>
        <v>0</v>
      </c>
      <c r="AD44" s="112">
        <v>556</v>
      </c>
      <c r="AE44" s="113">
        <f t="shared" si="7"/>
        <v>556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262</v>
      </c>
      <c r="S45" s="108">
        <f t="shared" si="1"/>
        <v>16</v>
      </c>
      <c r="T45" s="108">
        <v>294</v>
      </c>
      <c r="U45" s="108">
        <f t="shared" si="2"/>
        <v>413.5</v>
      </c>
      <c r="V45" s="108">
        <v>1121</v>
      </c>
      <c r="W45" s="108">
        <f t="shared" si="3"/>
        <v>161.5</v>
      </c>
      <c r="X45" s="108">
        <v>1444</v>
      </c>
      <c r="Y45" s="108">
        <f t="shared" si="4"/>
        <v>0</v>
      </c>
      <c r="Z45" s="108">
        <v>1444</v>
      </c>
      <c r="AA45" s="108">
        <f t="shared" si="5"/>
        <v>0</v>
      </c>
      <c r="AB45" s="108">
        <v>1444</v>
      </c>
      <c r="AC45" s="108">
        <f t="shared" si="6"/>
        <v>0</v>
      </c>
      <c r="AD45" s="108">
        <v>1444</v>
      </c>
      <c r="AE45" s="109">
        <f t="shared" si="7"/>
        <v>1444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1003</v>
      </c>
      <c r="S48" s="112">
        <f t="shared" si="1"/>
        <v>248.5</v>
      </c>
      <c r="T48" s="112">
        <v>1500</v>
      </c>
      <c r="U48" s="112">
        <f t="shared" si="2"/>
        <v>409</v>
      </c>
      <c r="V48" s="112">
        <v>2318</v>
      </c>
      <c r="W48" s="112">
        <f t="shared" si="3"/>
        <v>384.5</v>
      </c>
      <c r="X48" s="112">
        <v>3087</v>
      </c>
      <c r="Y48" s="112">
        <f t="shared" si="4"/>
        <v>0</v>
      </c>
      <c r="Z48" s="112">
        <v>3087</v>
      </c>
      <c r="AA48" s="112">
        <f t="shared" si="5"/>
        <v>0</v>
      </c>
      <c r="AB48" s="112">
        <v>3087</v>
      </c>
      <c r="AC48" s="112">
        <f t="shared" si="6"/>
        <v>0</v>
      </c>
      <c r="AD48" s="112">
        <v>3087</v>
      </c>
      <c r="AE48" s="113">
        <f t="shared" si="7"/>
        <v>3087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0</v>
      </c>
      <c r="S49" s="108">
        <f t="shared" si="1"/>
        <v>36</v>
      </c>
      <c r="T49" s="108">
        <v>72</v>
      </c>
      <c r="U49" s="108">
        <f t="shared" si="2"/>
        <v>655.5</v>
      </c>
      <c r="V49" s="108">
        <v>1383</v>
      </c>
      <c r="W49" s="108">
        <f t="shared" si="3"/>
        <v>551</v>
      </c>
      <c r="X49" s="108">
        <v>2485</v>
      </c>
      <c r="Y49" s="108">
        <f t="shared" si="4"/>
        <v>0</v>
      </c>
      <c r="Z49" s="108">
        <v>2485</v>
      </c>
      <c r="AA49" s="108">
        <f t="shared" si="5"/>
        <v>0</v>
      </c>
      <c r="AB49" s="108">
        <v>2485</v>
      </c>
      <c r="AC49" s="108">
        <f t="shared" si="6"/>
        <v>0</v>
      </c>
      <c r="AD49" s="108">
        <v>2485</v>
      </c>
      <c r="AE49" s="109">
        <f t="shared" si="7"/>
        <v>2485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670</v>
      </c>
      <c r="S50" s="106">
        <f t="shared" si="1"/>
        <v>458</v>
      </c>
      <c r="T50" s="106">
        <v>1586</v>
      </c>
      <c r="U50" s="106">
        <f t="shared" si="2"/>
        <v>390</v>
      </c>
      <c r="V50" s="106">
        <v>2366</v>
      </c>
      <c r="W50" s="106">
        <f t="shared" si="3"/>
        <v>390</v>
      </c>
      <c r="X50" s="106">
        <v>3146</v>
      </c>
      <c r="Y50" s="106">
        <f t="shared" si="4"/>
        <v>0</v>
      </c>
      <c r="Z50" s="106">
        <v>3146</v>
      </c>
      <c r="AA50" s="106">
        <f t="shared" si="5"/>
        <v>0</v>
      </c>
      <c r="AB50" s="106">
        <v>3146</v>
      </c>
      <c r="AC50" s="106">
        <f t="shared" si="6"/>
        <v>0</v>
      </c>
      <c r="AD50" s="106">
        <v>3146</v>
      </c>
      <c r="AE50" s="107">
        <f t="shared" si="7"/>
        <v>3146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>
        <f t="shared" si="1"/>
        <v>126</v>
      </c>
      <c r="T51" s="108">
        <v>252</v>
      </c>
      <c r="U51" s="108">
        <f t="shared" si="2"/>
        <v>642</v>
      </c>
      <c r="V51" s="108">
        <v>1536</v>
      </c>
      <c r="W51" s="108">
        <f t="shared" si="3"/>
        <v>252</v>
      </c>
      <c r="X51" s="108">
        <v>2040</v>
      </c>
      <c r="Y51" s="108">
        <f t="shared" si="4"/>
        <v>0</v>
      </c>
      <c r="Z51" s="108">
        <v>2040</v>
      </c>
      <c r="AA51" s="108">
        <f t="shared" si="5"/>
        <v>0</v>
      </c>
      <c r="AB51" s="108">
        <v>2040</v>
      </c>
      <c r="AC51" s="108">
        <f t="shared" si="6"/>
        <v>0</v>
      </c>
      <c r="AD51" s="108">
        <v>2040</v>
      </c>
      <c r="AE51" s="109">
        <f t="shared" si="7"/>
        <v>2040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0</v>
      </c>
      <c r="S52" s="106" t="str">
        <f t="shared" si="1"/>
        <v/>
      </c>
      <c r="T52" s="106">
        <v>0</v>
      </c>
      <c r="U52" s="106">
        <f t="shared" si="2"/>
        <v>376.5</v>
      </c>
      <c r="V52" s="106">
        <v>753</v>
      </c>
      <c r="W52" s="106">
        <f t="shared" si="3"/>
        <v>71</v>
      </c>
      <c r="X52" s="106">
        <v>895</v>
      </c>
      <c r="Y52" s="106">
        <f t="shared" si="4"/>
        <v>0</v>
      </c>
      <c r="Z52" s="106">
        <v>895</v>
      </c>
      <c r="AA52" s="106">
        <f t="shared" si="5"/>
        <v>0</v>
      </c>
      <c r="AB52" s="106">
        <v>895</v>
      </c>
      <c r="AC52" s="106">
        <f t="shared" si="6"/>
        <v>0</v>
      </c>
      <c r="AD52" s="106">
        <v>895</v>
      </c>
      <c r="AE52" s="107">
        <f t="shared" si="7"/>
        <v>895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>
        <f t="shared" si="1"/>
        <v>178.5</v>
      </c>
      <c r="T53" s="108">
        <v>357</v>
      </c>
      <c r="U53" s="108">
        <f t="shared" si="2"/>
        <v>659.5</v>
      </c>
      <c r="V53" s="108">
        <v>1676</v>
      </c>
      <c r="W53" s="108">
        <f t="shared" si="3"/>
        <v>598</v>
      </c>
      <c r="X53" s="108">
        <v>2872</v>
      </c>
      <c r="Y53" s="108">
        <f t="shared" si="4"/>
        <v>0</v>
      </c>
      <c r="Z53" s="108">
        <v>2872</v>
      </c>
      <c r="AA53" s="108">
        <f t="shared" si="5"/>
        <v>0</v>
      </c>
      <c r="AB53" s="108">
        <v>2872</v>
      </c>
      <c r="AC53" s="108">
        <f t="shared" si="6"/>
        <v>0</v>
      </c>
      <c r="AD53" s="108">
        <v>2872</v>
      </c>
      <c r="AE53" s="109">
        <f t="shared" si="7"/>
        <v>2872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786</v>
      </c>
      <c r="S57" s="104">
        <f t="shared" si="1"/>
        <v>527</v>
      </c>
      <c r="T57" s="104">
        <v>1840</v>
      </c>
      <c r="U57" s="104">
        <f t="shared" si="2"/>
        <v>511.5</v>
      </c>
      <c r="V57" s="104">
        <v>2863</v>
      </c>
      <c r="W57" s="104">
        <f t="shared" si="3"/>
        <v>0</v>
      </c>
      <c r="X57" s="104">
        <v>2863</v>
      </c>
      <c r="Y57" s="104">
        <f t="shared" si="4"/>
        <v>0</v>
      </c>
      <c r="Z57" s="104">
        <v>2863</v>
      </c>
      <c r="AA57" s="104">
        <f t="shared" si="5"/>
        <v>0</v>
      </c>
      <c r="AB57" s="104">
        <v>2863</v>
      </c>
      <c r="AC57" s="104">
        <f t="shared" si="6"/>
        <v>0</v>
      </c>
      <c r="AD57" s="104">
        <v>2863</v>
      </c>
      <c r="AE57" s="105">
        <f t="shared" si="7"/>
        <v>2863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517</v>
      </c>
      <c r="S58" s="106">
        <f t="shared" si="1"/>
        <v>0</v>
      </c>
      <c r="T58" s="106">
        <v>517</v>
      </c>
      <c r="U58" s="106">
        <f t="shared" si="2"/>
        <v>1106.5</v>
      </c>
      <c r="V58" s="106">
        <v>2730</v>
      </c>
      <c r="W58" s="106">
        <f t="shared" si="3"/>
        <v>0</v>
      </c>
      <c r="X58" s="106">
        <v>2730</v>
      </c>
      <c r="Y58" s="106">
        <f t="shared" si="4"/>
        <v>0</v>
      </c>
      <c r="Z58" s="106">
        <v>2730</v>
      </c>
      <c r="AA58" s="106">
        <f t="shared" si="5"/>
        <v>0</v>
      </c>
      <c r="AB58" s="106">
        <v>2730</v>
      </c>
      <c r="AC58" s="106">
        <f t="shared" si="6"/>
        <v>0</v>
      </c>
      <c r="AD58" s="106">
        <v>2730</v>
      </c>
      <c r="AE58" s="107">
        <f t="shared" si="7"/>
        <v>2730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1539</v>
      </c>
      <c r="S59" s="108">
        <f t="shared" si="1"/>
        <v>89.5</v>
      </c>
      <c r="T59" s="108">
        <v>1718</v>
      </c>
      <c r="U59" s="108">
        <f t="shared" si="2"/>
        <v>104</v>
      </c>
      <c r="V59" s="108">
        <v>1926</v>
      </c>
      <c r="W59" s="108">
        <f t="shared" si="3"/>
        <v>0</v>
      </c>
      <c r="X59" s="108">
        <v>1926</v>
      </c>
      <c r="Y59" s="108">
        <f t="shared" si="4"/>
        <v>0</v>
      </c>
      <c r="Z59" s="108">
        <v>1926</v>
      </c>
      <c r="AA59" s="108">
        <f t="shared" si="5"/>
        <v>0</v>
      </c>
      <c r="AB59" s="108">
        <v>1926</v>
      </c>
      <c r="AC59" s="108">
        <f t="shared" si="6"/>
        <v>0</v>
      </c>
      <c r="AD59" s="108">
        <v>1926</v>
      </c>
      <c r="AE59" s="109">
        <f t="shared" si="7"/>
        <v>1926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844</v>
      </c>
      <c r="S60" s="114">
        <f t="shared" si="1"/>
        <v>4.5</v>
      </c>
      <c r="T60" s="114">
        <v>853</v>
      </c>
      <c r="U60" s="114">
        <f t="shared" si="2"/>
        <v>0</v>
      </c>
      <c r="V60" s="114">
        <v>853</v>
      </c>
      <c r="W60" s="114">
        <f t="shared" si="3"/>
        <v>0</v>
      </c>
      <c r="X60" s="114">
        <v>853</v>
      </c>
      <c r="Y60" s="114">
        <f t="shared" si="4"/>
        <v>0</v>
      </c>
      <c r="Z60" s="114">
        <v>853</v>
      </c>
      <c r="AA60" s="114">
        <f t="shared" si="5"/>
        <v>0</v>
      </c>
      <c r="AB60" s="114">
        <v>853</v>
      </c>
      <c r="AC60" s="114">
        <f t="shared" si="6"/>
        <v>0</v>
      </c>
      <c r="AD60" s="114">
        <v>853</v>
      </c>
      <c r="AE60" s="115">
        <f t="shared" si="7"/>
        <v>853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987</v>
      </c>
      <c r="S61" s="104">
        <f t="shared" si="1"/>
        <v>167.5</v>
      </c>
      <c r="T61" s="104">
        <v>1322</v>
      </c>
      <c r="U61" s="104">
        <f t="shared" si="2"/>
        <v>449.5</v>
      </c>
      <c r="V61" s="104">
        <v>2221</v>
      </c>
      <c r="W61" s="104">
        <f t="shared" si="3"/>
        <v>-33</v>
      </c>
      <c r="X61" s="104">
        <v>2155</v>
      </c>
      <c r="Y61" s="104">
        <f t="shared" si="4"/>
        <v>0</v>
      </c>
      <c r="Z61" s="104">
        <v>2155</v>
      </c>
      <c r="AA61" s="104">
        <f t="shared" si="5"/>
        <v>0</v>
      </c>
      <c r="AB61" s="104">
        <v>2155</v>
      </c>
      <c r="AC61" s="104">
        <f t="shared" si="6"/>
        <v>0</v>
      </c>
      <c r="AD61" s="104">
        <v>2155</v>
      </c>
      <c r="AE61" s="105">
        <f t="shared" si="7"/>
        <v>2155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356</v>
      </c>
      <c r="S62" s="106">
        <f t="shared" si="1"/>
        <v>114</v>
      </c>
      <c r="T62" s="106">
        <v>584</v>
      </c>
      <c r="U62" s="106">
        <f t="shared" si="2"/>
        <v>78</v>
      </c>
      <c r="V62" s="106">
        <v>740</v>
      </c>
      <c r="W62" s="106">
        <f t="shared" si="3"/>
        <v>5</v>
      </c>
      <c r="X62" s="106">
        <v>750</v>
      </c>
      <c r="Y62" s="106">
        <f t="shared" si="4"/>
        <v>0</v>
      </c>
      <c r="Z62" s="106">
        <v>750</v>
      </c>
      <c r="AA62" s="106">
        <f t="shared" si="5"/>
        <v>0</v>
      </c>
      <c r="AB62" s="106">
        <v>750</v>
      </c>
      <c r="AC62" s="106">
        <f t="shared" si="6"/>
        <v>0</v>
      </c>
      <c r="AD62" s="106">
        <v>750</v>
      </c>
      <c r="AE62" s="107">
        <f t="shared" si="7"/>
        <v>750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447</v>
      </c>
      <c r="S63" s="108">
        <f t="shared" si="1"/>
        <v>0</v>
      </c>
      <c r="T63" s="108">
        <v>447</v>
      </c>
      <c r="U63" s="108">
        <f t="shared" si="2"/>
        <v>120</v>
      </c>
      <c r="V63" s="108">
        <v>687</v>
      </c>
      <c r="W63" s="108">
        <f t="shared" si="3"/>
        <v>265</v>
      </c>
      <c r="X63" s="108">
        <v>1217</v>
      </c>
      <c r="Y63" s="108">
        <f t="shared" si="4"/>
        <v>0</v>
      </c>
      <c r="Z63" s="108">
        <v>1217</v>
      </c>
      <c r="AA63" s="108">
        <f t="shared" si="5"/>
        <v>0</v>
      </c>
      <c r="AB63" s="108">
        <v>1217</v>
      </c>
      <c r="AC63" s="108">
        <f t="shared" si="6"/>
        <v>0</v>
      </c>
      <c r="AD63" s="108">
        <v>1217</v>
      </c>
      <c r="AE63" s="109">
        <f t="shared" si="7"/>
        <v>1217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1711</v>
      </c>
      <c r="S64" s="114">
        <f t="shared" si="1"/>
        <v>549.5</v>
      </c>
      <c r="T64" s="114">
        <v>2810</v>
      </c>
      <c r="U64" s="114">
        <f t="shared" si="2"/>
        <v>132</v>
      </c>
      <c r="V64" s="114">
        <v>3074</v>
      </c>
      <c r="W64" s="114">
        <f t="shared" si="3"/>
        <v>55.5</v>
      </c>
      <c r="X64" s="114">
        <v>3185</v>
      </c>
      <c r="Y64" s="114">
        <f t="shared" si="4"/>
        <v>0</v>
      </c>
      <c r="Z64" s="114">
        <v>3185</v>
      </c>
      <c r="AA64" s="114">
        <f t="shared" si="5"/>
        <v>0</v>
      </c>
      <c r="AB64" s="114">
        <v>3185</v>
      </c>
      <c r="AC64" s="114">
        <f t="shared" si="6"/>
        <v>0</v>
      </c>
      <c r="AD64" s="114">
        <v>3185</v>
      </c>
      <c r="AE64" s="115">
        <f t="shared" si="7"/>
        <v>3185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11" priority="11" operator="lessThan">
      <formula>0</formula>
    </cfRule>
    <cfRule type="cellIs" dxfId="610" priority="12" operator="greaterThan">
      <formula>0</formula>
    </cfRule>
  </conditionalFormatting>
  <conditionalFormatting sqref="R25:AC25">
    <cfRule type="cellIs" dxfId="609" priority="9" operator="lessThan">
      <formula>0</formula>
    </cfRule>
    <cfRule type="cellIs" dxfId="608" priority="10" operator="greaterThan">
      <formula>0</formula>
    </cfRule>
  </conditionalFormatting>
  <conditionalFormatting sqref="R26 T26 V26 X26 Z26 AB26">
    <cfRule type="cellIs" dxfId="607" priority="7" operator="lessThan">
      <formula>0</formula>
    </cfRule>
    <cfRule type="cellIs" dxfId="606" priority="8" operator="greaterThan">
      <formula>0</formula>
    </cfRule>
  </conditionalFormatting>
  <conditionalFormatting sqref="AD24:AE24">
    <cfRule type="cellIs" dxfId="605" priority="5" operator="lessThan">
      <formula>0</formula>
    </cfRule>
    <cfRule type="cellIs" dxfId="604" priority="6" operator="greaterThan">
      <formula>0</formula>
    </cfRule>
  </conditionalFormatting>
  <conditionalFormatting sqref="AD25:AE25">
    <cfRule type="cellIs" dxfId="603" priority="3" operator="lessThan">
      <formula>0</formula>
    </cfRule>
    <cfRule type="cellIs" dxfId="602" priority="4" operator="greaterThan">
      <formula>0</formula>
    </cfRule>
  </conditionalFormatting>
  <conditionalFormatting sqref="AD26">
    <cfRule type="cellIs" dxfId="601" priority="1" operator="lessThan">
      <formula>0</formula>
    </cfRule>
    <cfRule type="cellIs" dxfId="60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44468</v>
      </c>
    </row>
    <row r="3" spans="2:42" ht="18.75" customHeight="1" thickBot="1" x14ac:dyDescent="0.35">
      <c r="B3" t="s">
        <v>1</v>
      </c>
      <c r="C3" s="3">
        <f>C2+1</f>
        <v>44469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20885</v>
      </c>
      <c r="G6" s="117">
        <v>10024.393</v>
      </c>
      <c r="H6" s="117">
        <v>257.40901250000002</v>
      </c>
      <c r="I6" s="19">
        <f>G6+H6</f>
        <v>10281.8020125</v>
      </c>
      <c r="J6" s="119">
        <v>21888</v>
      </c>
      <c r="K6" s="117">
        <v>10317.068499999999</v>
      </c>
      <c r="L6" s="117">
        <v>1181.5128824999999</v>
      </c>
      <c r="M6" s="19">
        <f>K6+L6</f>
        <v>11498.581382499999</v>
      </c>
      <c r="N6" s="85">
        <v>59</v>
      </c>
      <c r="O6" s="85">
        <v>48</v>
      </c>
      <c r="P6" s="92"/>
      <c r="Q6" s="20">
        <f>J6-P6</f>
        <v>21888</v>
      </c>
      <c r="R6" s="21">
        <v>7850</v>
      </c>
      <c r="S6" s="20">
        <f>IF(R6&gt;0,(R6-R7-$Q6),"")</f>
        <v>-14192</v>
      </c>
      <c r="T6" s="21">
        <v>11303</v>
      </c>
      <c r="U6" s="20">
        <f>IF(T6&gt;0,(T6-T7-$Q6),"")</f>
        <v>-10723</v>
      </c>
      <c r="V6" s="21">
        <v>17339</v>
      </c>
      <c r="W6" s="20">
        <f>IF(V6&gt;0,(V6-V7-$Q6),"")</f>
        <v>-4722</v>
      </c>
      <c r="X6" s="21">
        <v>18464</v>
      </c>
      <c r="Y6" s="20">
        <f>IF(X6&gt;0,(X6-X7-$Q6),"")</f>
        <v>-3642</v>
      </c>
      <c r="Z6" s="21">
        <v>18464</v>
      </c>
      <c r="AA6" s="20">
        <f>IF(Z6&gt;0,(Z6-Z7-$Q6),"")</f>
        <v>-3642</v>
      </c>
      <c r="AB6" s="21">
        <v>18464</v>
      </c>
      <c r="AC6" s="22">
        <f>IF(AB6&gt;0,(AB6-AB7-$Q6),"")</f>
        <v>-3642</v>
      </c>
      <c r="AD6" s="21">
        <v>18464</v>
      </c>
      <c r="AE6" s="22">
        <f>IF(AD6&gt;0,(AD6-AD7-$Q6),"")</f>
        <v>-3642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154</v>
      </c>
      <c r="S7" s="24"/>
      <c r="T7" s="25">
        <v>138</v>
      </c>
      <c r="U7" s="24"/>
      <c r="V7" s="25">
        <v>173</v>
      </c>
      <c r="W7" s="24"/>
      <c r="X7" s="25">
        <v>218</v>
      </c>
      <c r="Y7" s="24"/>
      <c r="Z7" s="25">
        <v>218</v>
      </c>
      <c r="AA7" s="24"/>
      <c r="AB7" s="25">
        <v>218</v>
      </c>
      <c r="AC7" s="26"/>
      <c r="AD7" s="25">
        <v>218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2218</v>
      </c>
      <c r="E8" s="29" t="s">
        <v>27</v>
      </c>
      <c r="F8" s="119">
        <v>4095</v>
      </c>
      <c r="G8" s="117">
        <v>4633.5495000000001</v>
      </c>
      <c r="H8" s="117">
        <v>13291.089369599989</v>
      </c>
      <c r="I8" s="19">
        <f>G8+H8</f>
        <v>17924.638869599989</v>
      </c>
      <c r="J8" s="119">
        <v>3786</v>
      </c>
      <c r="K8" s="117">
        <v>4075.8089999999988</v>
      </c>
      <c r="L8" s="117">
        <v>12439.024984899999</v>
      </c>
      <c r="M8" s="19">
        <f>K8+L8</f>
        <v>16514.833984899997</v>
      </c>
      <c r="N8" s="87">
        <v>25</v>
      </c>
      <c r="O8" s="87">
        <v>17</v>
      </c>
      <c r="P8" s="92"/>
      <c r="Q8" s="20">
        <f>J8-P8</f>
        <v>3786</v>
      </c>
      <c r="R8" s="21">
        <v>540</v>
      </c>
      <c r="S8" s="20">
        <f>IF(R8&gt;0,(R8-R9-$Q8),"")</f>
        <v>-3261</v>
      </c>
      <c r="T8" s="21">
        <v>696</v>
      </c>
      <c r="U8" s="20">
        <f>IF(T8&gt;0,(T8-T9-$Q8),"")</f>
        <v>-3105</v>
      </c>
      <c r="V8" s="21">
        <v>2100</v>
      </c>
      <c r="W8" s="20">
        <f>IF(V8&gt;0,(V8-V9-$Q8),"")</f>
        <v>-1701</v>
      </c>
      <c r="X8" s="21">
        <v>2100</v>
      </c>
      <c r="Y8" s="20">
        <f>IF(X8&gt;0,(X8-X9-$Q8),"")</f>
        <v>-1701</v>
      </c>
      <c r="Z8" s="21">
        <v>2100</v>
      </c>
      <c r="AA8" s="20">
        <f>IF(Z8&gt;0,(Z8-Z9-$Q8),"")</f>
        <v>-1701</v>
      </c>
      <c r="AB8" s="21">
        <v>2100</v>
      </c>
      <c r="AC8" s="22">
        <f>IF(AB8&gt;0,(AB8-AB9-$Q8),"")</f>
        <v>-1701</v>
      </c>
      <c r="AD8" s="21">
        <v>2100</v>
      </c>
      <c r="AE8" s="22">
        <f>IF(AD8&gt;0,(AD8-AD9-$Q8),"")</f>
        <v>-1701</v>
      </c>
    </row>
    <row r="9" spans="2:42" x14ac:dyDescent="0.3">
      <c r="B9" s="28" t="s">
        <v>28</v>
      </c>
      <c r="C9" s="17">
        <v>1788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15</v>
      </c>
      <c r="S9" s="24"/>
      <c r="T9" s="30">
        <v>15</v>
      </c>
      <c r="U9" s="24"/>
      <c r="V9" s="30">
        <v>15</v>
      </c>
      <c r="W9" s="24"/>
      <c r="X9" s="30">
        <v>15</v>
      </c>
      <c r="Y9" s="24"/>
      <c r="Z9" s="30">
        <v>15</v>
      </c>
      <c r="AA9" s="24"/>
      <c r="AB9" s="30">
        <v>15</v>
      </c>
      <c r="AC9" s="26"/>
      <c r="AD9" s="30">
        <v>15</v>
      </c>
      <c r="AE9" s="26"/>
    </row>
    <row r="10" spans="2:42" x14ac:dyDescent="0.3">
      <c r="B10" s="16" t="s">
        <v>30</v>
      </c>
      <c r="C10" s="17">
        <v>4161</v>
      </c>
      <c r="E10" s="18" t="s">
        <v>31</v>
      </c>
      <c r="F10" s="119">
        <v>17931</v>
      </c>
      <c r="G10" s="117">
        <v>13444.53875</v>
      </c>
      <c r="H10" s="117">
        <v>1336.5540175000001</v>
      </c>
      <c r="I10" s="19">
        <f>G10+H10</f>
        <v>14781.0927675</v>
      </c>
      <c r="J10" s="119">
        <v>11563</v>
      </c>
      <c r="K10" s="117">
        <v>7829.1432500000001</v>
      </c>
      <c r="L10" s="117">
        <v>497.75673060000003</v>
      </c>
      <c r="M10" s="19">
        <f>K10+L10</f>
        <v>8326.8999805999993</v>
      </c>
      <c r="N10" s="88">
        <v>44</v>
      </c>
      <c r="O10" s="88">
        <v>42</v>
      </c>
      <c r="P10" s="92"/>
      <c r="Q10" s="20">
        <f>J10-P10</f>
        <v>11563</v>
      </c>
      <c r="R10" s="21">
        <v>3981</v>
      </c>
      <c r="S10" s="20">
        <f>IF(R10&gt;0,(R10-R11-$Q10),"")</f>
        <v>-7655</v>
      </c>
      <c r="T10" s="21">
        <v>5953</v>
      </c>
      <c r="U10" s="20">
        <f>IF(T10&gt;0,(T10-T11-$Q10),"")</f>
        <v>-5683</v>
      </c>
      <c r="V10" s="21">
        <v>8751</v>
      </c>
      <c r="W10" s="20">
        <f>IF(V10&gt;0,(V10-V11-$Q10),"")</f>
        <v>-2910</v>
      </c>
      <c r="X10" s="21">
        <v>10804</v>
      </c>
      <c r="Y10" s="20">
        <f>IF(X10&gt;0,(X10-X11-$Q10),"")</f>
        <v>-857</v>
      </c>
      <c r="Z10" s="21">
        <v>10804</v>
      </c>
      <c r="AA10" s="20">
        <f>IF(Z10&gt;0,(Z10-Z11-$Q10),"")</f>
        <v>-857</v>
      </c>
      <c r="AB10" s="21">
        <v>10804</v>
      </c>
      <c r="AC10" s="22">
        <f>IF(AB10&gt;0,(AB10-AB11-$Q10),"")</f>
        <v>-857</v>
      </c>
      <c r="AD10" s="21">
        <v>10804</v>
      </c>
      <c r="AE10" s="22">
        <f>IF(AD10&gt;0,(AD10-AD11-$Q10),"")</f>
        <v>-857</v>
      </c>
    </row>
    <row r="11" spans="2:42" x14ac:dyDescent="0.3">
      <c r="B11" s="16" t="s">
        <v>38</v>
      </c>
      <c r="C11" s="17">
        <v>11379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73</v>
      </c>
      <c r="S11" s="24"/>
      <c r="T11" s="30">
        <v>73</v>
      </c>
      <c r="U11" s="24"/>
      <c r="V11" s="30">
        <v>98</v>
      </c>
      <c r="W11" s="24"/>
      <c r="X11" s="30">
        <v>98</v>
      </c>
      <c r="Y11" s="24"/>
      <c r="Z11" s="30">
        <v>98</v>
      </c>
      <c r="AA11" s="24"/>
      <c r="AB11" s="30">
        <v>98</v>
      </c>
      <c r="AC11" s="26"/>
      <c r="AD11" s="30">
        <v>98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11074</v>
      </c>
      <c r="G12" s="117">
        <v>10972.719249999989</v>
      </c>
      <c r="H12" s="117">
        <v>14506.59750289001</v>
      </c>
      <c r="I12" s="19">
        <f>G12+H12</f>
        <v>25479.316752890001</v>
      </c>
      <c r="J12" s="119">
        <v>11755</v>
      </c>
      <c r="K12" s="117">
        <v>11565.5005</v>
      </c>
      <c r="L12" s="117">
        <v>13932.125198539999</v>
      </c>
      <c r="M12" s="19">
        <f>K12+L12</f>
        <v>25497.62569854</v>
      </c>
      <c r="N12" s="88">
        <v>46</v>
      </c>
      <c r="O12" s="88">
        <v>40</v>
      </c>
      <c r="P12" s="92"/>
      <c r="Q12" s="20">
        <f>J12-P12</f>
        <v>11755</v>
      </c>
      <c r="R12" s="21">
        <v>6050</v>
      </c>
      <c r="S12" s="20">
        <f>IF(R12&gt;0,(R12-R13-$Q12),"")</f>
        <v>-5946</v>
      </c>
      <c r="T12" s="21">
        <v>6843</v>
      </c>
      <c r="U12" s="20">
        <f>IF(T12&gt;0,(T12-T13-$Q12),"")</f>
        <v>-5187</v>
      </c>
      <c r="V12" s="21">
        <v>9184</v>
      </c>
      <c r="W12" s="20">
        <f>IF(V12&gt;0,(V12-V13-$Q12),"")</f>
        <v>-2880</v>
      </c>
      <c r="X12" s="21">
        <v>9184</v>
      </c>
      <c r="Y12" s="20">
        <f>IF(X12&gt;0,(X12-X13-$Q12),"")</f>
        <v>-2880</v>
      </c>
      <c r="Z12" s="21">
        <v>9184</v>
      </c>
      <c r="AA12" s="20">
        <f>IF(Z12&gt;0,(Z12-Z13-$Q12),"")</f>
        <v>-2880</v>
      </c>
      <c r="AB12" s="21">
        <v>9184</v>
      </c>
      <c r="AC12" s="22">
        <f>IF(AB12&gt;0,(AB12-AB13-$Q12),"")</f>
        <v>-2880</v>
      </c>
      <c r="AD12" s="21">
        <v>9184</v>
      </c>
      <c r="AE12" s="22">
        <f>IF(AD12&gt;0,(AD12-AD13-$Q12),"")</f>
        <v>-2880</v>
      </c>
    </row>
    <row r="13" spans="2:42" x14ac:dyDescent="0.3">
      <c r="B13" s="28" t="s">
        <v>42</v>
      </c>
      <c r="C13" s="17">
        <v>24916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241</v>
      </c>
      <c r="S13" s="24"/>
      <c r="T13" s="30">
        <v>275</v>
      </c>
      <c r="U13" s="24"/>
      <c r="V13" s="30">
        <v>309</v>
      </c>
      <c r="W13" s="24"/>
      <c r="X13" s="30">
        <v>309</v>
      </c>
      <c r="Y13" s="24"/>
      <c r="Z13" s="30">
        <v>309</v>
      </c>
      <c r="AA13" s="24"/>
      <c r="AB13" s="30">
        <v>309</v>
      </c>
      <c r="AC13" s="26"/>
      <c r="AD13" s="30">
        <v>309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25596</v>
      </c>
      <c r="G14" s="117">
        <v>18846.381249999999</v>
      </c>
      <c r="H14" s="117">
        <v>27435.334640960002</v>
      </c>
      <c r="I14" s="19">
        <f>G14+H14</f>
        <v>46281.715890959997</v>
      </c>
      <c r="J14" s="119">
        <v>25583</v>
      </c>
      <c r="K14" s="117">
        <v>18352.188750000001</v>
      </c>
      <c r="L14" s="117">
        <v>27072.870924399991</v>
      </c>
      <c r="M14" s="19">
        <f>K14+L14</f>
        <v>45425.059674399992</v>
      </c>
      <c r="N14" s="88">
        <v>62</v>
      </c>
      <c r="O14" s="88">
        <v>50</v>
      </c>
      <c r="P14" s="92"/>
      <c r="Q14" s="20">
        <f>J14-P14</f>
        <v>25583</v>
      </c>
      <c r="R14" s="21">
        <v>4048</v>
      </c>
      <c r="S14" s="20">
        <f>IF(R14&gt;0,(R14-R15-$Q14),"")</f>
        <v>-21545</v>
      </c>
      <c r="T14" s="21">
        <v>5446</v>
      </c>
      <c r="U14" s="20">
        <f>IF(T14&gt;0,(T14-T15-$Q14),"")</f>
        <v>-20147</v>
      </c>
      <c r="V14" s="21">
        <v>6748</v>
      </c>
      <c r="W14" s="20">
        <f>IF(V14&gt;0,(V14-V15-$Q14),"")</f>
        <v>-18857</v>
      </c>
      <c r="X14" s="21">
        <v>8358</v>
      </c>
      <c r="Y14" s="20">
        <f>IF(X14&gt;0,(X14-X15-$Q14),"")</f>
        <v>-17247</v>
      </c>
      <c r="Z14" s="21">
        <v>8890</v>
      </c>
      <c r="AA14" s="20">
        <f>IF(Z14&gt;0,(Z14-Z15-$Q14),"")</f>
        <v>-16715</v>
      </c>
      <c r="AB14" s="21">
        <v>8890</v>
      </c>
      <c r="AC14" s="22">
        <f>IF(AB14&gt;0,(AB14-AB15-$Q14),"")</f>
        <v>-16715</v>
      </c>
      <c r="AD14" s="21">
        <v>8890</v>
      </c>
      <c r="AE14" s="22">
        <f>IF(AD14&gt;0,(AD14-AD15-$Q14),"")</f>
        <v>-16715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10</v>
      </c>
      <c r="S15" s="24"/>
      <c r="T15" s="25">
        <v>10</v>
      </c>
      <c r="U15" s="24"/>
      <c r="V15" s="25">
        <v>22</v>
      </c>
      <c r="W15" s="24"/>
      <c r="X15" s="25">
        <v>22</v>
      </c>
      <c r="Y15" s="24"/>
      <c r="Z15" s="25">
        <v>22</v>
      </c>
      <c r="AA15" s="24"/>
      <c r="AB15" s="25">
        <v>22</v>
      </c>
      <c r="AC15" s="26"/>
      <c r="AD15" s="25">
        <v>22</v>
      </c>
      <c r="AE15" s="26"/>
    </row>
    <row r="16" spans="2:42" ht="15" customHeight="1" thickBot="1" x14ac:dyDescent="0.35">
      <c r="B16" s="16" t="s">
        <v>50</v>
      </c>
      <c r="C16" s="17">
        <v>11327</v>
      </c>
      <c r="E16" s="84"/>
      <c r="F16" s="31">
        <f t="shared" ref="F16:M16" si="0">SUM(F6:F15)</f>
        <v>79581</v>
      </c>
      <c r="G16" s="31">
        <f t="shared" si="0"/>
        <v>57921.58174999999</v>
      </c>
      <c r="H16" s="31">
        <f t="shared" si="0"/>
        <v>56826.984543450002</v>
      </c>
      <c r="I16" s="32">
        <f t="shared" si="0"/>
        <v>114748.56629344999</v>
      </c>
      <c r="J16" s="33">
        <f t="shared" si="0"/>
        <v>74575</v>
      </c>
      <c r="K16" s="33">
        <f t="shared" si="0"/>
        <v>52139.71</v>
      </c>
      <c r="L16" s="33">
        <f t="shared" si="0"/>
        <v>55123.290720939985</v>
      </c>
      <c r="M16" s="33">
        <f t="shared" si="0"/>
        <v>107263.00072093999</v>
      </c>
      <c r="N16" s="31">
        <f>SUM(N14,N12,N10,N8,N6)</f>
        <v>236</v>
      </c>
      <c r="O16" s="31">
        <f>SUM(O14,O12,O10,O8,O6)</f>
        <v>197</v>
      </c>
      <c r="P16" s="34">
        <f>SUM(P6:P15)</f>
        <v>0</v>
      </c>
      <c r="Q16" s="34">
        <f>SUM(Q6:Q15)</f>
        <v>74575</v>
      </c>
      <c r="R16" s="35">
        <f>R6+R8+R10+R12+R14-R7-R9-R11-R13-R15</f>
        <v>21976</v>
      </c>
      <c r="S16" s="36">
        <f>IF(R16&gt;1,(R16-$Q16),"")</f>
        <v>-52599</v>
      </c>
      <c r="T16" s="35">
        <f>T6+T8+T10+T12+T14-T7-T9-T11-T13-T15</f>
        <v>29730</v>
      </c>
      <c r="U16" s="36">
        <f>IF(T16&gt;1,(T16-$Q16),"")</f>
        <v>-44845</v>
      </c>
      <c r="V16" s="35">
        <f>V6+V8+V10+V12+V14-V7-V9-V11-V13-V15</f>
        <v>43505</v>
      </c>
      <c r="W16" s="36">
        <f>IF(V16&gt;1,(V16-$Q16),"")</f>
        <v>-31070</v>
      </c>
      <c r="X16" s="35">
        <f>X6+X8+X10+X12+X14-X7-X9-X11-X13-X15</f>
        <v>48248</v>
      </c>
      <c r="Y16" s="36">
        <f>IF(X16&gt;1,(X16-$Q16),"")</f>
        <v>-26327</v>
      </c>
      <c r="Z16" s="35">
        <f>Z6+Z8+Z10+Z12+Z14-Z7-Z9-Z11-Z13-Z15</f>
        <v>48780</v>
      </c>
      <c r="AA16" s="36">
        <f>IF(Z16&gt;1,(Z16-$Q16),"")</f>
        <v>-25795</v>
      </c>
      <c r="AB16" s="35">
        <f>AB6+AB8+AB10+AB12+AB14-AB7-AB9-AB11-AB13-AB15</f>
        <v>48780</v>
      </c>
      <c r="AC16" s="37">
        <f>IF(AB16&gt;1,(AB16-$Q16),"")</f>
        <v>-25795</v>
      </c>
      <c r="AD16" s="35">
        <f>AD6+AD8+AD10+AD12+AD14-AD7-AD9-AD11-AD13-AD15</f>
        <v>48780</v>
      </c>
      <c r="AE16" s="37">
        <f>IF(AD16&gt;1,(AD16-$Q16),"")</f>
        <v>-25795</v>
      </c>
    </row>
    <row r="17" spans="2:43" s="4" customFormat="1" ht="15" customHeight="1" thickBot="1" x14ac:dyDescent="0.35">
      <c r="B17" s="16" t="s">
        <v>51</v>
      </c>
      <c r="C17" s="17">
        <v>2459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39</v>
      </c>
      <c r="P17" s="38" t="s">
        <v>44</v>
      </c>
      <c r="Q17" s="39"/>
      <c r="R17" s="40">
        <f>R15+R13+R11+R9+R7</f>
        <v>493</v>
      </c>
      <c r="S17" s="41"/>
      <c r="T17" s="40">
        <f>T15+T13+T11+T9+T7</f>
        <v>511</v>
      </c>
      <c r="U17" s="41"/>
      <c r="V17" s="40">
        <f>V15+V13+V11+V9+V7</f>
        <v>617</v>
      </c>
      <c r="W17" s="41"/>
      <c r="X17" s="40">
        <f>X15+X13+X11+X9+X7</f>
        <v>662</v>
      </c>
      <c r="Y17" s="41"/>
      <c r="Z17" s="40">
        <f>Z15+Z13+Z11+Z9+Z7</f>
        <v>662</v>
      </c>
      <c r="AA17" s="41"/>
      <c r="AB17" s="40">
        <f>AB15+AB13+AB11+AB9+AB7</f>
        <v>662</v>
      </c>
      <c r="AC17" s="42"/>
      <c r="AD17" s="40">
        <f>AD15+AD13+AD11+AD9+AD7</f>
        <v>662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4936</v>
      </c>
      <c r="P18" s="45" t="s">
        <v>46</v>
      </c>
      <c r="Q18" s="46"/>
      <c r="R18" s="47">
        <f>IF(R16&gt;0,(R16)/2,"")</f>
        <v>10988</v>
      </c>
      <c r="S18" s="46"/>
      <c r="T18" s="47">
        <f>IF(T16&gt;0,(T16-R16)/2,"")</f>
        <v>3877</v>
      </c>
      <c r="U18" s="46"/>
      <c r="V18" s="47">
        <f>IF(V16&gt;0,(V16-T16)/2,"")</f>
        <v>6887.5</v>
      </c>
      <c r="W18" s="46"/>
      <c r="X18" s="47">
        <f>IF(X16&gt;0,(X16-V16)/2,"")</f>
        <v>2371.5</v>
      </c>
      <c r="Y18" s="46"/>
      <c r="Z18" s="47">
        <f>IF(Z16&gt;0,(Z16-X16)/2,"")</f>
        <v>266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15421</v>
      </c>
      <c r="S20" s="36">
        <v>-64236</v>
      </c>
      <c r="T20" s="35">
        <v>21872</v>
      </c>
      <c r="U20" s="36">
        <v>-57785</v>
      </c>
      <c r="V20" s="35">
        <v>48904</v>
      </c>
      <c r="W20" s="36">
        <v>-30753</v>
      </c>
      <c r="X20" s="35">
        <v>54543</v>
      </c>
      <c r="Y20" s="36">
        <v>-25114</v>
      </c>
      <c r="Z20" s="35">
        <v>54543</v>
      </c>
      <c r="AA20" s="36">
        <v>-25114</v>
      </c>
      <c r="AB20" s="35">
        <v>54543</v>
      </c>
      <c r="AC20" s="37">
        <v>-25114</v>
      </c>
      <c r="AD20" s="35">
        <v>54543</v>
      </c>
      <c r="AE20" s="37">
        <v>-25114</v>
      </c>
    </row>
    <row r="21" spans="2:43" ht="15" customHeight="1" thickBot="1" x14ac:dyDescent="0.35">
      <c r="M21" s="4"/>
      <c r="Q21" s="52"/>
      <c r="R21" s="40">
        <v>631</v>
      </c>
      <c r="S21" s="41"/>
      <c r="T21" s="40">
        <v>775</v>
      </c>
      <c r="U21" s="41"/>
      <c r="V21" s="40">
        <v>1358</v>
      </c>
      <c r="W21" s="41"/>
      <c r="X21" s="40">
        <v>1371</v>
      </c>
      <c r="Y21" s="41"/>
      <c r="Z21" s="40">
        <v>1371</v>
      </c>
      <c r="AA21" s="41"/>
      <c r="AB21" s="40">
        <v>1371</v>
      </c>
      <c r="AC21" s="42"/>
      <c r="AD21" s="40">
        <v>1371</v>
      </c>
      <c r="AE21" s="42"/>
    </row>
    <row r="22" spans="2:43" ht="15" customHeight="1" thickBot="1" x14ac:dyDescent="0.3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6555</v>
      </c>
      <c r="S24" s="60"/>
      <c r="T24" s="60">
        <f>IF(T16&gt;0,T16-T20,"")</f>
        <v>7858</v>
      </c>
      <c r="U24" s="60"/>
      <c r="V24" s="60">
        <f>IF(V16&gt;0,V16-V20,"")</f>
        <v>-5399</v>
      </c>
      <c r="W24" s="60"/>
      <c r="X24" s="60">
        <f>IF(X16&gt;0,X16-X20,"")</f>
        <v>-6295</v>
      </c>
      <c r="Y24" s="60"/>
      <c r="Z24" s="60">
        <f>IF(Z16&gt;0,Z16-Z20,"")</f>
        <v>-5763</v>
      </c>
      <c r="AA24" s="60"/>
      <c r="AB24" s="60">
        <f>IF(AB16&gt;0,AB16-AB20,"")</f>
        <v>-5763</v>
      </c>
      <c r="AC24" s="61"/>
      <c r="AD24" s="60">
        <f>IF(AD16&gt;0,AD16-AD20,"")</f>
        <v>-5763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-138</v>
      </c>
      <c r="S25" s="64"/>
      <c r="T25" s="63">
        <f>IF(T17&gt;=0,T17-T21,"")</f>
        <v>-264</v>
      </c>
      <c r="U25" s="64"/>
      <c r="V25" s="63">
        <f>IF(V17&gt;=0,V17-V21,"")</f>
        <v>-741</v>
      </c>
      <c r="W25" s="64"/>
      <c r="X25" s="63">
        <f>IF(X17&gt;=0,X17-X21,"")</f>
        <v>-709</v>
      </c>
      <c r="Y25" s="64"/>
      <c r="Z25" s="63">
        <f>IF(Z17&gt;=0,Z17-Z21,"")</f>
        <v>-709</v>
      </c>
      <c r="AA25" s="64"/>
      <c r="AB25" s="63">
        <f>IF(AB17&gt;=0,AB17-AB21,"")</f>
        <v>-709</v>
      </c>
      <c r="AC25" s="65"/>
      <c r="AD25" s="63">
        <f>IF(AD17&gt;=0,AD17-AD21,"")</f>
        <v>-709</v>
      </c>
      <c r="AE25" s="65"/>
    </row>
    <row r="26" spans="2:43" ht="15" customHeight="1" thickBot="1" x14ac:dyDescent="0.35">
      <c r="B26" s="74" t="s">
        <v>55</v>
      </c>
      <c r="C26" s="122">
        <v>11750</v>
      </c>
      <c r="D26" s="76">
        <f>C11</f>
        <v>11379</v>
      </c>
      <c r="E26" s="77">
        <f>D26-C26</f>
        <v>-371</v>
      </c>
      <c r="M26" s="4"/>
      <c r="Q26" s="66"/>
      <c r="R26" s="67">
        <f>IFERROR(IF(R18&gt;0,R18-R22,""),"")</f>
        <v>3277.5</v>
      </c>
      <c r="S26" s="55"/>
      <c r="T26" s="67">
        <f>IFERROR(IF(T18&gt;0,T18-T22,""),"")</f>
        <v>651.5</v>
      </c>
      <c r="U26" s="55"/>
      <c r="V26" s="67">
        <f>IFERROR(IF(V18&gt;0,V18-V22,""),"")</f>
        <v>-6628.5</v>
      </c>
      <c r="W26" s="55"/>
      <c r="X26" s="67">
        <f>IFERROR(IF(X18&gt;0,X18-X22,""),"")</f>
        <v>-448</v>
      </c>
      <c r="Y26" s="55"/>
      <c r="Z26" s="67">
        <f>IFERROR(IF(Z18&gt;0,Z18-Z22,""),"")</f>
        <v>266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30886</v>
      </c>
      <c r="D27" s="76">
        <f>C7+C12+C13+C14+C15</f>
        <v>24916</v>
      </c>
      <c r="E27" s="77">
        <f>D27-C27</f>
        <v>-5970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4161</v>
      </c>
      <c r="D29" s="76">
        <f>C10</f>
        <v>4161</v>
      </c>
      <c r="E29" s="77">
        <f>D29-C29</f>
        <v>0</v>
      </c>
      <c r="O29" s="4"/>
    </row>
    <row r="30" spans="2:43" x14ac:dyDescent="0.3">
      <c r="B30" s="74" t="s">
        <v>59</v>
      </c>
      <c r="C30" s="122">
        <v>17377</v>
      </c>
      <c r="D30" s="76">
        <f>C16+C17+C18</f>
        <v>18722</v>
      </c>
      <c r="E30" s="77">
        <f>D30-C30</f>
        <v>1345</v>
      </c>
      <c r="J30" s="53"/>
      <c r="O30" s="4"/>
    </row>
    <row r="31" spans="2:43" ht="15" customHeight="1" thickBot="1" x14ac:dyDescent="0.35">
      <c r="B31" s="78" t="s">
        <v>60</v>
      </c>
      <c r="C31" s="121">
        <v>4006</v>
      </c>
      <c r="D31" s="80">
        <f>SUM(C8+C9)</f>
        <v>4006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2543</v>
      </c>
      <c r="S35" s="104">
        <f t="shared" ref="S35:S64" si="1">IF(T35&gt;0,(T35-R35)/2,"")</f>
        <v>194</v>
      </c>
      <c r="T35" s="104">
        <v>2931</v>
      </c>
      <c r="U35" s="104">
        <f t="shared" ref="U35:U64" si="2">IF(V35&gt;0,(V35-T35)/2,"")</f>
        <v>367</v>
      </c>
      <c r="V35" s="104">
        <v>3665</v>
      </c>
      <c r="W35" s="104">
        <f t="shared" ref="W35:W64" si="3">IF(X35&gt;0,(X35-V35)/2,"")</f>
        <v>185.5</v>
      </c>
      <c r="X35" s="104">
        <v>4036</v>
      </c>
      <c r="Y35" s="104">
        <f t="shared" ref="Y35:Y64" si="4">IF(Z35&gt;0,(Z35-X35)/2,"")</f>
        <v>0</v>
      </c>
      <c r="Z35" s="104">
        <v>4036</v>
      </c>
      <c r="AA35" s="104">
        <f t="shared" ref="AA35:AA64" si="5">IF(AB35&gt;0,(AB35-Z35)/2,"")</f>
        <v>0</v>
      </c>
      <c r="AB35" s="104">
        <v>4036</v>
      </c>
      <c r="AC35" s="104">
        <f t="shared" ref="AC35:AC64" si="6">IF(AD35&gt;0,(AD35-AB35)/2,"")</f>
        <v>0</v>
      </c>
      <c r="AD35" s="104">
        <v>4036</v>
      </c>
      <c r="AE35" s="105">
        <f t="shared" ref="AE35:AE64" si="7">AD35-Q35</f>
        <v>4036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44</v>
      </c>
      <c r="V36" s="106">
        <v>88</v>
      </c>
      <c r="W36" s="106">
        <f t="shared" si="3"/>
        <v>0</v>
      </c>
      <c r="X36" s="106">
        <v>88</v>
      </c>
      <c r="Y36" s="106">
        <f t="shared" si="4"/>
        <v>0</v>
      </c>
      <c r="Z36" s="106">
        <v>88</v>
      </c>
      <c r="AA36" s="106">
        <f t="shared" si="5"/>
        <v>0</v>
      </c>
      <c r="AB36" s="106">
        <v>88</v>
      </c>
      <c r="AC36" s="106">
        <f t="shared" si="6"/>
        <v>0</v>
      </c>
      <c r="AD36" s="106">
        <v>88</v>
      </c>
      <c r="AE36" s="107">
        <f t="shared" si="7"/>
        <v>88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2207</v>
      </c>
      <c r="S37" s="108">
        <f t="shared" si="1"/>
        <v>532.5</v>
      </c>
      <c r="T37" s="108">
        <v>3272</v>
      </c>
      <c r="U37" s="108">
        <f t="shared" si="2"/>
        <v>950.5</v>
      </c>
      <c r="V37" s="108">
        <v>5173</v>
      </c>
      <c r="W37" s="108">
        <f t="shared" si="3"/>
        <v>535</v>
      </c>
      <c r="X37" s="108">
        <v>6243</v>
      </c>
      <c r="Y37" s="108">
        <f t="shared" si="4"/>
        <v>0</v>
      </c>
      <c r="Z37" s="108">
        <v>6243</v>
      </c>
      <c r="AA37" s="108">
        <f t="shared" si="5"/>
        <v>0</v>
      </c>
      <c r="AB37" s="108">
        <v>6243</v>
      </c>
      <c r="AC37" s="108">
        <f t="shared" si="6"/>
        <v>0</v>
      </c>
      <c r="AD37" s="108">
        <v>6243</v>
      </c>
      <c r="AE37" s="109">
        <f t="shared" si="7"/>
        <v>6243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3100</v>
      </c>
      <c r="S38" s="106">
        <f t="shared" si="1"/>
        <v>0</v>
      </c>
      <c r="T38" s="106">
        <v>3100</v>
      </c>
      <c r="U38" s="106">
        <f t="shared" si="2"/>
        <v>666.5</v>
      </c>
      <c r="V38" s="106">
        <v>4433</v>
      </c>
      <c r="W38" s="106">
        <f t="shared" si="3"/>
        <v>0</v>
      </c>
      <c r="X38" s="106">
        <v>4433</v>
      </c>
      <c r="Y38" s="106">
        <f t="shared" si="4"/>
        <v>0</v>
      </c>
      <c r="Z38" s="106">
        <v>4433</v>
      </c>
      <c r="AA38" s="106">
        <f t="shared" si="5"/>
        <v>0</v>
      </c>
      <c r="AB38" s="106">
        <v>4433</v>
      </c>
      <c r="AC38" s="106">
        <f t="shared" si="6"/>
        <v>0</v>
      </c>
      <c r="AD38" s="106">
        <v>4433</v>
      </c>
      <c r="AE38" s="107">
        <f t="shared" si="7"/>
        <v>4433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0</v>
      </c>
      <c r="S39" s="108">
        <f t="shared" si="1"/>
        <v>1000</v>
      </c>
      <c r="T39" s="108">
        <v>2000</v>
      </c>
      <c r="U39" s="108">
        <f t="shared" si="2"/>
        <v>990</v>
      </c>
      <c r="V39" s="108">
        <v>3980</v>
      </c>
      <c r="W39" s="108">
        <f t="shared" si="3"/>
        <v>-158</v>
      </c>
      <c r="X39" s="108">
        <v>3664</v>
      </c>
      <c r="Y39" s="108">
        <f t="shared" si="4"/>
        <v>0</v>
      </c>
      <c r="Z39" s="108">
        <v>3664</v>
      </c>
      <c r="AA39" s="108">
        <f t="shared" si="5"/>
        <v>0</v>
      </c>
      <c r="AB39" s="108">
        <v>3664</v>
      </c>
      <c r="AC39" s="108">
        <f t="shared" si="6"/>
        <v>0</v>
      </c>
      <c r="AD39" s="108">
        <v>3664</v>
      </c>
      <c r="AE39" s="109">
        <f t="shared" si="7"/>
        <v>3664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-148</v>
      </c>
      <c r="S44" s="112">
        <f t="shared" si="1"/>
        <v>78</v>
      </c>
      <c r="T44" s="112">
        <v>8</v>
      </c>
      <c r="U44" s="112">
        <f t="shared" si="2"/>
        <v>215.5</v>
      </c>
      <c r="V44" s="112">
        <v>439</v>
      </c>
      <c r="W44" s="112">
        <f t="shared" si="3"/>
        <v>0</v>
      </c>
      <c r="X44" s="112">
        <v>439</v>
      </c>
      <c r="Y44" s="112">
        <f t="shared" si="4"/>
        <v>0</v>
      </c>
      <c r="Z44" s="112">
        <v>439</v>
      </c>
      <c r="AA44" s="112">
        <f t="shared" si="5"/>
        <v>0</v>
      </c>
      <c r="AB44" s="112">
        <v>439</v>
      </c>
      <c r="AC44" s="112">
        <f t="shared" si="6"/>
        <v>0</v>
      </c>
      <c r="AD44" s="112">
        <v>439</v>
      </c>
      <c r="AE44" s="113">
        <f t="shared" si="7"/>
        <v>439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688</v>
      </c>
      <c r="S45" s="108">
        <f t="shared" si="1"/>
        <v>0</v>
      </c>
      <c r="T45" s="108">
        <v>688</v>
      </c>
      <c r="U45" s="108">
        <f t="shared" si="2"/>
        <v>483.5</v>
      </c>
      <c r="V45" s="108">
        <v>1655</v>
      </c>
      <c r="W45" s="108">
        <f t="shared" si="3"/>
        <v>0</v>
      </c>
      <c r="X45" s="108">
        <v>1655</v>
      </c>
      <c r="Y45" s="108">
        <f t="shared" si="4"/>
        <v>0</v>
      </c>
      <c r="Z45" s="108">
        <v>1655</v>
      </c>
      <c r="AA45" s="108">
        <f t="shared" si="5"/>
        <v>0</v>
      </c>
      <c r="AB45" s="108">
        <v>1655</v>
      </c>
      <c r="AC45" s="108">
        <f t="shared" si="6"/>
        <v>0</v>
      </c>
      <c r="AD45" s="108">
        <v>1655</v>
      </c>
      <c r="AE45" s="109">
        <f t="shared" si="7"/>
        <v>1655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590</v>
      </c>
      <c r="S48" s="112">
        <f t="shared" si="1"/>
        <v>470</v>
      </c>
      <c r="T48" s="112">
        <v>1530</v>
      </c>
      <c r="U48" s="112">
        <f t="shared" si="2"/>
        <v>75.5</v>
      </c>
      <c r="V48" s="112">
        <v>1681</v>
      </c>
      <c r="W48" s="112">
        <f t="shared" si="3"/>
        <v>489.5</v>
      </c>
      <c r="X48" s="112">
        <v>2660</v>
      </c>
      <c r="Y48" s="112">
        <f t="shared" si="4"/>
        <v>0</v>
      </c>
      <c r="Z48" s="112">
        <v>2660</v>
      </c>
      <c r="AA48" s="112">
        <f t="shared" si="5"/>
        <v>0</v>
      </c>
      <c r="AB48" s="112">
        <v>2660</v>
      </c>
      <c r="AC48" s="112">
        <f t="shared" si="6"/>
        <v>0</v>
      </c>
      <c r="AD48" s="112">
        <v>2660</v>
      </c>
      <c r="AE48" s="113">
        <f t="shared" si="7"/>
        <v>2660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100</v>
      </c>
      <c r="S49" s="108">
        <f t="shared" si="1"/>
        <v>33</v>
      </c>
      <c r="T49" s="108">
        <v>166</v>
      </c>
      <c r="U49" s="108">
        <f t="shared" si="2"/>
        <v>820</v>
      </c>
      <c r="V49" s="108">
        <v>1806</v>
      </c>
      <c r="W49" s="108">
        <f t="shared" si="3"/>
        <v>693.5</v>
      </c>
      <c r="X49" s="108">
        <v>3193</v>
      </c>
      <c r="Y49" s="108">
        <f t="shared" si="4"/>
        <v>0</v>
      </c>
      <c r="Z49" s="108">
        <v>3193</v>
      </c>
      <c r="AA49" s="108">
        <f t="shared" si="5"/>
        <v>0</v>
      </c>
      <c r="AB49" s="108">
        <v>3193</v>
      </c>
      <c r="AC49" s="108">
        <f t="shared" si="6"/>
        <v>0</v>
      </c>
      <c r="AD49" s="108">
        <v>3193</v>
      </c>
      <c r="AE49" s="109">
        <f t="shared" si="7"/>
        <v>3193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1314</v>
      </c>
      <c r="S50" s="106">
        <f t="shared" si="1"/>
        <v>-60</v>
      </c>
      <c r="T50" s="106">
        <v>1194</v>
      </c>
      <c r="U50" s="106">
        <f t="shared" si="2"/>
        <v>-416</v>
      </c>
      <c r="V50" s="106">
        <v>362</v>
      </c>
      <c r="W50" s="106">
        <f t="shared" si="3"/>
        <v>0</v>
      </c>
      <c r="X50" s="106">
        <v>362</v>
      </c>
      <c r="Y50" s="106">
        <f t="shared" si="4"/>
        <v>0</v>
      </c>
      <c r="Z50" s="106">
        <v>362</v>
      </c>
      <c r="AA50" s="106">
        <f t="shared" si="5"/>
        <v>0</v>
      </c>
      <c r="AB50" s="106">
        <v>362</v>
      </c>
      <c r="AC50" s="106">
        <f t="shared" si="6"/>
        <v>0</v>
      </c>
      <c r="AD50" s="106">
        <v>362</v>
      </c>
      <c r="AE50" s="107">
        <f t="shared" si="7"/>
        <v>362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1237</v>
      </c>
      <c r="S51" s="108">
        <f t="shared" si="1"/>
        <v>360</v>
      </c>
      <c r="T51" s="108">
        <v>1957</v>
      </c>
      <c r="U51" s="108">
        <f t="shared" si="2"/>
        <v>0</v>
      </c>
      <c r="V51" s="108">
        <v>1957</v>
      </c>
      <c r="W51" s="108">
        <f t="shared" si="3"/>
        <v>0</v>
      </c>
      <c r="X51" s="108">
        <v>1957</v>
      </c>
      <c r="Y51" s="108">
        <f t="shared" si="4"/>
        <v>0</v>
      </c>
      <c r="Z51" s="108">
        <v>1957</v>
      </c>
      <c r="AA51" s="108">
        <f t="shared" si="5"/>
        <v>0</v>
      </c>
      <c r="AB51" s="108">
        <v>1957</v>
      </c>
      <c r="AC51" s="108">
        <f t="shared" si="6"/>
        <v>0</v>
      </c>
      <c r="AD51" s="108">
        <v>1957</v>
      </c>
      <c r="AE51" s="109">
        <f t="shared" si="7"/>
        <v>1957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60</v>
      </c>
      <c r="S52" s="106">
        <f t="shared" si="1"/>
        <v>183</v>
      </c>
      <c r="T52" s="106">
        <v>426</v>
      </c>
      <c r="U52" s="106">
        <f t="shared" si="2"/>
        <v>58</v>
      </c>
      <c r="V52" s="106">
        <v>542</v>
      </c>
      <c r="W52" s="106">
        <f t="shared" si="3"/>
        <v>52.5</v>
      </c>
      <c r="X52" s="106">
        <v>647</v>
      </c>
      <c r="Y52" s="106">
        <f t="shared" si="4"/>
        <v>0</v>
      </c>
      <c r="Z52" s="106">
        <v>647</v>
      </c>
      <c r="AA52" s="106">
        <f t="shared" si="5"/>
        <v>0</v>
      </c>
      <c r="AB52" s="106">
        <v>647</v>
      </c>
      <c r="AC52" s="106">
        <f t="shared" si="6"/>
        <v>0</v>
      </c>
      <c r="AD52" s="106">
        <v>647</v>
      </c>
      <c r="AE52" s="107">
        <f t="shared" si="7"/>
        <v>647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680</v>
      </c>
      <c r="S53" s="108">
        <f t="shared" si="1"/>
        <v>0</v>
      </c>
      <c r="T53" s="108">
        <v>680</v>
      </c>
      <c r="U53" s="108">
        <f t="shared" si="2"/>
        <v>861.5</v>
      </c>
      <c r="V53" s="108">
        <v>2403</v>
      </c>
      <c r="W53" s="108">
        <f t="shared" si="3"/>
        <v>-209</v>
      </c>
      <c r="X53" s="108">
        <v>1985</v>
      </c>
      <c r="Y53" s="108">
        <f t="shared" si="4"/>
        <v>0</v>
      </c>
      <c r="Z53" s="108">
        <v>1985</v>
      </c>
      <c r="AA53" s="108">
        <f t="shared" si="5"/>
        <v>0</v>
      </c>
      <c r="AB53" s="108">
        <v>1985</v>
      </c>
      <c r="AC53" s="108">
        <f t="shared" si="6"/>
        <v>0</v>
      </c>
      <c r="AD53" s="108">
        <v>1985</v>
      </c>
      <c r="AE53" s="109">
        <f t="shared" si="7"/>
        <v>1985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1905</v>
      </c>
      <c r="S57" s="104">
        <f t="shared" si="1"/>
        <v>135</v>
      </c>
      <c r="T57" s="104">
        <v>2175</v>
      </c>
      <c r="U57" s="104">
        <f t="shared" si="2"/>
        <v>85</v>
      </c>
      <c r="V57" s="104">
        <v>2345</v>
      </c>
      <c r="W57" s="104">
        <f t="shared" si="3"/>
        <v>0</v>
      </c>
      <c r="X57" s="104">
        <v>2345</v>
      </c>
      <c r="Y57" s="104">
        <f t="shared" si="4"/>
        <v>0</v>
      </c>
      <c r="Z57" s="104">
        <v>2345</v>
      </c>
      <c r="AA57" s="104">
        <f t="shared" si="5"/>
        <v>0</v>
      </c>
      <c r="AB57" s="104">
        <v>2345</v>
      </c>
      <c r="AC57" s="104">
        <f t="shared" si="6"/>
        <v>0</v>
      </c>
      <c r="AD57" s="104">
        <v>2345</v>
      </c>
      <c r="AE57" s="105">
        <f t="shared" si="7"/>
        <v>2345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1351</v>
      </c>
      <c r="S58" s="106">
        <f t="shared" si="1"/>
        <v>102</v>
      </c>
      <c r="T58" s="106">
        <v>1555</v>
      </c>
      <c r="U58" s="106">
        <f t="shared" si="2"/>
        <v>569.5</v>
      </c>
      <c r="V58" s="106">
        <v>2694</v>
      </c>
      <c r="W58" s="106">
        <f t="shared" si="3"/>
        <v>0</v>
      </c>
      <c r="X58" s="106">
        <v>2694</v>
      </c>
      <c r="Y58" s="106">
        <f t="shared" si="4"/>
        <v>0</v>
      </c>
      <c r="Z58" s="106">
        <v>2694</v>
      </c>
      <c r="AA58" s="106">
        <f t="shared" si="5"/>
        <v>0</v>
      </c>
      <c r="AB58" s="106">
        <v>2694</v>
      </c>
      <c r="AC58" s="106">
        <f t="shared" si="6"/>
        <v>0</v>
      </c>
      <c r="AD58" s="106">
        <v>2694</v>
      </c>
      <c r="AE58" s="107">
        <f t="shared" si="7"/>
        <v>2694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1298</v>
      </c>
      <c r="S59" s="108">
        <f t="shared" si="1"/>
        <v>-220.5</v>
      </c>
      <c r="T59" s="108">
        <v>857</v>
      </c>
      <c r="U59" s="108">
        <f t="shared" si="2"/>
        <v>0</v>
      </c>
      <c r="V59" s="108">
        <v>857</v>
      </c>
      <c r="W59" s="108">
        <f t="shared" si="3"/>
        <v>0</v>
      </c>
      <c r="X59" s="108">
        <v>857</v>
      </c>
      <c r="Y59" s="108">
        <f t="shared" si="4"/>
        <v>0</v>
      </c>
      <c r="Z59" s="108">
        <v>857</v>
      </c>
      <c r="AA59" s="108">
        <f t="shared" si="5"/>
        <v>0</v>
      </c>
      <c r="AB59" s="108">
        <v>857</v>
      </c>
      <c r="AC59" s="108">
        <f t="shared" si="6"/>
        <v>0</v>
      </c>
      <c r="AD59" s="108">
        <v>857</v>
      </c>
      <c r="AE59" s="109">
        <f t="shared" si="7"/>
        <v>857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410</v>
      </c>
      <c r="S60" s="114">
        <f t="shared" si="1"/>
        <v>477</v>
      </c>
      <c r="T60" s="114">
        <v>1364</v>
      </c>
      <c r="U60" s="114">
        <f t="shared" si="2"/>
        <v>0</v>
      </c>
      <c r="V60" s="114">
        <v>1364</v>
      </c>
      <c r="W60" s="114">
        <f t="shared" si="3"/>
        <v>0</v>
      </c>
      <c r="X60" s="114">
        <v>1364</v>
      </c>
      <c r="Y60" s="114">
        <f t="shared" si="4"/>
        <v>0</v>
      </c>
      <c r="Z60" s="114">
        <v>1364</v>
      </c>
      <c r="AA60" s="114">
        <f t="shared" si="5"/>
        <v>0</v>
      </c>
      <c r="AB60" s="114">
        <v>1364</v>
      </c>
      <c r="AC60" s="114">
        <f t="shared" si="6"/>
        <v>0</v>
      </c>
      <c r="AD60" s="114">
        <v>1364</v>
      </c>
      <c r="AE60" s="115">
        <f t="shared" si="7"/>
        <v>1364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263</v>
      </c>
      <c r="S61" s="104">
        <f t="shared" si="1"/>
        <v>429</v>
      </c>
      <c r="T61" s="104">
        <v>1121</v>
      </c>
      <c r="U61" s="104">
        <f t="shared" si="2"/>
        <v>130.5</v>
      </c>
      <c r="V61" s="104">
        <v>1382</v>
      </c>
      <c r="W61" s="104">
        <f t="shared" si="3"/>
        <v>84</v>
      </c>
      <c r="X61" s="104">
        <v>1550</v>
      </c>
      <c r="Y61" s="104">
        <f t="shared" si="4"/>
        <v>41</v>
      </c>
      <c r="Z61" s="104">
        <v>1632</v>
      </c>
      <c r="AA61" s="104">
        <f t="shared" si="5"/>
        <v>0</v>
      </c>
      <c r="AB61" s="104">
        <v>1632</v>
      </c>
      <c r="AC61" s="104">
        <f t="shared" si="6"/>
        <v>0</v>
      </c>
      <c r="AD61" s="104">
        <v>1632</v>
      </c>
      <c r="AE61" s="105">
        <f t="shared" si="7"/>
        <v>1632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</v>
      </c>
      <c r="S62" s="106">
        <f t="shared" si="1"/>
        <v>143</v>
      </c>
      <c r="T62" s="106">
        <v>287</v>
      </c>
      <c r="U62" s="106">
        <f t="shared" si="2"/>
        <v>25.5</v>
      </c>
      <c r="V62" s="106">
        <v>338</v>
      </c>
      <c r="W62" s="106">
        <f t="shared" si="3"/>
        <v>241</v>
      </c>
      <c r="X62" s="106">
        <v>820</v>
      </c>
      <c r="Y62" s="106">
        <f t="shared" si="4"/>
        <v>0</v>
      </c>
      <c r="Z62" s="106">
        <v>820</v>
      </c>
      <c r="AA62" s="106">
        <f t="shared" si="5"/>
        <v>0</v>
      </c>
      <c r="AB62" s="106">
        <v>820</v>
      </c>
      <c r="AC62" s="106">
        <f t="shared" si="6"/>
        <v>0</v>
      </c>
      <c r="AD62" s="106">
        <v>820</v>
      </c>
      <c r="AE62" s="107">
        <f t="shared" si="7"/>
        <v>820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667</v>
      </c>
      <c r="S63" s="108">
        <f t="shared" si="1"/>
        <v>0</v>
      </c>
      <c r="T63" s="108">
        <v>667</v>
      </c>
      <c r="U63" s="108">
        <f t="shared" si="2"/>
        <v>0</v>
      </c>
      <c r="V63" s="108">
        <v>667</v>
      </c>
      <c r="W63" s="108">
        <f t="shared" si="3"/>
        <v>120</v>
      </c>
      <c r="X63" s="108">
        <v>907</v>
      </c>
      <c r="Y63" s="108">
        <f t="shared" si="4"/>
        <v>42</v>
      </c>
      <c r="Z63" s="108">
        <v>991</v>
      </c>
      <c r="AA63" s="108">
        <f t="shared" si="5"/>
        <v>0</v>
      </c>
      <c r="AB63" s="108">
        <v>991</v>
      </c>
      <c r="AC63" s="108">
        <f t="shared" si="6"/>
        <v>0</v>
      </c>
      <c r="AD63" s="108">
        <v>991</v>
      </c>
      <c r="AE63" s="109">
        <f t="shared" si="7"/>
        <v>991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1673</v>
      </c>
      <c r="S64" s="114">
        <f t="shared" si="1"/>
        <v>0</v>
      </c>
      <c r="T64" s="114">
        <v>1673</v>
      </c>
      <c r="U64" s="114">
        <f t="shared" si="2"/>
        <v>451.5</v>
      </c>
      <c r="V64" s="114">
        <v>2576</v>
      </c>
      <c r="W64" s="114">
        <f t="shared" si="3"/>
        <v>200.5</v>
      </c>
      <c r="X64" s="114">
        <v>2977</v>
      </c>
      <c r="Y64" s="114">
        <f t="shared" si="4"/>
        <v>38.5</v>
      </c>
      <c r="Z64" s="114">
        <v>3054</v>
      </c>
      <c r="AA64" s="114">
        <f t="shared" si="5"/>
        <v>0</v>
      </c>
      <c r="AB64" s="114">
        <v>3054</v>
      </c>
      <c r="AC64" s="114">
        <f t="shared" si="6"/>
        <v>0</v>
      </c>
      <c r="AD64" s="114">
        <v>3054</v>
      </c>
      <c r="AE64" s="115">
        <f t="shared" si="7"/>
        <v>3054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99" priority="11" operator="lessThan">
      <formula>0</formula>
    </cfRule>
    <cfRule type="cellIs" dxfId="598" priority="12" operator="greaterThan">
      <formula>0</formula>
    </cfRule>
  </conditionalFormatting>
  <conditionalFormatting sqref="R25:AC25">
    <cfRule type="cellIs" dxfId="597" priority="9" operator="lessThan">
      <formula>0</formula>
    </cfRule>
    <cfRule type="cellIs" dxfId="596" priority="10" operator="greaterThan">
      <formula>0</formula>
    </cfRule>
  </conditionalFormatting>
  <conditionalFormatting sqref="R26 T26 V26 X26 Z26 AB26">
    <cfRule type="cellIs" dxfId="595" priority="7" operator="lessThan">
      <formula>0</formula>
    </cfRule>
    <cfRule type="cellIs" dxfId="594" priority="8" operator="greaterThan">
      <formula>0</formula>
    </cfRule>
  </conditionalFormatting>
  <conditionalFormatting sqref="AD24:AE24">
    <cfRule type="cellIs" dxfId="593" priority="5" operator="lessThan">
      <formula>0</formula>
    </cfRule>
    <cfRule type="cellIs" dxfId="592" priority="6" operator="greaterThan">
      <formula>0</formula>
    </cfRule>
  </conditionalFormatting>
  <conditionalFormatting sqref="AD25:AE25">
    <cfRule type="cellIs" dxfId="591" priority="3" operator="lessThan">
      <formula>0</formula>
    </cfRule>
    <cfRule type="cellIs" dxfId="590" priority="4" operator="greaterThan">
      <formula>0</formula>
    </cfRule>
  </conditionalFormatting>
  <conditionalFormatting sqref="AD26">
    <cfRule type="cellIs" dxfId="589" priority="1" operator="lessThan">
      <formula>0</formula>
    </cfRule>
    <cfRule type="cellIs" dxfId="588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44469</v>
      </c>
    </row>
    <row r="3" spans="2:42" ht="18.75" customHeight="1" thickBot="1" x14ac:dyDescent="0.35">
      <c r="B3" t="s">
        <v>1</v>
      </c>
      <c r="C3" s="3">
        <f>C2+1</f>
        <v>44470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5720</v>
      </c>
      <c r="E6" s="18" t="s">
        <v>22</v>
      </c>
      <c r="F6" s="119">
        <v>23622</v>
      </c>
      <c r="G6" s="117">
        <v>11870.90675</v>
      </c>
      <c r="H6" s="117">
        <v>1066.0788625</v>
      </c>
      <c r="I6" s="19">
        <f>G6+H6</f>
        <v>12936.985612500001</v>
      </c>
      <c r="J6" s="119">
        <v>23158</v>
      </c>
      <c r="K6" s="117">
        <v>11626.995875000001</v>
      </c>
      <c r="L6" s="117">
        <v>1056.5363199999999</v>
      </c>
      <c r="M6" s="19">
        <f>K6+L6</f>
        <v>12683.532195</v>
      </c>
      <c r="N6" s="85">
        <v>61</v>
      </c>
      <c r="O6" s="85">
        <v>50</v>
      </c>
      <c r="P6" s="92"/>
      <c r="Q6" s="20">
        <f>J6-P6</f>
        <v>23158</v>
      </c>
      <c r="R6" s="21">
        <v>2924</v>
      </c>
      <c r="S6" s="20">
        <f>IF(R6&gt;0,(R6-R7-$Q6),"")</f>
        <v>-20334</v>
      </c>
      <c r="T6" s="21">
        <v>6107</v>
      </c>
      <c r="U6" s="20">
        <f>IF(T6&gt;0,(T6-T7-$Q6),"")</f>
        <v>-17146</v>
      </c>
      <c r="V6" s="21">
        <v>12891</v>
      </c>
      <c r="W6" s="20">
        <f>IF(V6&gt;0,(V6-V7-$Q6),"")</f>
        <v>-10411</v>
      </c>
      <c r="X6" s="21">
        <v>16530</v>
      </c>
      <c r="Y6" s="20">
        <f>IF(X6&gt;0,(X6-X7-$Q6),"")</f>
        <v>-6805</v>
      </c>
      <c r="Z6" s="21">
        <v>16897</v>
      </c>
      <c r="AA6" s="20">
        <f>IF(Z6&gt;0,(Z6-Z7-$Q6),"")</f>
        <v>-6438</v>
      </c>
      <c r="AB6" s="21">
        <v>16897</v>
      </c>
      <c r="AC6" s="22">
        <f>IF(AB6&gt;0,(AB6-AB7-$Q6),"")</f>
        <v>-6438</v>
      </c>
      <c r="AD6" s="21">
        <v>16897</v>
      </c>
      <c r="AE6" s="22">
        <f>IF(AD6&gt;0,(AD6-AD7-$Q6),"")</f>
        <v>-6438</v>
      </c>
    </row>
    <row r="7" spans="2:42" x14ac:dyDescent="0.3">
      <c r="B7" s="16" t="s">
        <v>23</v>
      </c>
      <c r="C7" s="17">
        <v>2840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100</v>
      </c>
      <c r="S7" s="24"/>
      <c r="T7" s="25">
        <v>95</v>
      </c>
      <c r="U7" s="24"/>
      <c r="V7" s="25">
        <v>144</v>
      </c>
      <c r="W7" s="24"/>
      <c r="X7" s="25">
        <v>177</v>
      </c>
      <c r="Y7" s="24"/>
      <c r="Z7" s="25">
        <v>177</v>
      </c>
      <c r="AA7" s="24"/>
      <c r="AB7" s="25">
        <v>177</v>
      </c>
      <c r="AC7" s="26"/>
      <c r="AD7" s="25">
        <v>177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2504</v>
      </c>
      <c r="E8" s="29" t="s">
        <v>27</v>
      </c>
      <c r="F8" s="119">
        <v>3971</v>
      </c>
      <c r="G8" s="117">
        <v>4106.7060000000001</v>
      </c>
      <c r="H8" s="117">
        <v>14882.601701100009</v>
      </c>
      <c r="I8" s="19">
        <f>G8+H8</f>
        <v>18989.30770110001</v>
      </c>
      <c r="J8" s="119">
        <v>3991</v>
      </c>
      <c r="K8" s="117">
        <v>4862.7484999999997</v>
      </c>
      <c r="L8" s="117">
        <v>14137.340754060009</v>
      </c>
      <c r="M8" s="19">
        <f>K8+L8</f>
        <v>19000.089254060011</v>
      </c>
      <c r="N8" s="87">
        <v>20</v>
      </c>
      <c r="O8" s="87">
        <v>12</v>
      </c>
      <c r="P8" s="92"/>
      <c r="Q8" s="20">
        <f>J8-P8</f>
        <v>3991</v>
      </c>
      <c r="R8" s="21">
        <v>74</v>
      </c>
      <c r="S8" s="20">
        <f>IF(R8&gt;0,(R8-R9-$Q8),"")</f>
        <v>-3917</v>
      </c>
      <c r="T8" s="21">
        <v>706</v>
      </c>
      <c r="U8" s="20">
        <f>IF(T8&gt;0,(T8-T9-$Q8),"")</f>
        <v>-3297</v>
      </c>
      <c r="V8" s="21">
        <v>955</v>
      </c>
      <c r="W8" s="20">
        <f>IF(V8&gt;0,(V8-V9-$Q8),"")</f>
        <v>-3048</v>
      </c>
      <c r="X8" s="21">
        <v>2132</v>
      </c>
      <c r="Y8" s="20">
        <f>IF(X8&gt;0,(X8-X9-$Q8),"")</f>
        <v>-1874</v>
      </c>
      <c r="Z8" s="21">
        <v>2132</v>
      </c>
      <c r="AA8" s="20">
        <f>IF(Z8&gt;0,(Z8-Z9-$Q8),"")</f>
        <v>-1874</v>
      </c>
      <c r="AB8" s="21">
        <v>2132</v>
      </c>
      <c r="AC8" s="22">
        <f>IF(AB8&gt;0,(AB8-AB9-$Q8),"")</f>
        <v>-1874</v>
      </c>
      <c r="AD8" s="21">
        <v>2132</v>
      </c>
      <c r="AE8" s="22">
        <f>IF(AD8&gt;0,(AD8-AD9-$Q8),"")</f>
        <v>-1874</v>
      </c>
    </row>
    <row r="9" spans="2:42" x14ac:dyDescent="0.3">
      <c r="B9" s="28" t="s">
        <v>28</v>
      </c>
      <c r="C9" s="17">
        <v>1845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12</v>
      </c>
      <c r="U9" s="24"/>
      <c r="V9" s="30">
        <v>12</v>
      </c>
      <c r="W9" s="24"/>
      <c r="X9" s="30">
        <v>15</v>
      </c>
      <c r="Y9" s="24"/>
      <c r="Z9" s="30">
        <v>15</v>
      </c>
      <c r="AA9" s="24"/>
      <c r="AB9" s="30">
        <v>15</v>
      </c>
      <c r="AC9" s="26"/>
      <c r="AD9" s="30">
        <v>15</v>
      </c>
      <c r="AE9" s="26"/>
    </row>
    <row r="10" spans="2:42" x14ac:dyDescent="0.3">
      <c r="B10" s="16" t="s">
        <v>30</v>
      </c>
      <c r="C10" s="17">
        <v>2216</v>
      </c>
      <c r="E10" s="18" t="s">
        <v>31</v>
      </c>
      <c r="F10" s="119">
        <v>18712</v>
      </c>
      <c r="G10" s="117">
        <v>13304.576999999999</v>
      </c>
      <c r="H10" s="117">
        <v>449.31759749999998</v>
      </c>
      <c r="I10" s="19">
        <f>G10+H10</f>
        <v>13753.894597499999</v>
      </c>
      <c r="J10" s="119">
        <v>18290</v>
      </c>
      <c r="K10" s="117">
        <v>12899.4735</v>
      </c>
      <c r="L10" s="117">
        <v>448.49619319999999</v>
      </c>
      <c r="M10" s="19">
        <f>K10+L10</f>
        <v>13347.969693200001</v>
      </c>
      <c r="N10" s="88">
        <v>47</v>
      </c>
      <c r="O10" s="88">
        <v>42</v>
      </c>
      <c r="P10" s="92"/>
      <c r="Q10" s="20">
        <f>J10-P10</f>
        <v>18290</v>
      </c>
      <c r="R10" s="21">
        <v>4394</v>
      </c>
      <c r="S10" s="20">
        <f>IF(R10&gt;0,(R10-R11-$Q10),"")</f>
        <v>-13955</v>
      </c>
      <c r="T10" s="21">
        <v>7767</v>
      </c>
      <c r="U10" s="20">
        <f>IF(T10&gt;0,(T10-T11-$Q10),"")</f>
        <v>-10582</v>
      </c>
      <c r="V10" s="21">
        <v>9765</v>
      </c>
      <c r="W10" s="20">
        <f>IF(V10&gt;0,(V10-V11-$Q10),"")</f>
        <v>-8585</v>
      </c>
      <c r="X10" s="21">
        <v>13787</v>
      </c>
      <c r="Y10" s="20">
        <f>IF(X10&gt;0,(X10-X11-$Q10),"")</f>
        <v>-4569</v>
      </c>
      <c r="Z10" s="21">
        <v>13787</v>
      </c>
      <c r="AA10" s="20">
        <f>IF(Z10&gt;0,(Z10-Z11-$Q10),"")</f>
        <v>-4569</v>
      </c>
      <c r="AB10" s="21">
        <v>13787</v>
      </c>
      <c r="AC10" s="22">
        <f>IF(AB10&gt;0,(AB10-AB11-$Q10),"")</f>
        <v>-4569</v>
      </c>
      <c r="AD10" s="21">
        <v>13787</v>
      </c>
      <c r="AE10" s="22">
        <f>IF(AD10&gt;0,(AD10-AD11-$Q10),"")</f>
        <v>-4569</v>
      </c>
    </row>
    <row r="11" spans="2:42" x14ac:dyDescent="0.3">
      <c r="B11" s="16" t="s">
        <v>38</v>
      </c>
      <c r="C11" s="17">
        <v>11509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59</v>
      </c>
      <c r="S11" s="24"/>
      <c r="T11" s="30">
        <v>59</v>
      </c>
      <c r="U11" s="24"/>
      <c r="V11" s="30">
        <v>60</v>
      </c>
      <c r="W11" s="24"/>
      <c r="X11" s="30">
        <v>66</v>
      </c>
      <c r="Y11" s="24"/>
      <c r="Z11" s="30">
        <v>66</v>
      </c>
      <c r="AA11" s="24"/>
      <c r="AB11" s="30">
        <v>66</v>
      </c>
      <c r="AC11" s="26"/>
      <c r="AD11" s="30">
        <v>66</v>
      </c>
      <c r="AE11" s="26"/>
    </row>
    <row r="12" spans="2:42" x14ac:dyDescent="0.3">
      <c r="B12" s="16" t="s">
        <v>40</v>
      </c>
      <c r="C12" s="17">
        <v>3231</v>
      </c>
      <c r="E12" s="29" t="s">
        <v>35</v>
      </c>
      <c r="F12" s="119">
        <v>11902</v>
      </c>
      <c r="G12" s="117">
        <v>11605.92625000001</v>
      </c>
      <c r="H12" s="117">
        <v>14968.39374958</v>
      </c>
      <c r="I12" s="19">
        <f>G12+H12</f>
        <v>26574.31999958001</v>
      </c>
      <c r="J12" s="119">
        <v>12257</v>
      </c>
      <c r="K12" s="117">
        <v>11956.197249999999</v>
      </c>
      <c r="L12" s="117">
        <v>15602.152055489991</v>
      </c>
      <c r="M12" s="19">
        <f>K12+L12</f>
        <v>27558.349305489988</v>
      </c>
      <c r="N12" s="88">
        <v>43</v>
      </c>
      <c r="O12" s="88">
        <v>36</v>
      </c>
      <c r="P12" s="92"/>
      <c r="Q12" s="20">
        <f>J12-P12</f>
        <v>12257</v>
      </c>
      <c r="R12" s="21">
        <v>7222</v>
      </c>
      <c r="S12" s="20">
        <f>IF(R12&gt;0,(R12-R13-$Q12),"")</f>
        <v>-6093</v>
      </c>
      <c r="T12" s="21">
        <v>10036</v>
      </c>
      <c r="U12" s="20">
        <f>IF(T12&gt;0,(T12-T13-$Q12),"")</f>
        <v>-3338</v>
      </c>
      <c r="V12" s="21">
        <v>11414</v>
      </c>
      <c r="W12" s="20">
        <f>IF(V12&gt;0,(V12-V13-$Q12),"")</f>
        <v>-1967</v>
      </c>
      <c r="X12" s="21">
        <v>11414</v>
      </c>
      <c r="Y12" s="20">
        <f>IF(X12&gt;0,(X12-X13-$Q12),"")</f>
        <v>-1967</v>
      </c>
      <c r="Z12" s="21">
        <v>11414</v>
      </c>
      <c r="AA12" s="20">
        <f>IF(Z12&gt;0,(Z12-Z13-$Q12),"")</f>
        <v>-1967</v>
      </c>
      <c r="AB12" s="21">
        <v>11414</v>
      </c>
      <c r="AC12" s="22">
        <f>IF(AB12&gt;0,(AB12-AB13-$Q12),"")</f>
        <v>-1967</v>
      </c>
      <c r="AD12" s="21">
        <v>11414</v>
      </c>
      <c r="AE12" s="22">
        <f>IF(AD12&gt;0,(AD12-AD13-$Q12),"")</f>
        <v>-1967</v>
      </c>
    </row>
    <row r="13" spans="2:42" x14ac:dyDescent="0.3">
      <c r="B13" s="28" t="s">
        <v>42</v>
      </c>
      <c r="C13" s="17">
        <v>14533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1058</v>
      </c>
      <c r="S13" s="24"/>
      <c r="T13" s="30">
        <v>1117</v>
      </c>
      <c r="U13" s="24"/>
      <c r="V13" s="30">
        <v>1124</v>
      </c>
      <c r="W13" s="24"/>
      <c r="X13" s="30">
        <v>1124</v>
      </c>
      <c r="Y13" s="24"/>
      <c r="Z13" s="30">
        <v>1124</v>
      </c>
      <c r="AA13" s="24"/>
      <c r="AB13" s="30">
        <v>1124</v>
      </c>
      <c r="AC13" s="26"/>
      <c r="AD13" s="30">
        <v>1124</v>
      </c>
      <c r="AE13" s="26"/>
    </row>
    <row r="14" spans="2:42" x14ac:dyDescent="0.3">
      <c r="B14" s="43" t="s">
        <v>47</v>
      </c>
      <c r="C14" s="17">
        <v>1858</v>
      </c>
      <c r="E14" s="18" t="s">
        <v>39</v>
      </c>
      <c r="F14" s="119">
        <v>19486</v>
      </c>
      <c r="G14" s="117">
        <v>17524.547500000001</v>
      </c>
      <c r="H14" s="117">
        <v>23383.51329968002</v>
      </c>
      <c r="I14" s="19">
        <f>G14+H14</f>
        <v>40908.060799680025</v>
      </c>
      <c r="J14" s="119">
        <v>20071</v>
      </c>
      <c r="K14" s="117">
        <v>17959.486250000002</v>
      </c>
      <c r="L14" s="117">
        <v>23516.327644160028</v>
      </c>
      <c r="M14" s="19">
        <f>K14+L14</f>
        <v>41475.813894160034</v>
      </c>
      <c r="N14" s="88">
        <v>59</v>
      </c>
      <c r="O14" s="88">
        <v>48</v>
      </c>
      <c r="P14" s="92"/>
      <c r="Q14" s="20">
        <f>J14-P14</f>
        <v>20071</v>
      </c>
      <c r="R14" s="21">
        <v>4632</v>
      </c>
      <c r="S14" s="20">
        <f>IF(R14&gt;0,(R14-R15-$Q14),"")</f>
        <v>-15439</v>
      </c>
      <c r="T14" s="21">
        <v>6896</v>
      </c>
      <c r="U14" s="20">
        <f>IF(T14&gt;0,(T14-T15-$Q14),"")</f>
        <v>-13175</v>
      </c>
      <c r="V14" s="21">
        <v>8917</v>
      </c>
      <c r="W14" s="20">
        <f>IF(V14&gt;0,(V14-V15-$Q14),"")</f>
        <v>-11171</v>
      </c>
      <c r="X14" s="21">
        <v>9482</v>
      </c>
      <c r="Y14" s="20">
        <f>IF(X14&gt;0,(X14-X15-$Q14),"")</f>
        <v>-10606</v>
      </c>
      <c r="Z14" s="21">
        <v>9482</v>
      </c>
      <c r="AA14" s="20">
        <f>IF(Z14&gt;0,(Z14-Z15-$Q14),"")</f>
        <v>-10606</v>
      </c>
      <c r="AB14" s="21">
        <v>9482</v>
      </c>
      <c r="AC14" s="22">
        <f>IF(AB14&gt;0,(AB14-AB15-$Q14),"")</f>
        <v>-10606</v>
      </c>
      <c r="AD14" s="21">
        <v>9482</v>
      </c>
      <c r="AE14" s="22">
        <f>IF(AD14&gt;0,(AD14-AD15-$Q14),"")</f>
        <v>-10606</v>
      </c>
    </row>
    <row r="15" spans="2:42" ht="15" customHeight="1" thickBot="1" x14ac:dyDescent="0.35">
      <c r="B15" s="43" t="s">
        <v>48</v>
      </c>
      <c r="C15" s="50">
        <v>561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17</v>
      </c>
      <c r="W15" s="24"/>
      <c r="X15" s="25">
        <v>17</v>
      </c>
      <c r="Y15" s="24"/>
      <c r="Z15" s="25">
        <v>17</v>
      </c>
      <c r="AA15" s="24"/>
      <c r="AB15" s="25">
        <v>17</v>
      </c>
      <c r="AC15" s="26"/>
      <c r="AD15" s="25">
        <v>17</v>
      </c>
      <c r="AE15" s="26"/>
    </row>
    <row r="16" spans="2:42" ht="15" customHeight="1" thickBot="1" x14ac:dyDescent="0.35">
      <c r="B16" s="16" t="s">
        <v>50</v>
      </c>
      <c r="C16" s="17">
        <v>8725</v>
      </c>
      <c r="E16" s="84"/>
      <c r="F16" s="31">
        <f t="shared" ref="F16:M16" si="0">SUM(F6:F15)</f>
        <v>77693</v>
      </c>
      <c r="G16" s="31">
        <f t="shared" si="0"/>
        <v>58412.66350000001</v>
      </c>
      <c r="H16" s="31">
        <f t="shared" si="0"/>
        <v>54749.905210360026</v>
      </c>
      <c r="I16" s="32">
        <f t="shared" si="0"/>
        <v>113162.56871036005</v>
      </c>
      <c r="J16" s="33">
        <f t="shared" si="0"/>
        <v>77767</v>
      </c>
      <c r="K16" s="33">
        <f t="shared" si="0"/>
        <v>59304.901375000001</v>
      </c>
      <c r="L16" s="33">
        <f t="shared" si="0"/>
        <v>54760.852966910024</v>
      </c>
      <c r="M16" s="33">
        <f t="shared" si="0"/>
        <v>114065.75434191004</v>
      </c>
      <c r="N16" s="31">
        <f>SUM(N14,N12,N10,N8,N6)</f>
        <v>230</v>
      </c>
      <c r="O16" s="31">
        <f>SUM(O14,O12,O10,O8,O6)</f>
        <v>188</v>
      </c>
      <c r="P16" s="34">
        <f>SUM(P6:P15)</f>
        <v>0</v>
      </c>
      <c r="Q16" s="34">
        <f>SUM(Q6:Q15)</f>
        <v>77767</v>
      </c>
      <c r="R16" s="35">
        <f>R6+R8+R10+R12+R14-R7-R9-R11-R13-R15</f>
        <v>18029</v>
      </c>
      <c r="S16" s="36">
        <f>IF(R16&gt;1,(R16-$Q16),"")</f>
        <v>-59738</v>
      </c>
      <c r="T16" s="35">
        <f>T6+T8+T10+T12+T14-T7-T9-T11-T13-T15</f>
        <v>30229</v>
      </c>
      <c r="U16" s="36">
        <f>IF(T16&gt;1,(T16-$Q16),"")</f>
        <v>-47538</v>
      </c>
      <c r="V16" s="35">
        <f>V6+V8+V10+V12+V14-V7-V9-V11-V13-V15</f>
        <v>42585</v>
      </c>
      <c r="W16" s="36">
        <f>IF(V16&gt;1,(V16-$Q16),"")</f>
        <v>-35182</v>
      </c>
      <c r="X16" s="35">
        <f>X6+X8+X10+X12+X14-X7-X9-X11-X13-X15</f>
        <v>51946</v>
      </c>
      <c r="Y16" s="36">
        <f>IF(X16&gt;1,(X16-$Q16),"")</f>
        <v>-25821</v>
      </c>
      <c r="Z16" s="35">
        <f>Z6+Z8+Z10+Z12+Z14-Z7-Z9-Z11-Z13-Z15</f>
        <v>52313</v>
      </c>
      <c r="AA16" s="36">
        <f>IF(Z16&gt;1,(Z16-$Q16),"")</f>
        <v>-25454</v>
      </c>
      <c r="AB16" s="35">
        <f>AB6+AB8+AB10+AB12+AB14-AB7-AB9-AB11-AB13-AB15</f>
        <v>52313</v>
      </c>
      <c r="AC16" s="37">
        <f>IF(AB16&gt;1,(AB16-$Q16),"")</f>
        <v>-25454</v>
      </c>
      <c r="AD16" s="35">
        <f>AD6+AD8+AD10+AD12+AD14-AD7-AD9-AD11-AD13-AD15</f>
        <v>52313</v>
      </c>
      <c r="AE16" s="37">
        <f>IF(AD16&gt;1,(AD16-$Q16),"")</f>
        <v>-25454</v>
      </c>
    </row>
    <row r="17" spans="2:43" s="4" customFormat="1" ht="15" customHeight="1" thickBot="1" x14ac:dyDescent="0.35">
      <c r="B17" s="16" t="s">
        <v>51</v>
      </c>
      <c r="C17" s="17">
        <v>2706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42</v>
      </c>
      <c r="P17" s="38" t="s">
        <v>44</v>
      </c>
      <c r="Q17" s="39"/>
      <c r="R17" s="40">
        <f>R15+R13+R11+R9+R7</f>
        <v>1217</v>
      </c>
      <c r="S17" s="41"/>
      <c r="T17" s="40">
        <f>T15+T13+T11+T9+T7</f>
        <v>1283</v>
      </c>
      <c r="U17" s="41"/>
      <c r="V17" s="40">
        <f>V15+V13+V11+V9+V7</f>
        <v>1357</v>
      </c>
      <c r="W17" s="41"/>
      <c r="X17" s="40">
        <f>X15+X13+X11+X9+X7</f>
        <v>1399</v>
      </c>
      <c r="Y17" s="41"/>
      <c r="Z17" s="40">
        <f>Z15+Z13+Z11+Z9+Z7</f>
        <v>1399</v>
      </c>
      <c r="AA17" s="41"/>
      <c r="AB17" s="40">
        <f>AB15+AB13+AB11+AB9+AB7</f>
        <v>1399</v>
      </c>
      <c r="AC17" s="42"/>
      <c r="AD17" s="40">
        <f>AD15+AD13+AD11+AD9+AD7</f>
        <v>1399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4454</v>
      </c>
      <c r="P18" s="45" t="s">
        <v>46</v>
      </c>
      <c r="Q18" s="46"/>
      <c r="R18" s="47">
        <f>IF(R16&gt;0,(R16)/2,"")</f>
        <v>9014.5</v>
      </c>
      <c r="S18" s="46"/>
      <c r="T18" s="47">
        <f>IF(T16&gt;0,(T16-R16)/2,"")</f>
        <v>6100</v>
      </c>
      <c r="U18" s="46"/>
      <c r="V18" s="47">
        <f>IF(V16&gt;0,(V16-T16)/2,"")</f>
        <v>6178</v>
      </c>
      <c r="W18" s="46"/>
      <c r="X18" s="47">
        <f>IF(X16&gt;0,(X16-V16)/2,"")</f>
        <v>4680.5</v>
      </c>
      <c r="Y18" s="46"/>
      <c r="Z18" s="47">
        <f>IF(Z16&gt;0,(Z16-X16)/2,"")</f>
        <v>183.5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15421</v>
      </c>
      <c r="S20" s="36">
        <v>-64236</v>
      </c>
      <c r="T20" s="35">
        <v>21872</v>
      </c>
      <c r="U20" s="36">
        <v>-57785</v>
      </c>
      <c r="V20" s="35">
        <v>48904</v>
      </c>
      <c r="W20" s="36">
        <v>-30753</v>
      </c>
      <c r="X20" s="35">
        <v>54543</v>
      </c>
      <c r="Y20" s="36">
        <v>-25114</v>
      </c>
      <c r="Z20" s="35">
        <v>54543</v>
      </c>
      <c r="AA20" s="36">
        <v>-25114</v>
      </c>
      <c r="AB20" s="35">
        <v>54543</v>
      </c>
      <c r="AC20" s="37">
        <v>-25114</v>
      </c>
      <c r="AD20" s="35">
        <v>54543</v>
      </c>
      <c r="AE20" s="37">
        <v>-25114</v>
      </c>
    </row>
    <row r="21" spans="2:43" ht="15" customHeight="1" thickBot="1" x14ac:dyDescent="0.35">
      <c r="M21" s="4"/>
      <c r="Q21" s="52"/>
      <c r="R21" s="40">
        <v>631</v>
      </c>
      <c r="S21" s="41"/>
      <c r="T21" s="40">
        <v>775</v>
      </c>
      <c r="U21" s="41"/>
      <c r="V21" s="40">
        <v>1358</v>
      </c>
      <c r="W21" s="41"/>
      <c r="X21" s="40">
        <v>1371</v>
      </c>
      <c r="Y21" s="41"/>
      <c r="Z21" s="40">
        <v>1371</v>
      </c>
      <c r="AA21" s="41"/>
      <c r="AB21" s="40">
        <v>1371</v>
      </c>
      <c r="AC21" s="42"/>
      <c r="AD21" s="40">
        <v>1371</v>
      </c>
      <c r="AE21" s="42"/>
    </row>
    <row r="22" spans="2:43" ht="15" customHeight="1" thickBot="1" x14ac:dyDescent="0.3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2608</v>
      </c>
      <c r="S24" s="60"/>
      <c r="T24" s="60">
        <f>IF(T16&gt;0,T16-T20,"")</f>
        <v>8357</v>
      </c>
      <c r="U24" s="60"/>
      <c r="V24" s="60">
        <f>IF(V16&gt;0,V16-V20,"")</f>
        <v>-6319</v>
      </c>
      <c r="W24" s="60"/>
      <c r="X24" s="60">
        <f>IF(X16&gt;0,X16-X20,"")</f>
        <v>-2597</v>
      </c>
      <c r="Y24" s="60"/>
      <c r="Z24" s="60">
        <f>IF(Z16&gt;0,Z16-Z20,"")</f>
        <v>-2230</v>
      </c>
      <c r="AA24" s="60"/>
      <c r="AB24" s="60">
        <f>IF(AB16&gt;0,AB16-AB20,"")</f>
        <v>-2230</v>
      </c>
      <c r="AC24" s="61"/>
      <c r="AD24" s="60">
        <f>IF(AD16&gt;0,AD16-AD20,"")</f>
        <v>-2230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586</v>
      </c>
      <c r="S25" s="64"/>
      <c r="T25" s="63">
        <f>IF(T17&gt;=0,T17-T21,"")</f>
        <v>508</v>
      </c>
      <c r="U25" s="64"/>
      <c r="V25" s="63">
        <f>IF(V17&gt;=0,V17-V21,"")</f>
        <v>-1</v>
      </c>
      <c r="W25" s="64"/>
      <c r="X25" s="63">
        <f>IF(X17&gt;=0,X17-X21,"")</f>
        <v>28</v>
      </c>
      <c r="Y25" s="64"/>
      <c r="Z25" s="63">
        <f>IF(Z17&gt;=0,Z17-Z21,"")</f>
        <v>28</v>
      </c>
      <c r="AA25" s="64"/>
      <c r="AB25" s="63">
        <f>IF(AB17&gt;=0,AB17-AB21,"")</f>
        <v>28</v>
      </c>
      <c r="AC25" s="65"/>
      <c r="AD25" s="63">
        <f>IF(AD17&gt;=0,AD17-AD21,"")</f>
        <v>28</v>
      </c>
      <c r="AE25" s="65"/>
    </row>
    <row r="26" spans="2:43" ht="15" customHeight="1" thickBot="1" x14ac:dyDescent="0.35">
      <c r="B26" s="74" t="s">
        <v>55</v>
      </c>
      <c r="C26" s="122">
        <v>12709</v>
      </c>
      <c r="D26" s="76">
        <f>C11</f>
        <v>11509</v>
      </c>
      <c r="E26" s="77">
        <f>D26-C26</f>
        <v>-1200</v>
      </c>
      <c r="M26" s="4"/>
      <c r="Q26" s="66"/>
      <c r="R26" s="67">
        <f>IFERROR(IF(R18&gt;0,R18-R22,""),"")</f>
        <v>1304</v>
      </c>
      <c r="S26" s="55"/>
      <c r="T26" s="67">
        <f>IFERROR(IF(T18&gt;0,T18-T22,""),"")</f>
        <v>2874.5</v>
      </c>
      <c r="U26" s="55"/>
      <c r="V26" s="67">
        <f>IFERROR(IF(V18&gt;0,V18-V22,""),"")</f>
        <v>-7338</v>
      </c>
      <c r="W26" s="55"/>
      <c r="X26" s="67">
        <f>IFERROR(IF(X18&gt;0,X18-X22,""),"")</f>
        <v>1861</v>
      </c>
      <c r="Y26" s="55"/>
      <c r="Z26" s="67">
        <f>IFERROR(IF(Z18&gt;0,Z18-Z22,""),"")</f>
        <v>183.5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30591</v>
      </c>
      <c r="D27" s="76">
        <f>C7+C12+C13+C14+C15</f>
        <v>23023</v>
      </c>
      <c r="E27" s="77">
        <f>D27-C27</f>
        <v>-7568</v>
      </c>
      <c r="O27" s="4"/>
      <c r="AF27" s="69"/>
    </row>
    <row r="28" spans="2:43" x14ac:dyDescent="0.3">
      <c r="B28" s="74" t="s">
        <v>21</v>
      </c>
      <c r="C28" s="122">
        <v>5720</v>
      </c>
      <c r="D28" s="76">
        <f>C6</f>
        <v>5720</v>
      </c>
      <c r="E28" s="77">
        <f>D28-C28</f>
        <v>0</v>
      </c>
      <c r="O28" s="4"/>
    </row>
    <row r="29" spans="2:43" x14ac:dyDescent="0.3">
      <c r="B29" s="74" t="s">
        <v>57</v>
      </c>
      <c r="C29" s="122">
        <v>2216</v>
      </c>
      <c r="D29" s="76">
        <f>C10</f>
        <v>2216</v>
      </c>
      <c r="E29" s="77">
        <f>D29-C29</f>
        <v>0</v>
      </c>
      <c r="O29" s="4"/>
    </row>
    <row r="30" spans="2:43" x14ac:dyDescent="0.3">
      <c r="B30" s="74" t="s">
        <v>59</v>
      </c>
      <c r="C30" s="122">
        <v>16122</v>
      </c>
      <c r="D30" s="76">
        <f>C16+C17+C18</f>
        <v>15885</v>
      </c>
      <c r="E30" s="77">
        <f>D30-C30</f>
        <v>-237</v>
      </c>
      <c r="J30" s="53"/>
      <c r="O30" s="4"/>
    </row>
    <row r="31" spans="2:43" ht="15" customHeight="1" thickBot="1" x14ac:dyDescent="0.35">
      <c r="B31" s="78" t="s">
        <v>60</v>
      </c>
      <c r="C31" s="121">
        <v>4349</v>
      </c>
      <c r="D31" s="80">
        <f>SUM(C8+C9)</f>
        <v>4349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1750</v>
      </c>
      <c r="V35" s="104">
        <v>3500</v>
      </c>
      <c r="W35" s="104">
        <f t="shared" ref="W35:W64" si="3">IF(X35&gt;0,(X35-V35)/2,"")</f>
        <v>0</v>
      </c>
      <c r="X35" s="104">
        <v>3500</v>
      </c>
      <c r="Y35" s="104">
        <f t="shared" ref="Y35:Y64" si="4">IF(Z35&gt;0,(Z35-X35)/2,"")</f>
        <v>0</v>
      </c>
      <c r="Z35" s="104">
        <v>3500</v>
      </c>
      <c r="AA35" s="104">
        <f t="shared" ref="AA35:AA64" si="5">IF(AB35&gt;0,(AB35-Z35)/2,"")</f>
        <v>0</v>
      </c>
      <c r="AB35" s="104">
        <v>3500</v>
      </c>
      <c r="AC35" s="104">
        <f t="shared" ref="AC35:AC64" si="6">IF(AD35&gt;0,(AD35-AB35)/2,"")</f>
        <v>0</v>
      </c>
      <c r="AD35" s="104">
        <v>3500</v>
      </c>
      <c r="AE35" s="105">
        <f t="shared" ref="AE35:AE64" si="7">AD35-Q35</f>
        <v>3500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637.5</v>
      </c>
      <c r="T36" s="106">
        <v>1275</v>
      </c>
      <c r="U36" s="106">
        <f t="shared" si="2"/>
        <v>0</v>
      </c>
      <c r="V36" s="106">
        <v>1275</v>
      </c>
      <c r="W36" s="106">
        <f t="shared" si="3"/>
        <v>6</v>
      </c>
      <c r="X36" s="106">
        <v>1287</v>
      </c>
      <c r="Y36" s="106">
        <f t="shared" si="4"/>
        <v>0</v>
      </c>
      <c r="Z36" s="106">
        <v>1287</v>
      </c>
      <c r="AA36" s="106">
        <f t="shared" si="5"/>
        <v>0</v>
      </c>
      <c r="AB36" s="106">
        <v>1287</v>
      </c>
      <c r="AC36" s="106">
        <f t="shared" si="6"/>
        <v>0</v>
      </c>
      <c r="AD36" s="106">
        <v>1287</v>
      </c>
      <c r="AE36" s="107">
        <f t="shared" si="7"/>
        <v>1287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0</v>
      </c>
      <c r="S37" s="108">
        <f t="shared" si="1"/>
        <v>832.5</v>
      </c>
      <c r="T37" s="108">
        <v>1665</v>
      </c>
      <c r="U37" s="108">
        <f t="shared" si="2"/>
        <v>560</v>
      </c>
      <c r="V37" s="108">
        <v>2785</v>
      </c>
      <c r="W37" s="108">
        <f t="shared" si="3"/>
        <v>156</v>
      </c>
      <c r="X37" s="108">
        <v>3097</v>
      </c>
      <c r="Y37" s="108">
        <f t="shared" si="4"/>
        <v>0</v>
      </c>
      <c r="Z37" s="108">
        <v>3097</v>
      </c>
      <c r="AA37" s="108">
        <f t="shared" si="5"/>
        <v>0</v>
      </c>
      <c r="AB37" s="108">
        <v>3097</v>
      </c>
      <c r="AC37" s="108">
        <f t="shared" si="6"/>
        <v>0</v>
      </c>
      <c r="AD37" s="108">
        <v>3097</v>
      </c>
      <c r="AE37" s="109">
        <f t="shared" si="7"/>
        <v>3097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795</v>
      </c>
      <c r="S38" s="106">
        <f t="shared" si="1"/>
        <v>3</v>
      </c>
      <c r="T38" s="106">
        <v>801</v>
      </c>
      <c r="U38" s="106">
        <f t="shared" si="2"/>
        <v>398</v>
      </c>
      <c r="V38" s="106">
        <v>1597</v>
      </c>
      <c r="W38" s="106">
        <f t="shared" si="3"/>
        <v>323</v>
      </c>
      <c r="X38" s="106">
        <v>2243</v>
      </c>
      <c r="Y38" s="106">
        <f t="shared" si="4"/>
        <v>0</v>
      </c>
      <c r="Z38" s="106">
        <v>2243</v>
      </c>
      <c r="AA38" s="106">
        <f t="shared" si="5"/>
        <v>0</v>
      </c>
      <c r="AB38" s="106">
        <v>2243</v>
      </c>
      <c r="AC38" s="106">
        <f t="shared" si="6"/>
        <v>0</v>
      </c>
      <c r="AD38" s="106">
        <v>2243</v>
      </c>
      <c r="AE38" s="107">
        <f t="shared" si="7"/>
        <v>2243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743</v>
      </c>
      <c r="S39" s="108">
        <f t="shared" si="1"/>
        <v>258</v>
      </c>
      <c r="T39" s="108">
        <v>1259</v>
      </c>
      <c r="U39" s="108">
        <f t="shared" si="2"/>
        <v>222.5</v>
      </c>
      <c r="V39" s="108">
        <v>1704</v>
      </c>
      <c r="W39" s="108">
        <f t="shared" si="3"/>
        <v>199.5</v>
      </c>
      <c r="X39" s="108">
        <v>2103</v>
      </c>
      <c r="Y39" s="108">
        <f t="shared" si="4"/>
        <v>183.5</v>
      </c>
      <c r="Z39" s="108">
        <v>2470</v>
      </c>
      <c r="AA39" s="108">
        <f t="shared" si="5"/>
        <v>0</v>
      </c>
      <c r="AB39" s="108">
        <v>2470</v>
      </c>
      <c r="AC39" s="108">
        <f t="shared" si="6"/>
        <v>0</v>
      </c>
      <c r="AD39" s="108">
        <v>2470</v>
      </c>
      <c r="AE39" s="109">
        <f t="shared" si="7"/>
        <v>2470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543</v>
      </c>
      <c r="S40" s="106">
        <f t="shared" si="1"/>
        <v>0</v>
      </c>
      <c r="T40" s="106">
        <v>543</v>
      </c>
      <c r="U40" s="106">
        <f t="shared" si="2"/>
        <v>10</v>
      </c>
      <c r="V40" s="106">
        <v>563</v>
      </c>
      <c r="W40" s="106">
        <f t="shared" si="3"/>
        <v>1135.5</v>
      </c>
      <c r="X40" s="106">
        <v>2834</v>
      </c>
      <c r="Y40" s="106">
        <f t="shared" si="4"/>
        <v>0</v>
      </c>
      <c r="Z40" s="106">
        <v>2834</v>
      </c>
      <c r="AA40" s="106">
        <f t="shared" si="5"/>
        <v>0</v>
      </c>
      <c r="AB40" s="106">
        <v>2834</v>
      </c>
      <c r="AC40" s="106">
        <f t="shared" si="6"/>
        <v>0</v>
      </c>
      <c r="AD40" s="106">
        <v>2834</v>
      </c>
      <c r="AE40" s="107">
        <f t="shared" si="7"/>
        <v>2834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843</v>
      </c>
      <c r="S41" s="108">
        <f t="shared" si="1"/>
        <v>-139.5</v>
      </c>
      <c r="T41" s="108">
        <v>564</v>
      </c>
      <c r="U41" s="108">
        <f t="shared" si="2"/>
        <v>451.5</v>
      </c>
      <c r="V41" s="108">
        <v>1467</v>
      </c>
      <c r="W41" s="108">
        <f t="shared" si="3"/>
        <v>-0.5</v>
      </c>
      <c r="X41" s="108">
        <v>1466</v>
      </c>
      <c r="Y41" s="108">
        <f t="shared" si="4"/>
        <v>0</v>
      </c>
      <c r="Z41" s="108">
        <v>1466</v>
      </c>
      <c r="AA41" s="108">
        <f t="shared" si="5"/>
        <v>0</v>
      </c>
      <c r="AB41" s="108">
        <v>1466</v>
      </c>
      <c r="AC41" s="108">
        <f t="shared" si="6"/>
        <v>0</v>
      </c>
      <c r="AD41" s="108">
        <v>1466</v>
      </c>
      <c r="AE41" s="109">
        <f t="shared" si="7"/>
        <v>1466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82.5</v>
      </c>
      <c r="T44" s="112">
        <v>165</v>
      </c>
      <c r="U44" s="112">
        <f t="shared" si="2"/>
        <v>124.5</v>
      </c>
      <c r="V44" s="112">
        <v>414</v>
      </c>
      <c r="W44" s="112">
        <f t="shared" si="3"/>
        <v>161</v>
      </c>
      <c r="X44" s="112">
        <v>736</v>
      </c>
      <c r="Y44" s="112">
        <f t="shared" si="4"/>
        <v>0</v>
      </c>
      <c r="Z44" s="112">
        <v>736</v>
      </c>
      <c r="AA44" s="112">
        <f t="shared" si="5"/>
        <v>0</v>
      </c>
      <c r="AB44" s="112">
        <v>736</v>
      </c>
      <c r="AC44" s="112">
        <f t="shared" si="6"/>
        <v>0</v>
      </c>
      <c r="AD44" s="112">
        <v>736</v>
      </c>
      <c r="AE44" s="113">
        <f t="shared" si="7"/>
        <v>736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74</v>
      </c>
      <c r="S45" s="108">
        <f t="shared" si="1"/>
        <v>233.5</v>
      </c>
      <c r="T45" s="108">
        <v>541</v>
      </c>
      <c r="U45" s="108">
        <f t="shared" si="2"/>
        <v>0</v>
      </c>
      <c r="V45" s="108">
        <v>541</v>
      </c>
      <c r="W45" s="108">
        <f t="shared" si="3"/>
        <v>427.5</v>
      </c>
      <c r="X45" s="108">
        <v>1396</v>
      </c>
      <c r="Y45" s="108">
        <f t="shared" si="4"/>
        <v>0</v>
      </c>
      <c r="Z45" s="108">
        <v>1396</v>
      </c>
      <c r="AA45" s="108">
        <f t="shared" si="5"/>
        <v>0</v>
      </c>
      <c r="AB45" s="108">
        <v>1396</v>
      </c>
      <c r="AC45" s="108">
        <f t="shared" si="6"/>
        <v>0</v>
      </c>
      <c r="AD45" s="108">
        <v>1396</v>
      </c>
      <c r="AE45" s="109">
        <f t="shared" si="7"/>
        <v>1396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894</v>
      </c>
      <c r="S48" s="112">
        <f t="shared" si="1"/>
        <v>113</v>
      </c>
      <c r="T48" s="112">
        <v>1120</v>
      </c>
      <c r="U48" s="112">
        <f t="shared" si="2"/>
        <v>341.5</v>
      </c>
      <c r="V48" s="112">
        <v>1803</v>
      </c>
      <c r="W48" s="112">
        <f t="shared" si="3"/>
        <v>64.5</v>
      </c>
      <c r="X48" s="112">
        <v>1932</v>
      </c>
      <c r="Y48" s="112">
        <f t="shared" si="4"/>
        <v>0</v>
      </c>
      <c r="Z48" s="112">
        <v>1932</v>
      </c>
      <c r="AA48" s="112">
        <f t="shared" si="5"/>
        <v>0</v>
      </c>
      <c r="AB48" s="112">
        <v>1932</v>
      </c>
      <c r="AC48" s="112">
        <f t="shared" si="6"/>
        <v>0</v>
      </c>
      <c r="AD48" s="112">
        <v>1932</v>
      </c>
      <c r="AE48" s="113">
        <f t="shared" si="7"/>
        <v>1932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1114</v>
      </c>
      <c r="S49" s="108">
        <f t="shared" si="1"/>
        <v>171</v>
      </c>
      <c r="T49" s="108">
        <v>1456</v>
      </c>
      <c r="U49" s="108">
        <f t="shared" si="2"/>
        <v>219.5</v>
      </c>
      <c r="V49" s="108">
        <v>1895</v>
      </c>
      <c r="W49" s="108">
        <f t="shared" si="3"/>
        <v>65</v>
      </c>
      <c r="X49" s="108">
        <v>2025</v>
      </c>
      <c r="Y49" s="108">
        <f t="shared" si="4"/>
        <v>0</v>
      </c>
      <c r="Z49" s="108">
        <v>2025</v>
      </c>
      <c r="AA49" s="108">
        <f t="shared" si="5"/>
        <v>0</v>
      </c>
      <c r="AB49" s="108">
        <v>2025</v>
      </c>
      <c r="AC49" s="108">
        <f t="shared" si="6"/>
        <v>0</v>
      </c>
      <c r="AD49" s="108">
        <v>2025</v>
      </c>
      <c r="AE49" s="109">
        <f t="shared" si="7"/>
        <v>2025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436</v>
      </c>
      <c r="S50" s="106">
        <f t="shared" si="1"/>
        <v>488.5</v>
      </c>
      <c r="T50" s="106">
        <v>1413</v>
      </c>
      <c r="U50" s="106">
        <f t="shared" si="2"/>
        <v>71.5</v>
      </c>
      <c r="V50" s="106">
        <v>1556</v>
      </c>
      <c r="W50" s="106">
        <f t="shared" si="3"/>
        <v>453</v>
      </c>
      <c r="X50" s="106">
        <v>2462</v>
      </c>
      <c r="Y50" s="106">
        <f t="shared" si="4"/>
        <v>0</v>
      </c>
      <c r="Z50" s="106">
        <v>2462</v>
      </c>
      <c r="AA50" s="106">
        <f t="shared" si="5"/>
        <v>0</v>
      </c>
      <c r="AB50" s="106">
        <v>2462</v>
      </c>
      <c r="AC50" s="106">
        <f t="shared" si="6"/>
        <v>0</v>
      </c>
      <c r="AD50" s="106">
        <v>2462</v>
      </c>
      <c r="AE50" s="107">
        <f t="shared" si="7"/>
        <v>2462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0</v>
      </c>
      <c r="S51" s="108">
        <f t="shared" si="1"/>
        <v>914</v>
      </c>
      <c r="T51" s="108">
        <v>1828</v>
      </c>
      <c r="U51" s="108">
        <f t="shared" si="2"/>
        <v>-14</v>
      </c>
      <c r="V51" s="108">
        <v>1800</v>
      </c>
      <c r="W51" s="108">
        <f t="shared" si="3"/>
        <v>0</v>
      </c>
      <c r="X51" s="108">
        <v>1800</v>
      </c>
      <c r="Y51" s="108">
        <f t="shared" si="4"/>
        <v>0</v>
      </c>
      <c r="Z51" s="108">
        <v>1800</v>
      </c>
      <c r="AA51" s="108">
        <f t="shared" si="5"/>
        <v>0</v>
      </c>
      <c r="AB51" s="108">
        <v>1800</v>
      </c>
      <c r="AC51" s="108">
        <f t="shared" si="6"/>
        <v>0</v>
      </c>
      <c r="AD51" s="108">
        <v>1800</v>
      </c>
      <c r="AE51" s="109">
        <f t="shared" si="7"/>
        <v>1800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700</v>
      </c>
      <c r="S52" s="106">
        <f t="shared" si="1"/>
        <v>0</v>
      </c>
      <c r="T52" s="106">
        <v>700</v>
      </c>
      <c r="U52" s="106">
        <f t="shared" si="2"/>
        <v>2</v>
      </c>
      <c r="V52" s="106">
        <v>704</v>
      </c>
      <c r="W52" s="106">
        <f t="shared" si="3"/>
        <v>913</v>
      </c>
      <c r="X52" s="106">
        <v>2530</v>
      </c>
      <c r="Y52" s="106">
        <f t="shared" si="4"/>
        <v>0</v>
      </c>
      <c r="Z52" s="106">
        <v>2530</v>
      </c>
      <c r="AA52" s="106">
        <f t="shared" si="5"/>
        <v>0</v>
      </c>
      <c r="AB52" s="106">
        <v>2530</v>
      </c>
      <c r="AC52" s="106">
        <f t="shared" si="6"/>
        <v>0</v>
      </c>
      <c r="AD52" s="106">
        <v>2530</v>
      </c>
      <c r="AE52" s="107">
        <f t="shared" si="7"/>
        <v>2530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1250</v>
      </c>
      <c r="S53" s="108">
        <f t="shared" si="1"/>
        <v>0</v>
      </c>
      <c r="T53" s="108">
        <v>1250</v>
      </c>
      <c r="U53" s="108">
        <f t="shared" si="2"/>
        <v>378.5</v>
      </c>
      <c r="V53" s="108">
        <v>2007</v>
      </c>
      <c r="W53" s="108">
        <f t="shared" si="3"/>
        <v>515.5</v>
      </c>
      <c r="X53" s="108">
        <v>3038</v>
      </c>
      <c r="Y53" s="108">
        <f t="shared" si="4"/>
        <v>0</v>
      </c>
      <c r="Z53" s="108">
        <v>3038</v>
      </c>
      <c r="AA53" s="108">
        <f t="shared" si="5"/>
        <v>0</v>
      </c>
      <c r="AB53" s="108">
        <v>3038</v>
      </c>
      <c r="AC53" s="108">
        <f t="shared" si="6"/>
        <v>0</v>
      </c>
      <c r="AD53" s="108">
        <v>3038</v>
      </c>
      <c r="AE53" s="109">
        <f t="shared" si="7"/>
        <v>3038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1930</v>
      </c>
      <c r="S57" s="104">
        <f t="shared" si="1"/>
        <v>152</v>
      </c>
      <c r="T57" s="104">
        <v>2234</v>
      </c>
      <c r="U57" s="104">
        <f t="shared" si="2"/>
        <v>446.5</v>
      </c>
      <c r="V57" s="104">
        <v>3127</v>
      </c>
      <c r="W57" s="104">
        <f t="shared" si="3"/>
        <v>0</v>
      </c>
      <c r="X57" s="104">
        <v>3127</v>
      </c>
      <c r="Y57" s="104">
        <f t="shared" si="4"/>
        <v>0</v>
      </c>
      <c r="Z57" s="104">
        <v>3127</v>
      </c>
      <c r="AA57" s="104">
        <f t="shared" si="5"/>
        <v>0</v>
      </c>
      <c r="AB57" s="104">
        <v>3127</v>
      </c>
      <c r="AC57" s="104">
        <f t="shared" si="6"/>
        <v>0</v>
      </c>
      <c r="AD57" s="104">
        <v>3127</v>
      </c>
      <c r="AE57" s="105">
        <f t="shared" si="7"/>
        <v>3127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2054</v>
      </c>
      <c r="S58" s="106">
        <f t="shared" si="1"/>
        <v>528.5</v>
      </c>
      <c r="T58" s="106">
        <v>3111</v>
      </c>
      <c r="U58" s="106">
        <f t="shared" si="2"/>
        <v>-53.5</v>
      </c>
      <c r="V58" s="106">
        <v>3004</v>
      </c>
      <c r="W58" s="106">
        <f t="shared" si="3"/>
        <v>0</v>
      </c>
      <c r="X58" s="106">
        <v>3004</v>
      </c>
      <c r="Y58" s="106">
        <f t="shared" si="4"/>
        <v>0</v>
      </c>
      <c r="Z58" s="106">
        <v>3004</v>
      </c>
      <c r="AA58" s="106">
        <f t="shared" si="5"/>
        <v>0</v>
      </c>
      <c r="AB58" s="106">
        <v>3004</v>
      </c>
      <c r="AC58" s="106">
        <f t="shared" si="6"/>
        <v>0</v>
      </c>
      <c r="AD58" s="106">
        <v>3004</v>
      </c>
      <c r="AE58" s="107">
        <f t="shared" si="7"/>
        <v>3004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2081</v>
      </c>
      <c r="S59" s="108">
        <f t="shared" si="1"/>
        <v>313.5</v>
      </c>
      <c r="T59" s="108">
        <v>2708</v>
      </c>
      <c r="U59" s="108">
        <f t="shared" si="2"/>
        <v>0</v>
      </c>
      <c r="V59" s="108">
        <v>2708</v>
      </c>
      <c r="W59" s="108">
        <f t="shared" si="3"/>
        <v>0</v>
      </c>
      <c r="X59" s="108">
        <v>2708</v>
      </c>
      <c r="Y59" s="108">
        <f t="shared" si="4"/>
        <v>0</v>
      </c>
      <c r="Z59" s="108">
        <v>2708</v>
      </c>
      <c r="AA59" s="108">
        <f t="shared" si="5"/>
        <v>0</v>
      </c>
      <c r="AB59" s="108">
        <v>2708</v>
      </c>
      <c r="AC59" s="108">
        <f t="shared" si="6"/>
        <v>0</v>
      </c>
      <c r="AD59" s="108">
        <v>2708</v>
      </c>
      <c r="AE59" s="109">
        <f t="shared" si="7"/>
        <v>2708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1157</v>
      </c>
      <c r="S60" s="114">
        <f t="shared" si="1"/>
        <v>413</v>
      </c>
      <c r="T60" s="114">
        <v>1983</v>
      </c>
      <c r="U60" s="114">
        <f t="shared" si="2"/>
        <v>296</v>
      </c>
      <c r="V60" s="114">
        <v>2575</v>
      </c>
      <c r="W60" s="114">
        <f t="shared" si="3"/>
        <v>0</v>
      </c>
      <c r="X60" s="114">
        <v>2575</v>
      </c>
      <c r="Y60" s="114">
        <f t="shared" si="4"/>
        <v>0</v>
      </c>
      <c r="Z60" s="114">
        <v>2575</v>
      </c>
      <c r="AA60" s="114">
        <f t="shared" si="5"/>
        <v>0</v>
      </c>
      <c r="AB60" s="114">
        <v>2575</v>
      </c>
      <c r="AC60" s="114">
        <f t="shared" si="6"/>
        <v>0</v>
      </c>
      <c r="AD60" s="114">
        <v>2575</v>
      </c>
      <c r="AE60" s="115">
        <f t="shared" si="7"/>
        <v>2575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540</v>
      </c>
      <c r="S61" s="104">
        <f t="shared" si="1"/>
        <v>316</v>
      </c>
      <c r="T61" s="104">
        <v>1172</v>
      </c>
      <c r="U61" s="104">
        <f t="shared" si="2"/>
        <v>338</v>
      </c>
      <c r="V61" s="104">
        <v>1848</v>
      </c>
      <c r="W61" s="104">
        <f t="shared" si="3"/>
        <v>47</v>
      </c>
      <c r="X61" s="104">
        <v>1942</v>
      </c>
      <c r="Y61" s="104">
        <f t="shared" si="4"/>
        <v>0</v>
      </c>
      <c r="Z61" s="104">
        <v>1942</v>
      </c>
      <c r="AA61" s="104">
        <f t="shared" si="5"/>
        <v>0</v>
      </c>
      <c r="AB61" s="104">
        <v>1942</v>
      </c>
      <c r="AC61" s="104">
        <f t="shared" si="6"/>
        <v>0</v>
      </c>
      <c r="AD61" s="104">
        <v>1942</v>
      </c>
      <c r="AE61" s="105">
        <f t="shared" si="7"/>
        <v>1942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687</v>
      </c>
      <c r="S62" s="106">
        <f t="shared" si="1"/>
        <v>298.5</v>
      </c>
      <c r="T62" s="106">
        <v>1284</v>
      </c>
      <c r="U62" s="106">
        <f t="shared" si="2"/>
        <v>-64</v>
      </c>
      <c r="V62" s="106">
        <v>1156</v>
      </c>
      <c r="W62" s="106">
        <f t="shared" si="3"/>
        <v>287.5</v>
      </c>
      <c r="X62" s="106">
        <v>1731</v>
      </c>
      <c r="Y62" s="106">
        <f t="shared" si="4"/>
        <v>0</v>
      </c>
      <c r="Z62" s="106">
        <v>1731</v>
      </c>
      <c r="AA62" s="106">
        <f t="shared" si="5"/>
        <v>0</v>
      </c>
      <c r="AB62" s="106">
        <v>1731</v>
      </c>
      <c r="AC62" s="106">
        <f t="shared" si="6"/>
        <v>0</v>
      </c>
      <c r="AD62" s="106">
        <v>1731</v>
      </c>
      <c r="AE62" s="107">
        <f t="shared" si="7"/>
        <v>1731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417</v>
      </c>
      <c r="S63" s="108">
        <f t="shared" si="1"/>
        <v>147</v>
      </c>
      <c r="T63" s="108">
        <v>711</v>
      </c>
      <c r="U63" s="108">
        <f t="shared" si="2"/>
        <v>102</v>
      </c>
      <c r="V63" s="108">
        <v>915</v>
      </c>
      <c r="W63" s="108">
        <f t="shared" si="3"/>
        <v>0</v>
      </c>
      <c r="X63" s="108">
        <v>915</v>
      </c>
      <c r="Y63" s="108">
        <f t="shared" si="4"/>
        <v>0</v>
      </c>
      <c r="Z63" s="108">
        <v>915</v>
      </c>
      <c r="AA63" s="108">
        <f t="shared" si="5"/>
        <v>0</v>
      </c>
      <c r="AB63" s="108">
        <v>915</v>
      </c>
      <c r="AC63" s="108">
        <f t="shared" si="6"/>
        <v>0</v>
      </c>
      <c r="AD63" s="108">
        <v>915</v>
      </c>
      <c r="AE63" s="109">
        <f t="shared" si="7"/>
        <v>915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1198</v>
      </c>
      <c r="S64" s="114">
        <f t="shared" si="1"/>
        <v>272.5</v>
      </c>
      <c r="T64" s="114">
        <v>1743</v>
      </c>
      <c r="U64" s="114">
        <f t="shared" si="2"/>
        <v>207</v>
      </c>
      <c r="V64" s="114">
        <v>2157</v>
      </c>
      <c r="W64" s="114">
        <f t="shared" si="3"/>
        <v>-52</v>
      </c>
      <c r="X64" s="114">
        <v>2053</v>
      </c>
      <c r="Y64" s="114">
        <f t="shared" si="4"/>
        <v>0</v>
      </c>
      <c r="Z64" s="114">
        <v>2053</v>
      </c>
      <c r="AA64" s="114">
        <f t="shared" si="5"/>
        <v>0</v>
      </c>
      <c r="AB64" s="114">
        <v>2053</v>
      </c>
      <c r="AC64" s="114">
        <f t="shared" si="6"/>
        <v>0</v>
      </c>
      <c r="AD64" s="114">
        <v>2053</v>
      </c>
      <c r="AE64" s="115">
        <f t="shared" si="7"/>
        <v>2053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87" priority="11" operator="lessThan">
      <formula>0</formula>
    </cfRule>
    <cfRule type="cellIs" dxfId="586" priority="12" operator="greaterThan">
      <formula>0</formula>
    </cfRule>
  </conditionalFormatting>
  <conditionalFormatting sqref="R25:AC25">
    <cfRule type="cellIs" dxfId="585" priority="9" operator="lessThan">
      <formula>0</formula>
    </cfRule>
    <cfRule type="cellIs" dxfId="584" priority="10" operator="greaterThan">
      <formula>0</formula>
    </cfRule>
  </conditionalFormatting>
  <conditionalFormatting sqref="R26 T26 V26 X26 Z26 AB26">
    <cfRule type="cellIs" dxfId="583" priority="7" operator="lessThan">
      <formula>0</formula>
    </cfRule>
    <cfRule type="cellIs" dxfId="582" priority="8" operator="greaterThan">
      <formula>0</formula>
    </cfRule>
  </conditionalFormatting>
  <conditionalFormatting sqref="AD24:AE24">
    <cfRule type="cellIs" dxfId="581" priority="5" operator="lessThan">
      <formula>0</formula>
    </cfRule>
    <cfRule type="cellIs" dxfId="580" priority="6" operator="greaterThan">
      <formula>0</formula>
    </cfRule>
  </conditionalFormatting>
  <conditionalFormatting sqref="AD25:AE25">
    <cfRule type="cellIs" dxfId="579" priority="3" operator="lessThan">
      <formula>0</formula>
    </cfRule>
    <cfRule type="cellIs" dxfId="578" priority="4" operator="greaterThan">
      <formula>0</formula>
    </cfRule>
  </conditionalFormatting>
  <conditionalFormatting sqref="AD26">
    <cfRule type="cellIs" dxfId="577" priority="1" operator="lessThan">
      <formula>0</formula>
    </cfRule>
    <cfRule type="cellIs" dxfId="576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>
    <tabColor theme="1"/>
    <pageSetUpPr fitToPage="1"/>
  </sheetPr>
  <dimension ref="B1:AQ64"/>
  <sheetViews>
    <sheetView topLeftCell="F10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44470</v>
      </c>
    </row>
    <row r="3" spans="2:42" ht="18.75" customHeight="1" thickBot="1" x14ac:dyDescent="0.35">
      <c r="B3" t="s">
        <v>1</v>
      </c>
      <c r="C3" s="3">
        <f>C2+1</f>
        <v>44471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18449</v>
      </c>
      <c r="G6" s="117">
        <v>9147.0570000000025</v>
      </c>
      <c r="H6" s="117">
        <v>897.2417324999999</v>
      </c>
      <c r="I6" s="19">
        <f>G6+H6</f>
        <v>10044.298732500003</v>
      </c>
      <c r="J6" s="119">
        <v>18385</v>
      </c>
      <c r="K6" s="117">
        <v>8986.1171250000007</v>
      </c>
      <c r="L6" s="117">
        <v>903.32350000000019</v>
      </c>
      <c r="M6" s="19">
        <f>K6+L6</f>
        <v>9889.4406250000011</v>
      </c>
      <c r="N6" s="85">
        <v>61</v>
      </c>
      <c r="O6" s="85">
        <v>49</v>
      </c>
      <c r="P6" s="92"/>
      <c r="Q6" s="20">
        <f>J6-P6</f>
        <v>18385</v>
      </c>
      <c r="R6" s="21">
        <v>7116</v>
      </c>
      <c r="S6" s="20">
        <f>IF(R6&gt;0,(R6-R7-$Q6),"")</f>
        <v>-11556</v>
      </c>
      <c r="T6" s="21">
        <v>9985</v>
      </c>
      <c r="U6" s="20">
        <f>IF(T6&gt;0,(T6-T7-$Q6),"")</f>
        <v>-8693</v>
      </c>
      <c r="V6" s="21">
        <v>14816</v>
      </c>
      <c r="W6" s="20">
        <f>IF(V6&gt;0,(V6-V7-$Q6),"")</f>
        <v>-3881</v>
      </c>
      <c r="X6" s="21">
        <v>15101</v>
      </c>
      <c r="Y6" s="20">
        <f>IF(X6&gt;0,(X6-X7-$Q6),"")</f>
        <v>-3608</v>
      </c>
      <c r="Z6" s="21">
        <v>15101</v>
      </c>
      <c r="AA6" s="20">
        <f>IF(Z6&gt;0,(Z6-Z7-$Q6),"")</f>
        <v>-3608</v>
      </c>
      <c r="AB6" s="21">
        <v>15101</v>
      </c>
      <c r="AC6" s="22">
        <f>IF(AB6&gt;0,(AB6-AB7-$Q6),"")</f>
        <v>-3608</v>
      </c>
      <c r="AD6" s="21">
        <v>15101</v>
      </c>
      <c r="AE6" s="22">
        <f>IF(AD6&gt;0,(AD6-AD7-$Q6),"")</f>
        <v>-3608</v>
      </c>
    </row>
    <row r="7" spans="2:42" x14ac:dyDescent="0.3">
      <c r="B7" s="16" t="s">
        <v>23</v>
      </c>
      <c r="C7" s="17">
        <v>152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287</v>
      </c>
      <c r="S7" s="24"/>
      <c r="T7" s="25">
        <v>293</v>
      </c>
      <c r="U7" s="24"/>
      <c r="V7" s="25">
        <v>312</v>
      </c>
      <c r="W7" s="24"/>
      <c r="X7" s="25">
        <v>324</v>
      </c>
      <c r="Y7" s="24"/>
      <c r="Z7" s="25">
        <v>324</v>
      </c>
      <c r="AA7" s="24"/>
      <c r="AB7" s="25">
        <v>324</v>
      </c>
      <c r="AC7" s="26"/>
      <c r="AD7" s="25">
        <v>324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2640</v>
      </c>
      <c r="E8" s="29" t="s">
        <v>27</v>
      </c>
      <c r="F8" s="119">
        <v>3280</v>
      </c>
      <c r="G8" s="117">
        <v>4192.2899999999991</v>
      </c>
      <c r="H8" s="117">
        <v>13020.882947520009</v>
      </c>
      <c r="I8" s="19">
        <f>G8+H8</f>
        <v>17213.172947520008</v>
      </c>
      <c r="J8" s="119">
        <v>3034</v>
      </c>
      <c r="K8" s="117">
        <v>3847.4610000000011</v>
      </c>
      <c r="L8" s="117">
        <v>11868.413423980001</v>
      </c>
      <c r="M8" s="19">
        <f>K8+L8</f>
        <v>15715.874423980002</v>
      </c>
      <c r="N8" s="87">
        <v>16</v>
      </c>
      <c r="O8" s="87">
        <v>12</v>
      </c>
      <c r="P8" s="92"/>
      <c r="Q8" s="20">
        <f>J8-P8</f>
        <v>3034</v>
      </c>
      <c r="R8" s="21">
        <v>619</v>
      </c>
      <c r="S8" s="20">
        <f>IF(R8&gt;0,(R8-R9-$Q8),"")</f>
        <v>-2415</v>
      </c>
      <c r="T8" s="21">
        <v>847</v>
      </c>
      <c r="U8" s="20">
        <f>IF(T8&gt;0,(T8-T9-$Q8),"")</f>
        <v>-2187</v>
      </c>
      <c r="V8" s="21">
        <v>1930</v>
      </c>
      <c r="W8" s="20">
        <f>IF(V8&gt;0,(V8-V9-$Q8),"")</f>
        <v>-1104</v>
      </c>
      <c r="X8" s="21">
        <v>1930</v>
      </c>
      <c r="Y8" s="20">
        <f>IF(X8&gt;0,(X8-X9-$Q8),"")</f>
        <v>-1104</v>
      </c>
      <c r="Z8" s="21">
        <v>1930</v>
      </c>
      <c r="AA8" s="20">
        <f>IF(Z8&gt;0,(Z8-Z9-$Q8),"")</f>
        <v>-1104</v>
      </c>
      <c r="AB8" s="21">
        <v>1930</v>
      </c>
      <c r="AC8" s="22">
        <f>IF(AB8&gt;0,(AB8-AB9-$Q8),"")</f>
        <v>-1104</v>
      </c>
      <c r="AD8" s="21">
        <v>1930</v>
      </c>
      <c r="AE8" s="22">
        <f>IF(AD8&gt;0,(AD8-AD9-$Q8),"")</f>
        <v>-1104</v>
      </c>
    </row>
    <row r="9" spans="2:42" x14ac:dyDescent="0.3">
      <c r="B9" s="28" t="s">
        <v>28</v>
      </c>
      <c r="C9" s="17">
        <v>1478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2237</v>
      </c>
      <c r="E10" s="18" t="s">
        <v>31</v>
      </c>
      <c r="F10" s="119">
        <v>16670</v>
      </c>
      <c r="G10" s="117">
        <v>13215.117249999999</v>
      </c>
      <c r="H10" s="117">
        <v>362.04114850000002</v>
      </c>
      <c r="I10" s="19">
        <f>G10+H10</f>
        <v>13577.1583985</v>
      </c>
      <c r="J10" s="119">
        <v>16429</v>
      </c>
      <c r="K10" s="117">
        <v>12834.678749999999</v>
      </c>
      <c r="L10" s="117">
        <v>377.24639180000003</v>
      </c>
      <c r="M10" s="19">
        <f>K10+L10</f>
        <v>13211.925141799999</v>
      </c>
      <c r="N10" s="88">
        <v>42</v>
      </c>
      <c r="O10" s="88">
        <v>35</v>
      </c>
      <c r="P10" s="92"/>
      <c r="Q10" s="20">
        <f>J10-P10</f>
        <v>16429</v>
      </c>
      <c r="R10" s="21">
        <v>3130</v>
      </c>
      <c r="S10" s="20">
        <f>IF(R10&gt;0,(R10-R11-$Q10),"")</f>
        <v>-13427</v>
      </c>
      <c r="T10" s="21">
        <v>4382</v>
      </c>
      <c r="U10" s="20">
        <f>IF(T10&gt;0,(T10-T11-$Q10),"")</f>
        <v>-12175</v>
      </c>
      <c r="V10" s="21">
        <v>9691</v>
      </c>
      <c r="W10" s="20">
        <f>IF(V10&gt;0,(V10-V11-$Q10),"")</f>
        <v>-6866</v>
      </c>
      <c r="X10" s="21">
        <v>10842</v>
      </c>
      <c r="Y10" s="20">
        <f>IF(X10&gt;0,(X10-X11-$Q10),"")</f>
        <v>-5715</v>
      </c>
      <c r="Z10" s="21">
        <v>10842</v>
      </c>
      <c r="AA10" s="20">
        <f>IF(Z10&gt;0,(Z10-Z11-$Q10),"")</f>
        <v>-5715</v>
      </c>
      <c r="AB10" s="21">
        <v>10842</v>
      </c>
      <c r="AC10" s="22">
        <f>IF(AB10&gt;0,(AB10-AB11-$Q10),"")</f>
        <v>-5715</v>
      </c>
      <c r="AD10" s="21">
        <v>10842</v>
      </c>
      <c r="AE10" s="22">
        <f>IF(AD10&gt;0,(AD10-AD11-$Q10),"")</f>
        <v>-5715</v>
      </c>
    </row>
    <row r="11" spans="2:42" x14ac:dyDescent="0.3">
      <c r="B11" s="16" t="s">
        <v>38</v>
      </c>
      <c r="C11" s="17">
        <v>10755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128</v>
      </c>
      <c r="S11" s="24"/>
      <c r="T11" s="30">
        <v>128</v>
      </c>
      <c r="U11" s="24"/>
      <c r="V11" s="30">
        <v>128</v>
      </c>
      <c r="W11" s="24"/>
      <c r="X11" s="30">
        <v>128</v>
      </c>
      <c r="Y11" s="24"/>
      <c r="Z11" s="30">
        <v>128</v>
      </c>
      <c r="AA11" s="24"/>
      <c r="AB11" s="30">
        <v>128</v>
      </c>
      <c r="AC11" s="26"/>
      <c r="AD11" s="30">
        <v>128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12453</v>
      </c>
      <c r="G12" s="117">
        <v>12390.007250000001</v>
      </c>
      <c r="H12" s="117">
        <v>16091.32018436</v>
      </c>
      <c r="I12" s="19">
        <f>G12+H12</f>
        <v>28481.327434359999</v>
      </c>
      <c r="J12" s="119">
        <v>11231</v>
      </c>
      <c r="K12" s="117">
        <v>10993.766</v>
      </c>
      <c r="L12" s="117">
        <v>14332.750170900001</v>
      </c>
      <c r="M12" s="19">
        <f>K12+L12</f>
        <v>25326.516170900002</v>
      </c>
      <c r="N12" s="88">
        <v>45</v>
      </c>
      <c r="O12" s="88">
        <v>35</v>
      </c>
      <c r="P12" s="92"/>
      <c r="Q12" s="20">
        <f>J12-P12</f>
        <v>11231</v>
      </c>
      <c r="R12" s="21">
        <v>6329</v>
      </c>
      <c r="S12" s="20">
        <f>IF(R12&gt;0,(R12-R13-$Q12),"")</f>
        <v>-5594</v>
      </c>
      <c r="T12" s="21">
        <v>7263</v>
      </c>
      <c r="U12" s="20">
        <f>IF(T12&gt;0,(T12-T13-$Q12),"")</f>
        <v>-4749</v>
      </c>
      <c r="V12" s="21">
        <v>9240</v>
      </c>
      <c r="W12" s="20">
        <f>IF(V12&gt;0,(V12-V13-$Q12),"")</f>
        <v>-2866</v>
      </c>
      <c r="X12" s="21">
        <v>9550</v>
      </c>
      <c r="Y12" s="20">
        <f>IF(X12&gt;0,(X12-X13-$Q12),"")</f>
        <v>-2556</v>
      </c>
      <c r="Z12" s="21">
        <v>9550</v>
      </c>
      <c r="AA12" s="20">
        <f>IF(Z12&gt;0,(Z12-Z13-$Q12),"")</f>
        <v>-2556</v>
      </c>
      <c r="AB12" s="21">
        <v>9550</v>
      </c>
      <c r="AC12" s="22">
        <f>IF(AB12&gt;0,(AB12-AB13-$Q12),"")</f>
        <v>-2556</v>
      </c>
      <c r="AD12" s="21">
        <v>9550</v>
      </c>
      <c r="AE12" s="22">
        <f>IF(AD12&gt;0,(AD12-AD13-$Q12),"")</f>
        <v>-2556</v>
      </c>
    </row>
    <row r="13" spans="2:42" x14ac:dyDescent="0.3">
      <c r="B13" s="28" t="s">
        <v>42</v>
      </c>
      <c r="C13" s="17">
        <v>24841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692</v>
      </c>
      <c r="S13" s="24"/>
      <c r="T13" s="30">
        <v>781</v>
      </c>
      <c r="U13" s="24"/>
      <c r="V13" s="30">
        <v>875</v>
      </c>
      <c r="W13" s="24"/>
      <c r="X13" s="30">
        <v>875</v>
      </c>
      <c r="Y13" s="24"/>
      <c r="Z13" s="30">
        <v>875</v>
      </c>
      <c r="AA13" s="24"/>
      <c r="AB13" s="30">
        <v>875</v>
      </c>
      <c r="AC13" s="26"/>
      <c r="AD13" s="30">
        <v>875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20586</v>
      </c>
      <c r="G14" s="117">
        <v>18289.03</v>
      </c>
      <c r="H14" s="117">
        <v>23699.693721460029</v>
      </c>
      <c r="I14" s="19">
        <f>G14+H14</f>
        <v>41988.723721460032</v>
      </c>
      <c r="J14" s="119">
        <v>19055</v>
      </c>
      <c r="K14" s="117">
        <v>17267.0435</v>
      </c>
      <c r="L14" s="117">
        <v>22690.199156720009</v>
      </c>
      <c r="M14" s="19">
        <f>K14+L14</f>
        <v>39957.242656720009</v>
      </c>
      <c r="N14" s="88">
        <v>60</v>
      </c>
      <c r="O14" s="88">
        <v>43</v>
      </c>
      <c r="P14" s="92"/>
      <c r="Q14" s="20">
        <f>J14-P14</f>
        <v>19055</v>
      </c>
      <c r="R14" s="21">
        <v>3367</v>
      </c>
      <c r="S14" s="20">
        <f>IF(R14&gt;0,(R14-R15-$Q14),"")</f>
        <v>-15688</v>
      </c>
      <c r="T14" s="21">
        <v>5147</v>
      </c>
      <c r="U14" s="20">
        <f>IF(T14&gt;0,(T14-T15-$Q14),"")</f>
        <v>-13908</v>
      </c>
      <c r="V14" s="21">
        <v>7734</v>
      </c>
      <c r="W14" s="20">
        <f>IF(V14&gt;0,(V14-V15-$Q14),"")</f>
        <v>-11354</v>
      </c>
      <c r="X14" s="21">
        <v>9550</v>
      </c>
      <c r="Y14" s="20">
        <f>IF(X14&gt;0,(X14-X15-$Q14),"")</f>
        <v>-9555</v>
      </c>
      <c r="Z14" s="21">
        <v>8922</v>
      </c>
      <c r="AA14" s="20">
        <f>IF(Z14&gt;0,(Z14-Z15-$Q14),"")</f>
        <v>-10217</v>
      </c>
      <c r="AB14" s="21">
        <v>8922</v>
      </c>
      <c r="AC14" s="22">
        <f>IF(AB14&gt;0,(AB14-AB15-$Q14),"")</f>
        <v>-10217</v>
      </c>
      <c r="AD14" s="21">
        <v>8922</v>
      </c>
      <c r="AE14" s="22">
        <f>IF(AD14&gt;0,(AD14-AD15-$Q14),"")</f>
        <v>-10217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33</v>
      </c>
      <c r="W15" s="24"/>
      <c r="X15" s="25">
        <v>50</v>
      </c>
      <c r="Y15" s="24"/>
      <c r="Z15" s="25">
        <v>84</v>
      </c>
      <c r="AA15" s="24"/>
      <c r="AB15" s="25">
        <v>84</v>
      </c>
      <c r="AC15" s="26"/>
      <c r="AD15" s="25">
        <v>84</v>
      </c>
      <c r="AE15" s="26"/>
    </row>
    <row r="16" spans="2:42" ht="15" customHeight="1" thickBot="1" x14ac:dyDescent="0.35">
      <c r="B16" s="16" t="s">
        <v>50</v>
      </c>
      <c r="C16" s="17">
        <v>8756</v>
      </c>
      <c r="E16" s="84"/>
      <c r="F16" s="31">
        <f t="shared" ref="F16:M16" si="0">SUM(F6:F15)</f>
        <v>71438</v>
      </c>
      <c r="G16" s="31">
        <f t="shared" si="0"/>
        <v>57233.501499999998</v>
      </c>
      <c r="H16" s="31">
        <f t="shared" si="0"/>
        <v>54071.179734340039</v>
      </c>
      <c r="I16" s="32">
        <f t="shared" si="0"/>
        <v>111304.68123434004</v>
      </c>
      <c r="J16" s="33">
        <f t="shared" si="0"/>
        <v>68134</v>
      </c>
      <c r="K16" s="33">
        <f t="shared" si="0"/>
        <v>53929.066374999995</v>
      </c>
      <c r="L16" s="33">
        <f t="shared" si="0"/>
        <v>50171.93264340001</v>
      </c>
      <c r="M16" s="33">
        <f t="shared" si="0"/>
        <v>104100.99901840001</v>
      </c>
      <c r="N16" s="31">
        <f>SUM(N14,N12,N10,N8,N6)</f>
        <v>224</v>
      </c>
      <c r="O16" s="31">
        <f>SUM(O14,O12,O10,O8,O6)</f>
        <v>174</v>
      </c>
      <c r="P16" s="34">
        <f>SUM(P6:P15)</f>
        <v>0</v>
      </c>
      <c r="Q16" s="34">
        <f>SUM(Q6:Q15)</f>
        <v>68134</v>
      </c>
      <c r="R16" s="35">
        <f>R6+R8+R10+R12+R14-R7-R9-R11-R13-R15</f>
        <v>19454</v>
      </c>
      <c r="S16" s="36">
        <f>IF(R16&gt;1,(R16-$Q16),"")</f>
        <v>-48680</v>
      </c>
      <c r="T16" s="35">
        <f>T6+T8+T10+T12+T14-T7-T9-T11-T13-T15</f>
        <v>26422</v>
      </c>
      <c r="U16" s="36">
        <f>IF(T16&gt;1,(T16-$Q16),"")</f>
        <v>-41712</v>
      </c>
      <c r="V16" s="35">
        <f>V6+V8+V10+V12+V14-V7-V9-V11-V13-V15</f>
        <v>42063</v>
      </c>
      <c r="W16" s="36">
        <f>IF(V16&gt;1,(V16-$Q16),"")</f>
        <v>-26071</v>
      </c>
      <c r="X16" s="35">
        <f>X6+X8+X10+X12+X14-X7-X9-X11-X13-X15</f>
        <v>45596</v>
      </c>
      <c r="Y16" s="36">
        <f>IF(X16&gt;1,(X16-$Q16),"")</f>
        <v>-22538</v>
      </c>
      <c r="Z16" s="35">
        <f>Z6+Z8+Z10+Z12+Z14-Z7-Z9-Z11-Z13-Z15</f>
        <v>44934</v>
      </c>
      <c r="AA16" s="36">
        <f>IF(Z16&gt;1,(Z16-$Q16),"")</f>
        <v>-23200</v>
      </c>
      <c r="AB16" s="35">
        <f>AB6+AB8+AB10+AB12+AB14-AB7-AB9-AB11-AB13-AB15</f>
        <v>44934</v>
      </c>
      <c r="AC16" s="37">
        <f>IF(AB16&gt;1,(AB16-$Q16),"")</f>
        <v>-23200</v>
      </c>
      <c r="AD16" s="35">
        <f>AD6+AD8+AD10+AD12+AD14-AD7-AD9-AD11-AD13-AD15</f>
        <v>44934</v>
      </c>
      <c r="AE16" s="37">
        <f>IF(AD16&gt;1,(AD16-$Q16),"")</f>
        <v>-23200</v>
      </c>
    </row>
    <row r="17" spans="2:43" s="4" customFormat="1" ht="15" customHeight="1" thickBot="1" x14ac:dyDescent="0.35">
      <c r="B17" s="16" t="s">
        <v>51</v>
      </c>
      <c r="C17" s="17">
        <v>947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50</v>
      </c>
      <c r="P17" s="38" t="s">
        <v>44</v>
      </c>
      <c r="Q17" s="39"/>
      <c r="R17" s="40">
        <f>R15+R13+R11+R9+R7</f>
        <v>1107</v>
      </c>
      <c r="S17" s="41"/>
      <c r="T17" s="40">
        <f>T15+T13+T11+T9+T7</f>
        <v>1202</v>
      </c>
      <c r="U17" s="41"/>
      <c r="V17" s="40">
        <f>V15+V13+V11+V9+V7</f>
        <v>1348</v>
      </c>
      <c r="W17" s="41"/>
      <c r="X17" s="40">
        <f>X15+X13+X11+X9+X7</f>
        <v>1377</v>
      </c>
      <c r="Y17" s="41"/>
      <c r="Z17" s="40">
        <f>Z15+Z13+Z11+Z9+Z7</f>
        <v>1411</v>
      </c>
      <c r="AA17" s="41"/>
      <c r="AB17" s="40">
        <f>AB15+AB13+AB11+AB9+AB7</f>
        <v>1411</v>
      </c>
      <c r="AC17" s="42"/>
      <c r="AD17" s="40">
        <f>AD15+AD13+AD11+AD9+AD7</f>
        <v>1411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3995</v>
      </c>
      <c r="P18" s="45" t="s">
        <v>46</v>
      </c>
      <c r="Q18" s="46"/>
      <c r="R18" s="47">
        <f>IF(R16&gt;0,(R16)/2,"")</f>
        <v>9727</v>
      </c>
      <c r="S18" s="46"/>
      <c r="T18" s="47">
        <f>IF(T16&gt;0,(T16-R16)/2,"")</f>
        <v>3484</v>
      </c>
      <c r="U18" s="46"/>
      <c r="V18" s="47">
        <f>IF(V16&gt;0,(V16-T16)/2,"")</f>
        <v>7820.5</v>
      </c>
      <c r="W18" s="46"/>
      <c r="X18" s="47">
        <f>IF(X16&gt;0,(X16-V16)/2,"")</f>
        <v>1766.5</v>
      </c>
      <c r="Y18" s="46"/>
      <c r="Z18" s="47">
        <f>IF(Z16&gt;0,(Z16-X16)/2,"")</f>
        <v>-331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18029</v>
      </c>
      <c r="S20" s="36">
        <v>-59738</v>
      </c>
      <c r="T20" s="35">
        <v>30229</v>
      </c>
      <c r="U20" s="36">
        <v>-47538</v>
      </c>
      <c r="V20" s="35">
        <v>42585</v>
      </c>
      <c r="W20" s="36">
        <v>-35182</v>
      </c>
      <c r="X20" s="35">
        <v>51946</v>
      </c>
      <c r="Y20" s="36">
        <v>-25821</v>
      </c>
      <c r="Z20" s="35">
        <v>52313</v>
      </c>
      <c r="AA20" s="36">
        <v>-25454</v>
      </c>
      <c r="AB20" s="35">
        <v>52313</v>
      </c>
      <c r="AC20" s="37">
        <v>-25454</v>
      </c>
      <c r="AD20" s="35">
        <v>52313</v>
      </c>
      <c r="AE20" s="37">
        <v>-25454</v>
      </c>
    </row>
    <row r="21" spans="2:43" ht="15" customHeight="1" thickBot="1" x14ac:dyDescent="0.35">
      <c r="M21" s="4"/>
      <c r="Q21" s="52"/>
      <c r="R21" s="40">
        <v>1217</v>
      </c>
      <c r="S21" s="41"/>
      <c r="T21" s="40">
        <v>1283</v>
      </c>
      <c r="U21" s="41"/>
      <c r="V21" s="40">
        <v>1357</v>
      </c>
      <c r="W21" s="41"/>
      <c r="X21" s="40">
        <v>1399</v>
      </c>
      <c r="Y21" s="41"/>
      <c r="Z21" s="40">
        <v>1399</v>
      </c>
      <c r="AA21" s="41"/>
      <c r="AB21" s="40">
        <v>1399</v>
      </c>
      <c r="AC21" s="42"/>
      <c r="AD21" s="40">
        <v>1399</v>
      </c>
      <c r="AE21" s="42"/>
    </row>
    <row r="22" spans="2:43" ht="15" customHeight="1" thickBot="1" x14ac:dyDescent="0.35">
      <c r="M22" s="4"/>
      <c r="Q22" s="54"/>
      <c r="R22" s="47">
        <v>9014.5</v>
      </c>
      <c r="S22" s="46"/>
      <c r="T22" s="47">
        <v>6100</v>
      </c>
      <c r="U22" s="46"/>
      <c r="V22" s="47">
        <v>6178</v>
      </c>
      <c r="W22" s="46"/>
      <c r="X22" s="47">
        <v>4680.5</v>
      </c>
      <c r="Y22" s="46"/>
      <c r="Z22" s="47">
        <v>183.5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1425</v>
      </c>
      <c r="S24" s="60"/>
      <c r="T24" s="60">
        <f>IF(T16&gt;0,T16-T20,"")</f>
        <v>-3807</v>
      </c>
      <c r="U24" s="60"/>
      <c r="V24" s="60">
        <f>IF(V16&gt;0,V16-V20,"")</f>
        <v>-522</v>
      </c>
      <c r="W24" s="60"/>
      <c r="X24" s="60">
        <f>IF(X16&gt;0,X16-X20,"")</f>
        <v>-6350</v>
      </c>
      <c r="Y24" s="60"/>
      <c r="Z24" s="60">
        <f>IF(Z16&gt;0,Z16-Z20,"")</f>
        <v>-7379</v>
      </c>
      <c r="AA24" s="60"/>
      <c r="AB24" s="60">
        <f>IF(AB16&gt;0,AB16-AB20,"")</f>
        <v>-7379</v>
      </c>
      <c r="AC24" s="61"/>
      <c r="AD24" s="60">
        <f>IF(AD16&gt;0,AD16-AD20,"")</f>
        <v>-7379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-110</v>
      </c>
      <c r="S25" s="64"/>
      <c r="T25" s="63">
        <f>IF(T17&gt;=0,T17-T21,"")</f>
        <v>-81</v>
      </c>
      <c r="U25" s="64"/>
      <c r="V25" s="63">
        <f>IF(V17&gt;=0,V17-V21,"")</f>
        <v>-9</v>
      </c>
      <c r="W25" s="64"/>
      <c r="X25" s="63">
        <f>IF(X17&gt;=0,X17-X21,"")</f>
        <v>-22</v>
      </c>
      <c r="Y25" s="64"/>
      <c r="Z25" s="63">
        <f>IF(Z17&gt;=0,Z17-Z21,"")</f>
        <v>12</v>
      </c>
      <c r="AA25" s="64"/>
      <c r="AB25" s="63">
        <f>IF(AB17&gt;=0,AB17-AB21,"")</f>
        <v>12</v>
      </c>
      <c r="AC25" s="65"/>
      <c r="AD25" s="63">
        <f>IF(AD17&gt;=0,AD17-AD21,"")</f>
        <v>12</v>
      </c>
      <c r="AE25" s="65"/>
    </row>
    <row r="26" spans="2:43" ht="15" customHeight="1" thickBot="1" x14ac:dyDescent="0.35">
      <c r="B26" s="74" t="s">
        <v>55</v>
      </c>
      <c r="C26" s="122">
        <v>11464</v>
      </c>
      <c r="D26" s="76">
        <f>C11</f>
        <v>10755</v>
      </c>
      <c r="E26" s="77">
        <f>D26-C26</f>
        <v>-709</v>
      </c>
      <c r="M26" s="4"/>
      <c r="Q26" s="66"/>
      <c r="R26" s="67">
        <f>IFERROR(IF(R18&gt;0,R18-R22,""),"")</f>
        <v>712.5</v>
      </c>
      <c r="S26" s="55"/>
      <c r="T26" s="67">
        <f>IFERROR(IF(T18&gt;0,T18-T22,""),"")</f>
        <v>-2616</v>
      </c>
      <c r="U26" s="55"/>
      <c r="V26" s="67">
        <f>IFERROR(IF(V18&gt;0,V18-V22,""),"")</f>
        <v>1642.5</v>
      </c>
      <c r="W26" s="55"/>
      <c r="X26" s="67">
        <f>IFERROR(IF(X18&gt;0,X18-X22,""),"")</f>
        <v>-2914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34761</v>
      </c>
      <c r="D27" s="76">
        <f>C7+C12+C13+C14+C15</f>
        <v>24993</v>
      </c>
      <c r="E27" s="77">
        <f>D27-C27</f>
        <v>-9768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2237</v>
      </c>
      <c r="D29" s="76">
        <f>C10</f>
        <v>2237</v>
      </c>
      <c r="E29" s="77">
        <f>D29-C29</f>
        <v>0</v>
      </c>
      <c r="O29" s="4"/>
    </row>
    <row r="30" spans="2:43" x14ac:dyDescent="0.3">
      <c r="B30" s="74" t="s">
        <v>59</v>
      </c>
      <c r="C30" s="122">
        <v>12835</v>
      </c>
      <c r="D30" s="76">
        <f>C16+C17+C18</f>
        <v>13698</v>
      </c>
      <c r="E30" s="77">
        <f>D30-C30</f>
        <v>863</v>
      </c>
      <c r="J30" s="53"/>
      <c r="O30" s="4"/>
    </row>
    <row r="31" spans="2:43" ht="15" customHeight="1" thickBot="1" x14ac:dyDescent="0.35">
      <c r="B31" s="78" t="s">
        <v>60</v>
      </c>
      <c r="C31" s="121">
        <v>4118</v>
      </c>
      <c r="D31" s="80">
        <f>SUM(C8+C9)</f>
        <v>4118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837.5</v>
      </c>
      <c r="T35" s="104">
        <v>1675</v>
      </c>
      <c r="U35" s="104">
        <f t="shared" ref="U35:U64" si="2">IF(V35&gt;0,(V35-T35)/2,"")</f>
        <v>-103.5</v>
      </c>
      <c r="V35" s="104">
        <v>1468</v>
      </c>
      <c r="W35" s="104">
        <f t="shared" ref="W35:W64" si="3">IF(X35&gt;0,(X35-V35)/2,"")</f>
        <v>0</v>
      </c>
      <c r="X35" s="104">
        <v>1468</v>
      </c>
      <c r="Y35" s="104">
        <f t="shared" ref="Y35:Y64" si="4">IF(Z35&gt;0,(Z35-X35)/2,"")</f>
        <v>0</v>
      </c>
      <c r="Z35" s="104">
        <v>1468</v>
      </c>
      <c r="AA35" s="104">
        <f t="shared" ref="AA35:AA64" si="5">IF(AB35&gt;0,(AB35-Z35)/2,"")</f>
        <v>0</v>
      </c>
      <c r="AB35" s="104">
        <v>1468</v>
      </c>
      <c r="AC35" s="104">
        <f t="shared" ref="AC35:AC64" si="6">IF(AD35&gt;0,(AD35-AB35)/2,"")</f>
        <v>0</v>
      </c>
      <c r="AD35" s="104">
        <v>1468</v>
      </c>
      <c r="AE35" s="105">
        <f t="shared" ref="AE35:AE64" si="7">AD35-Q35</f>
        <v>1468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975</v>
      </c>
      <c r="S36" s="106">
        <f t="shared" si="1"/>
        <v>0</v>
      </c>
      <c r="T36" s="106">
        <v>975</v>
      </c>
      <c r="U36" s="106">
        <f t="shared" si="2"/>
        <v>531.5</v>
      </c>
      <c r="V36" s="106">
        <v>2038</v>
      </c>
      <c r="W36" s="106">
        <f t="shared" si="3"/>
        <v>0</v>
      </c>
      <c r="X36" s="106">
        <v>2038</v>
      </c>
      <c r="Y36" s="106">
        <f t="shared" si="4"/>
        <v>0</v>
      </c>
      <c r="Z36" s="106">
        <v>2038</v>
      </c>
      <c r="AA36" s="106">
        <f t="shared" si="5"/>
        <v>0</v>
      </c>
      <c r="AB36" s="106">
        <v>2038</v>
      </c>
      <c r="AC36" s="106">
        <f t="shared" si="6"/>
        <v>0</v>
      </c>
      <c r="AD36" s="106">
        <v>2038</v>
      </c>
      <c r="AE36" s="107">
        <f t="shared" si="7"/>
        <v>2038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1404</v>
      </c>
      <c r="S37" s="108">
        <f t="shared" si="1"/>
        <v>0</v>
      </c>
      <c r="T37" s="108">
        <v>1404</v>
      </c>
      <c r="U37" s="108">
        <f t="shared" si="2"/>
        <v>643.5</v>
      </c>
      <c r="V37" s="108">
        <v>2691</v>
      </c>
      <c r="W37" s="108">
        <f t="shared" si="3"/>
        <v>0</v>
      </c>
      <c r="X37" s="108">
        <v>2691</v>
      </c>
      <c r="Y37" s="108">
        <f t="shared" si="4"/>
        <v>0</v>
      </c>
      <c r="Z37" s="108">
        <v>2691</v>
      </c>
      <c r="AA37" s="108">
        <f t="shared" si="5"/>
        <v>0</v>
      </c>
      <c r="AB37" s="108">
        <v>2691</v>
      </c>
      <c r="AC37" s="108">
        <f t="shared" si="6"/>
        <v>0</v>
      </c>
      <c r="AD37" s="108">
        <v>2691</v>
      </c>
      <c r="AE37" s="109">
        <f t="shared" si="7"/>
        <v>2691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1392</v>
      </c>
      <c r="S38" s="106">
        <f t="shared" si="1"/>
        <v>337</v>
      </c>
      <c r="T38" s="106">
        <v>2066</v>
      </c>
      <c r="U38" s="106">
        <f t="shared" si="2"/>
        <v>577</v>
      </c>
      <c r="V38" s="106">
        <v>3220</v>
      </c>
      <c r="W38" s="106">
        <f t="shared" si="3"/>
        <v>-127.5</v>
      </c>
      <c r="X38" s="106">
        <v>2965</v>
      </c>
      <c r="Y38" s="106">
        <f t="shared" si="4"/>
        <v>0</v>
      </c>
      <c r="Z38" s="106">
        <v>2965</v>
      </c>
      <c r="AA38" s="106">
        <f t="shared" si="5"/>
        <v>0</v>
      </c>
      <c r="AB38" s="106">
        <v>2965</v>
      </c>
      <c r="AC38" s="106">
        <f t="shared" si="6"/>
        <v>0</v>
      </c>
      <c r="AD38" s="106">
        <v>2965</v>
      </c>
      <c r="AE38" s="107">
        <f t="shared" si="7"/>
        <v>2965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1189</v>
      </c>
      <c r="S39" s="108">
        <f t="shared" si="1"/>
        <v>44</v>
      </c>
      <c r="T39" s="108">
        <v>1277</v>
      </c>
      <c r="U39" s="108">
        <f t="shared" si="2"/>
        <v>316</v>
      </c>
      <c r="V39" s="108">
        <v>1909</v>
      </c>
      <c r="W39" s="108">
        <f t="shared" si="3"/>
        <v>172.5</v>
      </c>
      <c r="X39" s="108">
        <v>2254</v>
      </c>
      <c r="Y39" s="108">
        <f t="shared" si="4"/>
        <v>0</v>
      </c>
      <c r="Z39" s="108">
        <v>2254</v>
      </c>
      <c r="AA39" s="108">
        <f t="shared" si="5"/>
        <v>0</v>
      </c>
      <c r="AB39" s="108">
        <v>2254</v>
      </c>
      <c r="AC39" s="108">
        <f t="shared" si="6"/>
        <v>0</v>
      </c>
      <c r="AD39" s="108">
        <v>2254</v>
      </c>
      <c r="AE39" s="109">
        <f t="shared" si="7"/>
        <v>2254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1299</v>
      </c>
      <c r="S40" s="106">
        <f t="shared" si="1"/>
        <v>0</v>
      </c>
      <c r="T40" s="106">
        <v>1299</v>
      </c>
      <c r="U40" s="106">
        <f t="shared" si="2"/>
        <v>262.5</v>
      </c>
      <c r="V40" s="106">
        <v>1824</v>
      </c>
      <c r="W40" s="106">
        <f t="shared" si="3"/>
        <v>98.5</v>
      </c>
      <c r="X40" s="106">
        <v>2021</v>
      </c>
      <c r="Y40" s="106">
        <f t="shared" si="4"/>
        <v>0</v>
      </c>
      <c r="Z40" s="106">
        <v>2021</v>
      </c>
      <c r="AA40" s="106">
        <f t="shared" si="5"/>
        <v>0</v>
      </c>
      <c r="AB40" s="106">
        <v>2021</v>
      </c>
      <c r="AC40" s="106">
        <f t="shared" si="6"/>
        <v>0</v>
      </c>
      <c r="AD40" s="106">
        <v>2021</v>
      </c>
      <c r="AE40" s="107">
        <f t="shared" si="7"/>
        <v>2021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857</v>
      </c>
      <c r="S41" s="108">
        <f t="shared" si="1"/>
        <v>216</v>
      </c>
      <c r="T41" s="108">
        <v>1289</v>
      </c>
      <c r="U41" s="108">
        <f t="shared" si="2"/>
        <v>188.5</v>
      </c>
      <c r="V41" s="108">
        <v>1666</v>
      </c>
      <c r="W41" s="108">
        <f t="shared" si="3"/>
        <v>-1</v>
      </c>
      <c r="X41" s="108">
        <v>1664</v>
      </c>
      <c r="Y41" s="108">
        <f t="shared" si="4"/>
        <v>0</v>
      </c>
      <c r="Z41" s="108">
        <v>1664</v>
      </c>
      <c r="AA41" s="108">
        <f t="shared" si="5"/>
        <v>0</v>
      </c>
      <c r="AB41" s="108">
        <v>1664</v>
      </c>
      <c r="AC41" s="108">
        <f t="shared" si="6"/>
        <v>0</v>
      </c>
      <c r="AD41" s="108">
        <v>1664</v>
      </c>
      <c r="AE41" s="109">
        <f t="shared" si="7"/>
        <v>1664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114</v>
      </c>
      <c r="T44" s="112">
        <v>228</v>
      </c>
      <c r="U44" s="112">
        <f t="shared" si="2"/>
        <v>213.5</v>
      </c>
      <c r="V44" s="112">
        <v>655</v>
      </c>
      <c r="W44" s="112">
        <f t="shared" si="3"/>
        <v>0</v>
      </c>
      <c r="X44" s="112">
        <v>655</v>
      </c>
      <c r="Y44" s="112">
        <f t="shared" si="4"/>
        <v>0</v>
      </c>
      <c r="Z44" s="112">
        <v>655</v>
      </c>
      <c r="AA44" s="112">
        <f t="shared" si="5"/>
        <v>0</v>
      </c>
      <c r="AB44" s="112">
        <v>655</v>
      </c>
      <c r="AC44" s="112">
        <f t="shared" si="6"/>
        <v>0</v>
      </c>
      <c r="AD44" s="112">
        <v>655</v>
      </c>
      <c r="AE44" s="113">
        <f t="shared" si="7"/>
        <v>655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619</v>
      </c>
      <c r="S45" s="108">
        <f t="shared" si="1"/>
        <v>0</v>
      </c>
      <c r="T45" s="108">
        <v>619</v>
      </c>
      <c r="U45" s="108">
        <f t="shared" si="2"/>
        <v>328</v>
      </c>
      <c r="V45" s="108">
        <v>1275</v>
      </c>
      <c r="W45" s="108">
        <f t="shared" si="3"/>
        <v>0</v>
      </c>
      <c r="X45" s="108">
        <v>1275</v>
      </c>
      <c r="Y45" s="108">
        <f t="shared" si="4"/>
        <v>0</v>
      </c>
      <c r="Z45" s="108">
        <v>1275</v>
      </c>
      <c r="AA45" s="108">
        <f t="shared" si="5"/>
        <v>0</v>
      </c>
      <c r="AB45" s="108">
        <v>1275</v>
      </c>
      <c r="AC45" s="108">
        <f t="shared" si="6"/>
        <v>0</v>
      </c>
      <c r="AD45" s="108">
        <v>1275</v>
      </c>
      <c r="AE45" s="109">
        <f t="shared" si="7"/>
        <v>1275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537</v>
      </c>
      <c r="T48" s="112">
        <v>1074</v>
      </c>
      <c r="U48" s="112">
        <f t="shared" si="2"/>
        <v>0</v>
      </c>
      <c r="V48" s="112">
        <v>1074</v>
      </c>
      <c r="W48" s="112">
        <f t="shared" si="3"/>
        <v>352</v>
      </c>
      <c r="X48" s="112">
        <v>1778</v>
      </c>
      <c r="Y48" s="112">
        <f t="shared" si="4"/>
        <v>0</v>
      </c>
      <c r="Z48" s="112">
        <v>1778</v>
      </c>
      <c r="AA48" s="112">
        <f t="shared" si="5"/>
        <v>0</v>
      </c>
      <c r="AB48" s="112">
        <v>1778</v>
      </c>
      <c r="AC48" s="112">
        <f t="shared" si="6"/>
        <v>0</v>
      </c>
      <c r="AD48" s="112">
        <v>1778</v>
      </c>
      <c r="AE48" s="113">
        <f t="shared" si="7"/>
        <v>1778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1144</v>
      </c>
      <c r="S49" s="108">
        <f t="shared" si="1"/>
        <v>106.5</v>
      </c>
      <c r="T49" s="108">
        <v>1357</v>
      </c>
      <c r="U49" s="108">
        <f t="shared" si="2"/>
        <v>274</v>
      </c>
      <c r="V49" s="108">
        <v>1905</v>
      </c>
      <c r="W49" s="108">
        <f t="shared" si="3"/>
        <v>97</v>
      </c>
      <c r="X49" s="108">
        <v>2099</v>
      </c>
      <c r="Y49" s="108">
        <f t="shared" si="4"/>
        <v>0</v>
      </c>
      <c r="Z49" s="108">
        <v>2099</v>
      </c>
      <c r="AA49" s="108">
        <f t="shared" si="5"/>
        <v>0</v>
      </c>
      <c r="AB49" s="108">
        <v>2099</v>
      </c>
      <c r="AC49" s="108">
        <f t="shared" si="6"/>
        <v>0</v>
      </c>
      <c r="AD49" s="108">
        <v>2099</v>
      </c>
      <c r="AE49" s="109">
        <f t="shared" si="7"/>
        <v>2099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466</v>
      </c>
      <c r="S50" s="106">
        <f t="shared" si="1"/>
        <v>0</v>
      </c>
      <c r="T50" s="106">
        <v>466</v>
      </c>
      <c r="U50" s="106">
        <f t="shared" si="2"/>
        <v>320</v>
      </c>
      <c r="V50" s="106">
        <v>1106</v>
      </c>
      <c r="W50" s="106">
        <f t="shared" si="3"/>
        <v>-110</v>
      </c>
      <c r="X50" s="106">
        <v>886</v>
      </c>
      <c r="Y50" s="106">
        <f t="shared" si="4"/>
        <v>0</v>
      </c>
      <c r="Z50" s="106">
        <v>886</v>
      </c>
      <c r="AA50" s="106">
        <f t="shared" si="5"/>
        <v>0</v>
      </c>
      <c r="AB50" s="106">
        <v>886</v>
      </c>
      <c r="AC50" s="106">
        <f t="shared" si="6"/>
        <v>0</v>
      </c>
      <c r="AD50" s="106">
        <v>886</v>
      </c>
      <c r="AE50" s="107">
        <f t="shared" si="7"/>
        <v>886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800</v>
      </c>
      <c r="S51" s="108">
        <f t="shared" si="1"/>
        <v>-17.5</v>
      </c>
      <c r="T51" s="108">
        <v>765</v>
      </c>
      <c r="U51" s="108">
        <f t="shared" si="2"/>
        <v>681</v>
      </c>
      <c r="V51" s="108">
        <v>2127</v>
      </c>
      <c r="W51" s="108">
        <f t="shared" si="3"/>
        <v>5</v>
      </c>
      <c r="X51" s="108">
        <v>2137</v>
      </c>
      <c r="Y51" s="108">
        <f t="shared" si="4"/>
        <v>0</v>
      </c>
      <c r="Z51" s="108">
        <v>2137</v>
      </c>
      <c r="AA51" s="108">
        <f t="shared" si="5"/>
        <v>0</v>
      </c>
      <c r="AB51" s="108">
        <v>2137</v>
      </c>
      <c r="AC51" s="108">
        <f t="shared" si="6"/>
        <v>0</v>
      </c>
      <c r="AD51" s="108">
        <v>2137</v>
      </c>
      <c r="AE51" s="109">
        <f t="shared" si="7"/>
        <v>2137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720</v>
      </c>
      <c r="S52" s="106">
        <f t="shared" si="1"/>
        <v>0</v>
      </c>
      <c r="T52" s="106">
        <v>720</v>
      </c>
      <c r="U52" s="106">
        <f t="shared" si="2"/>
        <v>721</v>
      </c>
      <c r="V52" s="106">
        <v>2162</v>
      </c>
      <c r="W52" s="106">
        <f t="shared" si="3"/>
        <v>0.5</v>
      </c>
      <c r="X52" s="106">
        <v>2163</v>
      </c>
      <c r="Y52" s="106">
        <f t="shared" si="4"/>
        <v>0</v>
      </c>
      <c r="Z52" s="106">
        <v>2163</v>
      </c>
      <c r="AA52" s="106">
        <f t="shared" si="5"/>
        <v>0</v>
      </c>
      <c r="AB52" s="106">
        <v>2163</v>
      </c>
      <c r="AC52" s="106">
        <f t="shared" si="6"/>
        <v>0</v>
      </c>
      <c r="AD52" s="106">
        <v>2163</v>
      </c>
      <c r="AE52" s="107">
        <f t="shared" si="7"/>
        <v>2163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658.5</v>
      </c>
      <c r="V53" s="108">
        <v>1317</v>
      </c>
      <c r="W53" s="108">
        <f t="shared" si="3"/>
        <v>231</v>
      </c>
      <c r="X53" s="108">
        <v>1779</v>
      </c>
      <c r="Y53" s="108">
        <f t="shared" si="4"/>
        <v>0</v>
      </c>
      <c r="Z53" s="108">
        <v>1779</v>
      </c>
      <c r="AA53" s="108">
        <f t="shared" si="5"/>
        <v>0</v>
      </c>
      <c r="AB53" s="108">
        <v>1779</v>
      </c>
      <c r="AC53" s="108">
        <f t="shared" si="6"/>
        <v>0</v>
      </c>
      <c r="AD53" s="108">
        <v>1779</v>
      </c>
      <c r="AE53" s="109">
        <f t="shared" si="7"/>
        <v>1779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713</v>
      </c>
      <c r="S57" s="104">
        <f t="shared" si="1"/>
        <v>410</v>
      </c>
      <c r="T57" s="104">
        <v>1533</v>
      </c>
      <c r="U57" s="104">
        <f t="shared" si="2"/>
        <v>447.5</v>
      </c>
      <c r="V57" s="104">
        <v>2428</v>
      </c>
      <c r="W57" s="104">
        <f t="shared" si="3"/>
        <v>0</v>
      </c>
      <c r="X57" s="104">
        <v>2428</v>
      </c>
      <c r="Y57" s="104">
        <f t="shared" si="4"/>
        <v>0</v>
      </c>
      <c r="Z57" s="104">
        <v>2428</v>
      </c>
      <c r="AA57" s="104">
        <f t="shared" si="5"/>
        <v>0</v>
      </c>
      <c r="AB57" s="104">
        <v>2428</v>
      </c>
      <c r="AC57" s="104">
        <f t="shared" si="6"/>
        <v>0</v>
      </c>
      <c r="AD57" s="104">
        <v>2428</v>
      </c>
      <c r="AE57" s="105">
        <f t="shared" si="7"/>
        <v>2428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1650</v>
      </c>
      <c r="S58" s="106">
        <f t="shared" si="1"/>
        <v>54.5</v>
      </c>
      <c r="T58" s="106">
        <v>1759</v>
      </c>
      <c r="U58" s="106">
        <f t="shared" si="2"/>
        <v>172</v>
      </c>
      <c r="V58" s="106">
        <v>2103</v>
      </c>
      <c r="W58" s="106">
        <f t="shared" si="3"/>
        <v>155</v>
      </c>
      <c r="X58" s="106">
        <v>2413</v>
      </c>
      <c r="Y58" s="106">
        <f t="shared" si="4"/>
        <v>0</v>
      </c>
      <c r="Z58" s="106">
        <v>2413</v>
      </c>
      <c r="AA58" s="106">
        <f t="shared" si="5"/>
        <v>0</v>
      </c>
      <c r="AB58" s="106">
        <v>2413</v>
      </c>
      <c r="AC58" s="106">
        <f t="shared" si="6"/>
        <v>0</v>
      </c>
      <c r="AD58" s="106">
        <v>2413</v>
      </c>
      <c r="AE58" s="107">
        <f t="shared" si="7"/>
        <v>2413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2129</v>
      </c>
      <c r="S59" s="108">
        <f t="shared" si="1"/>
        <v>0</v>
      </c>
      <c r="T59" s="108">
        <v>2129</v>
      </c>
      <c r="U59" s="108">
        <f t="shared" si="2"/>
        <v>0</v>
      </c>
      <c r="V59" s="108">
        <v>2129</v>
      </c>
      <c r="W59" s="108">
        <f t="shared" si="3"/>
        <v>0</v>
      </c>
      <c r="X59" s="108">
        <v>2129</v>
      </c>
      <c r="Y59" s="108">
        <f t="shared" si="4"/>
        <v>0</v>
      </c>
      <c r="Z59" s="108">
        <v>2129</v>
      </c>
      <c r="AA59" s="108">
        <f t="shared" si="5"/>
        <v>0</v>
      </c>
      <c r="AB59" s="108">
        <v>2129</v>
      </c>
      <c r="AC59" s="108">
        <f t="shared" si="6"/>
        <v>0</v>
      </c>
      <c r="AD59" s="108">
        <v>2129</v>
      </c>
      <c r="AE59" s="109">
        <f t="shared" si="7"/>
        <v>2129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1837</v>
      </c>
      <c r="S60" s="114">
        <f t="shared" si="1"/>
        <v>2.5</v>
      </c>
      <c r="T60" s="114">
        <v>1842</v>
      </c>
      <c r="U60" s="114">
        <f t="shared" si="2"/>
        <v>369</v>
      </c>
      <c r="V60" s="114">
        <v>2580</v>
      </c>
      <c r="W60" s="114">
        <f t="shared" si="3"/>
        <v>0</v>
      </c>
      <c r="X60" s="114">
        <v>2580</v>
      </c>
      <c r="Y60" s="114">
        <f t="shared" si="4"/>
        <v>0</v>
      </c>
      <c r="Z60" s="114">
        <v>2580</v>
      </c>
      <c r="AA60" s="114">
        <f t="shared" si="5"/>
        <v>0</v>
      </c>
      <c r="AB60" s="114">
        <v>2580</v>
      </c>
      <c r="AC60" s="114">
        <f t="shared" si="6"/>
        <v>0</v>
      </c>
      <c r="AD60" s="114">
        <v>2580</v>
      </c>
      <c r="AE60" s="115">
        <f t="shared" si="7"/>
        <v>2580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0</v>
      </c>
      <c r="S61" s="104" t="str">
        <f t="shared" si="1"/>
        <v/>
      </c>
      <c r="T61" s="104">
        <v>0</v>
      </c>
      <c r="U61" s="104">
        <f t="shared" si="2"/>
        <v>472.5</v>
      </c>
      <c r="V61" s="104">
        <v>945</v>
      </c>
      <c r="W61" s="104">
        <f t="shared" si="3"/>
        <v>372</v>
      </c>
      <c r="X61" s="104">
        <v>1689</v>
      </c>
      <c r="Y61" s="104">
        <f t="shared" si="4"/>
        <v>-126</v>
      </c>
      <c r="Z61" s="104">
        <v>1437</v>
      </c>
      <c r="AA61" s="104">
        <f t="shared" si="5"/>
        <v>0</v>
      </c>
      <c r="AB61" s="104">
        <v>1437</v>
      </c>
      <c r="AC61" s="104">
        <f t="shared" si="6"/>
        <v>0</v>
      </c>
      <c r="AD61" s="104">
        <v>1437</v>
      </c>
      <c r="AE61" s="105">
        <f t="shared" si="7"/>
        <v>1437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258</v>
      </c>
      <c r="S62" s="106">
        <f t="shared" si="1"/>
        <v>0</v>
      </c>
      <c r="T62" s="106">
        <v>258</v>
      </c>
      <c r="U62" s="106">
        <f t="shared" si="2"/>
        <v>389.5</v>
      </c>
      <c r="V62" s="106">
        <v>1037</v>
      </c>
      <c r="W62" s="106">
        <f t="shared" si="3"/>
        <v>305.5</v>
      </c>
      <c r="X62" s="106">
        <v>1648</v>
      </c>
      <c r="Y62" s="106">
        <f t="shared" si="4"/>
        <v>42</v>
      </c>
      <c r="Z62" s="106">
        <v>1732</v>
      </c>
      <c r="AA62" s="106">
        <f t="shared" si="5"/>
        <v>0</v>
      </c>
      <c r="AB62" s="106">
        <v>1732</v>
      </c>
      <c r="AC62" s="106">
        <f t="shared" si="6"/>
        <v>0</v>
      </c>
      <c r="AD62" s="106">
        <v>1732</v>
      </c>
      <c r="AE62" s="107">
        <f t="shared" si="7"/>
        <v>1732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333</v>
      </c>
      <c r="S63" s="108">
        <f t="shared" si="1"/>
        <v>225</v>
      </c>
      <c r="T63" s="108">
        <v>783</v>
      </c>
      <c r="U63" s="108">
        <f t="shared" si="2"/>
        <v>81</v>
      </c>
      <c r="V63" s="108">
        <v>945</v>
      </c>
      <c r="W63" s="108">
        <f t="shared" si="3"/>
        <v>0</v>
      </c>
      <c r="X63" s="108">
        <v>945</v>
      </c>
      <c r="Y63" s="108">
        <f t="shared" si="4"/>
        <v>0</v>
      </c>
      <c r="Z63" s="108">
        <v>945</v>
      </c>
      <c r="AA63" s="108">
        <f t="shared" si="5"/>
        <v>0</v>
      </c>
      <c r="AB63" s="108">
        <v>945</v>
      </c>
      <c r="AC63" s="108">
        <f t="shared" si="6"/>
        <v>0</v>
      </c>
      <c r="AD63" s="108">
        <v>945</v>
      </c>
      <c r="AE63" s="109">
        <f t="shared" si="7"/>
        <v>945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1639</v>
      </c>
      <c r="S64" s="114">
        <f t="shared" si="1"/>
        <v>310</v>
      </c>
      <c r="T64" s="114">
        <v>2259</v>
      </c>
      <c r="U64" s="114">
        <f t="shared" si="2"/>
        <v>275.5</v>
      </c>
      <c r="V64" s="114">
        <v>2810</v>
      </c>
      <c r="W64" s="114">
        <f t="shared" si="3"/>
        <v>85</v>
      </c>
      <c r="X64" s="114">
        <v>2980</v>
      </c>
      <c r="Y64" s="114">
        <f t="shared" si="4"/>
        <v>-83.5</v>
      </c>
      <c r="Z64" s="114">
        <v>2813</v>
      </c>
      <c r="AA64" s="114">
        <f t="shared" si="5"/>
        <v>0</v>
      </c>
      <c r="AB64" s="114">
        <v>2813</v>
      </c>
      <c r="AC64" s="114">
        <f t="shared" si="6"/>
        <v>0</v>
      </c>
      <c r="AD64" s="114">
        <v>2813</v>
      </c>
      <c r="AE64" s="115">
        <f t="shared" si="7"/>
        <v>2813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75" priority="11" operator="lessThan">
      <formula>0</formula>
    </cfRule>
    <cfRule type="cellIs" dxfId="574" priority="12" operator="greaterThan">
      <formula>0</formula>
    </cfRule>
  </conditionalFormatting>
  <conditionalFormatting sqref="R25:AC25">
    <cfRule type="cellIs" dxfId="573" priority="9" operator="lessThan">
      <formula>0</formula>
    </cfRule>
    <cfRule type="cellIs" dxfId="572" priority="10" operator="greaterThan">
      <formula>0</formula>
    </cfRule>
  </conditionalFormatting>
  <conditionalFormatting sqref="R26 T26 V26 X26 Z26 AB26">
    <cfRule type="cellIs" dxfId="571" priority="7" operator="lessThan">
      <formula>0</formula>
    </cfRule>
    <cfRule type="cellIs" dxfId="570" priority="8" operator="greaterThan">
      <formula>0</formula>
    </cfRule>
  </conditionalFormatting>
  <conditionalFormatting sqref="AD24:AE24">
    <cfRule type="cellIs" dxfId="569" priority="5" operator="lessThan">
      <formula>0</formula>
    </cfRule>
    <cfRule type="cellIs" dxfId="568" priority="6" operator="greaterThan">
      <formula>0</formula>
    </cfRule>
  </conditionalFormatting>
  <conditionalFormatting sqref="AD25:AE25">
    <cfRule type="cellIs" dxfId="567" priority="3" operator="lessThan">
      <formula>0</formula>
    </cfRule>
    <cfRule type="cellIs" dxfId="566" priority="4" operator="greaterThan">
      <formula>0</formula>
    </cfRule>
  </conditionalFormatting>
  <conditionalFormatting sqref="AD26">
    <cfRule type="cellIs" dxfId="565" priority="1" operator="lessThan">
      <formula>0</formula>
    </cfRule>
    <cfRule type="cellIs" dxfId="56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44471</v>
      </c>
    </row>
    <row r="3" spans="2:42" ht="18.75" customHeight="1" thickBot="1" x14ac:dyDescent="0.35">
      <c r="B3" t="s">
        <v>1</v>
      </c>
      <c r="C3" s="3">
        <f>C2+1</f>
        <v>44472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18159</v>
      </c>
      <c r="G6" s="117">
        <v>8555.0745000000024</v>
      </c>
      <c r="H6" s="117">
        <v>1020.957975</v>
      </c>
      <c r="I6" s="19">
        <f>G6+H6</f>
        <v>9576.0324750000018</v>
      </c>
      <c r="J6" s="119">
        <v>18520</v>
      </c>
      <c r="K6" s="117">
        <v>8664.9383750000015</v>
      </c>
      <c r="L6" s="117">
        <v>1039.25999</v>
      </c>
      <c r="M6" s="19">
        <f>K6+L6</f>
        <v>9704.198365000002</v>
      </c>
      <c r="N6" s="85">
        <v>75</v>
      </c>
      <c r="O6" s="85">
        <v>65</v>
      </c>
      <c r="P6" s="92"/>
      <c r="Q6" s="20">
        <f>J6-P6</f>
        <v>18520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2643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2711</v>
      </c>
      <c r="E8" s="29" t="s">
        <v>27</v>
      </c>
      <c r="F8" s="119">
        <v>3290</v>
      </c>
      <c r="G8" s="117">
        <v>3427.0569999999998</v>
      </c>
      <c r="H8" s="117">
        <v>9906.9703095000077</v>
      </c>
      <c r="I8" s="19">
        <f>G8+H8</f>
        <v>13334.027309500008</v>
      </c>
      <c r="J8" s="119">
        <v>3233</v>
      </c>
      <c r="K8" s="117">
        <v>3499.3214999999991</v>
      </c>
      <c r="L8" s="117">
        <v>10324.50036176</v>
      </c>
      <c r="M8" s="19">
        <f>K8+L8</f>
        <v>13823.82186176</v>
      </c>
      <c r="N8" s="87">
        <v>23</v>
      </c>
      <c r="O8" s="87">
        <v>16</v>
      </c>
      <c r="P8" s="92"/>
      <c r="Q8" s="20">
        <f>J8-P8</f>
        <v>3233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1409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2440</v>
      </c>
      <c r="E10" s="18" t="s">
        <v>31</v>
      </c>
      <c r="F10" s="119">
        <v>16364</v>
      </c>
      <c r="G10" s="117">
        <v>12187.7515</v>
      </c>
      <c r="H10" s="117">
        <v>442.08067249999999</v>
      </c>
      <c r="I10" s="19">
        <f>G10+H10</f>
        <v>12629.832172500001</v>
      </c>
      <c r="J10" s="119">
        <v>23426</v>
      </c>
      <c r="K10" s="117">
        <v>18347.671999999999</v>
      </c>
      <c r="L10" s="117">
        <v>437.03807219999999</v>
      </c>
      <c r="M10" s="19">
        <f>K10+L10</f>
        <v>18784.7100722</v>
      </c>
      <c r="N10" s="88">
        <v>52</v>
      </c>
      <c r="O10" s="88">
        <v>46</v>
      </c>
      <c r="P10" s="92"/>
      <c r="Q10" s="20">
        <f>J10-P10</f>
        <v>23426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8818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3379</v>
      </c>
      <c r="E12" s="29" t="s">
        <v>35</v>
      </c>
      <c r="F12" s="119">
        <v>10757</v>
      </c>
      <c r="G12" s="117">
        <v>10818.748</v>
      </c>
      <c r="H12" s="117">
        <v>13722.089708069991</v>
      </c>
      <c r="I12" s="19">
        <f>G12+H12</f>
        <v>24540.83770806999</v>
      </c>
      <c r="J12" s="119">
        <v>11165</v>
      </c>
      <c r="K12" s="117">
        <v>10977.120999999999</v>
      </c>
      <c r="L12" s="117">
        <v>14624.24198004999</v>
      </c>
      <c r="M12" s="19">
        <f>K12+L12</f>
        <v>25601.362980049991</v>
      </c>
      <c r="N12" s="88">
        <v>54</v>
      </c>
      <c r="O12" s="88">
        <v>40</v>
      </c>
      <c r="P12" s="92"/>
      <c r="Q12" s="20">
        <f>J12-P12</f>
        <v>11165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30081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2426</v>
      </c>
      <c r="E14" s="18" t="s">
        <v>39</v>
      </c>
      <c r="F14" s="119">
        <v>20519</v>
      </c>
      <c r="G14" s="117">
        <v>17863.053749999999</v>
      </c>
      <c r="H14" s="117">
        <v>23549.625343200001</v>
      </c>
      <c r="I14" s="19">
        <f>G14+H14</f>
        <v>41412.6790932</v>
      </c>
      <c r="J14" s="119">
        <v>21048</v>
      </c>
      <c r="K14" s="117">
        <v>19182.145250000001</v>
      </c>
      <c r="L14" s="117">
        <v>24800.758341820001</v>
      </c>
      <c r="M14" s="19">
        <f>K14+L14</f>
        <v>43982.903591820002</v>
      </c>
      <c r="N14" s="88">
        <v>72</v>
      </c>
      <c r="O14" s="88">
        <v>49</v>
      </c>
      <c r="P14" s="92"/>
      <c r="Q14" s="20">
        <f>J14-P14</f>
        <v>21048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573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9748</v>
      </c>
      <c r="E16" s="84"/>
      <c r="F16" s="31">
        <f t="shared" ref="F16:M16" si="0">SUM(F6:F15)</f>
        <v>69089</v>
      </c>
      <c r="G16" s="31">
        <f t="shared" si="0"/>
        <v>52851.68475</v>
      </c>
      <c r="H16" s="31">
        <f t="shared" si="0"/>
        <v>48641.724008270001</v>
      </c>
      <c r="I16" s="32">
        <f t="shared" si="0"/>
        <v>101493.40875827</v>
      </c>
      <c r="J16" s="33">
        <f t="shared" si="0"/>
        <v>77392</v>
      </c>
      <c r="K16" s="33">
        <f t="shared" si="0"/>
        <v>60671.198124999995</v>
      </c>
      <c r="L16" s="33">
        <f t="shared" si="0"/>
        <v>51225.79874582999</v>
      </c>
      <c r="M16" s="33">
        <f t="shared" si="0"/>
        <v>111896.99687082999</v>
      </c>
      <c r="N16" s="31">
        <f>SUM(N14,N12,N10,N8,N6)</f>
        <v>276</v>
      </c>
      <c r="O16" s="31">
        <f>SUM(O14,O12,O10,O8,O6)</f>
        <v>216</v>
      </c>
      <c r="P16" s="34">
        <f>SUM(P6:P15)</f>
        <v>0</v>
      </c>
      <c r="Q16" s="34">
        <f>SUM(Q6:Q15)</f>
        <v>77392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4478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2340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8605</v>
      </c>
      <c r="D26" s="76">
        <f>C11</f>
        <v>8818</v>
      </c>
      <c r="E26" s="77">
        <f>D26-C26</f>
        <v>213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30809</v>
      </c>
      <c r="D27" s="76">
        <f>C7+C12+C13+C14+C15</f>
        <v>39102</v>
      </c>
      <c r="E27" s="77">
        <f>D27-C27</f>
        <v>8293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2440</v>
      </c>
      <c r="D29" s="76">
        <f>C10</f>
        <v>2440</v>
      </c>
      <c r="E29" s="77">
        <f>D29-C29</f>
        <v>0</v>
      </c>
      <c r="O29" s="4"/>
    </row>
    <row r="30" spans="2:43" x14ac:dyDescent="0.3">
      <c r="B30" s="74" t="s">
        <v>59</v>
      </c>
      <c r="C30" s="122">
        <v>16240</v>
      </c>
      <c r="D30" s="76">
        <f>C16+C17+C18</f>
        <v>16566</v>
      </c>
      <c r="E30" s="77">
        <f>D30-C30</f>
        <v>326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4120</v>
      </c>
      <c r="D31" s="80">
        <f>SUM(C8+C9)</f>
        <v>4120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63" priority="11" operator="lessThan">
      <formula>0</formula>
    </cfRule>
    <cfRule type="cellIs" dxfId="562" priority="12" operator="greaterThan">
      <formula>0</formula>
    </cfRule>
  </conditionalFormatting>
  <conditionalFormatting sqref="R25:AC25">
    <cfRule type="cellIs" dxfId="561" priority="9" operator="lessThan">
      <formula>0</formula>
    </cfRule>
    <cfRule type="cellIs" dxfId="560" priority="10" operator="greaterThan">
      <formula>0</formula>
    </cfRule>
  </conditionalFormatting>
  <conditionalFormatting sqref="R26 T26 V26 X26 Z26 AB26">
    <cfRule type="cellIs" dxfId="559" priority="7" operator="lessThan">
      <formula>0</formula>
    </cfRule>
    <cfRule type="cellIs" dxfId="558" priority="8" operator="greaterThan">
      <formula>0</formula>
    </cfRule>
  </conditionalFormatting>
  <conditionalFormatting sqref="AD24:AE24">
    <cfRule type="cellIs" dxfId="557" priority="5" operator="lessThan">
      <formula>0</formula>
    </cfRule>
    <cfRule type="cellIs" dxfId="556" priority="6" operator="greaterThan">
      <formula>0</formula>
    </cfRule>
  </conditionalFormatting>
  <conditionalFormatting sqref="AD25:AE25">
    <cfRule type="cellIs" dxfId="555" priority="3" operator="lessThan">
      <formula>0</formula>
    </cfRule>
    <cfRule type="cellIs" dxfId="554" priority="4" operator="greaterThan">
      <formula>0</formula>
    </cfRule>
  </conditionalFormatting>
  <conditionalFormatting sqref="AD26">
    <cfRule type="cellIs" dxfId="553" priority="1" operator="lessThan">
      <formula>0</formula>
    </cfRule>
    <cfRule type="cellIs" dxfId="55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44472</v>
      </c>
    </row>
    <row r="3" spans="2:42" ht="18.75" customHeight="1" thickBot="1" x14ac:dyDescent="0.35">
      <c r="B3" t="s">
        <v>1</v>
      </c>
      <c r="C3" s="3">
        <f>C2+1</f>
        <v>44473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2540</v>
      </c>
      <c r="E6" s="18" t="s">
        <v>22</v>
      </c>
      <c r="F6" s="119">
        <v>19367</v>
      </c>
      <c r="G6" s="117">
        <v>9518.1426250000004</v>
      </c>
      <c r="H6" s="117">
        <v>929.16803500000015</v>
      </c>
      <c r="I6" s="19">
        <f>G6+H6</f>
        <v>10447.310660000001</v>
      </c>
      <c r="J6" s="119">
        <v>20680</v>
      </c>
      <c r="K6" s="117">
        <v>10112.42575</v>
      </c>
      <c r="L6" s="117">
        <v>1005.69541</v>
      </c>
      <c r="M6" s="19">
        <f>K6+L6</f>
        <v>11118.121160000001</v>
      </c>
      <c r="N6" s="85">
        <v>65</v>
      </c>
      <c r="O6" s="85">
        <v>45</v>
      </c>
      <c r="P6" s="92"/>
      <c r="Q6" s="20">
        <f>J6-P6</f>
        <v>20680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527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2108</v>
      </c>
      <c r="E8" s="29" t="s">
        <v>27</v>
      </c>
      <c r="F8" s="119">
        <v>2666</v>
      </c>
      <c r="G8" s="117">
        <v>3604.5210000000002</v>
      </c>
      <c r="H8" s="117">
        <v>12099.211621279999</v>
      </c>
      <c r="I8" s="19">
        <f>G8+H8</f>
        <v>15703.73262128</v>
      </c>
      <c r="J8" s="119">
        <v>2618</v>
      </c>
      <c r="K8" s="117">
        <v>3716.701</v>
      </c>
      <c r="L8" s="117">
        <v>12287.91067830001</v>
      </c>
      <c r="M8" s="19">
        <f>K8+L8</f>
        <v>16004.611678300011</v>
      </c>
      <c r="N8" s="87">
        <v>22</v>
      </c>
      <c r="O8" s="87">
        <v>13</v>
      </c>
      <c r="P8" s="92"/>
      <c r="Q8" s="20">
        <f>J8-P8</f>
        <v>2618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1331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2226</v>
      </c>
      <c r="E10" s="18" t="s">
        <v>31</v>
      </c>
      <c r="F10" s="119">
        <v>11275</v>
      </c>
      <c r="G10" s="117">
        <v>7812.9159999999993</v>
      </c>
      <c r="H10" s="117">
        <v>417.14711999999997</v>
      </c>
      <c r="I10" s="19">
        <f>G10+H10</f>
        <v>8230.0631199999989</v>
      </c>
      <c r="J10" s="119">
        <v>11615</v>
      </c>
      <c r="K10" s="117">
        <v>7968.7629999999999</v>
      </c>
      <c r="L10" s="117">
        <v>437.8982264</v>
      </c>
      <c r="M10" s="19">
        <f>K10+L10</f>
        <v>8406.6612263999996</v>
      </c>
      <c r="N10" s="88">
        <v>39</v>
      </c>
      <c r="O10" s="88">
        <v>33</v>
      </c>
      <c r="P10" s="92"/>
      <c r="Q10" s="20">
        <f>J10-P10</f>
        <v>11615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11286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11836</v>
      </c>
      <c r="G12" s="117">
        <v>11565.86</v>
      </c>
      <c r="H12" s="117">
        <v>13795.43341849</v>
      </c>
      <c r="I12" s="19">
        <f>G12+H12</f>
        <v>25361.29341849</v>
      </c>
      <c r="J12" s="119">
        <v>12442</v>
      </c>
      <c r="K12" s="117">
        <v>12114.138000000001</v>
      </c>
      <c r="L12" s="117">
        <v>14612.07831524</v>
      </c>
      <c r="M12" s="19">
        <f>K12+L12</f>
        <v>26726.216315240003</v>
      </c>
      <c r="N12" s="88">
        <v>47</v>
      </c>
      <c r="O12" s="88">
        <v>35</v>
      </c>
      <c r="P12" s="92"/>
      <c r="Q12" s="20">
        <f>J12-P12</f>
        <v>12442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10780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20471</v>
      </c>
      <c r="G14" s="117">
        <v>18213.805</v>
      </c>
      <c r="H14" s="117">
        <v>23850.197514060001</v>
      </c>
      <c r="I14" s="19">
        <f>G14+H14</f>
        <v>42064.002514060005</v>
      </c>
      <c r="J14" s="119">
        <v>19886</v>
      </c>
      <c r="K14" s="117">
        <v>17285.217499999999</v>
      </c>
      <c r="L14" s="117">
        <v>22925.174738699989</v>
      </c>
      <c r="M14" s="19">
        <f>K14+L14</f>
        <v>40210.392238699991</v>
      </c>
      <c r="N14" s="88">
        <v>70</v>
      </c>
      <c r="O14" s="88">
        <v>53</v>
      </c>
      <c r="P14" s="92"/>
      <c r="Q14" s="20">
        <f>J14-P14</f>
        <v>19886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9948</v>
      </c>
      <c r="E16" s="84"/>
      <c r="F16" s="31">
        <f t="shared" ref="F16:M16" si="0">SUM(F6:F15)</f>
        <v>65615</v>
      </c>
      <c r="G16" s="31">
        <f t="shared" si="0"/>
        <v>50715.244624999999</v>
      </c>
      <c r="H16" s="31">
        <f t="shared" si="0"/>
        <v>51091.157708829996</v>
      </c>
      <c r="I16" s="32">
        <f t="shared" si="0"/>
        <v>101806.40233383</v>
      </c>
      <c r="J16" s="33">
        <f t="shared" si="0"/>
        <v>67241</v>
      </c>
      <c r="K16" s="33">
        <f t="shared" si="0"/>
        <v>51197.24525</v>
      </c>
      <c r="L16" s="33">
        <f t="shared" si="0"/>
        <v>51268.757368639999</v>
      </c>
      <c r="M16" s="33">
        <f t="shared" si="0"/>
        <v>102466.00261864001</v>
      </c>
      <c r="N16" s="31">
        <f>SUM(N14,N12,N10,N8,N6)</f>
        <v>243</v>
      </c>
      <c r="O16" s="31">
        <f>SUM(O14,O12,O10,O8,O6)</f>
        <v>179</v>
      </c>
      <c r="P16" s="34">
        <f>SUM(P6:P15)</f>
        <v>0</v>
      </c>
      <c r="Q16" s="34">
        <f>SUM(Q6:Q15)</f>
        <v>67241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1133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4448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10902</v>
      </c>
      <c r="D26" s="76">
        <f>C11</f>
        <v>11286</v>
      </c>
      <c r="E26" s="77">
        <f>D26-C26</f>
        <v>384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25987</v>
      </c>
      <c r="D27" s="76">
        <f>C7+C12+C13+C14+C15</f>
        <v>11307</v>
      </c>
      <c r="E27" s="77">
        <f>D27-C27</f>
        <v>-14680</v>
      </c>
      <c r="O27" s="4"/>
      <c r="AF27" s="69"/>
    </row>
    <row r="28" spans="2:43" x14ac:dyDescent="0.3">
      <c r="B28" s="74" t="s">
        <v>21</v>
      </c>
      <c r="C28" s="122">
        <v>2540</v>
      </c>
      <c r="D28" s="76">
        <f>C6</f>
        <v>2540</v>
      </c>
      <c r="E28" s="77">
        <f>D28-C28</f>
        <v>0</v>
      </c>
      <c r="O28" s="4"/>
    </row>
    <row r="29" spans="2:43" x14ac:dyDescent="0.3">
      <c r="B29" s="74" t="s">
        <v>57</v>
      </c>
      <c r="C29" s="122">
        <v>2226</v>
      </c>
      <c r="D29" s="76">
        <f>C10</f>
        <v>2226</v>
      </c>
      <c r="E29" s="77">
        <f>D29-C29</f>
        <v>0</v>
      </c>
      <c r="O29" s="4"/>
    </row>
    <row r="30" spans="2:43" x14ac:dyDescent="0.3">
      <c r="B30" s="74" t="s">
        <v>59</v>
      </c>
      <c r="C30" s="122">
        <v>14490</v>
      </c>
      <c r="D30" s="76">
        <f>C16+C17+C18</f>
        <v>15529</v>
      </c>
      <c r="E30" s="77">
        <f>D30-C30</f>
        <v>1039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3439</v>
      </c>
      <c r="D31" s="80">
        <f>SUM(C8+C9)</f>
        <v>3439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51" priority="11" operator="lessThan">
      <formula>0</formula>
    </cfRule>
    <cfRule type="cellIs" dxfId="550" priority="12" operator="greaterThan">
      <formula>0</formula>
    </cfRule>
  </conditionalFormatting>
  <conditionalFormatting sqref="R25:AC25">
    <cfRule type="cellIs" dxfId="549" priority="9" operator="lessThan">
      <formula>0</formula>
    </cfRule>
    <cfRule type="cellIs" dxfId="548" priority="10" operator="greaterThan">
      <formula>0</formula>
    </cfRule>
  </conditionalFormatting>
  <conditionalFormatting sqref="R26 T26 V26 X26 Z26 AB26">
    <cfRule type="cellIs" dxfId="547" priority="7" operator="lessThan">
      <formula>0</formula>
    </cfRule>
    <cfRule type="cellIs" dxfId="546" priority="8" operator="greaterThan">
      <formula>0</formula>
    </cfRule>
  </conditionalFormatting>
  <conditionalFormatting sqref="AD24:AE24">
    <cfRule type="cellIs" dxfId="545" priority="5" operator="lessThan">
      <formula>0</formula>
    </cfRule>
    <cfRule type="cellIs" dxfId="544" priority="6" operator="greaterThan">
      <formula>0</formula>
    </cfRule>
  </conditionalFormatting>
  <conditionalFormatting sqref="AD25:AE25">
    <cfRule type="cellIs" dxfId="543" priority="3" operator="lessThan">
      <formula>0</formula>
    </cfRule>
    <cfRule type="cellIs" dxfId="542" priority="4" operator="greaterThan">
      <formula>0</formula>
    </cfRule>
  </conditionalFormatting>
  <conditionalFormatting sqref="AD26">
    <cfRule type="cellIs" dxfId="541" priority="1" operator="lessThan">
      <formula>0</formula>
    </cfRule>
    <cfRule type="cellIs" dxfId="54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44473</v>
      </c>
    </row>
    <row r="3" spans="2:42" ht="18.75" customHeight="1" thickBot="1" x14ac:dyDescent="0.35">
      <c r="B3" t="s">
        <v>1</v>
      </c>
      <c r="C3" s="3">
        <f>C2+1</f>
        <v>44474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2350</v>
      </c>
      <c r="E6" s="18" t="s">
        <v>22</v>
      </c>
      <c r="F6" s="119">
        <v>20099</v>
      </c>
      <c r="G6" s="117">
        <v>9582.1780000000017</v>
      </c>
      <c r="H6" s="117">
        <v>1074.4070875</v>
      </c>
      <c r="I6" s="19">
        <f>G6+H6</f>
        <v>10656.585087500001</v>
      </c>
      <c r="J6" s="119">
        <v>20530</v>
      </c>
      <c r="K6" s="117">
        <v>9932.0703749999975</v>
      </c>
      <c r="L6" s="117">
        <v>1049.624955</v>
      </c>
      <c r="M6" s="19">
        <f>K6+L6</f>
        <v>10981.695329999997</v>
      </c>
      <c r="N6" s="85">
        <v>59</v>
      </c>
      <c r="O6" s="85">
        <v>48</v>
      </c>
      <c r="P6" s="92"/>
      <c r="Q6" s="20">
        <f>J6-P6</f>
        <v>20530</v>
      </c>
      <c r="R6" s="21">
        <v>2473</v>
      </c>
      <c r="S6" s="20">
        <f>IF(R6&gt;0,(R6-R7-$Q6),"")</f>
        <v>-18076</v>
      </c>
      <c r="T6" s="21">
        <v>8710</v>
      </c>
      <c r="U6" s="20">
        <f>IF(T6&gt;0,(T6-T7-$Q6),"")</f>
        <v>-12471</v>
      </c>
      <c r="V6" s="21">
        <v>10274</v>
      </c>
      <c r="W6" s="20">
        <f>IF(V6&gt;0,(V6-V7-$Q6),"")</f>
        <v>-10908</v>
      </c>
      <c r="X6" s="21">
        <v>14689</v>
      </c>
      <c r="Y6" s="20">
        <f>IF(X6&gt;0,(X6-X7-$Q6),"")</f>
        <v>-6503</v>
      </c>
      <c r="Z6" s="21">
        <v>14689</v>
      </c>
      <c r="AA6" s="20">
        <f>IF(Z6&gt;0,(Z6-Z7-$Q6),"")</f>
        <v>-6503</v>
      </c>
      <c r="AB6" s="21">
        <v>14689</v>
      </c>
      <c r="AC6" s="22">
        <f>IF(AB6&gt;0,(AB6-AB7-$Q6),"")</f>
        <v>-6503</v>
      </c>
      <c r="AD6" s="21">
        <v>14689</v>
      </c>
      <c r="AE6" s="22">
        <f>IF(AD6&gt;0,(AD6-AD7-$Q6),"")</f>
        <v>-6503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19</v>
      </c>
      <c r="S7" s="24"/>
      <c r="T7" s="25">
        <v>651</v>
      </c>
      <c r="U7" s="24"/>
      <c r="V7" s="25">
        <v>652</v>
      </c>
      <c r="W7" s="24"/>
      <c r="X7" s="25">
        <v>662</v>
      </c>
      <c r="Y7" s="24"/>
      <c r="Z7" s="25">
        <v>662</v>
      </c>
      <c r="AA7" s="24"/>
      <c r="AB7" s="25">
        <v>662</v>
      </c>
      <c r="AC7" s="26"/>
      <c r="AD7" s="25">
        <v>662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2352</v>
      </c>
      <c r="E8" s="29" t="s">
        <v>27</v>
      </c>
      <c r="F8" s="119">
        <v>5034</v>
      </c>
      <c r="G8" s="117">
        <v>4021.09</v>
      </c>
      <c r="H8" s="117">
        <v>12053.49709356001</v>
      </c>
      <c r="I8" s="19">
        <f>G8+H8</f>
        <v>16074.587093560011</v>
      </c>
      <c r="J8" s="119">
        <v>4811</v>
      </c>
      <c r="K8" s="117">
        <v>4021.5684999999999</v>
      </c>
      <c r="L8" s="117">
        <v>11866.287757680009</v>
      </c>
      <c r="M8" s="19">
        <f>K8+L8</f>
        <v>15887.856257680009</v>
      </c>
      <c r="N8" s="87">
        <v>16</v>
      </c>
      <c r="O8" s="87">
        <v>10</v>
      </c>
      <c r="P8" s="92"/>
      <c r="Q8" s="20">
        <f>J8-P8</f>
        <v>4811</v>
      </c>
      <c r="R8" s="21">
        <v>200</v>
      </c>
      <c r="S8" s="20">
        <f>IF(R8&gt;0,(R8-R9-$Q8),"")</f>
        <v>-4621</v>
      </c>
      <c r="T8" s="21">
        <v>330</v>
      </c>
      <c r="U8" s="20">
        <f>IF(T8&gt;0,(T8-T9-$Q8),"")</f>
        <v>-4491</v>
      </c>
      <c r="V8" s="21">
        <v>960</v>
      </c>
      <c r="W8" s="20">
        <f>IF(V8&gt;0,(V8-V9-$Q8),"")</f>
        <v>-3861</v>
      </c>
      <c r="X8" s="21">
        <v>2133</v>
      </c>
      <c r="Y8" s="20">
        <f>IF(X8&gt;0,(X8-X9-$Q8),"")</f>
        <v>-2688</v>
      </c>
      <c r="Z8" s="21">
        <v>2133</v>
      </c>
      <c r="AA8" s="20">
        <f>IF(Z8&gt;0,(Z8-Z9-$Q8),"")</f>
        <v>-2688</v>
      </c>
      <c r="AB8" s="21">
        <v>2133</v>
      </c>
      <c r="AC8" s="22">
        <f>IF(AB8&gt;0,(AB8-AB9-$Q8),"")</f>
        <v>-2688</v>
      </c>
      <c r="AD8" s="21">
        <v>2133</v>
      </c>
      <c r="AE8" s="22">
        <f>IF(AD8&gt;0,(AD8-AD9-$Q8),"")</f>
        <v>-2688</v>
      </c>
    </row>
    <row r="9" spans="2:42" x14ac:dyDescent="0.3">
      <c r="B9" s="28" t="s">
        <v>28</v>
      </c>
      <c r="C9" s="17">
        <v>1148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10</v>
      </c>
      <c r="S9" s="24"/>
      <c r="T9" s="30">
        <v>10</v>
      </c>
      <c r="U9" s="24"/>
      <c r="V9" s="30">
        <v>10</v>
      </c>
      <c r="W9" s="24"/>
      <c r="X9" s="30">
        <v>10</v>
      </c>
      <c r="Y9" s="24"/>
      <c r="Z9" s="30">
        <v>10</v>
      </c>
      <c r="AA9" s="24"/>
      <c r="AB9" s="30">
        <v>10</v>
      </c>
      <c r="AC9" s="26"/>
      <c r="AD9" s="30">
        <v>10</v>
      </c>
      <c r="AE9" s="26"/>
    </row>
    <row r="10" spans="2:42" x14ac:dyDescent="0.3">
      <c r="B10" s="16" t="s">
        <v>30</v>
      </c>
      <c r="C10" s="17">
        <v>4625</v>
      </c>
      <c r="E10" s="18" t="s">
        <v>31</v>
      </c>
      <c r="F10" s="119">
        <v>18480</v>
      </c>
      <c r="G10" s="117">
        <v>13442.07</v>
      </c>
      <c r="H10" s="117">
        <v>462.15840120000001</v>
      </c>
      <c r="I10" s="19">
        <f>G10+H10</f>
        <v>13904.2284012</v>
      </c>
      <c r="J10" s="119">
        <v>11751</v>
      </c>
      <c r="K10" s="117">
        <v>7923.8700000000008</v>
      </c>
      <c r="L10" s="117">
        <v>453.73400709999999</v>
      </c>
      <c r="M10" s="19">
        <f>K10+L10</f>
        <v>8377.6040071000007</v>
      </c>
      <c r="N10" s="88">
        <v>41</v>
      </c>
      <c r="O10" s="88">
        <v>36</v>
      </c>
      <c r="P10" s="92"/>
      <c r="Q10" s="20">
        <f>J10-P10</f>
        <v>11751</v>
      </c>
      <c r="R10" s="21">
        <v>3768</v>
      </c>
      <c r="S10" s="20">
        <f>IF(R10&gt;0,(R10-R11-$Q10),"")</f>
        <v>-8031</v>
      </c>
      <c r="T10" s="21">
        <v>5601</v>
      </c>
      <c r="U10" s="20">
        <f>IF(T10&gt;0,(T10-T11-$Q10),"")</f>
        <v>-6198</v>
      </c>
      <c r="V10" s="21">
        <v>8263</v>
      </c>
      <c r="W10" s="20">
        <f>IF(V10&gt;0,(V10-V11-$Q10),"")</f>
        <v>-3536</v>
      </c>
      <c r="X10" s="21">
        <v>11488</v>
      </c>
      <c r="Y10" s="20">
        <f>IF(X10&gt;0,(X10-X11-$Q10),"")</f>
        <v>-311</v>
      </c>
      <c r="Z10" s="21">
        <v>11468</v>
      </c>
      <c r="AA10" s="20">
        <f>IF(Z10&gt;0,(Z10-Z11-$Q10),"")</f>
        <v>-331</v>
      </c>
      <c r="AB10" s="21">
        <v>11468</v>
      </c>
      <c r="AC10" s="22">
        <f>IF(AB10&gt;0,(AB10-AB11-$Q10),"")</f>
        <v>-331</v>
      </c>
      <c r="AD10" s="21">
        <v>11468</v>
      </c>
      <c r="AE10" s="22">
        <f>IF(AD10&gt;0,(AD10-AD11-$Q10),"")</f>
        <v>-331</v>
      </c>
    </row>
    <row r="11" spans="2:42" x14ac:dyDescent="0.3">
      <c r="B11" s="16" t="s">
        <v>38</v>
      </c>
      <c r="C11" s="17">
        <v>10673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48</v>
      </c>
      <c r="S11" s="24"/>
      <c r="T11" s="30">
        <v>48</v>
      </c>
      <c r="U11" s="24"/>
      <c r="V11" s="30">
        <v>48</v>
      </c>
      <c r="W11" s="24"/>
      <c r="X11" s="30">
        <v>48</v>
      </c>
      <c r="Y11" s="24"/>
      <c r="Z11" s="30">
        <v>48</v>
      </c>
      <c r="AA11" s="24"/>
      <c r="AB11" s="30">
        <v>48</v>
      </c>
      <c r="AC11" s="26"/>
      <c r="AD11" s="30">
        <v>48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10344</v>
      </c>
      <c r="G12" s="117">
        <v>10233.9275</v>
      </c>
      <c r="H12" s="117">
        <v>13307.353290290001</v>
      </c>
      <c r="I12" s="19">
        <f>G12+H12</f>
        <v>23541.280790290002</v>
      </c>
      <c r="J12" s="119">
        <v>11043</v>
      </c>
      <c r="K12" s="117">
        <v>10919.415499999999</v>
      </c>
      <c r="L12" s="117">
        <v>13294.274700589989</v>
      </c>
      <c r="M12" s="19">
        <f>K12+L12</f>
        <v>24213.69020058999</v>
      </c>
      <c r="N12" s="88">
        <v>41</v>
      </c>
      <c r="O12" s="88">
        <v>31</v>
      </c>
      <c r="P12" s="92"/>
      <c r="Q12" s="20">
        <f>J12-P12</f>
        <v>11043</v>
      </c>
      <c r="R12" s="21">
        <v>5737</v>
      </c>
      <c r="S12" s="20">
        <f>IF(R12&gt;0,(R12-R13-$Q12),"")</f>
        <v>-5356</v>
      </c>
      <c r="T12" s="21">
        <v>7112</v>
      </c>
      <c r="U12" s="20">
        <f>IF(T12&gt;0,(T12-T13-$Q12),"")</f>
        <v>-3994</v>
      </c>
      <c r="V12" s="21">
        <v>9549</v>
      </c>
      <c r="W12" s="20">
        <f>IF(V12&gt;0,(V12-V13-$Q12),"")</f>
        <v>-1583</v>
      </c>
      <c r="X12" s="21">
        <v>9962</v>
      </c>
      <c r="Y12" s="20">
        <f>IF(X12&gt;0,(X12-X13-$Q12),"")</f>
        <v>-1173</v>
      </c>
      <c r="Z12" s="21">
        <v>9962</v>
      </c>
      <c r="AA12" s="20">
        <f>IF(Z12&gt;0,(Z12-Z13-$Q12),"")</f>
        <v>-1173</v>
      </c>
      <c r="AB12" s="21">
        <v>9962</v>
      </c>
      <c r="AC12" s="22">
        <f>IF(AB12&gt;0,(AB12-AB13-$Q12),"")</f>
        <v>-1173</v>
      </c>
      <c r="AD12" s="21">
        <v>9962</v>
      </c>
      <c r="AE12" s="22">
        <f>IF(AD12&gt;0,(AD12-AD13-$Q12),"")</f>
        <v>-1173</v>
      </c>
    </row>
    <row r="13" spans="2:42" x14ac:dyDescent="0.3">
      <c r="B13" s="28" t="s">
        <v>42</v>
      </c>
      <c r="C13" s="17">
        <v>10108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50</v>
      </c>
      <c r="S13" s="24"/>
      <c r="T13" s="30">
        <v>63</v>
      </c>
      <c r="U13" s="24"/>
      <c r="V13" s="30">
        <v>89</v>
      </c>
      <c r="W13" s="24"/>
      <c r="X13" s="30">
        <v>92</v>
      </c>
      <c r="Y13" s="24"/>
      <c r="Z13" s="30">
        <v>92</v>
      </c>
      <c r="AA13" s="24"/>
      <c r="AB13" s="30">
        <v>92</v>
      </c>
      <c r="AC13" s="26"/>
      <c r="AD13" s="30">
        <v>92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24827</v>
      </c>
      <c r="G14" s="117">
        <v>18821.39</v>
      </c>
      <c r="H14" s="117">
        <v>28669.68711368</v>
      </c>
      <c r="I14" s="19">
        <f>G14+H14</f>
        <v>47491.077113680003</v>
      </c>
      <c r="J14" s="119">
        <v>25311</v>
      </c>
      <c r="K14" s="117">
        <v>19643.324250000001</v>
      </c>
      <c r="L14" s="117">
        <v>29499.37342308</v>
      </c>
      <c r="M14" s="19">
        <f>K14+L14</f>
        <v>49142.697673080002</v>
      </c>
      <c r="N14" s="88">
        <v>62</v>
      </c>
      <c r="O14" s="88">
        <v>48</v>
      </c>
      <c r="P14" s="92"/>
      <c r="Q14" s="20">
        <f>J14-P14</f>
        <v>25311</v>
      </c>
      <c r="R14" s="21">
        <v>3524</v>
      </c>
      <c r="S14" s="20">
        <f>IF(R14&gt;0,(R14-R15-$Q14),"")</f>
        <v>-21870</v>
      </c>
      <c r="T14" s="21">
        <v>5280</v>
      </c>
      <c r="U14" s="20">
        <f>IF(T14&gt;0,(T14-T15-$Q14),"")</f>
        <v>-20114</v>
      </c>
      <c r="V14" s="21">
        <v>7229</v>
      </c>
      <c r="W14" s="20">
        <f>IF(V14&gt;0,(V14-V15-$Q14),"")</f>
        <v>-18165</v>
      </c>
      <c r="X14" s="21">
        <v>8959</v>
      </c>
      <c r="Y14" s="20">
        <f>IF(X14&gt;0,(X14-X15-$Q14),"")</f>
        <v>-16450</v>
      </c>
      <c r="Z14" s="21">
        <v>9213</v>
      </c>
      <c r="AA14" s="20">
        <f>IF(Z14&gt;0,(Z14-Z15-$Q14),"")</f>
        <v>-16196</v>
      </c>
      <c r="AB14" s="21">
        <v>9213</v>
      </c>
      <c r="AC14" s="22">
        <f>IF(AB14&gt;0,(AB14-AB15-$Q14),"")</f>
        <v>-16196</v>
      </c>
      <c r="AD14" s="21">
        <v>9213</v>
      </c>
      <c r="AE14" s="22">
        <f>IF(AD14&gt;0,(AD14-AD15-$Q14),"")</f>
        <v>-16196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83</v>
      </c>
      <c r="S15" s="24"/>
      <c r="T15" s="25">
        <v>83</v>
      </c>
      <c r="U15" s="24"/>
      <c r="V15" s="25">
        <v>83</v>
      </c>
      <c r="W15" s="24"/>
      <c r="X15" s="25">
        <v>98</v>
      </c>
      <c r="Y15" s="24"/>
      <c r="Z15" s="25">
        <v>98</v>
      </c>
      <c r="AA15" s="24"/>
      <c r="AB15" s="25">
        <v>98</v>
      </c>
      <c r="AC15" s="26"/>
      <c r="AD15" s="25">
        <v>98</v>
      </c>
      <c r="AE15" s="26"/>
    </row>
    <row r="16" spans="2:42" ht="15" customHeight="1" thickBot="1" x14ac:dyDescent="0.35">
      <c r="B16" s="16" t="s">
        <v>50</v>
      </c>
      <c r="C16" s="17">
        <v>10072</v>
      </c>
      <c r="E16" s="84"/>
      <c r="F16" s="31">
        <f t="shared" ref="F16:M16" si="0">SUM(F6:F15)</f>
        <v>78784</v>
      </c>
      <c r="G16" s="31">
        <f t="shared" si="0"/>
        <v>56100.655500000001</v>
      </c>
      <c r="H16" s="31">
        <f t="shared" si="0"/>
        <v>55567.102986230006</v>
      </c>
      <c r="I16" s="32">
        <f t="shared" si="0"/>
        <v>111667.75848623001</v>
      </c>
      <c r="J16" s="33">
        <f t="shared" si="0"/>
        <v>73446</v>
      </c>
      <c r="K16" s="33">
        <f t="shared" si="0"/>
        <v>52440.248625000007</v>
      </c>
      <c r="L16" s="33">
        <f t="shared" si="0"/>
        <v>56163.294843449999</v>
      </c>
      <c r="M16" s="33">
        <f t="shared" si="0"/>
        <v>108603.54346844999</v>
      </c>
      <c r="N16" s="31">
        <f>SUM(N14,N12,N10,N8,N6)</f>
        <v>219</v>
      </c>
      <c r="O16" s="31">
        <f>SUM(O14,O12,O10,O8,O6)</f>
        <v>173</v>
      </c>
      <c r="P16" s="34">
        <f>SUM(P6:P15)</f>
        <v>0</v>
      </c>
      <c r="Q16" s="34">
        <f>SUM(Q6:Q15)</f>
        <v>73446</v>
      </c>
      <c r="R16" s="35">
        <f>R6+R8+R10+R12+R14-R7-R9-R11-R13-R15</f>
        <v>15492</v>
      </c>
      <c r="S16" s="36">
        <f>IF(R16&gt;1,(R16-$Q16),"")</f>
        <v>-57954</v>
      </c>
      <c r="T16" s="35">
        <f>T6+T8+T10+T12+T14-T7-T9-T11-T13-T15</f>
        <v>26178</v>
      </c>
      <c r="U16" s="36">
        <f>IF(T16&gt;1,(T16-$Q16),"")</f>
        <v>-47268</v>
      </c>
      <c r="V16" s="35">
        <f>V6+V8+V10+V12+V14-V7-V9-V11-V13-V15</f>
        <v>35393</v>
      </c>
      <c r="W16" s="36">
        <f>IF(V16&gt;1,(V16-$Q16),"")</f>
        <v>-38053</v>
      </c>
      <c r="X16" s="35">
        <f>X6+X8+X10+X12+X14-X7-X9-X11-X13-X15</f>
        <v>46321</v>
      </c>
      <c r="Y16" s="36">
        <f>IF(X16&gt;1,(X16-$Q16),"")</f>
        <v>-27125</v>
      </c>
      <c r="Z16" s="35">
        <f>Z6+Z8+Z10+Z12+Z14-Z7-Z9-Z11-Z13-Z15</f>
        <v>46555</v>
      </c>
      <c r="AA16" s="36">
        <f>IF(Z16&gt;1,(Z16-$Q16),"")</f>
        <v>-26891</v>
      </c>
      <c r="AB16" s="35">
        <f>AB6+AB8+AB10+AB12+AB14-AB7-AB9-AB11-AB13-AB15</f>
        <v>46555</v>
      </c>
      <c r="AC16" s="37">
        <f>IF(AB16&gt;1,(AB16-$Q16),"")</f>
        <v>-26891</v>
      </c>
      <c r="AD16" s="35">
        <f>AD6+AD8+AD10+AD12+AD14-AD7-AD9-AD11-AD13-AD15</f>
        <v>46555</v>
      </c>
      <c r="AE16" s="37">
        <f>IF(AD16&gt;1,(AD16-$Q16),"")</f>
        <v>-26891</v>
      </c>
    </row>
    <row r="17" spans="2:43" s="4" customFormat="1" ht="15" customHeight="1" thickBot="1" x14ac:dyDescent="0.35">
      <c r="B17" s="16" t="s">
        <v>51</v>
      </c>
      <c r="C17" s="17">
        <v>1992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210</v>
      </c>
      <c r="S17" s="41"/>
      <c r="T17" s="40">
        <f>T15+T13+T11+T9+T7</f>
        <v>855</v>
      </c>
      <c r="U17" s="41"/>
      <c r="V17" s="40">
        <f>V15+V13+V11+V9+V7</f>
        <v>882</v>
      </c>
      <c r="W17" s="41"/>
      <c r="X17" s="40">
        <f>X15+X13+X11+X9+X7</f>
        <v>910</v>
      </c>
      <c r="Y17" s="41"/>
      <c r="Z17" s="40">
        <f>Z15+Z13+Z11+Z9+Z7</f>
        <v>910</v>
      </c>
      <c r="AA17" s="41"/>
      <c r="AB17" s="40">
        <f>AB15+AB13+AB11+AB9+AB7</f>
        <v>910</v>
      </c>
      <c r="AC17" s="42"/>
      <c r="AD17" s="40">
        <f>AD15+AD13+AD11+AD9+AD7</f>
        <v>910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4626</v>
      </c>
      <c r="P18" s="45" t="s">
        <v>46</v>
      </c>
      <c r="Q18" s="46"/>
      <c r="R18" s="47">
        <f>IF(R16&gt;0,(R16)/2,"")</f>
        <v>7746</v>
      </c>
      <c r="S18" s="46"/>
      <c r="T18" s="47">
        <f>IF(T16&gt;0,(T16-R16)/2,"")</f>
        <v>5343</v>
      </c>
      <c r="U18" s="46"/>
      <c r="V18" s="47">
        <f>IF(V16&gt;0,(V16-T16)/2,"")</f>
        <v>4607.5</v>
      </c>
      <c r="W18" s="46"/>
      <c r="X18" s="47">
        <f>IF(X16&gt;0,(X16-V16)/2,"")</f>
        <v>5464</v>
      </c>
      <c r="Y18" s="46"/>
      <c r="Z18" s="47">
        <f>IF(Z16&gt;0,(Z16-X16)/2,"")</f>
        <v>117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15492</v>
      </c>
      <c r="S24" s="60"/>
      <c r="T24" s="60">
        <f>IF(T16&gt;0,T16-T20,"")</f>
        <v>26178</v>
      </c>
      <c r="U24" s="60"/>
      <c r="V24" s="60">
        <f>IF(V16&gt;0,V16-V20,"")</f>
        <v>35393</v>
      </c>
      <c r="W24" s="60"/>
      <c r="X24" s="60">
        <f>IF(X16&gt;0,X16-X20,"")</f>
        <v>46321</v>
      </c>
      <c r="Y24" s="60"/>
      <c r="Z24" s="60">
        <f>IF(Z16&gt;0,Z16-Z20,"")</f>
        <v>46555</v>
      </c>
      <c r="AA24" s="60"/>
      <c r="AB24" s="60">
        <f>IF(AB16&gt;0,AB16-AB20,"")</f>
        <v>46555</v>
      </c>
      <c r="AC24" s="61"/>
      <c r="AD24" s="60">
        <f>IF(AD16&gt;0,AD16-AD20,"")</f>
        <v>46555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210</v>
      </c>
      <c r="S25" s="64"/>
      <c r="T25" s="63">
        <f>IF(T17&gt;=0,T17-T21,"")</f>
        <v>855</v>
      </c>
      <c r="U25" s="64"/>
      <c r="V25" s="63">
        <f>IF(V17&gt;=0,V17-V21,"")</f>
        <v>882</v>
      </c>
      <c r="W25" s="64"/>
      <c r="X25" s="63">
        <f>IF(X17&gt;=0,X17-X21,"")</f>
        <v>910</v>
      </c>
      <c r="Y25" s="64"/>
      <c r="Z25" s="63">
        <f>IF(Z17&gt;=0,Z17-Z21,"")</f>
        <v>910</v>
      </c>
      <c r="AA25" s="64"/>
      <c r="AB25" s="63">
        <f>IF(AB17&gt;=0,AB17-AB21,"")</f>
        <v>910</v>
      </c>
      <c r="AC25" s="65"/>
      <c r="AD25" s="63">
        <f>IF(AD17&gt;=0,AD17-AD21,"")</f>
        <v>910</v>
      </c>
      <c r="AE25" s="65"/>
    </row>
    <row r="26" spans="2:43" ht="15" customHeight="1" thickBot="1" x14ac:dyDescent="0.35">
      <c r="B26" s="74" t="s">
        <v>55</v>
      </c>
      <c r="C26" s="122">
        <v>10248</v>
      </c>
      <c r="D26" s="76">
        <f>C11</f>
        <v>10673</v>
      </c>
      <c r="E26" s="77">
        <f>D26-C26</f>
        <v>425</v>
      </c>
      <c r="M26" s="4"/>
      <c r="Q26" s="66"/>
      <c r="R26" s="67">
        <f>IFERROR(IF(R18&gt;0,R18-R22,""),"")</f>
        <v>35.5</v>
      </c>
      <c r="S26" s="55"/>
      <c r="T26" s="67">
        <f>IFERROR(IF(T18&gt;0,T18-T22,""),"")</f>
        <v>2117.5</v>
      </c>
      <c r="U26" s="55"/>
      <c r="V26" s="67">
        <f>IFERROR(IF(V18&gt;0,V18-V22,""),"")</f>
        <v>-8908.5</v>
      </c>
      <c r="W26" s="55"/>
      <c r="X26" s="67">
        <f>IFERROR(IF(X18&gt;0,X18-X22,""),"")</f>
        <v>2644.5</v>
      </c>
      <c r="Y26" s="55"/>
      <c r="Z26" s="67">
        <f>IFERROR(IF(Z18&gt;0,Z18-Z22,""),"")</f>
        <v>117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29206</v>
      </c>
      <c r="D27" s="76">
        <f>C7+C12+C13+C14+C15</f>
        <v>10108</v>
      </c>
      <c r="E27" s="77">
        <f>D27-C27</f>
        <v>-19098</v>
      </c>
      <c r="O27" s="4"/>
      <c r="AF27" s="69"/>
    </row>
    <row r="28" spans="2:43" x14ac:dyDescent="0.3">
      <c r="B28" s="74" t="s">
        <v>21</v>
      </c>
      <c r="C28" s="122">
        <v>2350</v>
      </c>
      <c r="D28" s="76">
        <f>C6</f>
        <v>2350</v>
      </c>
      <c r="E28" s="77">
        <f>D28-C28</f>
        <v>0</v>
      </c>
      <c r="O28" s="4"/>
    </row>
    <row r="29" spans="2:43" x14ac:dyDescent="0.3">
      <c r="B29" s="74" t="s">
        <v>57</v>
      </c>
      <c r="C29" s="122">
        <v>4625</v>
      </c>
      <c r="D29" s="76">
        <f>C10</f>
        <v>4625</v>
      </c>
      <c r="E29" s="77">
        <f>D29-C29</f>
        <v>0</v>
      </c>
      <c r="O29" s="4"/>
    </row>
    <row r="30" spans="2:43" x14ac:dyDescent="0.3">
      <c r="B30" s="74" t="s">
        <v>59</v>
      </c>
      <c r="C30" s="122">
        <v>17040</v>
      </c>
      <c r="D30" s="76">
        <f>C16+C17+C18</f>
        <v>16690</v>
      </c>
      <c r="E30" s="77">
        <f>D30-C30</f>
        <v>-350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3500</v>
      </c>
      <c r="D31" s="80">
        <f>SUM(C8+C9)</f>
        <v>3500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/>
      <c r="W35" s="104">
        <f t="shared" ref="W35:W64" si="3">IF(X35&gt;0,(X35-V35)/2,"")</f>
        <v>832</v>
      </c>
      <c r="X35" s="104">
        <v>1664</v>
      </c>
      <c r="Y35" s="104">
        <f t="shared" ref="Y35:Y64" si="4">IF(Z35&gt;0,(Z35-X35)/2,"")</f>
        <v>0</v>
      </c>
      <c r="Z35" s="104">
        <v>1664</v>
      </c>
      <c r="AA35" s="104">
        <f t="shared" ref="AA35:AA64" si="5">IF(AB35&gt;0,(AB35-Z35)/2,"")</f>
        <v>0</v>
      </c>
      <c r="AB35" s="104">
        <v>1664</v>
      </c>
      <c r="AC35" s="104">
        <f t="shared" ref="AC35:AC64" si="6">IF(AD35&gt;0,(AD35-AB35)/2,"")</f>
        <v>0</v>
      </c>
      <c r="AD35" s="104">
        <v>1664</v>
      </c>
      <c r="AE35" s="105">
        <f t="shared" ref="AE35:AE64" si="7">AD35-Q35</f>
        <v>1664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15</v>
      </c>
      <c r="T36" s="106">
        <v>30</v>
      </c>
      <c r="U36" s="106" t="str">
        <f t="shared" si="2"/>
        <v/>
      </c>
      <c r="V36" s="106"/>
      <c r="W36" s="106">
        <f t="shared" si="3"/>
        <v>689</v>
      </c>
      <c r="X36" s="106">
        <v>1378</v>
      </c>
      <c r="Y36" s="106">
        <f t="shared" si="4"/>
        <v>0</v>
      </c>
      <c r="Z36" s="106">
        <v>1378</v>
      </c>
      <c r="AA36" s="106">
        <f t="shared" si="5"/>
        <v>0</v>
      </c>
      <c r="AB36" s="106">
        <v>1378</v>
      </c>
      <c r="AC36" s="106">
        <f t="shared" si="6"/>
        <v>0</v>
      </c>
      <c r="AD36" s="106">
        <v>1378</v>
      </c>
      <c r="AE36" s="107">
        <f t="shared" si="7"/>
        <v>1378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0</v>
      </c>
      <c r="S37" s="108">
        <f t="shared" si="1"/>
        <v>1750</v>
      </c>
      <c r="T37" s="108">
        <v>3500</v>
      </c>
      <c r="U37" s="108" t="str">
        <f t="shared" si="2"/>
        <v/>
      </c>
      <c r="V37" s="108"/>
      <c r="W37" s="108">
        <f t="shared" si="3"/>
        <v>1907</v>
      </c>
      <c r="X37" s="108">
        <v>3814</v>
      </c>
      <c r="Y37" s="108">
        <f t="shared" si="4"/>
        <v>0</v>
      </c>
      <c r="Z37" s="108">
        <v>3814</v>
      </c>
      <c r="AA37" s="108">
        <f t="shared" si="5"/>
        <v>0</v>
      </c>
      <c r="AB37" s="108">
        <v>3814</v>
      </c>
      <c r="AC37" s="108">
        <f t="shared" si="6"/>
        <v>0</v>
      </c>
      <c r="AD37" s="108">
        <v>3814</v>
      </c>
      <c r="AE37" s="109">
        <f t="shared" si="7"/>
        <v>3814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1231</v>
      </c>
      <c r="S38" s="106">
        <f t="shared" si="1"/>
        <v>602</v>
      </c>
      <c r="T38" s="106">
        <v>2435</v>
      </c>
      <c r="U38" s="106" t="str">
        <f t="shared" si="2"/>
        <v/>
      </c>
      <c r="V38" s="106"/>
      <c r="W38" s="106">
        <f t="shared" si="3"/>
        <v>1591.5</v>
      </c>
      <c r="X38" s="106">
        <v>3183</v>
      </c>
      <c r="Y38" s="106">
        <f t="shared" si="4"/>
        <v>0</v>
      </c>
      <c r="Z38" s="106">
        <v>3183</v>
      </c>
      <c r="AA38" s="106">
        <f t="shared" si="5"/>
        <v>0</v>
      </c>
      <c r="AB38" s="106">
        <v>3183</v>
      </c>
      <c r="AC38" s="106">
        <f t="shared" si="6"/>
        <v>0</v>
      </c>
      <c r="AD38" s="106">
        <v>3183</v>
      </c>
      <c r="AE38" s="107">
        <f t="shared" si="7"/>
        <v>3183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609</v>
      </c>
      <c r="S39" s="108">
        <f t="shared" si="1"/>
        <v>411</v>
      </c>
      <c r="T39" s="108">
        <v>1431</v>
      </c>
      <c r="U39" s="108" t="str">
        <f t="shared" si="2"/>
        <v/>
      </c>
      <c r="V39" s="108"/>
      <c r="W39" s="108">
        <f t="shared" si="3"/>
        <v>1212</v>
      </c>
      <c r="X39" s="108">
        <v>2424</v>
      </c>
      <c r="Y39" s="108">
        <f t="shared" si="4"/>
        <v>0</v>
      </c>
      <c r="Z39" s="108">
        <v>2424</v>
      </c>
      <c r="AA39" s="108">
        <f t="shared" si="5"/>
        <v>0</v>
      </c>
      <c r="AB39" s="108">
        <v>2424</v>
      </c>
      <c r="AC39" s="108">
        <f t="shared" si="6"/>
        <v>0</v>
      </c>
      <c r="AD39" s="108">
        <v>2424</v>
      </c>
      <c r="AE39" s="109">
        <f t="shared" si="7"/>
        <v>2424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18</v>
      </c>
      <c r="S40" s="106">
        <f t="shared" si="1"/>
        <v>104.5</v>
      </c>
      <c r="T40" s="106">
        <v>227</v>
      </c>
      <c r="U40" s="106" t="str">
        <f t="shared" si="2"/>
        <v/>
      </c>
      <c r="V40" s="106"/>
      <c r="W40" s="106">
        <f t="shared" si="3"/>
        <v>569.5</v>
      </c>
      <c r="X40" s="106">
        <v>1139</v>
      </c>
      <c r="Y40" s="106">
        <f t="shared" si="4"/>
        <v>0</v>
      </c>
      <c r="Z40" s="106">
        <v>1139</v>
      </c>
      <c r="AA40" s="106">
        <f t="shared" si="5"/>
        <v>0</v>
      </c>
      <c r="AB40" s="106">
        <v>1139</v>
      </c>
      <c r="AC40" s="106">
        <f t="shared" si="6"/>
        <v>0</v>
      </c>
      <c r="AD40" s="106">
        <v>1139</v>
      </c>
      <c r="AE40" s="107">
        <f t="shared" si="7"/>
        <v>1139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615</v>
      </c>
      <c r="S41" s="108">
        <f t="shared" si="1"/>
        <v>236</v>
      </c>
      <c r="T41" s="108">
        <v>1087</v>
      </c>
      <c r="U41" s="108" t="str">
        <f t="shared" si="2"/>
        <v/>
      </c>
      <c r="V41" s="108"/>
      <c r="W41" s="108">
        <f t="shared" si="3"/>
        <v>543.5</v>
      </c>
      <c r="X41" s="108">
        <v>1087</v>
      </c>
      <c r="Y41" s="108">
        <f t="shared" si="4"/>
        <v>0</v>
      </c>
      <c r="Z41" s="108">
        <v>1087</v>
      </c>
      <c r="AA41" s="108">
        <f t="shared" si="5"/>
        <v>0</v>
      </c>
      <c r="AB41" s="108">
        <v>1087</v>
      </c>
      <c r="AC41" s="108">
        <f t="shared" si="6"/>
        <v>0</v>
      </c>
      <c r="AD41" s="108">
        <v>1087</v>
      </c>
      <c r="AE41" s="109">
        <f t="shared" si="7"/>
        <v>1087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/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/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200</v>
      </c>
      <c r="S44" s="112">
        <f t="shared" si="1"/>
        <v>65</v>
      </c>
      <c r="T44" s="112">
        <v>330</v>
      </c>
      <c r="U44" s="112" t="str">
        <f t="shared" si="2"/>
        <v/>
      </c>
      <c r="V44" s="112"/>
      <c r="W44" s="112">
        <f t="shared" si="3"/>
        <v>326.5</v>
      </c>
      <c r="X44" s="112">
        <v>653</v>
      </c>
      <c r="Y44" s="112">
        <f t="shared" si="4"/>
        <v>0</v>
      </c>
      <c r="Z44" s="112">
        <v>653</v>
      </c>
      <c r="AA44" s="112">
        <f t="shared" si="5"/>
        <v>0</v>
      </c>
      <c r="AB44" s="112">
        <v>653</v>
      </c>
      <c r="AC44" s="112">
        <f t="shared" si="6"/>
        <v>0</v>
      </c>
      <c r="AD44" s="112">
        <v>653</v>
      </c>
      <c r="AE44" s="113">
        <f t="shared" si="7"/>
        <v>653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/>
      <c r="W45" s="108">
        <f t="shared" si="3"/>
        <v>740</v>
      </c>
      <c r="X45" s="108">
        <v>1480</v>
      </c>
      <c r="Y45" s="108">
        <f t="shared" si="4"/>
        <v>0</v>
      </c>
      <c r="Z45" s="108">
        <v>1480</v>
      </c>
      <c r="AA45" s="108">
        <f t="shared" si="5"/>
        <v>0</v>
      </c>
      <c r="AB45" s="108">
        <v>1480</v>
      </c>
      <c r="AC45" s="108">
        <f t="shared" si="6"/>
        <v>0</v>
      </c>
      <c r="AD45" s="108">
        <v>1480</v>
      </c>
      <c r="AE45" s="109">
        <f t="shared" si="7"/>
        <v>1480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/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/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 t="str">
        <f t="shared" si="2"/>
        <v/>
      </c>
      <c r="V48" s="112"/>
      <c r="W48" s="112">
        <f t="shared" si="3"/>
        <v>864</v>
      </c>
      <c r="X48" s="112">
        <v>1728</v>
      </c>
      <c r="Y48" s="112">
        <f t="shared" si="4"/>
        <v>0</v>
      </c>
      <c r="Z48" s="112">
        <v>1728</v>
      </c>
      <c r="AA48" s="112">
        <f t="shared" si="5"/>
        <v>0</v>
      </c>
      <c r="AB48" s="112">
        <v>1728</v>
      </c>
      <c r="AC48" s="112">
        <f t="shared" si="6"/>
        <v>0</v>
      </c>
      <c r="AD48" s="112">
        <v>1728</v>
      </c>
      <c r="AE48" s="113">
        <f t="shared" si="7"/>
        <v>1728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1100</v>
      </c>
      <c r="S49" s="108">
        <f t="shared" si="1"/>
        <v>0</v>
      </c>
      <c r="T49" s="108">
        <v>1100</v>
      </c>
      <c r="U49" s="108" t="str">
        <f t="shared" si="2"/>
        <v/>
      </c>
      <c r="V49" s="108"/>
      <c r="W49" s="108">
        <f t="shared" si="3"/>
        <v>953</v>
      </c>
      <c r="X49" s="108">
        <v>1906</v>
      </c>
      <c r="Y49" s="108">
        <f t="shared" si="4"/>
        <v>0</v>
      </c>
      <c r="Z49" s="108">
        <v>1906</v>
      </c>
      <c r="AA49" s="108">
        <f t="shared" si="5"/>
        <v>0</v>
      </c>
      <c r="AB49" s="108">
        <v>1906</v>
      </c>
      <c r="AC49" s="108">
        <f t="shared" si="6"/>
        <v>0</v>
      </c>
      <c r="AD49" s="108">
        <v>1906</v>
      </c>
      <c r="AE49" s="109">
        <f t="shared" si="7"/>
        <v>1906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134</v>
      </c>
      <c r="S50" s="106">
        <f t="shared" si="1"/>
        <v>176.5</v>
      </c>
      <c r="T50" s="106">
        <v>487</v>
      </c>
      <c r="U50" s="106" t="str">
        <f t="shared" si="2"/>
        <v/>
      </c>
      <c r="V50" s="106"/>
      <c r="W50" s="106">
        <f t="shared" si="3"/>
        <v>762</v>
      </c>
      <c r="X50" s="106">
        <v>1524</v>
      </c>
      <c r="Y50" s="106">
        <f t="shared" si="4"/>
        <v>0</v>
      </c>
      <c r="Z50" s="106">
        <v>1524</v>
      </c>
      <c r="AA50" s="106">
        <f t="shared" si="5"/>
        <v>0</v>
      </c>
      <c r="AB50" s="106">
        <v>1524</v>
      </c>
      <c r="AC50" s="106">
        <f t="shared" si="6"/>
        <v>0</v>
      </c>
      <c r="AD50" s="106">
        <v>1524</v>
      </c>
      <c r="AE50" s="107">
        <f t="shared" si="7"/>
        <v>1524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1000</v>
      </c>
      <c r="S51" s="108">
        <f t="shared" si="1"/>
        <v>500</v>
      </c>
      <c r="T51" s="108">
        <v>2000</v>
      </c>
      <c r="U51" s="108" t="str">
        <f t="shared" si="2"/>
        <v/>
      </c>
      <c r="V51" s="108"/>
      <c r="W51" s="108">
        <f t="shared" si="3"/>
        <v>1300</v>
      </c>
      <c r="X51" s="108">
        <v>2600</v>
      </c>
      <c r="Y51" s="108">
        <f t="shared" si="4"/>
        <v>-10</v>
      </c>
      <c r="Z51" s="108">
        <v>2580</v>
      </c>
      <c r="AA51" s="108">
        <f t="shared" si="5"/>
        <v>0</v>
      </c>
      <c r="AB51" s="108">
        <v>2580</v>
      </c>
      <c r="AC51" s="108">
        <f t="shared" si="6"/>
        <v>0</v>
      </c>
      <c r="AD51" s="108">
        <v>2580</v>
      </c>
      <c r="AE51" s="109">
        <f t="shared" si="7"/>
        <v>2580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574</v>
      </c>
      <c r="S52" s="106">
        <f t="shared" si="1"/>
        <v>240</v>
      </c>
      <c r="T52" s="106">
        <v>1054</v>
      </c>
      <c r="U52" s="106" t="str">
        <f t="shared" si="2"/>
        <v/>
      </c>
      <c r="V52" s="106"/>
      <c r="W52" s="106">
        <f t="shared" si="3"/>
        <v>1095.5</v>
      </c>
      <c r="X52" s="106">
        <v>2191</v>
      </c>
      <c r="Y52" s="106">
        <f t="shared" si="4"/>
        <v>0</v>
      </c>
      <c r="Z52" s="106">
        <v>2191</v>
      </c>
      <c r="AA52" s="106">
        <f t="shared" si="5"/>
        <v>0</v>
      </c>
      <c r="AB52" s="106">
        <v>2191</v>
      </c>
      <c r="AC52" s="106">
        <f t="shared" si="6"/>
        <v>0</v>
      </c>
      <c r="AD52" s="106">
        <v>2191</v>
      </c>
      <c r="AE52" s="107">
        <f t="shared" si="7"/>
        <v>2191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 t="str">
        <f t="shared" si="2"/>
        <v/>
      </c>
      <c r="V53" s="108"/>
      <c r="W53" s="108">
        <f t="shared" si="3"/>
        <v>769.5</v>
      </c>
      <c r="X53" s="108">
        <v>1539</v>
      </c>
      <c r="Y53" s="108">
        <f t="shared" si="4"/>
        <v>0</v>
      </c>
      <c r="Z53" s="108">
        <v>1539</v>
      </c>
      <c r="AA53" s="108">
        <f t="shared" si="5"/>
        <v>0</v>
      </c>
      <c r="AB53" s="108">
        <v>1539</v>
      </c>
      <c r="AC53" s="108">
        <f t="shared" si="6"/>
        <v>0</v>
      </c>
      <c r="AD53" s="108">
        <v>1539</v>
      </c>
      <c r="AE53" s="109">
        <f t="shared" si="7"/>
        <v>1539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/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/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/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1504</v>
      </c>
      <c r="S57" s="104">
        <f t="shared" si="1"/>
        <v>202.5</v>
      </c>
      <c r="T57" s="104">
        <v>1909</v>
      </c>
      <c r="U57" s="104" t="str">
        <f t="shared" si="2"/>
        <v/>
      </c>
      <c r="V57" s="104"/>
      <c r="W57" s="104">
        <f t="shared" si="3"/>
        <v>1441.5</v>
      </c>
      <c r="X57" s="104">
        <v>2883</v>
      </c>
      <c r="Y57" s="104">
        <f t="shared" si="4"/>
        <v>0</v>
      </c>
      <c r="Z57" s="104">
        <v>2883</v>
      </c>
      <c r="AA57" s="104">
        <f t="shared" si="5"/>
        <v>0</v>
      </c>
      <c r="AB57" s="104">
        <v>2883</v>
      </c>
      <c r="AC57" s="104">
        <f t="shared" si="6"/>
        <v>0</v>
      </c>
      <c r="AD57" s="104">
        <v>2883</v>
      </c>
      <c r="AE57" s="105">
        <f t="shared" si="7"/>
        <v>2883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1411</v>
      </c>
      <c r="S58" s="106">
        <f t="shared" si="1"/>
        <v>287</v>
      </c>
      <c r="T58" s="106">
        <v>1985</v>
      </c>
      <c r="U58" s="106" t="str">
        <f t="shared" si="2"/>
        <v/>
      </c>
      <c r="V58" s="106"/>
      <c r="W58" s="106">
        <f t="shared" si="3"/>
        <v>1659</v>
      </c>
      <c r="X58" s="106">
        <v>3318</v>
      </c>
      <c r="Y58" s="106">
        <f t="shared" si="4"/>
        <v>0</v>
      </c>
      <c r="Z58" s="106">
        <v>3318</v>
      </c>
      <c r="AA58" s="106">
        <f t="shared" si="5"/>
        <v>0</v>
      </c>
      <c r="AB58" s="106">
        <v>3318</v>
      </c>
      <c r="AC58" s="106">
        <f t="shared" si="6"/>
        <v>0</v>
      </c>
      <c r="AD58" s="106">
        <v>3318</v>
      </c>
      <c r="AE58" s="107">
        <f t="shared" si="7"/>
        <v>3318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1522</v>
      </c>
      <c r="S59" s="108">
        <f t="shared" si="1"/>
        <v>0</v>
      </c>
      <c r="T59" s="108">
        <v>1522</v>
      </c>
      <c r="U59" s="108" t="str">
        <f t="shared" si="2"/>
        <v/>
      </c>
      <c r="V59" s="108"/>
      <c r="W59" s="108">
        <f t="shared" si="3"/>
        <v>761</v>
      </c>
      <c r="X59" s="108">
        <v>1522</v>
      </c>
      <c r="Y59" s="108">
        <f t="shared" si="4"/>
        <v>0</v>
      </c>
      <c r="Z59" s="108">
        <v>1522</v>
      </c>
      <c r="AA59" s="108">
        <f t="shared" si="5"/>
        <v>0</v>
      </c>
      <c r="AB59" s="108">
        <v>1522</v>
      </c>
      <c r="AC59" s="108">
        <f t="shared" si="6"/>
        <v>0</v>
      </c>
      <c r="AD59" s="108">
        <v>1522</v>
      </c>
      <c r="AE59" s="109">
        <f t="shared" si="7"/>
        <v>1522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1300</v>
      </c>
      <c r="S60" s="114">
        <f t="shared" si="1"/>
        <v>198</v>
      </c>
      <c r="T60" s="114">
        <v>1696</v>
      </c>
      <c r="U60" s="114" t="str">
        <f t="shared" si="2"/>
        <v/>
      </c>
      <c r="V60" s="114"/>
      <c r="W60" s="114">
        <f t="shared" si="3"/>
        <v>1119.5</v>
      </c>
      <c r="X60" s="114">
        <v>2239</v>
      </c>
      <c r="Y60" s="114">
        <f t="shared" si="4"/>
        <v>0</v>
      </c>
      <c r="Z60" s="114">
        <v>2239</v>
      </c>
      <c r="AA60" s="114">
        <f t="shared" si="5"/>
        <v>0</v>
      </c>
      <c r="AB60" s="114">
        <v>2239</v>
      </c>
      <c r="AC60" s="114">
        <f t="shared" si="6"/>
        <v>0</v>
      </c>
      <c r="AD60" s="114">
        <v>2239</v>
      </c>
      <c r="AE60" s="115">
        <f t="shared" si="7"/>
        <v>2239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0</v>
      </c>
      <c r="S61" s="104">
        <f t="shared" si="1"/>
        <v>394.5</v>
      </c>
      <c r="T61" s="104">
        <v>789</v>
      </c>
      <c r="U61" s="104" t="str">
        <f t="shared" si="2"/>
        <v/>
      </c>
      <c r="V61" s="104"/>
      <c r="W61" s="104">
        <f t="shared" si="3"/>
        <v>993</v>
      </c>
      <c r="X61" s="104">
        <v>1986</v>
      </c>
      <c r="Y61" s="104">
        <f t="shared" si="4"/>
        <v>-241</v>
      </c>
      <c r="Z61" s="104">
        <v>1504</v>
      </c>
      <c r="AA61" s="104">
        <f t="shared" si="5"/>
        <v>0</v>
      </c>
      <c r="AB61" s="104">
        <v>1504</v>
      </c>
      <c r="AC61" s="104">
        <f t="shared" si="6"/>
        <v>0</v>
      </c>
      <c r="AD61" s="104">
        <v>1504</v>
      </c>
      <c r="AE61" s="105">
        <f t="shared" si="7"/>
        <v>1504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355</v>
      </c>
      <c r="S62" s="106">
        <f t="shared" si="1"/>
        <v>58</v>
      </c>
      <c r="T62" s="106">
        <v>471</v>
      </c>
      <c r="U62" s="106" t="str">
        <f t="shared" si="2"/>
        <v/>
      </c>
      <c r="V62" s="106"/>
      <c r="W62" s="106">
        <f t="shared" si="3"/>
        <v>926.5</v>
      </c>
      <c r="X62" s="106">
        <v>1853</v>
      </c>
      <c r="Y62" s="106">
        <f t="shared" si="4"/>
        <v>0</v>
      </c>
      <c r="Z62" s="106">
        <v>1853</v>
      </c>
      <c r="AA62" s="106">
        <f t="shared" si="5"/>
        <v>0</v>
      </c>
      <c r="AB62" s="106">
        <v>1853</v>
      </c>
      <c r="AC62" s="106">
        <f t="shared" si="6"/>
        <v>0</v>
      </c>
      <c r="AD62" s="106">
        <v>1853</v>
      </c>
      <c r="AE62" s="107">
        <f t="shared" si="7"/>
        <v>1853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311</v>
      </c>
      <c r="S63" s="108">
        <f t="shared" si="1"/>
        <v>0</v>
      </c>
      <c r="T63" s="108">
        <v>311</v>
      </c>
      <c r="U63" s="108" t="str">
        <f t="shared" si="2"/>
        <v/>
      </c>
      <c r="V63" s="108"/>
      <c r="W63" s="108">
        <f t="shared" si="3"/>
        <v>444</v>
      </c>
      <c r="X63" s="108">
        <v>888</v>
      </c>
      <c r="Y63" s="108">
        <f t="shared" si="4"/>
        <v>148.5</v>
      </c>
      <c r="Z63" s="108">
        <v>1185</v>
      </c>
      <c r="AA63" s="108">
        <f t="shared" si="5"/>
        <v>0</v>
      </c>
      <c r="AB63" s="108">
        <v>1185</v>
      </c>
      <c r="AC63" s="108">
        <f t="shared" si="6"/>
        <v>0</v>
      </c>
      <c r="AD63" s="108">
        <v>1185</v>
      </c>
      <c r="AE63" s="109">
        <f t="shared" si="7"/>
        <v>1185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1281</v>
      </c>
      <c r="S64" s="114">
        <f t="shared" si="1"/>
        <v>319.5</v>
      </c>
      <c r="T64" s="114">
        <v>1920</v>
      </c>
      <c r="U64" s="114" t="str">
        <f t="shared" si="2"/>
        <v/>
      </c>
      <c r="V64" s="114"/>
      <c r="W64" s="114">
        <f t="shared" si="3"/>
        <v>1082.5</v>
      </c>
      <c r="X64" s="114">
        <v>2165</v>
      </c>
      <c r="Y64" s="114">
        <f t="shared" si="4"/>
        <v>30</v>
      </c>
      <c r="Z64" s="114">
        <v>2225</v>
      </c>
      <c r="AA64" s="114">
        <f t="shared" si="5"/>
        <v>0</v>
      </c>
      <c r="AB64" s="114">
        <v>2225</v>
      </c>
      <c r="AC64" s="114">
        <f t="shared" si="6"/>
        <v>0</v>
      </c>
      <c r="AD64" s="114">
        <v>2225</v>
      </c>
      <c r="AE64" s="115">
        <f t="shared" si="7"/>
        <v>2225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39" priority="11" operator="lessThan">
      <formula>0</formula>
    </cfRule>
    <cfRule type="cellIs" dxfId="538" priority="12" operator="greaterThan">
      <formula>0</formula>
    </cfRule>
  </conditionalFormatting>
  <conditionalFormatting sqref="R25:AC25">
    <cfRule type="cellIs" dxfId="537" priority="9" operator="lessThan">
      <formula>0</formula>
    </cfRule>
    <cfRule type="cellIs" dxfId="536" priority="10" operator="greaterThan">
      <formula>0</formula>
    </cfRule>
  </conditionalFormatting>
  <conditionalFormatting sqref="R26 T26 V26 X26 Z26 AB26">
    <cfRule type="cellIs" dxfId="535" priority="7" operator="lessThan">
      <formula>0</formula>
    </cfRule>
    <cfRule type="cellIs" dxfId="534" priority="8" operator="greaterThan">
      <formula>0</formula>
    </cfRule>
  </conditionalFormatting>
  <conditionalFormatting sqref="AD24:AE24">
    <cfRule type="cellIs" dxfId="533" priority="5" operator="lessThan">
      <formula>0</formula>
    </cfRule>
    <cfRule type="cellIs" dxfId="532" priority="6" operator="greaterThan">
      <formula>0</formula>
    </cfRule>
  </conditionalFormatting>
  <conditionalFormatting sqref="AD25:AE25">
    <cfRule type="cellIs" dxfId="531" priority="3" operator="lessThan">
      <formula>0</formula>
    </cfRule>
    <cfRule type="cellIs" dxfId="530" priority="4" operator="greaterThan">
      <formula>0</formula>
    </cfRule>
  </conditionalFormatting>
  <conditionalFormatting sqref="AD26">
    <cfRule type="cellIs" dxfId="529" priority="1" operator="lessThan">
      <formula>0</formula>
    </cfRule>
    <cfRule type="cellIs" dxfId="52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44474</v>
      </c>
    </row>
    <row r="3" spans="2:42" ht="18.75" customHeight="1" thickBot="1" x14ac:dyDescent="0.35">
      <c r="B3" t="s">
        <v>1</v>
      </c>
      <c r="C3" s="3">
        <f>C2+1</f>
        <v>44475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4126</v>
      </c>
      <c r="E6" s="18" t="s">
        <v>22</v>
      </c>
      <c r="F6" s="119">
        <v>21190</v>
      </c>
      <c r="G6" s="117">
        <v>10462.7515</v>
      </c>
      <c r="H6" s="117">
        <v>999.98513749999984</v>
      </c>
      <c r="I6" s="19">
        <f>G6+H6</f>
        <v>11462.7366375</v>
      </c>
      <c r="J6" s="119">
        <v>22701</v>
      </c>
      <c r="K6" s="117">
        <v>11196.279500000001</v>
      </c>
      <c r="L6" s="117">
        <v>1090.6206999999999</v>
      </c>
      <c r="M6" s="19">
        <f>K6+L6</f>
        <v>12286.9002</v>
      </c>
      <c r="N6" s="85">
        <v>62</v>
      </c>
      <c r="O6" s="85">
        <v>49</v>
      </c>
      <c r="P6" s="92"/>
      <c r="Q6" s="20">
        <f>J6-P6</f>
        <v>22701</v>
      </c>
      <c r="R6" s="21">
        <v>6226</v>
      </c>
      <c r="S6" s="20">
        <f>IF(R6&gt;0,(R6-R7-$Q6),"")</f>
        <v>-16555</v>
      </c>
      <c r="T6" s="21">
        <v>7807</v>
      </c>
      <c r="U6" s="20">
        <f>IF(T6&gt;0,(T6-T7-$Q6),"")</f>
        <v>-14981</v>
      </c>
      <c r="V6" s="21">
        <v>14947</v>
      </c>
      <c r="W6" s="20">
        <f>IF(V6&gt;0,(V6-V7-$Q6),"")</f>
        <v>-7861</v>
      </c>
      <c r="X6" s="21">
        <v>17217</v>
      </c>
      <c r="Y6" s="20">
        <f>IF(X6&gt;0,(X6-X7-$Q6),"")</f>
        <v>-5595</v>
      </c>
      <c r="Z6" s="21">
        <v>17217</v>
      </c>
      <c r="AA6" s="20">
        <f>IF(Z6&gt;0,(Z6-Z7-$Q6),"")</f>
        <v>-5595</v>
      </c>
      <c r="AB6" s="21">
        <v>17217</v>
      </c>
      <c r="AC6" s="22">
        <f>IF(AB6&gt;0,(AB6-AB7-$Q6),"")</f>
        <v>-5595</v>
      </c>
      <c r="AD6" s="21">
        <v>17217</v>
      </c>
      <c r="AE6" s="22">
        <f>IF(AD6&gt;0,(AD6-AD7-$Q6),"")</f>
        <v>-5595</v>
      </c>
    </row>
    <row r="7" spans="2:42" x14ac:dyDescent="0.3">
      <c r="B7" s="16" t="s">
        <v>23</v>
      </c>
      <c r="C7" s="17">
        <v>1582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80</v>
      </c>
      <c r="S7" s="24"/>
      <c r="T7" s="25">
        <v>87</v>
      </c>
      <c r="U7" s="24"/>
      <c r="V7" s="25">
        <v>107</v>
      </c>
      <c r="W7" s="24"/>
      <c r="X7" s="25">
        <v>111</v>
      </c>
      <c r="Y7" s="24"/>
      <c r="Z7" s="25">
        <v>111</v>
      </c>
      <c r="AA7" s="24"/>
      <c r="AB7" s="25">
        <v>111</v>
      </c>
      <c r="AC7" s="26"/>
      <c r="AD7" s="25">
        <v>111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2355</v>
      </c>
      <c r="E8" s="29" t="s">
        <v>27</v>
      </c>
      <c r="F8" s="119">
        <v>3965</v>
      </c>
      <c r="G8" s="117">
        <v>3751.9679999999998</v>
      </c>
      <c r="H8" s="117">
        <v>13085.073372560009</v>
      </c>
      <c r="I8" s="19">
        <f>G8+H8</f>
        <v>16837.041372560008</v>
      </c>
      <c r="J8" s="119">
        <v>4166</v>
      </c>
      <c r="K8" s="117">
        <v>4077.6460000000002</v>
      </c>
      <c r="L8" s="117">
        <v>13219.34631078</v>
      </c>
      <c r="M8" s="19">
        <f>K8+L8</f>
        <v>17296.992310779999</v>
      </c>
      <c r="N8" s="87">
        <v>18</v>
      </c>
      <c r="O8" s="87">
        <v>14</v>
      </c>
      <c r="P8" s="92"/>
      <c r="Q8" s="20">
        <f>J8-P8</f>
        <v>4166</v>
      </c>
      <c r="R8" s="21">
        <v>559</v>
      </c>
      <c r="S8" s="20">
        <f>IF(R8&gt;0,(R8-R9-$Q8),"")</f>
        <v>-3607</v>
      </c>
      <c r="T8" s="21">
        <v>860</v>
      </c>
      <c r="U8" s="20">
        <f>IF(T8&gt;0,(T8-T9-$Q8),"")</f>
        <v>-3306</v>
      </c>
      <c r="V8" s="21">
        <v>1987</v>
      </c>
      <c r="W8" s="20">
        <f>IF(V8&gt;0,(V8-V9-$Q8),"")</f>
        <v>-2179</v>
      </c>
      <c r="X8" s="21">
        <v>1987</v>
      </c>
      <c r="Y8" s="20">
        <f>IF(X8&gt;0,(X8-X9-$Q8),"")</f>
        <v>-2179</v>
      </c>
      <c r="Z8" s="21">
        <v>1987</v>
      </c>
      <c r="AA8" s="20">
        <f>IF(Z8&gt;0,(Z8-Z9-$Q8),"")</f>
        <v>-2179</v>
      </c>
      <c r="AB8" s="21">
        <v>1987</v>
      </c>
      <c r="AC8" s="22">
        <f>IF(AB8&gt;0,(AB8-AB9-$Q8),"")</f>
        <v>-2179</v>
      </c>
      <c r="AD8" s="21">
        <v>1987</v>
      </c>
      <c r="AE8" s="22">
        <f>IF(AD8&gt;0,(AD8-AD9-$Q8),"")</f>
        <v>-2179</v>
      </c>
    </row>
    <row r="9" spans="2:42" x14ac:dyDescent="0.3">
      <c r="B9" s="28" t="s">
        <v>28</v>
      </c>
      <c r="C9" s="17">
        <v>1365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4455</v>
      </c>
      <c r="E10" s="18" t="s">
        <v>31</v>
      </c>
      <c r="F10" s="119">
        <v>19350</v>
      </c>
      <c r="G10" s="117">
        <v>13929.07375</v>
      </c>
      <c r="H10" s="117">
        <v>450.04111</v>
      </c>
      <c r="I10" s="19">
        <f>G10+H10</f>
        <v>14379.11486</v>
      </c>
      <c r="J10" s="119">
        <v>20071</v>
      </c>
      <c r="K10" s="117">
        <v>14384.65575</v>
      </c>
      <c r="L10" s="117">
        <v>477.26205230000011</v>
      </c>
      <c r="M10" s="19">
        <f>K10+L10</f>
        <v>14861.9178023</v>
      </c>
      <c r="N10" s="88">
        <v>44</v>
      </c>
      <c r="O10" s="88">
        <v>37</v>
      </c>
      <c r="P10" s="92"/>
      <c r="Q10" s="20">
        <f>J10-P10</f>
        <v>20071</v>
      </c>
      <c r="R10" s="21">
        <v>3662</v>
      </c>
      <c r="S10" s="20">
        <f>IF(R10&gt;0,(R10-R11-$Q10),"")</f>
        <v>-16409</v>
      </c>
      <c r="T10" s="21">
        <v>7369</v>
      </c>
      <c r="U10" s="20">
        <f>IF(T10&gt;0,(T10-T11-$Q10),"")</f>
        <v>-12702</v>
      </c>
      <c r="V10" s="21">
        <v>10010</v>
      </c>
      <c r="W10" s="20">
        <f>IF(V10&gt;0,(V10-V11-$Q10),"")</f>
        <v>-10061</v>
      </c>
      <c r="X10" s="21">
        <v>13378</v>
      </c>
      <c r="Y10" s="20">
        <f>IF(X10&gt;0,(X10-X11-$Q10),"")</f>
        <v>-6693</v>
      </c>
      <c r="Z10" s="21">
        <v>16062</v>
      </c>
      <c r="AA10" s="20">
        <f>IF(Z10&gt;0,(Z10-Z11-$Q10),"")</f>
        <v>-4009</v>
      </c>
      <c r="AB10" s="21">
        <v>16062</v>
      </c>
      <c r="AC10" s="22">
        <f>IF(AB10&gt;0,(AB10-AB11-$Q10),"")</f>
        <v>-4009</v>
      </c>
      <c r="AD10" s="21">
        <v>16062</v>
      </c>
      <c r="AE10" s="22">
        <f>IF(AD10&gt;0,(AD10-AD11-$Q10),"")</f>
        <v>-4009</v>
      </c>
    </row>
    <row r="11" spans="2:42" x14ac:dyDescent="0.3">
      <c r="B11" s="16" t="s">
        <v>38</v>
      </c>
      <c r="C11" s="17">
        <v>11217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0</v>
      </c>
      <c r="W11" s="24"/>
      <c r="X11" s="30">
        <v>0</v>
      </c>
      <c r="Y11" s="24"/>
      <c r="Z11" s="30">
        <v>0</v>
      </c>
      <c r="AA11" s="24"/>
      <c r="AB11" s="30">
        <v>0</v>
      </c>
      <c r="AC11" s="26"/>
      <c r="AD11" s="30">
        <v>0</v>
      </c>
      <c r="AE11" s="26"/>
    </row>
    <row r="12" spans="2:42" x14ac:dyDescent="0.3">
      <c r="B12" s="16" t="s">
        <v>40</v>
      </c>
      <c r="C12" s="17">
        <v>1691</v>
      </c>
      <c r="E12" s="29" t="s">
        <v>35</v>
      </c>
      <c r="F12" s="119">
        <v>11345</v>
      </c>
      <c r="G12" s="117">
        <v>10863.1515</v>
      </c>
      <c r="H12" s="117">
        <v>13836.336683</v>
      </c>
      <c r="I12" s="19">
        <f>G12+H12</f>
        <v>24699.488183000001</v>
      </c>
      <c r="J12" s="119">
        <v>12798</v>
      </c>
      <c r="K12" s="117">
        <v>12317.67175</v>
      </c>
      <c r="L12" s="117">
        <v>15442.89829977</v>
      </c>
      <c r="M12" s="19">
        <f>K12+L12</f>
        <v>27760.570049770002</v>
      </c>
      <c r="N12" s="88">
        <v>46</v>
      </c>
      <c r="O12" s="88">
        <v>35</v>
      </c>
      <c r="P12" s="92"/>
      <c r="Q12" s="20">
        <f>J12-P12</f>
        <v>12798</v>
      </c>
      <c r="R12" s="21">
        <v>5957</v>
      </c>
      <c r="S12" s="20">
        <f>IF(R12&gt;0,(R12-R13-$Q12),"")</f>
        <v>-6973</v>
      </c>
      <c r="T12" s="21">
        <v>6238</v>
      </c>
      <c r="U12" s="20">
        <f>IF(T12&gt;0,(T12-T13-$Q12),"")</f>
        <v>-6692</v>
      </c>
      <c r="V12" s="21">
        <v>10524</v>
      </c>
      <c r="W12" s="20">
        <f>IF(V12&gt;0,(V12-V13-$Q12),"")</f>
        <v>-2407</v>
      </c>
      <c r="X12" s="21">
        <v>10524</v>
      </c>
      <c r="Y12" s="20">
        <f>IF(X12&gt;0,(X12-X13-$Q12),"")</f>
        <v>-2407</v>
      </c>
      <c r="Z12" s="21">
        <v>10524</v>
      </c>
      <c r="AA12" s="20">
        <f>IF(Z12&gt;0,(Z12-Z13-$Q12),"")</f>
        <v>-2407</v>
      </c>
      <c r="AB12" s="21">
        <v>10524</v>
      </c>
      <c r="AC12" s="22">
        <f>IF(AB12&gt;0,(AB12-AB13-$Q12),"")</f>
        <v>-2407</v>
      </c>
      <c r="AD12" s="21">
        <v>10524</v>
      </c>
      <c r="AE12" s="22">
        <f>IF(AD12&gt;0,(AD12-AD13-$Q12),"")</f>
        <v>-2407</v>
      </c>
    </row>
    <row r="13" spans="2:42" x14ac:dyDescent="0.3">
      <c r="B13" s="28" t="s">
        <v>42</v>
      </c>
      <c r="C13" s="17">
        <v>14602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132</v>
      </c>
      <c r="S13" s="24"/>
      <c r="T13" s="30">
        <v>132</v>
      </c>
      <c r="U13" s="24"/>
      <c r="V13" s="30">
        <v>133</v>
      </c>
      <c r="W13" s="24"/>
      <c r="X13" s="30">
        <v>133</v>
      </c>
      <c r="Y13" s="24"/>
      <c r="Z13" s="30">
        <v>133</v>
      </c>
      <c r="AA13" s="24"/>
      <c r="AB13" s="30">
        <v>133</v>
      </c>
      <c r="AC13" s="26"/>
      <c r="AD13" s="30">
        <v>133</v>
      </c>
      <c r="AE13" s="26"/>
    </row>
    <row r="14" spans="2:42" x14ac:dyDescent="0.3">
      <c r="B14" s="43" t="s">
        <v>47</v>
      </c>
      <c r="C14" s="17">
        <v>1088</v>
      </c>
      <c r="E14" s="18" t="s">
        <v>39</v>
      </c>
      <c r="F14" s="119">
        <v>27523</v>
      </c>
      <c r="G14" s="117">
        <v>18835.662499999999</v>
      </c>
      <c r="H14" s="117">
        <v>28698.846141160018</v>
      </c>
      <c r="I14" s="19">
        <f>G14+H14</f>
        <v>47534.50864116002</v>
      </c>
      <c r="J14" s="119">
        <v>28994</v>
      </c>
      <c r="K14" s="117">
        <v>21003.647000000001</v>
      </c>
      <c r="L14" s="117">
        <v>30800.34723344001</v>
      </c>
      <c r="M14" s="19">
        <f>K14+L14</f>
        <v>51803.994233440011</v>
      </c>
      <c r="N14" s="88">
        <v>67</v>
      </c>
      <c r="O14" s="88">
        <v>50</v>
      </c>
      <c r="P14" s="92"/>
      <c r="Q14" s="20">
        <f>J14-P14</f>
        <v>28994</v>
      </c>
      <c r="R14" s="21">
        <v>2500</v>
      </c>
      <c r="S14" s="20">
        <f>IF(R14&gt;0,(R14-R15-$Q14),"")</f>
        <v>-26494</v>
      </c>
      <c r="T14" s="21">
        <v>3666</v>
      </c>
      <c r="U14" s="20">
        <f>IF(T14&gt;0,(T14-T15-$Q14),"")</f>
        <v>-25330</v>
      </c>
      <c r="V14" s="21">
        <v>5419</v>
      </c>
      <c r="W14" s="20">
        <f>IF(V14&gt;0,(V14-V15-$Q14),"")</f>
        <v>-23601</v>
      </c>
      <c r="X14" s="21">
        <v>5758</v>
      </c>
      <c r="Y14" s="20">
        <f>IF(X14&gt;0,(X14-X15-$Q14),"")</f>
        <v>-23263</v>
      </c>
      <c r="Z14" s="21">
        <v>6511</v>
      </c>
      <c r="AA14" s="20">
        <f>IF(Z14&gt;0,(Z14-Z15-$Q14),"")</f>
        <v>-22513</v>
      </c>
      <c r="AB14" s="21">
        <v>6511</v>
      </c>
      <c r="AC14" s="22">
        <f>IF(AB14&gt;0,(AB14-AB15-$Q14),"")</f>
        <v>-22513</v>
      </c>
      <c r="AD14" s="21">
        <v>6511</v>
      </c>
      <c r="AE14" s="22">
        <f>IF(AD14&gt;0,(AD14-AD15-$Q14),"")</f>
        <v>-22513</v>
      </c>
    </row>
    <row r="15" spans="2:42" ht="15" customHeight="1" thickBot="1" x14ac:dyDescent="0.35">
      <c r="B15" s="43" t="s">
        <v>48</v>
      </c>
      <c r="C15" s="50">
        <v>211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0</v>
      </c>
      <c r="S15" s="24"/>
      <c r="T15" s="25">
        <v>2</v>
      </c>
      <c r="U15" s="24"/>
      <c r="V15" s="25">
        <v>26</v>
      </c>
      <c r="W15" s="24"/>
      <c r="X15" s="25">
        <v>27</v>
      </c>
      <c r="Y15" s="24"/>
      <c r="Z15" s="25">
        <v>30</v>
      </c>
      <c r="AA15" s="24"/>
      <c r="AB15" s="25">
        <v>30</v>
      </c>
      <c r="AC15" s="26"/>
      <c r="AD15" s="25">
        <v>30</v>
      </c>
      <c r="AE15" s="26"/>
    </row>
    <row r="16" spans="2:42" ht="15" customHeight="1" thickBot="1" x14ac:dyDescent="0.35">
      <c r="B16" s="16" t="s">
        <v>50</v>
      </c>
      <c r="C16" s="17">
        <v>10333</v>
      </c>
      <c r="E16" s="84"/>
      <c r="F16" s="31">
        <f t="shared" ref="F16:M16" si="0">SUM(F6:F15)</f>
        <v>83373</v>
      </c>
      <c r="G16" s="31">
        <f t="shared" si="0"/>
        <v>57842.607249999994</v>
      </c>
      <c r="H16" s="31">
        <f t="shared" si="0"/>
        <v>57070.282444220022</v>
      </c>
      <c r="I16" s="32">
        <f t="shared" si="0"/>
        <v>114912.88969422002</v>
      </c>
      <c r="J16" s="33">
        <f t="shared" si="0"/>
        <v>88730</v>
      </c>
      <c r="K16" s="33">
        <f t="shared" si="0"/>
        <v>62979.900000000009</v>
      </c>
      <c r="L16" s="33">
        <f t="shared" si="0"/>
        <v>61030.474596290005</v>
      </c>
      <c r="M16" s="33">
        <f t="shared" si="0"/>
        <v>124010.37459629001</v>
      </c>
      <c r="N16" s="31">
        <f>SUM(N14,N12,N10,N8,N6)</f>
        <v>237</v>
      </c>
      <c r="O16" s="31">
        <f>SUM(O14,O12,O10,O8,O6)</f>
        <v>185</v>
      </c>
      <c r="P16" s="34">
        <f>SUM(P6:P15)</f>
        <v>0</v>
      </c>
      <c r="Q16" s="34">
        <f>SUM(Q6:Q15)</f>
        <v>88730</v>
      </c>
      <c r="R16" s="35">
        <f>R6+R8+R10+R12+R14-R7-R9-R11-R13-R15</f>
        <v>18692</v>
      </c>
      <c r="S16" s="36">
        <f>IF(R16&gt;1,(R16-$Q16),"")</f>
        <v>-70038</v>
      </c>
      <c r="T16" s="35">
        <f>T6+T8+T10+T12+T14-T7-T9-T11-T13-T15</f>
        <v>25719</v>
      </c>
      <c r="U16" s="36">
        <f>IF(T16&gt;1,(T16-$Q16),"")</f>
        <v>-63011</v>
      </c>
      <c r="V16" s="35">
        <f>V6+V8+V10+V12+V14-V7-V9-V11-V13-V15</f>
        <v>42621</v>
      </c>
      <c r="W16" s="36">
        <f>IF(V16&gt;1,(V16-$Q16),"")</f>
        <v>-46109</v>
      </c>
      <c r="X16" s="35">
        <f>X6+X8+X10+X12+X14-X7-X9-X11-X13-X15</f>
        <v>48593</v>
      </c>
      <c r="Y16" s="36">
        <f>IF(X16&gt;1,(X16-$Q16),"")</f>
        <v>-40137</v>
      </c>
      <c r="Z16" s="35">
        <f>Z6+Z8+Z10+Z12+Z14-Z7-Z9-Z11-Z13-Z15</f>
        <v>52027</v>
      </c>
      <c r="AA16" s="36">
        <f>IF(Z16&gt;1,(Z16-$Q16),"")</f>
        <v>-36703</v>
      </c>
      <c r="AB16" s="35">
        <f>AB6+AB8+AB10+AB12+AB14-AB7-AB9-AB11-AB13-AB15</f>
        <v>52027</v>
      </c>
      <c r="AC16" s="37">
        <f>IF(AB16&gt;1,(AB16-$Q16),"")</f>
        <v>-36703</v>
      </c>
      <c r="AD16" s="35">
        <f>AD6+AD8+AD10+AD12+AD14-AD7-AD9-AD11-AD13-AD15</f>
        <v>52027</v>
      </c>
      <c r="AE16" s="37">
        <f>IF(AD16&gt;1,(AD16-$Q16),"")</f>
        <v>-36703</v>
      </c>
    </row>
    <row r="17" spans="2:43" s="4" customFormat="1" ht="15" customHeight="1" thickBot="1" x14ac:dyDescent="0.35">
      <c r="B17" s="16" t="s">
        <v>51</v>
      </c>
      <c r="C17" s="17">
        <v>1698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212</v>
      </c>
      <c r="S17" s="41"/>
      <c r="T17" s="40">
        <f>T15+T13+T11+T9+T7</f>
        <v>221</v>
      </c>
      <c r="U17" s="41"/>
      <c r="V17" s="40">
        <f>V15+V13+V11+V9+V7</f>
        <v>266</v>
      </c>
      <c r="W17" s="41"/>
      <c r="X17" s="40">
        <f>X15+X13+X11+X9+X7</f>
        <v>271</v>
      </c>
      <c r="Y17" s="41"/>
      <c r="Z17" s="40">
        <f>Z15+Z13+Z11+Z9+Z7</f>
        <v>274</v>
      </c>
      <c r="AA17" s="41"/>
      <c r="AB17" s="40">
        <f>AB15+AB13+AB11+AB9+AB7</f>
        <v>274</v>
      </c>
      <c r="AC17" s="42"/>
      <c r="AD17" s="40">
        <f>AD15+AD13+AD11+AD9+AD7</f>
        <v>274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4765</v>
      </c>
      <c r="O18" s="131">
        <f>O17/N16</f>
        <v>0.21940928270042195</v>
      </c>
      <c r="P18" s="45" t="s">
        <v>46</v>
      </c>
      <c r="Q18" s="46"/>
      <c r="R18" s="47">
        <f>IF(R16&gt;0,(R16)/2,"")</f>
        <v>9346</v>
      </c>
      <c r="S18" s="46"/>
      <c r="T18" s="47">
        <f>IF(T16&gt;0,(T16-R16)/2,"")</f>
        <v>3513.5</v>
      </c>
      <c r="U18" s="46"/>
      <c r="V18" s="47">
        <f>IF(V16&gt;0,(V16-T16)/2,"")</f>
        <v>8451</v>
      </c>
      <c r="W18" s="46"/>
      <c r="X18" s="47">
        <f>IF(X16&gt;0,(X16-V16)/2,"")</f>
        <v>2986</v>
      </c>
      <c r="Y18" s="46"/>
      <c r="Z18" s="47">
        <f>IF(Z16&gt;0,(Z16-X16)/2,"")</f>
        <v>1717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18692</v>
      </c>
      <c r="S24" s="60"/>
      <c r="T24" s="60">
        <f>IF(T16&gt;0,T16-T20,"")</f>
        <v>25719</v>
      </c>
      <c r="U24" s="60"/>
      <c r="V24" s="60">
        <f>IF(V16&gt;0,V16-V20,"")</f>
        <v>42621</v>
      </c>
      <c r="W24" s="60"/>
      <c r="X24" s="60">
        <f>IF(X16&gt;0,X16-X20,"")</f>
        <v>48593</v>
      </c>
      <c r="Y24" s="60"/>
      <c r="Z24" s="60">
        <f>IF(Z16&gt;0,Z16-Z20,"")</f>
        <v>52027</v>
      </c>
      <c r="AA24" s="60"/>
      <c r="AB24" s="60">
        <f>IF(AB16&gt;0,AB16-AB20,"")</f>
        <v>52027</v>
      </c>
      <c r="AC24" s="61"/>
      <c r="AD24" s="60">
        <f>IF(AD16&gt;0,AD16-AD20,"")</f>
        <v>52027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212</v>
      </c>
      <c r="S25" s="64"/>
      <c r="T25" s="63">
        <f>IF(T17&gt;=0,T17-T21,"")</f>
        <v>221</v>
      </c>
      <c r="U25" s="64"/>
      <c r="V25" s="63">
        <f>IF(V17&gt;=0,V17-V21,"")</f>
        <v>266</v>
      </c>
      <c r="W25" s="64"/>
      <c r="X25" s="63">
        <f>IF(X17&gt;=0,X17-X21,"")</f>
        <v>271</v>
      </c>
      <c r="Y25" s="64"/>
      <c r="Z25" s="63">
        <f>IF(Z17&gt;=0,Z17-Z21,"")</f>
        <v>274</v>
      </c>
      <c r="AA25" s="64"/>
      <c r="AB25" s="63">
        <f>IF(AB17&gt;=0,AB17-AB21,"")</f>
        <v>274</v>
      </c>
      <c r="AC25" s="65"/>
      <c r="AD25" s="63">
        <f>IF(AD17&gt;=0,AD17-AD21,"")</f>
        <v>274</v>
      </c>
      <c r="AE25" s="65"/>
    </row>
    <row r="26" spans="2:43" ht="15" customHeight="1" thickBot="1" x14ac:dyDescent="0.35">
      <c r="B26" s="74" t="s">
        <v>55</v>
      </c>
      <c r="C26" s="122">
        <v>11240</v>
      </c>
      <c r="D26" s="76">
        <f>C11</f>
        <v>11217</v>
      </c>
      <c r="E26" s="77">
        <f>D26-C26</f>
        <v>-23</v>
      </c>
      <c r="M26" s="4"/>
      <c r="Q26" s="66"/>
      <c r="R26" s="67">
        <f>IFERROR(IF(R18&gt;0,R18-R22,""),"")</f>
        <v>1635.5</v>
      </c>
      <c r="S26" s="55"/>
      <c r="T26" s="67">
        <f>IFERROR(IF(T18&gt;0,T18-T22,""),"")</f>
        <v>288</v>
      </c>
      <c r="U26" s="55"/>
      <c r="V26" s="67">
        <f>IFERROR(IF(V18&gt;0,V18-V22,""),"")</f>
        <v>-5065</v>
      </c>
      <c r="W26" s="55"/>
      <c r="X26" s="67">
        <f>IFERROR(IF(X18&gt;0,X18-X22,""),"")</f>
        <v>166.5</v>
      </c>
      <c r="Y26" s="55"/>
      <c r="Z26" s="67">
        <f>IFERROR(IF(Z18&gt;0,Z18-Z22,""),"")</f>
        <v>1717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31686</v>
      </c>
      <c r="D27" s="76">
        <f>C7+C12+C13+C14+C15</f>
        <v>19174</v>
      </c>
      <c r="E27" s="77">
        <f>D27-C27</f>
        <v>-12512</v>
      </c>
      <c r="O27" s="4"/>
      <c r="AF27" s="69"/>
    </row>
    <row r="28" spans="2:43" x14ac:dyDescent="0.3">
      <c r="B28" s="74" t="s">
        <v>21</v>
      </c>
      <c r="C28" s="122">
        <v>4126</v>
      </c>
      <c r="D28" s="76">
        <f>C6</f>
        <v>4126</v>
      </c>
      <c r="E28" s="77">
        <f>D28-C28</f>
        <v>0</v>
      </c>
      <c r="O28" s="4"/>
    </row>
    <row r="29" spans="2:43" x14ac:dyDescent="0.3">
      <c r="B29" s="74" t="s">
        <v>57</v>
      </c>
      <c r="C29" s="122">
        <v>4455</v>
      </c>
      <c r="D29" s="76">
        <f>C10</f>
        <v>4455</v>
      </c>
      <c r="E29" s="77">
        <f>D29-C29</f>
        <v>0</v>
      </c>
      <c r="O29" s="4"/>
    </row>
    <row r="30" spans="2:43" x14ac:dyDescent="0.3">
      <c r="B30" s="74" t="s">
        <v>59</v>
      </c>
      <c r="C30" s="122">
        <v>15438</v>
      </c>
      <c r="D30" s="76">
        <f>C16+C17+C18</f>
        <v>16796</v>
      </c>
      <c r="E30" s="77">
        <f>D30-C30</f>
        <v>1358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3720</v>
      </c>
      <c r="D31" s="80">
        <f>SUM(C8+C9)</f>
        <v>3720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975</v>
      </c>
      <c r="V35" s="104">
        <v>1950</v>
      </c>
      <c r="W35" s="104">
        <f t="shared" ref="W35:W64" si="3">IF(X35&gt;0,(X35-V35)/2,"")</f>
        <v>120</v>
      </c>
      <c r="X35" s="104">
        <v>2190</v>
      </c>
      <c r="Y35" s="104">
        <f t="shared" ref="Y35:Y64" si="4">IF(Z35&gt;0,(Z35-X35)/2,"")</f>
        <v>0</v>
      </c>
      <c r="Z35" s="104">
        <v>2190</v>
      </c>
      <c r="AA35" s="104">
        <f t="shared" ref="AA35:AA64" si="5">IF(AB35&gt;0,(AB35-Z35)/2,"")</f>
        <v>0</v>
      </c>
      <c r="AB35" s="104">
        <v>2190</v>
      </c>
      <c r="AC35" s="104">
        <f t="shared" ref="AC35:AC64" si="6">IF(AD35&gt;0,(AD35-AB35)/2,"")</f>
        <v>0</v>
      </c>
      <c r="AD35" s="104">
        <v>2190</v>
      </c>
      <c r="AE35" s="105">
        <f t="shared" ref="AE35:AE64" si="7">AD35-Q35</f>
        <v>2190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1176</v>
      </c>
      <c r="S36" s="106">
        <f t="shared" si="1"/>
        <v>0</v>
      </c>
      <c r="T36" s="106">
        <v>1176</v>
      </c>
      <c r="U36" s="106">
        <f t="shared" si="2"/>
        <v>0</v>
      </c>
      <c r="V36" s="106">
        <v>1176</v>
      </c>
      <c r="W36" s="106">
        <f t="shared" si="3"/>
        <v>658</v>
      </c>
      <c r="X36" s="106">
        <v>2492</v>
      </c>
      <c r="Y36" s="106">
        <f t="shared" si="4"/>
        <v>0</v>
      </c>
      <c r="Z36" s="106">
        <v>2492</v>
      </c>
      <c r="AA36" s="106">
        <f t="shared" si="5"/>
        <v>0</v>
      </c>
      <c r="AB36" s="106">
        <v>2492</v>
      </c>
      <c r="AC36" s="106">
        <f t="shared" si="6"/>
        <v>0</v>
      </c>
      <c r="AD36" s="106">
        <v>2492</v>
      </c>
      <c r="AE36" s="107">
        <f t="shared" si="7"/>
        <v>2492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1650</v>
      </c>
      <c r="S37" s="108">
        <f t="shared" si="1"/>
        <v>0</v>
      </c>
      <c r="T37" s="108">
        <v>1650</v>
      </c>
      <c r="U37" s="108">
        <f t="shared" si="2"/>
        <v>759.5</v>
      </c>
      <c r="V37" s="108">
        <v>3169</v>
      </c>
      <c r="W37" s="108">
        <f t="shared" si="3"/>
        <v>0</v>
      </c>
      <c r="X37" s="108">
        <v>3169</v>
      </c>
      <c r="Y37" s="108">
        <f t="shared" si="4"/>
        <v>0</v>
      </c>
      <c r="Z37" s="108">
        <v>3169</v>
      </c>
      <c r="AA37" s="108">
        <f t="shared" si="5"/>
        <v>0</v>
      </c>
      <c r="AB37" s="108">
        <v>3169</v>
      </c>
      <c r="AC37" s="108">
        <f t="shared" si="6"/>
        <v>0</v>
      </c>
      <c r="AD37" s="108">
        <v>3169</v>
      </c>
      <c r="AE37" s="109">
        <f t="shared" si="7"/>
        <v>3169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1319</v>
      </c>
      <c r="S38" s="106">
        <f t="shared" si="1"/>
        <v>277.5</v>
      </c>
      <c r="T38" s="106">
        <v>1874</v>
      </c>
      <c r="U38" s="106">
        <f t="shared" si="2"/>
        <v>781</v>
      </c>
      <c r="V38" s="106">
        <v>3436</v>
      </c>
      <c r="W38" s="106">
        <f t="shared" si="3"/>
        <v>-36</v>
      </c>
      <c r="X38" s="106">
        <v>3364</v>
      </c>
      <c r="Y38" s="106">
        <f t="shared" si="4"/>
        <v>0</v>
      </c>
      <c r="Z38" s="106">
        <v>3364</v>
      </c>
      <c r="AA38" s="106">
        <f t="shared" si="5"/>
        <v>0</v>
      </c>
      <c r="AB38" s="106">
        <v>3364</v>
      </c>
      <c r="AC38" s="106">
        <f t="shared" si="6"/>
        <v>0</v>
      </c>
      <c r="AD38" s="106">
        <v>3364</v>
      </c>
      <c r="AE38" s="107">
        <f t="shared" si="7"/>
        <v>3364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883</v>
      </c>
      <c r="S39" s="108">
        <f t="shared" si="1"/>
        <v>297</v>
      </c>
      <c r="T39" s="108">
        <v>1477</v>
      </c>
      <c r="U39" s="108">
        <f t="shared" si="2"/>
        <v>305</v>
      </c>
      <c r="V39" s="108">
        <v>2087</v>
      </c>
      <c r="W39" s="108">
        <f t="shared" si="3"/>
        <v>186</v>
      </c>
      <c r="X39" s="108">
        <v>2459</v>
      </c>
      <c r="Y39" s="108">
        <f t="shared" si="4"/>
        <v>0</v>
      </c>
      <c r="Z39" s="108">
        <v>2459</v>
      </c>
      <c r="AA39" s="108">
        <f t="shared" si="5"/>
        <v>0</v>
      </c>
      <c r="AB39" s="108">
        <v>2459</v>
      </c>
      <c r="AC39" s="108">
        <f t="shared" si="6"/>
        <v>0</v>
      </c>
      <c r="AD39" s="108">
        <v>2459</v>
      </c>
      <c r="AE39" s="109">
        <f t="shared" si="7"/>
        <v>2459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258</v>
      </c>
      <c r="S40" s="106">
        <f t="shared" si="1"/>
        <v>10</v>
      </c>
      <c r="T40" s="106">
        <v>278</v>
      </c>
      <c r="U40" s="106">
        <f t="shared" si="2"/>
        <v>749.5</v>
      </c>
      <c r="V40" s="106">
        <v>1777</v>
      </c>
      <c r="W40" s="106">
        <f t="shared" si="3"/>
        <v>207</v>
      </c>
      <c r="X40" s="106">
        <v>2191</v>
      </c>
      <c r="Y40" s="106">
        <f t="shared" si="4"/>
        <v>0</v>
      </c>
      <c r="Z40" s="106">
        <v>2191</v>
      </c>
      <c r="AA40" s="106">
        <f t="shared" si="5"/>
        <v>0</v>
      </c>
      <c r="AB40" s="106">
        <v>2191</v>
      </c>
      <c r="AC40" s="106">
        <f t="shared" si="6"/>
        <v>0</v>
      </c>
      <c r="AD40" s="106">
        <v>2191</v>
      </c>
      <c r="AE40" s="107">
        <f t="shared" si="7"/>
        <v>2191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940</v>
      </c>
      <c r="S41" s="108">
        <f t="shared" si="1"/>
        <v>206</v>
      </c>
      <c r="T41" s="108">
        <v>1352</v>
      </c>
      <c r="U41" s="108">
        <f t="shared" si="2"/>
        <v>0</v>
      </c>
      <c r="V41" s="108">
        <v>1352</v>
      </c>
      <c r="W41" s="108">
        <f t="shared" si="3"/>
        <v>0</v>
      </c>
      <c r="X41" s="108">
        <v>1352</v>
      </c>
      <c r="Y41" s="108">
        <f t="shared" si="4"/>
        <v>0</v>
      </c>
      <c r="Z41" s="108">
        <v>1352</v>
      </c>
      <c r="AA41" s="108">
        <f t="shared" si="5"/>
        <v>0</v>
      </c>
      <c r="AB41" s="108">
        <v>1352</v>
      </c>
      <c r="AC41" s="108">
        <f t="shared" si="6"/>
        <v>0</v>
      </c>
      <c r="AD41" s="108">
        <v>1352</v>
      </c>
      <c r="AE41" s="109">
        <f t="shared" si="7"/>
        <v>1352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131</v>
      </c>
      <c r="S44" s="112">
        <f t="shared" si="1"/>
        <v>150.5</v>
      </c>
      <c r="T44" s="112">
        <v>432</v>
      </c>
      <c r="U44" s="112">
        <f t="shared" si="2"/>
        <v>168</v>
      </c>
      <c r="V44" s="112">
        <v>768</v>
      </c>
      <c r="W44" s="112">
        <f t="shared" si="3"/>
        <v>0</v>
      </c>
      <c r="X44" s="112">
        <v>768</v>
      </c>
      <c r="Y44" s="112">
        <f t="shared" si="4"/>
        <v>0</v>
      </c>
      <c r="Z44" s="112">
        <v>768</v>
      </c>
      <c r="AA44" s="112">
        <f t="shared" si="5"/>
        <v>0</v>
      </c>
      <c r="AB44" s="112">
        <v>768</v>
      </c>
      <c r="AC44" s="112">
        <f t="shared" si="6"/>
        <v>0</v>
      </c>
      <c r="AD44" s="112">
        <v>768</v>
      </c>
      <c r="AE44" s="113">
        <f t="shared" si="7"/>
        <v>768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428</v>
      </c>
      <c r="S45" s="108">
        <f t="shared" si="1"/>
        <v>0</v>
      </c>
      <c r="T45" s="108">
        <v>428</v>
      </c>
      <c r="U45" s="108">
        <f t="shared" si="2"/>
        <v>395.5</v>
      </c>
      <c r="V45" s="108">
        <v>1219</v>
      </c>
      <c r="W45" s="108">
        <f t="shared" si="3"/>
        <v>0</v>
      </c>
      <c r="X45" s="108">
        <v>1219</v>
      </c>
      <c r="Y45" s="108">
        <f t="shared" si="4"/>
        <v>0</v>
      </c>
      <c r="Z45" s="108">
        <v>1219</v>
      </c>
      <c r="AA45" s="108">
        <f t="shared" si="5"/>
        <v>0</v>
      </c>
      <c r="AB45" s="108">
        <v>1219</v>
      </c>
      <c r="AC45" s="108">
        <f t="shared" si="6"/>
        <v>0</v>
      </c>
      <c r="AD45" s="108">
        <v>1219</v>
      </c>
      <c r="AE45" s="109">
        <f t="shared" si="7"/>
        <v>1219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582.5</v>
      </c>
      <c r="T48" s="112">
        <v>1165</v>
      </c>
      <c r="U48" s="112">
        <f t="shared" si="2"/>
        <v>0</v>
      </c>
      <c r="V48" s="112">
        <v>1165</v>
      </c>
      <c r="W48" s="112">
        <f t="shared" si="3"/>
        <v>285.5</v>
      </c>
      <c r="X48" s="112">
        <v>1736</v>
      </c>
      <c r="Y48" s="112">
        <f t="shared" si="4"/>
        <v>59</v>
      </c>
      <c r="Z48" s="112">
        <v>1854</v>
      </c>
      <c r="AA48" s="112">
        <f t="shared" si="5"/>
        <v>0</v>
      </c>
      <c r="AB48" s="112">
        <v>1854</v>
      </c>
      <c r="AC48" s="112">
        <f t="shared" si="6"/>
        <v>0</v>
      </c>
      <c r="AD48" s="112">
        <v>1854</v>
      </c>
      <c r="AE48" s="113">
        <f t="shared" si="7"/>
        <v>1854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756</v>
      </c>
      <c r="S49" s="108">
        <f t="shared" si="1"/>
        <v>303</v>
      </c>
      <c r="T49" s="108">
        <v>1362</v>
      </c>
      <c r="U49" s="108">
        <f t="shared" si="2"/>
        <v>179</v>
      </c>
      <c r="V49" s="108">
        <v>1720</v>
      </c>
      <c r="W49" s="108">
        <f t="shared" si="3"/>
        <v>166.5</v>
      </c>
      <c r="X49" s="108">
        <v>2053</v>
      </c>
      <c r="Y49" s="108">
        <f t="shared" si="4"/>
        <v>26</v>
      </c>
      <c r="Z49" s="108">
        <v>2105</v>
      </c>
      <c r="AA49" s="108">
        <f t="shared" si="5"/>
        <v>0</v>
      </c>
      <c r="AB49" s="108">
        <v>2105</v>
      </c>
      <c r="AC49" s="108">
        <f t="shared" si="6"/>
        <v>0</v>
      </c>
      <c r="AD49" s="108">
        <v>2105</v>
      </c>
      <c r="AE49" s="109">
        <f t="shared" si="7"/>
        <v>2105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186</v>
      </c>
      <c r="S50" s="106">
        <f t="shared" si="1"/>
        <v>88</v>
      </c>
      <c r="T50" s="106">
        <v>362</v>
      </c>
      <c r="U50" s="106">
        <f t="shared" si="2"/>
        <v>515.5</v>
      </c>
      <c r="V50" s="106">
        <v>1393</v>
      </c>
      <c r="W50" s="106">
        <f t="shared" si="3"/>
        <v>390</v>
      </c>
      <c r="X50" s="106">
        <v>2173</v>
      </c>
      <c r="Y50" s="106">
        <f t="shared" si="4"/>
        <v>73</v>
      </c>
      <c r="Z50" s="106">
        <v>2319</v>
      </c>
      <c r="AA50" s="106">
        <f t="shared" si="5"/>
        <v>0</v>
      </c>
      <c r="AB50" s="106">
        <v>2319</v>
      </c>
      <c r="AC50" s="106">
        <f t="shared" si="6"/>
        <v>0</v>
      </c>
      <c r="AD50" s="106">
        <v>2319</v>
      </c>
      <c r="AE50" s="107">
        <f t="shared" si="7"/>
        <v>2319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1000</v>
      </c>
      <c r="S51" s="108">
        <f t="shared" si="1"/>
        <v>0</v>
      </c>
      <c r="T51" s="108">
        <v>1000</v>
      </c>
      <c r="U51" s="108">
        <f t="shared" si="2"/>
        <v>500</v>
      </c>
      <c r="V51" s="108">
        <v>2000</v>
      </c>
      <c r="W51" s="108">
        <f t="shared" si="3"/>
        <v>-110</v>
      </c>
      <c r="X51" s="108">
        <v>1780</v>
      </c>
      <c r="Y51" s="108">
        <f t="shared" si="4"/>
        <v>650</v>
      </c>
      <c r="Z51" s="108">
        <v>3080</v>
      </c>
      <c r="AA51" s="108">
        <f t="shared" si="5"/>
        <v>0</v>
      </c>
      <c r="AB51" s="108">
        <v>3080</v>
      </c>
      <c r="AC51" s="108">
        <f t="shared" si="6"/>
        <v>0</v>
      </c>
      <c r="AD51" s="108">
        <v>3080</v>
      </c>
      <c r="AE51" s="109">
        <f t="shared" si="7"/>
        <v>3080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780</v>
      </c>
      <c r="S52" s="106">
        <f t="shared" si="1"/>
        <v>390</v>
      </c>
      <c r="T52" s="106">
        <v>1560</v>
      </c>
      <c r="U52" s="106">
        <f t="shared" si="2"/>
        <v>0</v>
      </c>
      <c r="V52" s="106">
        <v>1560</v>
      </c>
      <c r="W52" s="106">
        <f t="shared" si="3"/>
        <v>574</v>
      </c>
      <c r="X52" s="106">
        <v>2708</v>
      </c>
      <c r="Y52" s="106">
        <f t="shared" si="4"/>
        <v>0</v>
      </c>
      <c r="Z52" s="106">
        <v>2708</v>
      </c>
      <c r="AA52" s="106">
        <f t="shared" si="5"/>
        <v>0</v>
      </c>
      <c r="AB52" s="106">
        <v>2708</v>
      </c>
      <c r="AC52" s="106">
        <f t="shared" si="6"/>
        <v>0</v>
      </c>
      <c r="AD52" s="106">
        <v>2708</v>
      </c>
      <c r="AE52" s="107">
        <f t="shared" si="7"/>
        <v>2708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940</v>
      </c>
      <c r="S53" s="108">
        <f t="shared" si="1"/>
        <v>490</v>
      </c>
      <c r="T53" s="108">
        <v>1920</v>
      </c>
      <c r="U53" s="108">
        <f t="shared" si="2"/>
        <v>126</v>
      </c>
      <c r="V53" s="108">
        <v>2172</v>
      </c>
      <c r="W53" s="108">
        <f t="shared" si="3"/>
        <v>378</v>
      </c>
      <c r="X53" s="108">
        <v>2928</v>
      </c>
      <c r="Y53" s="108">
        <f t="shared" si="4"/>
        <v>534</v>
      </c>
      <c r="Z53" s="108">
        <v>3996</v>
      </c>
      <c r="AA53" s="108">
        <f t="shared" si="5"/>
        <v>0</v>
      </c>
      <c r="AB53" s="108">
        <v>3996</v>
      </c>
      <c r="AC53" s="108">
        <f t="shared" si="6"/>
        <v>0</v>
      </c>
      <c r="AD53" s="108">
        <v>3996</v>
      </c>
      <c r="AE53" s="109">
        <f t="shared" si="7"/>
        <v>3996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1392</v>
      </c>
      <c r="S57" s="104">
        <f t="shared" si="1"/>
        <v>149</v>
      </c>
      <c r="T57" s="104">
        <v>1690</v>
      </c>
      <c r="U57" s="104">
        <f t="shared" si="2"/>
        <v>597</v>
      </c>
      <c r="V57" s="104">
        <v>2884</v>
      </c>
      <c r="W57" s="104">
        <f t="shared" si="3"/>
        <v>0</v>
      </c>
      <c r="X57" s="104">
        <v>2884</v>
      </c>
      <c r="Y57" s="104">
        <f t="shared" si="4"/>
        <v>0</v>
      </c>
      <c r="Z57" s="104">
        <v>2884</v>
      </c>
      <c r="AA57" s="104">
        <f t="shared" si="5"/>
        <v>0</v>
      </c>
      <c r="AB57" s="104">
        <v>2884</v>
      </c>
      <c r="AC57" s="104">
        <f t="shared" si="6"/>
        <v>0</v>
      </c>
      <c r="AD57" s="104">
        <v>2884</v>
      </c>
      <c r="AE57" s="105">
        <f t="shared" si="7"/>
        <v>2884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2059</v>
      </c>
      <c r="S58" s="106">
        <f t="shared" si="1"/>
        <v>0</v>
      </c>
      <c r="T58" s="106">
        <v>2059</v>
      </c>
      <c r="U58" s="106">
        <f t="shared" si="2"/>
        <v>912</v>
      </c>
      <c r="V58" s="106">
        <v>3883</v>
      </c>
      <c r="W58" s="106">
        <f t="shared" si="3"/>
        <v>0</v>
      </c>
      <c r="X58" s="106">
        <v>3883</v>
      </c>
      <c r="Y58" s="106">
        <f t="shared" si="4"/>
        <v>0</v>
      </c>
      <c r="Z58" s="106">
        <v>3883</v>
      </c>
      <c r="AA58" s="106">
        <f t="shared" si="5"/>
        <v>0</v>
      </c>
      <c r="AB58" s="106">
        <v>3883</v>
      </c>
      <c r="AC58" s="106">
        <f t="shared" si="6"/>
        <v>0</v>
      </c>
      <c r="AD58" s="106">
        <v>3883</v>
      </c>
      <c r="AE58" s="107">
        <f t="shared" si="7"/>
        <v>3883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663</v>
      </c>
      <c r="S59" s="108">
        <f t="shared" si="1"/>
        <v>0</v>
      </c>
      <c r="T59" s="108">
        <v>663</v>
      </c>
      <c r="U59" s="108">
        <f t="shared" si="2"/>
        <v>402</v>
      </c>
      <c r="V59" s="108">
        <v>1467</v>
      </c>
      <c r="W59" s="108">
        <f t="shared" si="3"/>
        <v>0</v>
      </c>
      <c r="X59" s="108">
        <v>1467</v>
      </c>
      <c r="Y59" s="108">
        <f t="shared" si="4"/>
        <v>0</v>
      </c>
      <c r="Z59" s="108">
        <v>1467</v>
      </c>
      <c r="AA59" s="108">
        <f t="shared" si="5"/>
        <v>0</v>
      </c>
      <c r="AB59" s="108">
        <v>1467</v>
      </c>
      <c r="AC59" s="108">
        <f t="shared" si="6"/>
        <v>0</v>
      </c>
      <c r="AD59" s="108">
        <v>1467</v>
      </c>
      <c r="AE59" s="109">
        <f t="shared" si="7"/>
        <v>1467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1843</v>
      </c>
      <c r="S60" s="114">
        <f t="shared" si="1"/>
        <v>-8.5</v>
      </c>
      <c r="T60" s="114">
        <v>1826</v>
      </c>
      <c r="U60" s="114">
        <f t="shared" si="2"/>
        <v>232</v>
      </c>
      <c r="V60" s="114">
        <v>2290</v>
      </c>
      <c r="W60" s="114">
        <f t="shared" si="3"/>
        <v>0</v>
      </c>
      <c r="X60" s="114">
        <v>2290</v>
      </c>
      <c r="Y60" s="114">
        <f t="shared" si="4"/>
        <v>0</v>
      </c>
      <c r="Z60" s="114">
        <v>2290</v>
      </c>
      <c r="AA60" s="114">
        <f t="shared" si="5"/>
        <v>0</v>
      </c>
      <c r="AB60" s="114">
        <v>2290</v>
      </c>
      <c r="AC60" s="114">
        <f t="shared" si="6"/>
        <v>0</v>
      </c>
      <c r="AD60" s="114">
        <v>2290</v>
      </c>
      <c r="AE60" s="115">
        <f t="shared" si="7"/>
        <v>2290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531</v>
      </c>
      <c r="S61" s="104">
        <f t="shared" si="1"/>
        <v>112.5</v>
      </c>
      <c r="T61" s="104">
        <v>756</v>
      </c>
      <c r="U61" s="104">
        <f t="shared" si="2"/>
        <v>64</v>
      </c>
      <c r="V61" s="104">
        <v>884</v>
      </c>
      <c r="W61" s="104">
        <f t="shared" si="3"/>
        <v>-235.5</v>
      </c>
      <c r="X61" s="104">
        <v>413</v>
      </c>
      <c r="Y61" s="104">
        <f t="shared" si="4"/>
        <v>126</v>
      </c>
      <c r="Z61" s="104">
        <v>665</v>
      </c>
      <c r="AA61" s="104">
        <f t="shared" si="5"/>
        <v>0</v>
      </c>
      <c r="AB61" s="104">
        <v>665</v>
      </c>
      <c r="AC61" s="104">
        <f t="shared" si="6"/>
        <v>0</v>
      </c>
      <c r="AD61" s="104">
        <v>665</v>
      </c>
      <c r="AE61" s="105">
        <f t="shared" si="7"/>
        <v>665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182</v>
      </c>
      <c r="S62" s="106">
        <f t="shared" si="1"/>
        <v>-3</v>
      </c>
      <c r="T62" s="106">
        <v>176</v>
      </c>
      <c r="U62" s="106">
        <f t="shared" si="2"/>
        <v>760</v>
      </c>
      <c r="V62" s="106">
        <v>1696</v>
      </c>
      <c r="W62" s="106">
        <f t="shared" si="3"/>
        <v>-9.5</v>
      </c>
      <c r="X62" s="106">
        <v>1677</v>
      </c>
      <c r="Y62" s="106">
        <f t="shared" si="4"/>
        <v>-76.5</v>
      </c>
      <c r="Z62" s="106">
        <v>1524</v>
      </c>
      <c r="AA62" s="106">
        <f t="shared" si="5"/>
        <v>0</v>
      </c>
      <c r="AB62" s="106">
        <v>1524</v>
      </c>
      <c r="AC62" s="106">
        <f t="shared" si="6"/>
        <v>0</v>
      </c>
      <c r="AD62" s="106">
        <v>1524</v>
      </c>
      <c r="AE62" s="107">
        <f t="shared" si="7"/>
        <v>1524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112</v>
      </c>
      <c r="S63" s="108">
        <f t="shared" si="1"/>
        <v>65</v>
      </c>
      <c r="T63" s="108">
        <v>242</v>
      </c>
      <c r="U63" s="108">
        <f t="shared" si="2"/>
        <v>162</v>
      </c>
      <c r="V63" s="108">
        <v>566</v>
      </c>
      <c r="W63" s="108">
        <f t="shared" si="3"/>
        <v>171.5</v>
      </c>
      <c r="X63" s="108">
        <v>909</v>
      </c>
      <c r="Y63" s="108">
        <f t="shared" si="4"/>
        <v>121.5</v>
      </c>
      <c r="Z63" s="108">
        <v>1152</v>
      </c>
      <c r="AA63" s="108">
        <f t="shared" si="5"/>
        <v>0</v>
      </c>
      <c r="AB63" s="108">
        <v>1152</v>
      </c>
      <c r="AC63" s="108">
        <f t="shared" si="6"/>
        <v>0</v>
      </c>
      <c r="AD63" s="108">
        <v>1152</v>
      </c>
      <c r="AE63" s="109">
        <f t="shared" si="7"/>
        <v>1152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1282</v>
      </c>
      <c r="S64" s="114">
        <f t="shared" si="1"/>
        <v>146</v>
      </c>
      <c r="T64" s="114">
        <v>1574</v>
      </c>
      <c r="U64" s="114">
        <f t="shared" si="2"/>
        <v>-214.5</v>
      </c>
      <c r="V64" s="114">
        <v>1145</v>
      </c>
      <c r="W64" s="114">
        <f t="shared" si="3"/>
        <v>54</v>
      </c>
      <c r="X64" s="114">
        <v>1253</v>
      </c>
      <c r="Y64" s="114">
        <f t="shared" si="4"/>
        <v>57.5</v>
      </c>
      <c r="Z64" s="114">
        <v>1368</v>
      </c>
      <c r="AA64" s="114">
        <f t="shared" si="5"/>
        <v>0</v>
      </c>
      <c r="AB64" s="114">
        <v>1368</v>
      </c>
      <c r="AC64" s="114">
        <f t="shared" si="6"/>
        <v>0</v>
      </c>
      <c r="AD64" s="114">
        <v>1368</v>
      </c>
      <c r="AE64" s="115">
        <f t="shared" si="7"/>
        <v>1368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27" priority="11" operator="lessThan">
      <formula>0</formula>
    </cfRule>
    <cfRule type="cellIs" dxfId="526" priority="12" operator="greaterThan">
      <formula>0</formula>
    </cfRule>
  </conditionalFormatting>
  <conditionalFormatting sqref="R25:AC25">
    <cfRule type="cellIs" dxfId="525" priority="9" operator="lessThan">
      <formula>0</formula>
    </cfRule>
    <cfRule type="cellIs" dxfId="524" priority="10" operator="greaterThan">
      <formula>0</formula>
    </cfRule>
  </conditionalFormatting>
  <conditionalFormatting sqref="R26 T26 V26 X26 Z26 AB26">
    <cfRule type="cellIs" dxfId="523" priority="7" operator="lessThan">
      <formula>0</formula>
    </cfRule>
    <cfRule type="cellIs" dxfId="522" priority="8" operator="greaterThan">
      <formula>0</formula>
    </cfRule>
  </conditionalFormatting>
  <conditionalFormatting sqref="AD24:AE24">
    <cfRule type="cellIs" dxfId="521" priority="5" operator="lessThan">
      <formula>0</formula>
    </cfRule>
    <cfRule type="cellIs" dxfId="520" priority="6" operator="greaterThan">
      <formula>0</formula>
    </cfRule>
  </conditionalFormatting>
  <conditionalFormatting sqref="AD25:AE25">
    <cfRule type="cellIs" dxfId="519" priority="3" operator="lessThan">
      <formula>0</formula>
    </cfRule>
    <cfRule type="cellIs" dxfId="518" priority="4" operator="greaterThan">
      <formula>0</formula>
    </cfRule>
  </conditionalFormatting>
  <conditionalFormatting sqref="AD26">
    <cfRule type="cellIs" dxfId="517" priority="1" operator="lessThan">
      <formula>0</formula>
    </cfRule>
    <cfRule type="cellIs" dxfId="516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>
    <tabColor theme="1"/>
    <pageSetUpPr fitToPage="1"/>
  </sheetPr>
  <dimension ref="B1:AQ64"/>
  <sheetViews>
    <sheetView topLeftCell="F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44475</v>
      </c>
    </row>
    <row r="3" spans="2:42" ht="18.75" customHeight="1" thickBot="1" x14ac:dyDescent="0.35">
      <c r="B3" t="s">
        <v>1</v>
      </c>
      <c r="C3" s="3">
        <f>C2+1</f>
        <v>44476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20866</v>
      </c>
      <c r="G6" s="117">
        <v>9939.2413749999978</v>
      </c>
      <c r="H6" s="117">
        <v>1115.9753599999999</v>
      </c>
      <c r="I6" s="19">
        <f>G6+H6</f>
        <v>11055.216734999998</v>
      </c>
      <c r="J6" s="119">
        <v>20795</v>
      </c>
      <c r="K6" s="117">
        <v>9965.8963749999966</v>
      </c>
      <c r="L6" s="117">
        <v>1111.8732749999999</v>
      </c>
      <c r="M6" s="19">
        <f>K6+L6</f>
        <v>11077.769649999997</v>
      </c>
      <c r="N6" s="85">
        <v>57</v>
      </c>
      <c r="O6" s="85">
        <v>50</v>
      </c>
      <c r="P6" s="92"/>
      <c r="Q6" s="20">
        <f>J6-P6</f>
        <v>20795</v>
      </c>
      <c r="R6" s="21">
        <v>3454</v>
      </c>
      <c r="S6" s="20">
        <f>IF(R6&gt;0,(R6-R7-$Q6),"")</f>
        <v>-17357</v>
      </c>
      <c r="T6" s="21">
        <v>8106</v>
      </c>
      <c r="U6" s="20">
        <f>IF(T6&gt;0,(T6-T7-$Q6),"")</f>
        <v>-12711</v>
      </c>
      <c r="V6" s="21">
        <v>10730</v>
      </c>
      <c r="W6" s="20">
        <f>IF(V6&gt;0,(V6-V7-$Q6),"")</f>
        <v>-10097</v>
      </c>
      <c r="X6" s="21">
        <v>16395</v>
      </c>
      <c r="Y6" s="20">
        <f>IF(X6&gt;0,(X6-X7-$Q6),"")</f>
        <v>-4458</v>
      </c>
      <c r="Z6" s="21">
        <v>16395</v>
      </c>
      <c r="AA6" s="20">
        <f>IF(Z6&gt;0,(Z6-Z7-$Q6),"")</f>
        <v>-4458</v>
      </c>
      <c r="AB6" s="21">
        <v>16395</v>
      </c>
      <c r="AC6" s="22">
        <f>IF(AB6&gt;0,(AB6-AB7-$Q6),"")</f>
        <v>-4458</v>
      </c>
      <c r="AD6" s="21">
        <v>16395</v>
      </c>
      <c r="AE6" s="22">
        <f>IF(AD6&gt;0,(AD6-AD7-$Q6),"")</f>
        <v>-4458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7</v>
      </c>
      <c r="P7" s="93" t="s">
        <v>24</v>
      </c>
      <c r="Q7" s="24"/>
      <c r="R7" s="25">
        <v>16</v>
      </c>
      <c r="S7" s="24"/>
      <c r="T7" s="25">
        <v>22</v>
      </c>
      <c r="U7" s="24"/>
      <c r="V7" s="25">
        <v>32</v>
      </c>
      <c r="W7" s="24"/>
      <c r="X7" s="25">
        <v>58</v>
      </c>
      <c r="Y7" s="24"/>
      <c r="Z7" s="25">
        <v>58</v>
      </c>
      <c r="AA7" s="24"/>
      <c r="AB7" s="25">
        <v>58</v>
      </c>
      <c r="AC7" s="26"/>
      <c r="AD7" s="25">
        <v>58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2357</v>
      </c>
      <c r="E8" s="29" t="s">
        <v>27</v>
      </c>
      <c r="F8" s="119">
        <v>3040</v>
      </c>
      <c r="G8" s="117">
        <v>4162.8539999999994</v>
      </c>
      <c r="H8" s="117">
        <v>13032.07622273999</v>
      </c>
      <c r="I8" s="19">
        <f>G8+H8</f>
        <v>17194.930222739989</v>
      </c>
      <c r="J8" s="119">
        <v>2462</v>
      </c>
      <c r="K8" s="117">
        <v>3782.1779999999999</v>
      </c>
      <c r="L8" s="117">
        <v>12426.60393994</v>
      </c>
      <c r="M8" s="19">
        <f>K8+L8</f>
        <v>16208.78193994</v>
      </c>
      <c r="N8" s="87">
        <v>21</v>
      </c>
      <c r="O8" s="87">
        <v>18</v>
      </c>
      <c r="P8" s="92"/>
      <c r="Q8" s="20">
        <f>J8-P8</f>
        <v>2462</v>
      </c>
      <c r="R8" s="21">
        <v>0</v>
      </c>
      <c r="S8" s="20" t="str">
        <f>IF(R8&gt;0,(R8-R9-$Q8),"")</f>
        <v/>
      </c>
      <c r="T8" s="21">
        <v>712</v>
      </c>
      <c r="U8" s="20">
        <f>IF(T8&gt;0,(T8-T9-$Q8),"")</f>
        <v>-1770</v>
      </c>
      <c r="V8" s="21">
        <v>1984</v>
      </c>
      <c r="W8" s="20">
        <f>IF(V8&gt;0,(V8-V9-$Q8),"")</f>
        <v>-585</v>
      </c>
      <c r="X8" s="21">
        <v>1984</v>
      </c>
      <c r="Y8" s="20">
        <f>IF(X8&gt;0,(X8-X9-$Q8),"")</f>
        <v>-585</v>
      </c>
      <c r="Z8" s="21">
        <v>1984</v>
      </c>
      <c r="AA8" s="20">
        <f>IF(Z8&gt;0,(Z8-Z9-$Q8),"")</f>
        <v>-585</v>
      </c>
      <c r="AB8" s="21">
        <v>1984</v>
      </c>
      <c r="AC8" s="22">
        <f>IF(AB8&gt;0,(AB8-AB9-$Q8),"")</f>
        <v>-585</v>
      </c>
      <c r="AD8" s="21">
        <v>1984</v>
      </c>
      <c r="AE8" s="22">
        <f>IF(AD8&gt;0,(AD8-AD9-$Q8),"")</f>
        <v>-585</v>
      </c>
    </row>
    <row r="9" spans="2:42" x14ac:dyDescent="0.3">
      <c r="B9" s="28" t="s">
        <v>28</v>
      </c>
      <c r="C9" s="17">
        <v>1428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20</v>
      </c>
      <c r="U9" s="24"/>
      <c r="V9" s="30">
        <v>107</v>
      </c>
      <c r="W9" s="24"/>
      <c r="X9" s="30">
        <v>107</v>
      </c>
      <c r="Y9" s="24"/>
      <c r="Z9" s="30">
        <v>107</v>
      </c>
      <c r="AA9" s="24"/>
      <c r="AB9" s="30">
        <v>107</v>
      </c>
      <c r="AC9" s="26"/>
      <c r="AD9" s="30">
        <v>107</v>
      </c>
      <c r="AE9" s="26"/>
    </row>
    <row r="10" spans="2:42" x14ac:dyDescent="0.3">
      <c r="B10" s="16" t="s">
        <v>30</v>
      </c>
      <c r="C10" s="17">
        <v>3844</v>
      </c>
      <c r="E10" s="18" t="s">
        <v>31</v>
      </c>
      <c r="F10" s="119">
        <v>18076</v>
      </c>
      <c r="G10" s="117">
        <v>13565.463250000001</v>
      </c>
      <c r="H10" s="117">
        <v>483.64545500000003</v>
      </c>
      <c r="I10" s="19">
        <f>G10+H10</f>
        <v>14049.108705000001</v>
      </c>
      <c r="J10" s="119">
        <v>11436</v>
      </c>
      <c r="K10" s="117">
        <v>8097.2012499999983</v>
      </c>
      <c r="L10" s="117">
        <v>474.83367410000011</v>
      </c>
      <c r="M10" s="19">
        <f>K10+L10</f>
        <v>8572.0349240999985</v>
      </c>
      <c r="N10" s="88">
        <v>43</v>
      </c>
      <c r="O10" s="88">
        <v>37</v>
      </c>
      <c r="P10" s="92"/>
      <c r="Q10" s="20">
        <f>J10-P10</f>
        <v>11436</v>
      </c>
      <c r="R10" s="21">
        <v>4014</v>
      </c>
      <c r="S10" s="20">
        <f>IF(R10&gt;0,(R10-R11-$Q10),"")</f>
        <v>-8886</v>
      </c>
      <c r="T10" s="21">
        <v>3902</v>
      </c>
      <c r="U10" s="20">
        <f>IF(T10&gt;0,(T10-T11-$Q10),"")</f>
        <v>-8801</v>
      </c>
      <c r="V10" s="21">
        <v>9008</v>
      </c>
      <c r="W10" s="20">
        <f>IF(V10&gt;0,(V10-V11-$Q10),"")</f>
        <v>-4655</v>
      </c>
      <c r="X10" s="21">
        <v>11377</v>
      </c>
      <c r="Y10" s="20">
        <f>IF(X10&gt;0,(X10-X11-$Q10),"")</f>
        <v>-2156</v>
      </c>
      <c r="Z10" s="21">
        <v>11377</v>
      </c>
      <c r="AA10" s="20">
        <f>IF(Z10&gt;0,(Z10-Z11-$Q10),"")</f>
        <v>-2156</v>
      </c>
      <c r="AB10" s="21">
        <v>11377</v>
      </c>
      <c r="AC10" s="22">
        <f>IF(AB10&gt;0,(AB10-AB11-$Q10),"")</f>
        <v>-2156</v>
      </c>
      <c r="AD10" s="21">
        <v>11377</v>
      </c>
      <c r="AE10" s="22">
        <f>IF(AD10&gt;0,(AD10-AD11-$Q10),"")</f>
        <v>-2156</v>
      </c>
    </row>
    <row r="11" spans="2:42" x14ac:dyDescent="0.3">
      <c r="B11" s="16" t="s">
        <v>38</v>
      </c>
      <c r="C11" s="17">
        <v>11392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1464</v>
      </c>
      <c r="S11" s="24"/>
      <c r="T11" s="30">
        <v>1267</v>
      </c>
      <c r="U11" s="24"/>
      <c r="V11" s="30">
        <v>2227</v>
      </c>
      <c r="W11" s="24"/>
      <c r="X11" s="30">
        <v>2097</v>
      </c>
      <c r="Y11" s="24"/>
      <c r="Z11" s="30">
        <v>2097</v>
      </c>
      <c r="AA11" s="24"/>
      <c r="AB11" s="30">
        <v>2097</v>
      </c>
      <c r="AC11" s="26"/>
      <c r="AD11" s="30">
        <v>2097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11534</v>
      </c>
      <c r="G12" s="117">
        <v>11463.031000000001</v>
      </c>
      <c r="H12" s="117">
        <v>14556.79753328</v>
      </c>
      <c r="I12" s="19">
        <f>G12+H12</f>
        <v>26019.828533280001</v>
      </c>
      <c r="J12" s="119">
        <v>12223</v>
      </c>
      <c r="K12" s="117">
        <v>11828.65525</v>
      </c>
      <c r="L12" s="117">
        <v>14031.58678575999</v>
      </c>
      <c r="M12" s="19">
        <f>K12+L12</f>
        <v>25860.242035759991</v>
      </c>
      <c r="N12" s="88">
        <v>47</v>
      </c>
      <c r="O12" s="88">
        <v>41</v>
      </c>
      <c r="P12" s="92"/>
      <c r="Q12" s="20">
        <f>J12-P12</f>
        <v>12223</v>
      </c>
      <c r="R12" s="21">
        <v>5914</v>
      </c>
      <c r="S12" s="20">
        <f>IF(R12&gt;0,(R12-R13-$Q12),"")</f>
        <v>-6456</v>
      </c>
      <c r="T12" s="21">
        <v>6091</v>
      </c>
      <c r="U12" s="20">
        <f>IF(T12&gt;0,(T12-T13-$Q12),"")</f>
        <v>-6287</v>
      </c>
      <c r="V12" s="21">
        <v>8427</v>
      </c>
      <c r="W12" s="20">
        <f>IF(V12&gt;0,(V12-V13-$Q12),"")</f>
        <v>-3985</v>
      </c>
      <c r="X12" s="21">
        <v>8387</v>
      </c>
      <c r="Y12" s="20">
        <f>IF(X12&gt;0,(X12-X13-$Q12),"")</f>
        <v>-4035</v>
      </c>
      <c r="Z12" s="21">
        <v>8387</v>
      </c>
      <c r="AA12" s="20">
        <f>IF(Z12&gt;0,(Z12-Z13-$Q12),"")</f>
        <v>-4035</v>
      </c>
      <c r="AB12" s="21">
        <v>8387</v>
      </c>
      <c r="AC12" s="22">
        <f>IF(AB12&gt;0,(AB12-AB13-$Q12),"")</f>
        <v>-4035</v>
      </c>
      <c r="AD12" s="21">
        <v>8387</v>
      </c>
      <c r="AE12" s="22">
        <f>IF(AD12&gt;0,(AD12-AD13-$Q12),"")</f>
        <v>-4035</v>
      </c>
    </row>
    <row r="13" spans="2:42" x14ac:dyDescent="0.3">
      <c r="B13" s="28" t="s">
        <v>42</v>
      </c>
      <c r="C13" s="17">
        <f>11779+16135</f>
        <v>27914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147</v>
      </c>
      <c r="S13" s="24"/>
      <c r="T13" s="30">
        <v>155</v>
      </c>
      <c r="U13" s="24"/>
      <c r="V13" s="30">
        <v>189</v>
      </c>
      <c r="W13" s="24"/>
      <c r="X13" s="30">
        <v>199</v>
      </c>
      <c r="Y13" s="24"/>
      <c r="Z13" s="30">
        <v>199</v>
      </c>
      <c r="AA13" s="24"/>
      <c r="AB13" s="30">
        <v>199</v>
      </c>
      <c r="AC13" s="26"/>
      <c r="AD13" s="30">
        <v>199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25352</v>
      </c>
      <c r="G14" s="117">
        <v>19197.568749999999</v>
      </c>
      <c r="H14" s="117">
        <v>28780.39180196001</v>
      </c>
      <c r="I14" s="19">
        <f>G14+H14</f>
        <v>47977.960551960008</v>
      </c>
      <c r="J14" s="119">
        <v>26290</v>
      </c>
      <c r="K14" s="117">
        <v>20794.808249999998</v>
      </c>
      <c r="L14" s="117">
        <v>30325.839742260021</v>
      </c>
      <c r="M14" s="19">
        <f>K14+L14</f>
        <v>51120.647992260019</v>
      </c>
      <c r="N14" s="88">
        <v>70</v>
      </c>
      <c r="O14" s="88">
        <v>54</v>
      </c>
      <c r="P14" s="92"/>
      <c r="Q14" s="20">
        <f>J14-P14</f>
        <v>26290</v>
      </c>
      <c r="R14" s="21">
        <v>3663</v>
      </c>
      <c r="S14" s="20">
        <f>IF(R14&gt;0,(R14-R15-$Q14),"")</f>
        <v>-22682</v>
      </c>
      <c r="T14" s="21">
        <v>5584</v>
      </c>
      <c r="U14" s="20">
        <f>IF(T14&gt;0,(T14-T15-$Q14),"")</f>
        <v>-20764</v>
      </c>
      <c r="V14" s="21">
        <v>7483</v>
      </c>
      <c r="W14" s="20">
        <f>IF(V14&gt;0,(V14-V15-$Q14),"")</f>
        <v>-18873</v>
      </c>
      <c r="X14" s="21">
        <v>8665</v>
      </c>
      <c r="Y14" s="20">
        <f>IF(X14&gt;0,(X14-X15-$Q14),"")</f>
        <v>-17691</v>
      </c>
      <c r="Z14" s="21">
        <v>8672</v>
      </c>
      <c r="AA14" s="20">
        <f>IF(Z14&gt;0,(Z14-Z15-$Q14),"")</f>
        <v>-17684</v>
      </c>
      <c r="AB14" s="21">
        <v>8672</v>
      </c>
      <c r="AC14" s="22">
        <f>IF(AB14&gt;0,(AB14-AB15-$Q14),"")</f>
        <v>-17684</v>
      </c>
      <c r="AD14" s="21">
        <v>8672</v>
      </c>
      <c r="AE14" s="22">
        <f>IF(AD14&gt;0,(AD14-AD15-$Q14),"")</f>
        <v>-17684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55</v>
      </c>
      <c r="S15" s="24"/>
      <c r="T15" s="25">
        <v>58</v>
      </c>
      <c r="U15" s="24"/>
      <c r="V15" s="25">
        <v>66</v>
      </c>
      <c r="W15" s="24"/>
      <c r="X15" s="25">
        <v>66</v>
      </c>
      <c r="Y15" s="24"/>
      <c r="Z15" s="25">
        <v>66</v>
      </c>
      <c r="AA15" s="24"/>
      <c r="AB15" s="25">
        <v>66</v>
      </c>
      <c r="AC15" s="26"/>
      <c r="AD15" s="25">
        <v>66</v>
      </c>
      <c r="AE15" s="26"/>
    </row>
    <row r="16" spans="2:42" ht="15" customHeight="1" thickBot="1" x14ac:dyDescent="0.35">
      <c r="B16" s="16" t="s">
        <v>50</v>
      </c>
      <c r="C16" s="17">
        <v>9990</v>
      </c>
      <c r="E16" s="84"/>
      <c r="F16" s="31">
        <f t="shared" ref="F16:M16" si="0">SUM(F6:F15)</f>
        <v>78868</v>
      </c>
      <c r="G16" s="31">
        <f t="shared" si="0"/>
        <v>58328.158374999999</v>
      </c>
      <c r="H16" s="31">
        <f t="shared" si="0"/>
        <v>57968.88637298</v>
      </c>
      <c r="I16" s="32">
        <f t="shared" si="0"/>
        <v>116297.04474797999</v>
      </c>
      <c r="J16" s="33">
        <f t="shared" si="0"/>
        <v>73206</v>
      </c>
      <c r="K16" s="33">
        <f t="shared" si="0"/>
        <v>54468.739124999993</v>
      </c>
      <c r="L16" s="33">
        <f t="shared" si="0"/>
        <v>58370.737417060009</v>
      </c>
      <c r="M16" s="33">
        <f t="shared" si="0"/>
        <v>112839.47654206</v>
      </c>
      <c r="N16" s="31">
        <f>SUM(N14,N12,N10,N8,N6)</f>
        <v>238</v>
      </c>
      <c r="O16" s="31">
        <f>SUM(O14,O12,O10,O8,O6)</f>
        <v>200</v>
      </c>
      <c r="P16" s="34">
        <f>SUM(P6:P15)</f>
        <v>0</v>
      </c>
      <c r="Q16" s="34">
        <f>SUM(Q6:Q15)</f>
        <v>73206</v>
      </c>
      <c r="R16" s="35">
        <f>R6+R8+R10+R12+R14-R7-R9-R11-R13-R15</f>
        <v>15363</v>
      </c>
      <c r="S16" s="36">
        <f>IF(R16&gt;1,(R16-$Q16),"")</f>
        <v>-57843</v>
      </c>
      <c r="T16" s="35">
        <f>T6+T8+T10+T12+T14-T7-T9-T11-T13-T15</f>
        <v>22873</v>
      </c>
      <c r="U16" s="36">
        <f>IF(T16&gt;1,(T16-$Q16),"")</f>
        <v>-50333</v>
      </c>
      <c r="V16" s="35">
        <f>V6+V8+V10+V12+V14-V7-V9-V11-V13-V15</f>
        <v>35011</v>
      </c>
      <c r="W16" s="36">
        <f>IF(V16&gt;1,(V16-$Q16),"")</f>
        <v>-38195</v>
      </c>
      <c r="X16" s="35">
        <f>X6+X8+X10+X12+X14-X7-X9-X11-X13-X15</f>
        <v>44281</v>
      </c>
      <c r="Y16" s="36">
        <f>IF(X16&gt;1,(X16-$Q16),"")</f>
        <v>-28925</v>
      </c>
      <c r="Z16" s="35">
        <f>Z6+Z8+Z10+Z12+Z14-Z7-Z9-Z11-Z13-Z15</f>
        <v>44288</v>
      </c>
      <c r="AA16" s="36">
        <f>IF(Z16&gt;1,(Z16-$Q16),"")</f>
        <v>-28918</v>
      </c>
      <c r="AB16" s="35">
        <f>AB6+AB8+AB10+AB12+AB14-AB7-AB9-AB11-AB13-AB15</f>
        <v>44288</v>
      </c>
      <c r="AC16" s="37">
        <f>IF(AB16&gt;1,(AB16-$Q16),"")</f>
        <v>-28918</v>
      </c>
      <c r="AD16" s="35">
        <f>AD6+AD8+AD10+AD12+AD14-AD7-AD9-AD11-AD13-AD15</f>
        <v>44288</v>
      </c>
      <c r="AE16" s="37">
        <f>IF(AD16&gt;1,(AD16-$Q16),"")</f>
        <v>-28918</v>
      </c>
    </row>
    <row r="17" spans="2:43" s="4" customFormat="1" ht="15" customHeight="1" thickBot="1" x14ac:dyDescent="0.35">
      <c r="B17" s="16" t="s">
        <v>51</v>
      </c>
      <c r="C17" s="17">
        <v>2273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38</v>
      </c>
      <c r="P17" s="38" t="s">
        <v>44</v>
      </c>
      <c r="Q17" s="39"/>
      <c r="R17" s="40">
        <f>R15+R13+R11+R9+R7</f>
        <v>1682</v>
      </c>
      <c r="S17" s="41"/>
      <c r="T17" s="40">
        <f>T15+T13+T11+T9+T7</f>
        <v>1522</v>
      </c>
      <c r="U17" s="41"/>
      <c r="V17" s="40">
        <f>V15+V13+V11+V9+V7</f>
        <v>2621</v>
      </c>
      <c r="W17" s="41"/>
      <c r="X17" s="40">
        <f>X15+X13+X11+X9+X7</f>
        <v>2527</v>
      </c>
      <c r="Y17" s="41"/>
      <c r="Z17" s="40">
        <f>Z15+Z13+Z11+Z9+Z7</f>
        <v>2527</v>
      </c>
      <c r="AA17" s="41"/>
      <c r="AB17" s="40">
        <f>AB15+AB13+AB11+AB9+AB7</f>
        <v>2527</v>
      </c>
      <c r="AC17" s="42"/>
      <c r="AD17" s="40">
        <f>AD15+AD13+AD11+AD9+AD7</f>
        <v>2527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4856</v>
      </c>
      <c r="O18" s="125">
        <f>O17/N16</f>
        <v>0.15966386554621848</v>
      </c>
      <c r="P18" s="45" t="s">
        <v>46</v>
      </c>
      <c r="Q18" s="46"/>
      <c r="R18" s="47">
        <f>IF(R16&gt;0,(R16)/2,"")</f>
        <v>7681.5</v>
      </c>
      <c r="S18" s="46"/>
      <c r="T18" s="47">
        <f>IF(T16&gt;0,(T16-R16)/2,"")</f>
        <v>3755</v>
      </c>
      <c r="U18" s="46"/>
      <c r="V18" s="47">
        <f>IF(V16&gt;0,(V16-T16)/2,"")</f>
        <v>6069</v>
      </c>
      <c r="W18" s="46"/>
      <c r="X18" s="47">
        <f>IF(X16&gt;0,(X16-V16)/2,"")</f>
        <v>4635</v>
      </c>
      <c r="Y18" s="46"/>
      <c r="Z18" s="47">
        <f>IF(Z16&gt;0,(Z16-X16)/2,"")</f>
        <v>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18692</v>
      </c>
      <c r="S20" s="36">
        <v>-70038</v>
      </c>
      <c r="T20" s="35">
        <v>25719</v>
      </c>
      <c r="U20" s="36">
        <v>-63011</v>
      </c>
      <c r="V20" s="35">
        <v>42621</v>
      </c>
      <c r="W20" s="36">
        <v>-46109</v>
      </c>
      <c r="X20" s="35">
        <v>48593</v>
      </c>
      <c r="Y20" s="36">
        <v>-40137</v>
      </c>
      <c r="Z20" s="35">
        <v>52027</v>
      </c>
      <c r="AA20" s="36">
        <v>-36703</v>
      </c>
      <c r="AB20" s="35">
        <v>52027</v>
      </c>
      <c r="AC20" s="37">
        <v>-36703</v>
      </c>
      <c r="AD20" s="35">
        <v>52027</v>
      </c>
      <c r="AE20" s="37">
        <v>-36703</v>
      </c>
    </row>
    <row r="21" spans="2:43" ht="15" customHeight="1" thickBot="1" x14ac:dyDescent="0.35">
      <c r="M21" s="4"/>
      <c r="Q21" s="52"/>
      <c r="R21" s="40">
        <v>212</v>
      </c>
      <c r="S21" s="41"/>
      <c r="T21" s="40">
        <v>221</v>
      </c>
      <c r="U21" s="41"/>
      <c r="V21" s="40">
        <v>266</v>
      </c>
      <c r="W21" s="41"/>
      <c r="X21" s="40">
        <v>271</v>
      </c>
      <c r="Y21" s="41"/>
      <c r="Z21" s="40">
        <v>274</v>
      </c>
      <c r="AA21" s="41"/>
      <c r="AB21" s="40">
        <v>274</v>
      </c>
      <c r="AC21" s="42"/>
      <c r="AD21" s="40">
        <v>274</v>
      </c>
      <c r="AE21" s="42"/>
    </row>
    <row r="22" spans="2:43" ht="15" customHeight="1" thickBot="1" x14ac:dyDescent="0.35">
      <c r="M22" s="4"/>
      <c r="Q22" s="54"/>
      <c r="R22" s="47">
        <v>9346</v>
      </c>
      <c r="S22" s="46"/>
      <c r="T22" s="47">
        <v>3513.5</v>
      </c>
      <c r="U22" s="46"/>
      <c r="V22" s="47">
        <v>8451</v>
      </c>
      <c r="W22" s="46"/>
      <c r="X22" s="47">
        <v>2986</v>
      </c>
      <c r="Y22" s="46"/>
      <c r="Z22" s="47">
        <v>1717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-3329</v>
      </c>
      <c r="S24" s="60"/>
      <c r="T24" s="60">
        <f>IF(T16&gt;0,T16-T20,"")</f>
        <v>-2846</v>
      </c>
      <c r="U24" s="60"/>
      <c r="V24" s="60">
        <f>IF(V16&gt;0,V16-V20,"")</f>
        <v>-7610</v>
      </c>
      <c r="W24" s="60"/>
      <c r="X24" s="60">
        <f>IF(X16&gt;0,X16-X20,"")</f>
        <v>-4312</v>
      </c>
      <c r="Y24" s="60"/>
      <c r="Z24" s="60">
        <f>IF(Z16&gt;0,Z16-Z20,"")</f>
        <v>-7739</v>
      </c>
      <c r="AA24" s="60"/>
      <c r="AB24" s="60">
        <f>IF(AB16&gt;0,AB16-AB20,"")</f>
        <v>-7739</v>
      </c>
      <c r="AC24" s="61"/>
      <c r="AD24" s="60">
        <f>IF(AD16&gt;0,AD16-AD20,"")</f>
        <v>-7739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1470</v>
      </c>
      <c r="S25" s="64"/>
      <c r="T25" s="63">
        <f>IF(T17&gt;=0,T17-T21,"")</f>
        <v>1301</v>
      </c>
      <c r="U25" s="64"/>
      <c r="V25" s="63">
        <f>IF(V17&gt;=0,V17-V21,"")</f>
        <v>2355</v>
      </c>
      <c r="W25" s="64"/>
      <c r="X25" s="63">
        <f>IF(X17&gt;=0,X17-X21,"")</f>
        <v>2256</v>
      </c>
      <c r="Y25" s="64"/>
      <c r="Z25" s="63">
        <f>IF(Z17&gt;=0,Z17-Z21,"")</f>
        <v>2253</v>
      </c>
      <c r="AA25" s="64"/>
      <c r="AB25" s="63">
        <f>IF(AB17&gt;=0,AB17-AB21,"")</f>
        <v>2253</v>
      </c>
      <c r="AC25" s="65"/>
      <c r="AD25" s="63">
        <f>IF(AD17&gt;=0,AD17-AD21,"")</f>
        <v>2253</v>
      </c>
      <c r="AE25" s="65"/>
    </row>
    <row r="26" spans="2:43" ht="15" customHeight="1" thickBot="1" x14ac:dyDescent="0.35">
      <c r="B26" s="74" t="s">
        <v>55</v>
      </c>
      <c r="C26" s="122">
        <v>11732</v>
      </c>
      <c r="D26" s="76">
        <f>C11</f>
        <v>11392</v>
      </c>
      <c r="E26" s="77">
        <f>D26-C26</f>
        <v>-340</v>
      </c>
      <c r="M26" s="4"/>
      <c r="Q26" s="66"/>
      <c r="R26" s="67">
        <f>IFERROR(IF(R18&gt;0,R18-R22,""),"")</f>
        <v>-1664.5</v>
      </c>
      <c r="S26" s="55"/>
      <c r="T26" s="67">
        <f>IFERROR(IF(T18&gt;0,T18-T22,""),"")</f>
        <v>241.5</v>
      </c>
      <c r="U26" s="55"/>
      <c r="V26" s="67">
        <f>IFERROR(IF(V18&gt;0,V18-V22,""),"")</f>
        <v>-2382</v>
      </c>
      <c r="W26" s="55"/>
      <c r="X26" s="67">
        <f>IFERROR(IF(X18&gt;0,X18-X22,""),"")</f>
        <v>1649</v>
      </c>
      <c r="Y26" s="55"/>
      <c r="Z26" s="67">
        <f>IFERROR(IF(Z18&gt;0,Z18-Z22,""),"")</f>
        <v>-1713.5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31834</v>
      </c>
      <c r="D27" s="76">
        <f>C7+C12+C13+C14+C15</f>
        <v>27914</v>
      </c>
      <c r="E27" s="77">
        <f>D27-C27</f>
        <v>-3920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3844</v>
      </c>
      <c r="D29" s="76">
        <f>C10</f>
        <v>3844</v>
      </c>
      <c r="E29" s="77">
        <f>D29-C29</f>
        <v>0</v>
      </c>
      <c r="O29" s="4"/>
    </row>
    <row r="30" spans="2:43" x14ac:dyDescent="0.3">
      <c r="B30" s="74" t="s">
        <v>59</v>
      </c>
      <c r="C30" s="122">
        <v>17382</v>
      </c>
      <c r="D30" s="76">
        <f>C16+C17+C18</f>
        <v>17119</v>
      </c>
      <c r="E30" s="77">
        <f>D30-C30</f>
        <v>-263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3785</v>
      </c>
      <c r="D31" s="80">
        <f>SUM(C8+C9)</f>
        <v>3785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73.5</v>
      </c>
      <c r="V35" s="104">
        <v>147</v>
      </c>
      <c r="W35" s="104">
        <f t="shared" ref="W35:W64" si="3">IF(X35&gt;0,(X35-V35)/2,"")</f>
        <v>801</v>
      </c>
      <c r="X35" s="104">
        <v>1749</v>
      </c>
      <c r="Y35" s="104">
        <f t="shared" ref="Y35:Y64" si="4">IF(Z35&gt;0,(Z35-X35)/2,"")</f>
        <v>0</v>
      </c>
      <c r="Z35" s="104">
        <v>1749</v>
      </c>
      <c r="AA35" s="104">
        <f t="shared" ref="AA35:AA64" si="5">IF(AB35&gt;0,(AB35-Z35)/2,"")</f>
        <v>0</v>
      </c>
      <c r="AB35" s="104">
        <v>1749</v>
      </c>
      <c r="AC35" s="104">
        <f t="shared" ref="AC35:AC64" si="6">IF(AD35&gt;0,(AD35-AB35)/2,"")</f>
        <v>0</v>
      </c>
      <c r="AD35" s="104">
        <v>1749</v>
      </c>
      <c r="AE35" s="105">
        <f t="shared" ref="AE35:AE64" si="7">AD35-Q35</f>
        <v>1749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1350</v>
      </c>
      <c r="S36" s="106">
        <f t="shared" si="1"/>
        <v>0</v>
      </c>
      <c r="T36" s="106">
        <v>1350</v>
      </c>
      <c r="U36" s="106">
        <f t="shared" si="2"/>
        <v>0</v>
      </c>
      <c r="V36" s="106">
        <v>1350</v>
      </c>
      <c r="W36" s="106">
        <f t="shared" si="3"/>
        <v>689</v>
      </c>
      <c r="X36" s="106">
        <v>2728</v>
      </c>
      <c r="Y36" s="106">
        <f t="shared" si="4"/>
        <v>0</v>
      </c>
      <c r="Z36" s="106">
        <v>2728</v>
      </c>
      <c r="AA36" s="106">
        <f t="shared" si="5"/>
        <v>0</v>
      </c>
      <c r="AB36" s="106">
        <v>2728</v>
      </c>
      <c r="AC36" s="106">
        <f t="shared" si="6"/>
        <v>0</v>
      </c>
      <c r="AD36" s="106">
        <v>2728</v>
      </c>
      <c r="AE36" s="107">
        <f t="shared" si="7"/>
        <v>2728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0</v>
      </c>
      <c r="S37" s="108">
        <f t="shared" si="1"/>
        <v>875.5</v>
      </c>
      <c r="T37" s="108">
        <v>1751</v>
      </c>
      <c r="U37" s="108">
        <f t="shared" si="2"/>
        <v>188</v>
      </c>
      <c r="V37" s="108">
        <v>2127</v>
      </c>
      <c r="W37" s="108">
        <f t="shared" si="3"/>
        <v>590</v>
      </c>
      <c r="X37" s="108">
        <v>3307</v>
      </c>
      <c r="Y37" s="108">
        <f t="shared" si="4"/>
        <v>0</v>
      </c>
      <c r="Z37" s="108">
        <v>3307</v>
      </c>
      <c r="AA37" s="108">
        <f t="shared" si="5"/>
        <v>0</v>
      </c>
      <c r="AB37" s="108">
        <v>3307</v>
      </c>
      <c r="AC37" s="108">
        <f t="shared" si="6"/>
        <v>0</v>
      </c>
      <c r="AD37" s="108">
        <v>3307</v>
      </c>
      <c r="AE37" s="109">
        <f t="shared" si="7"/>
        <v>3307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715</v>
      </c>
      <c r="S38" s="106">
        <f t="shared" si="1"/>
        <v>484.5</v>
      </c>
      <c r="T38" s="106">
        <v>1684</v>
      </c>
      <c r="U38" s="106">
        <f t="shared" si="2"/>
        <v>436</v>
      </c>
      <c r="V38" s="106">
        <v>2556</v>
      </c>
      <c r="W38" s="106">
        <f t="shared" si="3"/>
        <v>231.5</v>
      </c>
      <c r="X38" s="106">
        <v>3019</v>
      </c>
      <c r="Y38" s="106">
        <f t="shared" si="4"/>
        <v>0</v>
      </c>
      <c r="Z38" s="106">
        <v>3019</v>
      </c>
      <c r="AA38" s="106">
        <f t="shared" si="5"/>
        <v>0</v>
      </c>
      <c r="AB38" s="106">
        <v>3019</v>
      </c>
      <c r="AC38" s="106">
        <f t="shared" si="6"/>
        <v>0</v>
      </c>
      <c r="AD38" s="106">
        <v>3019</v>
      </c>
      <c r="AE38" s="107">
        <f t="shared" si="7"/>
        <v>3019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866</v>
      </c>
      <c r="S39" s="108">
        <f t="shared" si="1"/>
        <v>198</v>
      </c>
      <c r="T39" s="108">
        <v>1262</v>
      </c>
      <c r="U39" s="108">
        <f t="shared" si="2"/>
        <v>192.5</v>
      </c>
      <c r="V39" s="108">
        <v>1647</v>
      </c>
      <c r="W39" s="108">
        <f t="shared" si="3"/>
        <v>440</v>
      </c>
      <c r="X39" s="108">
        <v>2527</v>
      </c>
      <c r="Y39" s="108">
        <f t="shared" si="4"/>
        <v>0</v>
      </c>
      <c r="Z39" s="108">
        <v>2527</v>
      </c>
      <c r="AA39" s="108">
        <f t="shared" si="5"/>
        <v>0</v>
      </c>
      <c r="AB39" s="108">
        <v>2527</v>
      </c>
      <c r="AC39" s="108">
        <f t="shared" si="6"/>
        <v>0</v>
      </c>
      <c r="AD39" s="108">
        <v>2527</v>
      </c>
      <c r="AE39" s="109">
        <f t="shared" si="7"/>
        <v>2527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517</v>
      </c>
      <c r="S40" s="106">
        <f t="shared" si="1"/>
        <v>374.5</v>
      </c>
      <c r="T40" s="106">
        <v>1266</v>
      </c>
      <c r="U40" s="106">
        <f t="shared" si="2"/>
        <v>211.5</v>
      </c>
      <c r="V40" s="106">
        <v>1689</v>
      </c>
      <c r="W40" s="106">
        <f t="shared" si="3"/>
        <v>81</v>
      </c>
      <c r="X40" s="106">
        <v>1851</v>
      </c>
      <c r="Y40" s="106">
        <f t="shared" si="4"/>
        <v>0</v>
      </c>
      <c r="Z40" s="106">
        <v>1851</v>
      </c>
      <c r="AA40" s="106">
        <f t="shared" si="5"/>
        <v>0</v>
      </c>
      <c r="AB40" s="106">
        <v>1851</v>
      </c>
      <c r="AC40" s="106">
        <f t="shared" si="6"/>
        <v>0</v>
      </c>
      <c r="AD40" s="106">
        <v>1851</v>
      </c>
      <c r="AE40" s="107">
        <f t="shared" si="7"/>
        <v>1851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6</v>
      </c>
      <c r="S41" s="108">
        <f t="shared" si="1"/>
        <v>393.5</v>
      </c>
      <c r="T41" s="108">
        <v>793</v>
      </c>
      <c r="U41" s="108">
        <f t="shared" si="2"/>
        <v>210.5</v>
      </c>
      <c r="V41" s="108">
        <v>1214</v>
      </c>
      <c r="W41" s="108">
        <f t="shared" si="3"/>
        <v>0</v>
      </c>
      <c r="X41" s="108">
        <v>1214</v>
      </c>
      <c r="Y41" s="108">
        <f t="shared" si="4"/>
        <v>0</v>
      </c>
      <c r="Z41" s="108">
        <v>1214</v>
      </c>
      <c r="AA41" s="108">
        <f t="shared" si="5"/>
        <v>0</v>
      </c>
      <c r="AB41" s="108">
        <v>1214</v>
      </c>
      <c r="AC41" s="108">
        <f t="shared" si="6"/>
        <v>0</v>
      </c>
      <c r="AD41" s="108">
        <v>1214</v>
      </c>
      <c r="AE41" s="109">
        <f t="shared" si="7"/>
        <v>1214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185.5</v>
      </c>
      <c r="T44" s="112">
        <v>371</v>
      </c>
      <c r="U44" s="112">
        <f t="shared" si="2"/>
        <v>168.5</v>
      </c>
      <c r="V44" s="112">
        <v>708</v>
      </c>
      <c r="W44" s="112">
        <f t="shared" si="3"/>
        <v>0</v>
      </c>
      <c r="X44" s="112">
        <v>708</v>
      </c>
      <c r="Y44" s="112">
        <f t="shared" si="4"/>
        <v>0</v>
      </c>
      <c r="Z44" s="112">
        <v>708</v>
      </c>
      <c r="AA44" s="112">
        <f t="shared" si="5"/>
        <v>0</v>
      </c>
      <c r="AB44" s="112">
        <v>708</v>
      </c>
      <c r="AC44" s="112">
        <f t="shared" si="6"/>
        <v>0</v>
      </c>
      <c r="AD44" s="112">
        <v>708</v>
      </c>
      <c r="AE44" s="113">
        <f t="shared" si="7"/>
        <v>708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0</v>
      </c>
      <c r="S45" s="108">
        <f t="shared" si="1"/>
        <v>170.5</v>
      </c>
      <c r="T45" s="108">
        <v>341</v>
      </c>
      <c r="U45" s="108">
        <f t="shared" si="2"/>
        <v>467.5</v>
      </c>
      <c r="V45" s="108">
        <v>1276</v>
      </c>
      <c r="W45" s="108">
        <f t="shared" si="3"/>
        <v>0</v>
      </c>
      <c r="X45" s="108">
        <v>1276</v>
      </c>
      <c r="Y45" s="108">
        <f t="shared" si="4"/>
        <v>0</v>
      </c>
      <c r="Z45" s="108">
        <v>1276</v>
      </c>
      <c r="AA45" s="108">
        <f t="shared" si="5"/>
        <v>0</v>
      </c>
      <c r="AB45" s="108">
        <v>1276</v>
      </c>
      <c r="AC45" s="108">
        <f t="shared" si="6"/>
        <v>0</v>
      </c>
      <c r="AD45" s="108">
        <v>1276</v>
      </c>
      <c r="AE45" s="109">
        <f t="shared" si="7"/>
        <v>1276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>
        <f t="shared" si="2"/>
        <v>865.5</v>
      </c>
      <c r="V48" s="112">
        <v>1731</v>
      </c>
      <c r="W48" s="112">
        <f t="shared" si="3"/>
        <v>60.5</v>
      </c>
      <c r="X48" s="112">
        <v>1852</v>
      </c>
      <c r="Y48" s="112">
        <f t="shared" si="4"/>
        <v>0</v>
      </c>
      <c r="Z48" s="112">
        <v>1852</v>
      </c>
      <c r="AA48" s="112">
        <f t="shared" si="5"/>
        <v>0</v>
      </c>
      <c r="AB48" s="112">
        <v>1852</v>
      </c>
      <c r="AC48" s="112">
        <f t="shared" si="6"/>
        <v>0</v>
      </c>
      <c r="AD48" s="112">
        <v>1852</v>
      </c>
      <c r="AE48" s="113">
        <f t="shared" si="7"/>
        <v>1852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1187</v>
      </c>
      <c r="S49" s="108">
        <f t="shared" si="1"/>
        <v>42.5</v>
      </c>
      <c r="T49" s="108">
        <v>1272</v>
      </c>
      <c r="U49" s="108">
        <f t="shared" si="2"/>
        <v>239.5</v>
      </c>
      <c r="V49" s="108">
        <v>1751</v>
      </c>
      <c r="W49" s="108">
        <f t="shared" si="3"/>
        <v>246.5</v>
      </c>
      <c r="X49" s="108">
        <v>2244</v>
      </c>
      <c r="Y49" s="108">
        <f t="shared" si="4"/>
        <v>0</v>
      </c>
      <c r="Z49" s="108">
        <v>2244</v>
      </c>
      <c r="AA49" s="108">
        <f t="shared" si="5"/>
        <v>0</v>
      </c>
      <c r="AB49" s="108">
        <v>2244</v>
      </c>
      <c r="AC49" s="108">
        <f t="shared" si="6"/>
        <v>0</v>
      </c>
      <c r="AD49" s="108">
        <v>2244</v>
      </c>
      <c r="AE49" s="109">
        <f t="shared" si="7"/>
        <v>2244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411</v>
      </c>
      <c r="S50" s="106">
        <f t="shared" si="1"/>
        <v>0</v>
      </c>
      <c r="T50" s="106">
        <v>411</v>
      </c>
      <c r="U50" s="106">
        <f t="shared" si="2"/>
        <v>468</v>
      </c>
      <c r="V50" s="106">
        <v>1347</v>
      </c>
      <c r="W50" s="106">
        <f t="shared" si="3"/>
        <v>67</v>
      </c>
      <c r="X50" s="106">
        <v>1481</v>
      </c>
      <c r="Y50" s="106">
        <f t="shared" si="4"/>
        <v>0</v>
      </c>
      <c r="Z50" s="106">
        <v>1481</v>
      </c>
      <c r="AA50" s="106">
        <f t="shared" si="5"/>
        <v>0</v>
      </c>
      <c r="AB50" s="106">
        <v>1481</v>
      </c>
      <c r="AC50" s="106">
        <f t="shared" si="6"/>
        <v>0</v>
      </c>
      <c r="AD50" s="106">
        <v>1481</v>
      </c>
      <c r="AE50" s="107">
        <f t="shared" si="7"/>
        <v>1481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1000</v>
      </c>
      <c r="S51" s="108">
        <f t="shared" si="1"/>
        <v>0</v>
      </c>
      <c r="T51" s="108">
        <v>1000</v>
      </c>
      <c r="U51" s="108">
        <f t="shared" si="2"/>
        <v>980</v>
      </c>
      <c r="V51" s="108">
        <v>2960</v>
      </c>
      <c r="W51" s="108">
        <f t="shared" si="3"/>
        <v>-65</v>
      </c>
      <c r="X51" s="108">
        <v>2830</v>
      </c>
      <c r="Y51" s="108">
        <f t="shared" si="4"/>
        <v>0</v>
      </c>
      <c r="Z51" s="108">
        <v>2830</v>
      </c>
      <c r="AA51" s="108">
        <f t="shared" si="5"/>
        <v>0</v>
      </c>
      <c r="AB51" s="108">
        <v>2830</v>
      </c>
      <c r="AC51" s="108">
        <f t="shared" si="6"/>
        <v>0</v>
      </c>
      <c r="AD51" s="108">
        <v>2830</v>
      </c>
      <c r="AE51" s="109">
        <f t="shared" si="7"/>
        <v>2830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1320</v>
      </c>
      <c r="S52" s="106">
        <f t="shared" si="1"/>
        <v>-98.5</v>
      </c>
      <c r="T52" s="106">
        <v>1123</v>
      </c>
      <c r="U52" s="106">
        <f t="shared" si="2"/>
        <v>0</v>
      </c>
      <c r="V52" s="106">
        <v>1123</v>
      </c>
      <c r="W52" s="106">
        <f t="shared" si="3"/>
        <v>578.5</v>
      </c>
      <c r="X52" s="106">
        <v>2280</v>
      </c>
      <c r="Y52" s="106">
        <f t="shared" si="4"/>
        <v>0</v>
      </c>
      <c r="Z52" s="106">
        <v>2280</v>
      </c>
      <c r="AA52" s="106">
        <f t="shared" si="5"/>
        <v>0</v>
      </c>
      <c r="AB52" s="106">
        <v>2280</v>
      </c>
      <c r="AC52" s="106">
        <f t="shared" si="6"/>
        <v>0</v>
      </c>
      <c r="AD52" s="106">
        <v>2280</v>
      </c>
      <c r="AE52" s="107">
        <f t="shared" si="7"/>
        <v>2280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96</v>
      </c>
      <c r="S53" s="108">
        <f t="shared" si="1"/>
        <v>0</v>
      </c>
      <c r="T53" s="108">
        <v>96</v>
      </c>
      <c r="U53" s="108">
        <f t="shared" si="2"/>
        <v>0</v>
      </c>
      <c r="V53" s="108">
        <v>96</v>
      </c>
      <c r="W53" s="108">
        <f t="shared" si="3"/>
        <v>297</v>
      </c>
      <c r="X53" s="108">
        <v>690</v>
      </c>
      <c r="Y53" s="108">
        <f t="shared" si="4"/>
        <v>0</v>
      </c>
      <c r="Z53" s="108">
        <v>690</v>
      </c>
      <c r="AA53" s="108">
        <f t="shared" si="5"/>
        <v>0</v>
      </c>
      <c r="AB53" s="108">
        <v>690</v>
      </c>
      <c r="AC53" s="108">
        <f t="shared" si="6"/>
        <v>0</v>
      </c>
      <c r="AD53" s="108">
        <v>690</v>
      </c>
      <c r="AE53" s="109">
        <f t="shared" si="7"/>
        <v>690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1413</v>
      </c>
      <c r="S57" s="104">
        <f t="shared" si="1"/>
        <v>-338.5</v>
      </c>
      <c r="T57" s="104">
        <v>736</v>
      </c>
      <c r="U57" s="104">
        <f t="shared" si="2"/>
        <v>406.5</v>
      </c>
      <c r="V57" s="104">
        <v>1549</v>
      </c>
      <c r="W57" s="104">
        <f t="shared" si="3"/>
        <v>0</v>
      </c>
      <c r="X57" s="104">
        <v>1549</v>
      </c>
      <c r="Y57" s="104">
        <f t="shared" si="4"/>
        <v>0</v>
      </c>
      <c r="Z57" s="104">
        <v>1549</v>
      </c>
      <c r="AA57" s="104">
        <f t="shared" si="5"/>
        <v>0</v>
      </c>
      <c r="AB57" s="104">
        <v>1549</v>
      </c>
      <c r="AC57" s="104">
        <f t="shared" si="6"/>
        <v>0</v>
      </c>
      <c r="AD57" s="104">
        <v>1549</v>
      </c>
      <c r="AE57" s="105">
        <f t="shared" si="7"/>
        <v>1549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1531</v>
      </c>
      <c r="S58" s="106">
        <f t="shared" si="1"/>
        <v>0</v>
      </c>
      <c r="T58" s="106">
        <v>1531</v>
      </c>
      <c r="U58" s="106">
        <f t="shared" si="2"/>
        <v>498.5</v>
      </c>
      <c r="V58" s="106">
        <v>2528</v>
      </c>
      <c r="W58" s="106">
        <f t="shared" si="3"/>
        <v>-20</v>
      </c>
      <c r="X58" s="106">
        <v>2488</v>
      </c>
      <c r="Y58" s="106">
        <f t="shared" si="4"/>
        <v>0</v>
      </c>
      <c r="Z58" s="106">
        <v>2488</v>
      </c>
      <c r="AA58" s="106">
        <f t="shared" si="5"/>
        <v>0</v>
      </c>
      <c r="AB58" s="106">
        <v>2488</v>
      </c>
      <c r="AC58" s="106">
        <f t="shared" si="6"/>
        <v>0</v>
      </c>
      <c r="AD58" s="106">
        <v>2488</v>
      </c>
      <c r="AE58" s="107">
        <f t="shared" si="7"/>
        <v>2488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1234</v>
      </c>
      <c r="S59" s="108">
        <f t="shared" si="1"/>
        <v>212.5</v>
      </c>
      <c r="T59" s="108">
        <v>1659</v>
      </c>
      <c r="U59" s="108">
        <f t="shared" si="2"/>
        <v>90</v>
      </c>
      <c r="V59" s="108">
        <v>1839</v>
      </c>
      <c r="W59" s="108">
        <f t="shared" si="3"/>
        <v>0</v>
      </c>
      <c r="X59" s="108">
        <v>1839</v>
      </c>
      <c r="Y59" s="108">
        <f t="shared" si="4"/>
        <v>0</v>
      </c>
      <c r="Z59" s="108">
        <v>1839</v>
      </c>
      <c r="AA59" s="108">
        <f t="shared" si="5"/>
        <v>0</v>
      </c>
      <c r="AB59" s="108">
        <v>1839</v>
      </c>
      <c r="AC59" s="108">
        <f t="shared" si="6"/>
        <v>0</v>
      </c>
      <c r="AD59" s="108">
        <v>1839</v>
      </c>
      <c r="AE59" s="109">
        <f t="shared" si="7"/>
        <v>1839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1736</v>
      </c>
      <c r="S60" s="114">
        <f t="shared" si="1"/>
        <v>214.5</v>
      </c>
      <c r="T60" s="114">
        <v>2165</v>
      </c>
      <c r="U60" s="114">
        <f t="shared" si="2"/>
        <v>173</v>
      </c>
      <c r="V60" s="114">
        <v>2511</v>
      </c>
      <c r="W60" s="114">
        <f t="shared" si="3"/>
        <v>0</v>
      </c>
      <c r="X60" s="114">
        <v>2511</v>
      </c>
      <c r="Y60" s="114">
        <f t="shared" si="4"/>
        <v>0</v>
      </c>
      <c r="Z60" s="114">
        <v>2511</v>
      </c>
      <c r="AA60" s="114">
        <f t="shared" si="5"/>
        <v>0</v>
      </c>
      <c r="AB60" s="114">
        <v>2511</v>
      </c>
      <c r="AC60" s="114">
        <f t="shared" si="6"/>
        <v>0</v>
      </c>
      <c r="AD60" s="114">
        <v>2511</v>
      </c>
      <c r="AE60" s="115">
        <f t="shared" si="7"/>
        <v>2511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863</v>
      </c>
      <c r="S61" s="104">
        <f t="shared" si="1"/>
        <v>167</v>
      </c>
      <c r="T61" s="104">
        <v>1197</v>
      </c>
      <c r="U61" s="104">
        <f t="shared" si="2"/>
        <v>201.5</v>
      </c>
      <c r="V61" s="104">
        <v>1600</v>
      </c>
      <c r="W61" s="104">
        <f t="shared" si="3"/>
        <v>162</v>
      </c>
      <c r="X61" s="104">
        <v>1924</v>
      </c>
      <c r="Y61" s="104">
        <f t="shared" si="4"/>
        <v>-47</v>
      </c>
      <c r="Z61" s="104">
        <v>1830</v>
      </c>
      <c r="AA61" s="104">
        <f t="shared" si="5"/>
        <v>0</v>
      </c>
      <c r="AB61" s="104">
        <v>1830</v>
      </c>
      <c r="AC61" s="104">
        <f t="shared" si="6"/>
        <v>0</v>
      </c>
      <c r="AD61" s="104">
        <v>1830</v>
      </c>
      <c r="AE61" s="105">
        <f t="shared" si="7"/>
        <v>1830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340</v>
      </c>
      <c r="S62" s="106">
        <f t="shared" si="1"/>
        <v>379</v>
      </c>
      <c r="T62" s="106">
        <v>1098</v>
      </c>
      <c r="U62" s="106">
        <f t="shared" si="2"/>
        <v>357.5</v>
      </c>
      <c r="V62" s="106">
        <v>1813</v>
      </c>
      <c r="W62" s="106">
        <f t="shared" si="3"/>
        <v>-83</v>
      </c>
      <c r="X62" s="106">
        <v>1647</v>
      </c>
      <c r="Y62" s="106">
        <f t="shared" si="4"/>
        <v>-144.5</v>
      </c>
      <c r="Z62" s="106">
        <v>1358</v>
      </c>
      <c r="AA62" s="106">
        <f t="shared" si="5"/>
        <v>0</v>
      </c>
      <c r="AB62" s="106">
        <v>1358</v>
      </c>
      <c r="AC62" s="106">
        <f t="shared" si="6"/>
        <v>0</v>
      </c>
      <c r="AD62" s="106">
        <v>1358</v>
      </c>
      <c r="AE62" s="107">
        <f t="shared" si="7"/>
        <v>1358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108</v>
      </c>
      <c r="S63" s="108">
        <f t="shared" si="1"/>
        <v>28</v>
      </c>
      <c r="T63" s="108">
        <v>164</v>
      </c>
      <c r="U63" s="108">
        <f t="shared" si="2"/>
        <v>96</v>
      </c>
      <c r="V63" s="108">
        <v>356</v>
      </c>
      <c r="W63" s="108">
        <f t="shared" si="3"/>
        <v>351</v>
      </c>
      <c r="X63" s="108">
        <v>1058</v>
      </c>
      <c r="Y63" s="108">
        <f t="shared" si="4"/>
        <v>31.5</v>
      </c>
      <c r="Z63" s="108">
        <v>1121</v>
      </c>
      <c r="AA63" s="108">
        <f t="shared" si="5"/>
        <v>0</v>
      </c>
      <c r="AB63" s="108">
        <v>1121</v>
      </c>
      <c r="AC63" s="108">
        <f t="shared" si="6"/>
        <v>0</v>
      </c>
      <c r="AD63" s="108">
        <v>1121</v>
      </c>
      <c r="AE63" s="109">
        <f t="shared" si="7"/>
        <v>1121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1542</v>
      </c>
      <c r="S64" s="114">
        <f t="shared" si="1"/>
        <v>158.5</v>
      </c>
      <c r="T64" s="114">
        <v>1859</v>
      </c>
      <c r="U64" s="114">
        <f t="shared" si="2"/>
        <v>196.5</v>
      </c>
      <c r="V64" s="114">
        <v>2252</v>
      </c>
      <c r="W64" s="114">
        <f t="shared" si="3"/>
        <v>24.5</v>
      </c>
      <c r="X64" s="114">
        <v>2301</v>
      </c>
      <c r="Y64" s="114">
        <f t="shared" si="4"/>
        <v>-123.5</v>
      </c>
      <c r="Z64" s="114">
        <v>2054</v>
      </c>
      <c r="AA64" s="114">
        <f t="shared" si="5"/>
        <v>0</v>
      </c>
      <c r="AB64" s="114">
        <v>2054</v>
      </c>
      <c r="AC64" s="114">
        <f t="shared" si="6"/>
        <v>0</v>
      </c>
      <c r="AD64" s="114">
        <v>2054</v>
      </c>
      <c r="AE64" s="115">
        <f t="shared" si="7"/>
        <v>2054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15" priority="11" operator="lessThan">
      <formula>0</formula>
    </cfRule>
    <cfRule type="cellIs" dxfId="514" priority="12" operator="greaterThan">
      <formula>0</formula>
    </cfRule>
  </conditionalFormatting>
  <conditionalFormatting sqref="R25:AC25">
    <cfRule type="cellIs" dxfId="513" priority="9" operator="lessThan">
      <formula>0</formula>
    </cfRule>
    <cfRule type="cellIs" dxfId="512" priority="10" operator="greaterThan">
      <formula>0</formula>
    </cfRule>
  </conditionalFormatting>
  <conditionalFormatting sqref="R26 T26 V26 X26 Z26 AB26">
    <cfRule type="cellIs" dxfId="511" priority="7" operator="lessThan">
      <formula>0</formula>
    </cfRule>
    <cfRule type="cellIs" dxfId="510" priority="8" operator="greaterThan">
      <formula>0</formula>
    </cfRule>
  </conditionalFormatting>
  <conditionalFormatting sqref="AD24:AE24">
    <cfRule type="cellIs" dxfId="509" priority="5" operator="lessThan">
      <formula>0</formula>
    </cfRule>
    <cfRule type="cellIs" dxfId="508" priority="6" operator="greaterThan">
      <formula>0</formula>
    </cfRule>
  </conditionalFormatting>
  <conditionalFormatting sqref="AD25:AE25">
    <cfRule type="cellIs" dxfId="507" priority="3" operator="lessThan">
      <formula>0</formula>
    </cfRule>
    <cfRule type="cellIs" dxfId="506" priority="4" operator="greaterThan">
      <formula>0</formula>
    </cfRule>
  </conditionalFormatting>
  <conditionalFormatting sqref="AD26">
    <cfRule type="cellIs" dxfId="505" priority="1" operator="lessThan">
      <formula>0</formula>
    </cfRule>
    <cfRule type="cellIs" dxfId="50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>
    <tabColor theme="1"/>
    <pageSetUpPr fitToPage="1"/>
  </sheetPr>
  <dimension ref="B1:AQ64"/>
  <sheetViews>
    <sheetView topLeftCell="G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44476</v>
      </c>
    </row>
    <row r="3" spans="2:42" ht="18.75" customHeight="1" thickBot="1" x14ac:dyDescent="0.35">
      <c r="B3" t="s">
        <v>1</v>
      </c>
      <c r="C3" s="3">
        <f>C2+1</f>
        <v>44477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6090</v>
      </c>
      <c r="E6" s="18" t="s">
        <v>22</v>
      </c>
      <c r="F6" s="119">
        <v>24091</v>
      </c>
      <c r="G6" s="117">
        <v>11955.69025</v>
      </c>
      <c r="H6" s="117">
        <v>1134.3957925</v>
      </c>
      <c r="I6" s="19">
        <f>G6+H6</f>
        <v>13090.086042499999</v>
      </c>
      <c r="J6" s="119">
        <v>23289</v>
      </c>
      <c r="K6" s="117">
        <v>11705.831125000001</v>
      </c>
      <c r="L6" s="117">
        <v>1041.4544025</v>
      </c>
      <c r="M6" s="19">
        <f>K6+L6</f>
        <v>12747.2855275</v>
      </c>
      <c r="N6" s="85">
        <v>57</v>
      </c>
      <c r="O6" s="85">
        <v>47</v>
      </c>
      <c r="P6" s="92"/>
      <c r="Q6" s="20">
        <f>J6-P6</f>
        <v>23289</v>
      </c>
      <c r="R6" s="21">
        <v>4049</v>
      </c>
      <c r="S6" s="20">
        <f>IF(R6&gt;0,(R6-R7-$Q6),"")</f>
        <v>-19507</v>
      </c>
      <c r="T6" s="21">
        <v>8410</v>
      </c>
      <c r="U6" s="20">
        <f>IF(T6&gt;0,(T6-T7-$Q6),"")</f>
        <v>-15204</v>
      </c>
      <c r="V6" s="21">
        <v>10009</v>
      </c>
      <c r="W6" s="20">
        <f>IF(V6&gt;0,(V6-V7-$Q6),"")</f>
        <v>-13618</v>
      </c>
      <c r="X6" s="21">
        <v>17114</v>
      </c>
      <c r="Y6" s="20">
        <f>IF(X6&gt;0,(X6-X7-$Q6),"")</f>
        <v>-6536</v>
      </c>
      <c r="Z6" s="21">
        <v>17876</v>
      </c>
      <c r="AA6" s="20">
        <f>IF(Z6&gt;0,(Z6-Z7-$Q6),"")</f>
        <v>-5774</v>
      </c>
      <c r="AB6" s="21">
        <v>17876</v>
      </c>
      <c r="AC6" s="22">
        <f>IF(AB6&gt;0,(AB6-AB7-$Q6),"")</f>
        <v>-5774</v>
      </c>
      <c r="AD6" s="21">
        <v>17876</v>
      </c>
      <c r="AE6" s="22">
        <f>IF(AD6&gt;0,(AD6-AD7-$Q6),"")</f>
        <v>-5774</v>
      </c>
    </row>
    <row r="7" spans="2:42" x14ac:dyDescent="0.3">
      <c r="B7" s="16" t="s">
        <v>23</v>
      </c>
      <c r="C7" s="17">
        <v>1522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267</v>
      </c>
      <c r="S7" s="24"/>
      <c r="T7" s="25">
        <v>325</v>
      </c>
      <c r="U7" s="24"/>
      <c r="V7" s="25">
        <v>338</v>
      </c>
      <c r="W7" s="24"/>
      <c r="X7" s="25">
        <v>361</v>
      </c>
      <c r="Y7" s="24"/>
      <c r="Z7" s="25">
        <v>361</v>
      </c>
      <c r="AA7" s="24"/>
      <c r="AB7" s="25">
        <v>361</v>
      </c>
      <c r="AC7" s="26"/>
      <c r="AD7" s="25">
        <v>361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2316</v>
      </c>
      <c r="E8" s="29" t="s">
        <v>27</v>
      </c>
      <c r="F8" s="119">
        <v>4792</v>
      </c>
      <c r="G8" s="117">
        <v>4191.6219999999994</v>
      </c>
      <c r="H8" s="117">
        <v>14121.98687656</v>
      </c>
      <c r="I8" s="19">
        <f>G8+H8</f>
        <v>18313.60887656</v>
      </c>
      <c r="J8" s="119">
        <v>4895</v>
      </c>
      <c r="K8" s="117">
        <v>4657.2669999999998</v>
      </c>
      <c r="L8" s="117">
        <v>13845.847265939999</v>
      </c>
      <c r="M8" s="19">
        <f>K8+L8</f>
        <v>18503.114265939999</v>
      </c>
      <c r="N8" s="87">
        <v>16</v>
      </c>
      <c r="O8" s="87">
        <v>12</v>
      </c>
      <c r="P8" s="92"/>
      <c r="Q8" s="20">
        <f>J8-P8</f>
        <v>4895</v>
      </c>
      <c r="R8" s="21">
        <v>233</v>
      </c>
      <c r="S8" s="20">
        <f>IF(R8&gt;0,(R8-R9-$Q8),"")</f>
        <v>-4662</v>
      </c>
      <c r="T8" s="21">
        <v>717</v>
      </c>
      <c r="U8" s="20">
        <f>IF(T8&gt;0,(T8-T9-$Q8),"")</f>
        <v>-4178</v>
      </c>
      <c r="V8" s="21">
        <v>1611</v>
      </c>
      <c r="W8" s="20">
        <f>IF(V8&gt;0,(V8-V9-$Q8),"")</f>
        <v>-3284</v>
      </c>
      <c r="X8" s="21">
        <v>2206</v>
      </c>
      <c r="Y8" s="20">
        <f>IF(X8&gt;0,(X8-X9-$Q8),"")</f>
        <v>-2698</v>
      </c>
      <c r="Z8" s="21">
        <v>2206</v>
      </c>
      <c r="AA8" s="20">
        <f>IF(Z8&gt;0,(Z8-Z9-$Q8),"")</f>
        <v>-2698</v>
      </c>
      <c r="AB8" s="21">
        <v>2206</v>
      </c>
      <c r="AC8" s="22">
        <f>IF(AB8&gt;0,(AB8-AB9-$Q8),"")</f>
        <v>-2698</v>
      </c>
      <c r="AD8" s="21">
        <v>2206</v>
      </c>
      <c r="AE8" s="22">
        <f>IF(AD8&gt;0,(AD8-AD9-$Q8),"")</f>
        <v>-2698</v>
      </c>
    </row>
    <row r="9" spans="2:42" x14ac:dyDescent="0.3">
      <c r="B9" s="28" t="s">
        <v>28</v>
      </c>
      <c r="C9" s="17">
        <v>1739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9</v>
      </c>
      <c r="Y9" s="24"/>
      <c r="Z9" s="30">
        <v>9</v>
      </c>
      <c r="AA9" s="24"/>
      <c r="AB9" s="30">
        <v>9</v>
      </c>
      <c r="AC9" s="26"/>
      <c r="AD9" s="30">
        <v>9</v>
      </c>
      <c r="AE9" s="26"/>
    </row>
    <row r="10" spans="2:42" x14ac:dyDescent="0.3">
      <c r="B10" s="16" t="s">
        <v>30</v>
      </c>
      <c r="C10" s="17">
        <v>4074</v>
      </c>
      <c r="E10" s="18" t="s">
        <v>31</v>
      </c>
      <c r="F10" s="119">
        <v>20738</v>
      </c>
      <c r="G10" s="117">
        <v>14620.571250000001</v>
      </c>
      <c r="H10" s="117">
        <v>461.88836300000003</v>
      </c>
      <c r="I10" s="19">
        <f>G10+H10</f>
        <v>15082.459613000001</v>
      </c>
      <c r="J10" s="119">
        <v>20408</v>
      </c>
      <c r="K10" s="117">
        <v>14590.42475</v>
      </c>
      <c r="L10" s="117">
        <v>440.8177925</v>
      </c>
      <c r="M10" s="19">
        <f>K10+L10</f>
        <v>15031.2425425</v>
      </c>
      <c r="N10" s="88">
        <v>43</v>
      </c>
      <c r="O10" s="88">
        <v>41</v>
      </c>
      <c r="P10" s="92"/>
      <c r="Q10" s="20">
        <f>J10-P10</f>
        <v>20408</v>
      </c>
      <c r="R10" s="21">
        <v>5102</v>
      </c>
      <c r="S10" s="20">
        <f>IF(R10&gt;0,(R10-R11-$Q10),"")</f>
        <v>-15308</v>
      </c>
      <c r="T10" s="21">
        <v>6718</v>
      </c>
      <c r="U10" s="20">
        <f>IF(T10&gt;0,(T10-T11-$Q10),"")</f>
        <v>-13692</v>
      </c>
      <c r="V10" s="21">
        <v>8625</v>
      </c>
      <c r="W10" s="20">
        <f>IF(V10&gt;0,(V10-V11-$Q10),"")</f>
        <v>-11785</v>
      </c>
      <c r="X10" s="21">
        <v>13190</v>
      </c>
      <c r="Y10" s="20">
        <f>IF(X10&gt;0,(X10-X11-$Q10),"")</f>
        <v>-7220</v>
      </c>
      <c r="Z10" s="21">
        <v>13190</v>
      </c>
      <c r="AA10" s="20">
        <f>IF(Z10&gt;0,(Z10-Z11-$Q10),"")</f>
        <v>-7220</v>
      </c>
      <c r="AB10" s="21">
        <v>13190</v>
      </c>
      <c r="AC10" s="22">
        <f>IF(AB10&gt;0,(AB10-AB11-$Q10),"")</f>
        <v>-7220</v>
      </c>
      <c r="AD10" s="21">
        <v>13190</v>
      </c>
      <c r="AE10" s="22">
        <f>IF(AD10&gt;0,(AD10-AD11-$Q10),"")</f>
        <v>-7220</v>
      </c>
    </row>
    <row r="11" spans="2:42" x14ac:dyDescent="0.3">
      <c r="B11" s="16" t="s">
        <v>38</v>
      </c>
      <c r="C11" s="17">
        <v>11695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2</v>
      </c>
      <c r="S11" s="24"/>
      <c r="T11" s="30">
        <v>2</v>
      </c>
      <c r="U11" s="24"/>
      <c r="V11" s="30">
        <v>2</v>
      </c>
      <c r="W11" s="24"/>
      <c r="X11" s="30">
        <v>2</v>
      </c>
      <c r="Y11" s="24"/>
      <c r="Z11" s="30">
        <v>2</v>
      </c>
      <c r="AA11" s="24"/>
      <c r="AB11" s="30">
        <v>2</v>
      </c>
      <c r="AC11" s="26"/>
      <c r="AD11" s="30">
        <v>2</v>
      </c>
      <c r="AE11" s="26"/>
    </row>
    <row r="12" spans="2:42" x14ac:dyDescent="0.3">
      <c r="B12" s="16" t="s">
        <v>40</v>
      </c>
      <c r="C12" s="17">
        <v>1780</v>
      </c>
      <c r="E12" s="29" t="s">
        <v>35</v>
      </c>
      <c r="F12" s="119">
        <v>12066</v>
      </c>
      <c r="G12" s="117">
        <v>11856.495999999999</v>
      </c>
      <c r="H12" s="117">
        <v>15046.607690659999</v>
      </c>
      <c r="I12" s="19">
        <f>G12+H12</f>
        <v>26903.103690659998</v>
      </c>
      <c r="J12" s="119">
        <v>11938</v>
      </c>
      <c r="K12" s="117">
        <v>11668.29675</v>
      </c>
      <c r="L12" s="117">
        <v>14992.7085952</v>
      </c>
      <c r="M12" s="19">
        <f>K12+L12</f>
        <v>26661.005345199999</v>
      </c>
      <c r="N12" s="88">
        <v>48</v>
      </c>
      <c r="O12" s="88">
        <v>42</v>
      </c>
      <c r="P12" s="92"/>
      <c r="Q12" s="20">
        <f>J12-P12</f>
        <v>11938</v>
      </c>
      <c r="R12" s="21">
        <v>7572</v>
      </c>
      <c r="S12" s="20">
        <f>IF(R12&gt;0,(R12-R13-$Q12),"")</f>
        <v>-4702</v>
      </c>
      <c r="T12" s="21">
        <v>8115</v>
      </c>
      <c r="U12" s="20">
        <f>IF(T12&gt;0,(T12-T13-$Q12),"")</f>
        <v>-4235</v>
      </c>
      <c r="V12" s="21">
        <v>9702</v>
      </c>
      <c r="W12" s="20">
        <f>IF(V12&gt;0,(V12-V13-$Q12),"")</f>
        <v>-2676</v>
      </c>
      <c r="X12" s="21">
        <v>9702</v>
      </c>
      <c r="Y12" s="20">
        <f>IF(X12&gt;0,(X12-X13-$Q12),"")</f>
        <v>-2676</v>
      </c>
      <c r="Z12" s="21">
        <v>9702</v>
      </c>
      <c r="AA12" s="20">
        <f>IF(Z12&gt;0,(Z12-Z13-$Q12),"")</f>
        <v>-2676</v>
      </c>
      <c r="AB12" s="21">
        <v>9702</v>
      </c>
      <c r="AC12" s="22">
        <f>IF(AB12&gt;0,(AB12-AB13-$Q12),"")</f>
        <v>-2676</v>
      </c>
      <c r="AD12" s="21">
        <v>9702</v>
      </c>
      <c r="AE12" s="22">
        <f>IF(AD12&gt;0,(AD12-AD13-$Q12),"")</f>
        <v>-2676</v>
      </c>
    </row>
    <row r="13" spans="2:42" x14ac:dyDescent="0.3">
      <c r="B13" s="28" t="s">
        <v>42</v>
      </c>
      <c r="C13" s="17">
        <v>14620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336</v>
      </c>
      <c r="S13" s="24"/>
      <c r="T13" s="30">
        <v>412</v>
      </c>
      <c r="U13" s="24"/>
      <c r="V13" s="30">
        <v>440</v>
      </c>
      <c r="W13" s="24"/>
      <c r="X13" s="30">
        <v>440</v>
      </c>
      <c r="Y13" s="24"/>
      <c r="Z13" s="30">
        <v>440</v>
      </c>
      <c r="AA13" s="24"/>
      <c r="AB13" s="30">
        <v>440</v>
      </c>
      <c r="AC13" s="26"/>
      <c r="AD13" s="30">
        <v>440</v>
      </c>
      <c r="AE13" s="26"/>
    </row>
    <row r="14" spans="2:42" x14ac:dyDescent="0.3">
      <c r="B14" s="43" t="s">
        <v>47</v>
      </c>
      <c r="C14" s="17">
        <v>1139</v>
      </c>
      <c r="E14" s="18" t="s">
        <v>39</v>
      </c>
      <c r="F14" s="119">
        <v>24913</v>
      </c>
      <c r="G14" s="117">
        <v>18967.433499999999</v>
      </c>
      <c r="H14" s="117">
        <v>28877.002530860002</v>
      </c>
      <c r="I14" s="19">
        <f>G14+H14</f>
        <v>47844.436030860001</v>
      </c>
      <c r="J14" s="119">
        <v>24392</v>
      </c>
      <c r="K14" s="117">
        <v>19267.893</v>
      </c>
      <c r="L14" s="117">
        <v>28890.238249859991</v>
      </c>
      <c r="M14" s="19">
        <f>K14+L14</f>
        <v>48158.131249859987</v>
      </c>
      <c r="N14" s="88">
        <v>67</v>
      </c>
      <c r="O14" s="88">
        <v>57</v>
      </c>
      <c r="P14" s="92"/>
      <c r="Q14" s="20">
        <f>J14-P14</f>
        <v>24392</v>
      </c>
      <c r="R14" s="21">
        <v>5092</v>
      </c>
      <c r="S14" s="20">
        <f>IF(R14&gt;0,(R14-R15-$Q14),"")</f>
        <v>-19348</v>
      </c>
      <c r="T14" s="21">
        <v>6775</v>
      </c>
      <c r="U14" s="20">
        <f>IF(T14&gt;0,(T14-T15-$Q14),"")</f>
        <v>-17666</v>
      </c>
      <c r="V14" s="21">
        <v>8107</v>
      </c>
      <c r="W14" s="20">
        <f>IF(V14&gt;0,(V14-V15-$Q14),"")</f>
        <v>-16345</v>
      </c>
      <c r="X14" s="21">
        <v>9882</v>
      </c>
      <c r="Y14" s="20">
        <f>IF(X14&gt;0,(X14-X15-$Q14),"")</f>
        <v>-14592</v>
      </c>
      <c r="Z14" s="21">
        <v>9882</v>
      </c>
      <c r="AA14" s="20">
        <f>IF(Z14&gt;0,(Z14-Z15-$Q14),"")</f>
        <v>-14592</v>
      </c>
      <c r="AB14" s="21">
        <v>9882</v>
      </c>
      <c r="AC14" s="22">
        <f>IF(AB14&gt;0,(AB14-AB15-$Q14),"")</f>
        <v>-14592</v>
      </c>
      <c r="AD14" s="21">
        <v>9882</v>
      </c>
      <c r="AE14" s="22">
        <f>IF(AD14&gt;0,(AD14-AD15-$Q14),"")</f>
        <v>-14592</v>
      </c>
    </row>
    <row r="15" spans="2:42" ht="15" customHeight="1" thickBot="1" x14ac:dyDescent="0.35">
      <c r="B15" s="43" t="s">
        <v>48</v>
      </c>
      <c r="C15" s="50">
        <v>219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48</v>
      </c>
      <c r="S15" s="24"/>
      <c r="T15" s="25">
        <v>49</v>
      </c>
      <c r="U15" s="24"/>
      <c r="V15" s="25">
        <v>60</v>
      </c>
      <c r="W15" s="24"/>
      <c r="X15" s="25">
        <v>82</v>
      </c>
      <c r="Y15" s="24"/>
      <c r="Z15" s="25">
        <v>82</v>
      </c>
      <c r="AA15" s="24"/>
      <c r="AB15" s="25">
        <v>82</v>
      </c>
      <c r="AC15" s="26"/>
      <c r="AD15" s="25">
        <v>82</v>
      </c>
      <c r="AE15" s="26"/>
    </row>
    <row r="16" spans="2:42" ht="15" customHeight="1" thickBot="1" x14ac:dyDescent="0.35">
      <c r="B16" s="16" t="s">
        <v>50</v>
      </c>
      <c r="C16" s="17">
        <v>9170</v>
      </c>
      <c r="E16" s="84"/>
      <c r="F16" s="31">
        <f t="shared" ref="F16:M16" si="0">SUM(F6:F15)</f>
        <v>86600</v>
      </c>
      <c r="G16" s="31">
        <f t="shared" si="0"/>
        <v>61591.812999999995</v>
      </c>
      <c r="H16" s="31">
        <f t="shared" si="0"/>
        <v>59641.881253580003</v>
      </c>
      <c r="I16" s="32">
        <f t="shared" si="0"/>
        <v>121233.69425358</v>
      </c>
      <c r="J16" s="33">
        <f t="shared" si="0"/>
        <v>84922</v>
      </c>
      <c r="K16" s="33">
        <f t="shared" si="0"/>
        <v>61889.712625</v>
      </c>
      <c r="L16" s="33">
        <f t="shared" si="0"/>
        <v>59211.066305999993</v>
      </c>
      <c r="M16" s="33">
        <f t="shared" si="0"/>
        <v>121100.77893099998</v>
      </c>
      <c r="N16" s="31">
        <f>SUM(N14,N12,N10,N8,N6)</f>
        <v>231</v>
      </c>
      <c r="O16" s="31">
        <f>SUM(O14,O12,O10,O8,O6)</f>
        <v>199</v>
      </c>
      <c r="P16" s="34">
        <f>SUM(P6:P15)</f>
        <v>0</v>
      </c>
      <c r="Q16" s="34">
        <f>SUM(Q6:Q15)</f>
        <v>84922</v>
      </c>
      <c r="R16" s="35">
        <f>R6+R8+R10+R12+R14-R7-R9-R11-R13-R15</f>
        <v>21395</v>
      </c>
      <c r="S16" s="36">
        <f>IF(R16&gt;1,(R16-$Q16),"")</f>
        <v>-63527</v>
      </c>
      <c r="T16" s="35">
        <f>T6+T8+T10+T12+T14-T7-T9-T11-T13-T15</f>
        <v>29947</v>
      </c>
      <c r="U16" s="36">
        <f>IF(T16&gt;1,(T16-$Q16),"")</f>
        <v>-54975</v>
      </c>
      <c r="V16" s="35">
        <f>V6+V8+V10+V12+V14-V7-V9-V11-V13-V15</f>
        <v>37214</v>
      </c>
      <c r="W16" s="36">
        <f>IF(V16&gt;1,(V16-$Q16),"")</f>
        <v>-47708</v>
      </c>
      <c r="X16" s="35">
        <f>X6+X8+X10+X12+X14-X7-X9-X11-X13-X15</f>
        <v>51200</v>
      </c>
      <c r="Y16" s="36">
        <f>IF(X16&gt;1,(X16-$Q16),"")</f>
        <v>-33722</v>
      </c>
      <c r="Z16" s="35">
        <f>Z6+Z8+Z10+Z12+Z14-Z7-Z9-Z11-Z13-Z15</f>
        <v>51962</v>
      </c>
      <c r="AA16" s="36">
        <f>IF(Z16&gt;1,(Z16-$Q16),"")</f>
        <v>-32960</v>
      </c>
      <c r="AB16" s="35">
        <f>AB6+AB8+AB10+AB12+AB14-AB7-AB9-AB11-AB13-AB15</f>
        <v>51962</v>
      </c>
      <c r="AC16" s="37">
        <f>IF(AB16&gt;1,(AB16-$Q16),"")</f>
        <v>-32960</v>
      </c>
      <c r="AD16" s="35">
        <f>AD6+AD8+AD10+AD12+AD14-AD7-AD9-AD11-AD13-AD15</f>
        <v>51962</v>
      </c>
      <c r="AE16" s="37">
        <f>IF(AD16&gt;1,(AD16-$Q16),"")</f>
        <v>-32960</v>
      </c>
    </row>
    <row r="17" spans="2:43" s="4" customFormat="1" ht="15" customHeight="1" thickBot="1" x14ac:dyDescent="0.35">
      <c r="B17" s="16" t="s">
        <v>51</v>
      </c>
      <c r="C17" s="17">
        <v>2347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32</v>
      </c>
      <c r="P17" s="38" t="s">
        <v>44</v>
      </c>
      <c r="Q17" s="39"/>
      <c r="R17" s="40">
        <f>R15+R13+R11+R9+R7</f>
        <v>653</v>
      </c>
      <c r="S17" s="41"/>
      <c r="T17" s="40">
        <f>T15+T13+T11+T9+T7</f>
        <v>788</v>
      </c>
      <c r="U17" s="41"/>
      <c r="V17" s="40">
        <f>V15+V13+V11+V9+V7</f>
        <v>840</v>
      </c>
      <c r="W17" s="41"/>
      <c r="X17" s="40">
        <f>X15+X13+X11+X9+X7</f>
        <v>894</v>
      </c>
      <c r="Y17" s="41"/>
      <c r="Z17" s="40">
        <f>Z15+Z13+Z11+Z9+Z7</f>
        <v>894</v>
      </c>
      <c r="AA17" s="41"/>
      <c r="AB17" s="40">
        <f>AB15+AB13+AB11+AB9+AB7</f>
        <v>894</v>
      </c>
      <c r="AC17" s="42"/>
      <c r="AD17" s="40">
        <f>AD15+AD13+AD11+AD9+AD7</f>
        <v>894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4444</v>
      </c>
      <c r="O18" s="125">
        <f>O17/N16</f>
        <v>0.13852813852813853</v>
      </c>
      <c r="P18" s="45" t="s">
        <v>46</v>
      </c>
      <c r="Q18" s="46"/>
      <c r="R18" s="47">
        <f>IF(R16&gt;0,(R16)/2,"")</f>
        <v>10697.5</v>
      </c>
      <c r="S18" s="46"/>
      <c r="T18" s="47">
        <f>IF(T16&gt;0,(T16-R16)/2,"")</f>
        <v>4276</v>
      </c>
      <c r="U18" s="46"/>
      <c r="V18" s="47">
        <f>IF(V16&gt;0,(V16-T16)/2,"")</f>
        <v>3633.5</v>
      </c>
      <c r="W18" s="46"/>
      <c r="X18" s="47">
        <f>IF(X16&gt;0,(X16-V16)/2,"")</f>
        <v>6993</v>
      </c>
      <c r="Y18" s="46"/>
      <c r="Z18" s="47">
        <f>IF(Z16&gt;0,(Z16-X16)/2,"")</f>
        <v>381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15363</v>
      </c>
      <c r="S20" s="36">
        <v>-57843</v>
      </c>
      <c r="T20" s="35">
        <v>22873</v>
      </c>
      <c r="U20" s="36">
        <v>-50333</v>
      </c>
      <c r="V20" s="35">
        <v>35011</v>
      </c>
      <c r="W20" s="36">
        <v>-38195</v>
      </c>
      <c r="X20" s="35">
        <v>44281</v>
      </c>
      <c r="Y20" s="36">
        <v>-28925</v>
      </c>
      <c r="Z20" s="35">
        <v>44288</v>
      </c>
      <c r="AA20" s="36">
        <v>-28918</v>
      </c>
      <c r="AB20" s="35">
        <v>44288</v>
      </c>
      <c r="AC20" s="37">
        <v>-28918</v>
      </c>
      <c r="AD20" s="35">
        <v>44288</v>
      </c>
      <c r="AE20" s="37">
        <v>-28918</v>
      </c>
    </row>
    <row r="21" spans="2:43" ht="15" customHeight="1" thickBot="1" x14ac:dyDescent="0.35">
      <c r="M21" s="4"/>
      <c r="Q21" s="52"/>
      <c r="R21" s="40">
        <v>1682</v>
      </c>
      <c r="S21" s="41"/>
      <c r="T21" s="40">
        <v>1522</v>
      </c>
      <c r="U21" s="41"/>
      <c r="V21" s="40">
        <v>2621</v>
      </c>
      <c r="W21" s="41"/>
      <c r="X21" s="40">
        <v>2527</v>
      </c>
      <c r="Y21" s="41"/>
      <c r="Z21" s="40">
        <v>2527</v>
      </c>
      <c r="AA21" s="41"/>
      <c r="AB21" s="40">
        <v>2527</v>
      </c>
      <c r="AC21" s="42"/>
      <c r="AD21" s="40">
        <v>2527</v>
      </c>
      <c r="AE21" s="42"/>
    </row>
    <row r="22" spans="2:43" ht="15" customHeight="1" thickBot="1" x14ac:dyDescent="0.35">
      <c r="M22" s="4"/>
      <c r="Q22" s="54"/>
      <c r="R22" s="47">
        <v>7681.5</v>
      </c>
      <c r="S22" s="46"/>
      <c r="T22" s="47">
        <v>3755</v>
      </c>
      <c r="U22" s="46"/>
      <c r="V22" s="47">
        <v>6069</v>
      </c>
      <c r="W22" s="46"/>
      <c r="X22" s="47">
        <v>4635</v>
      </c>
      <c r="Y22" s="46"/>
      <c r="Z22" s="47">
        <v>3.5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6032</v>
      </c>
      <c r="S24" s="60"/>
      <c r="T24" s="60">
        <f>IF(T16&gt;0,T16-T20,"")</f>
        <v>7074</v>
      </c>
      <c r="U24" s="60"/>
      <c r="V24" s="60">
        <f>IF(V16&gt;0,V16-V20,"")</f>
        <v>2203</v>
      </c>
      <c r="W24" s="60"/>
      <c r="X24" s="60">
        <f>IF(X16&gt;0,X16-X20,"")</f>
        <v>6919</v>
      </c>
      <c r="Y24" s="60"/>
      <c r="Z24" s="60">
        <f>IF(Z16&gt;0,Z16-Z20,"")</f>
        <v>7674</v>
      </c>
      <c r="AA24" s="60"/>
      <c r="AB24" s="60">
        <f>IF(AB16&gt;0,AB16-AB20,"")</f>
        <v>7674</v>
      </c>
      <c r="AC24" s="61"/>
      <c r="AD24" s="60">
        <f>IF(AD16&gt;0,AD16-AD20,"")</f>
        <v>7674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-1029</v>
      </c>
      <c r="S25" s="64"/>
      <c r="T25" s="63">
        <f>IF(T17&gt;=0,T17-T21,"")</f>
        <v>-734</v>
      </c>
      <c r="U25" s="64"/>
      <c r="V25" s="63">
        <f>IF(V17&gt;=0,V17-V21,"")</f>
        <v>-1781</v>
      </c>
      <c r="W25" s="64"/>
      <c r="X25" s="63">
        <f>IF(X17&gt;=0,X17-X21,"")</f>
        <v>-1633</v>
      </c>
      <c r="Y25" s="64"/>
      <c r="Z25" s="63">
        <f>IF(Z17&gt;=0,Z17-Z21,"")</f>
        <v>-1633</v>
      </c>
      <c r="AA25" s="64"/>
      <c r="AB25" s="63">
        <f>IF(AB17&gt;=0,AB17-AB21,"")</f>
        <v>-1633</v>
      </c>
      <c r="AC25" s="65"/>
      <c r="AD25" s="63">
        <f>IF(AD17&gt;=0,AD17-AD21,"")</f>
        <v>-1633</v>
      </c>
      <c r="AE25" s="65"/>
    </row>
    <row r="26" spans="2:43" ht="15" customHeight="1" thickBot="1" x14ac:dyDescent="0.35">
      <c r="B26" s="74" t="s">
        <v>55</v>
      </c>
      <c r="C26" s="122">
        <v>11739</v>
      </c>
      <c r="D26" s="76">
        <f>C11</f>
        <v>11695</v>
      </c>
      <c r="E26" s="77">
        <f>D26-C26</f>
        <v>-44</v>
      </c>
      <c r="M26" s="4"/>
      <c r="Q26" s="66"/>
      <c r="R26" s="67">
        <f>IFERROR(IF(R18&gt;0,R18-R22,""),"")</f>
        <v>3016</v>
      </c>
      <c r="S26" s="55"/>
      <c r="T26" s="67">
        <f>IFERROR(IF(T18&gt;0,T18-T22,""),"")</f>
        <v>521</v>
      </c>
      <c r="U26" s="55"/>
      <c r="V26" s="67">
        <f>IFERROR(IF(V18&gt;0,V18-V22,""),"")</f>
        <v>-2435.5</v>
      </c>
      <c r="W26" s="55"/>
      <c r="X26" s="67">
        <f>IFERROR(IF(X18&gt;0,X18-X22,""),"")</f>
        <v>2358</v>
      </c>
      <c r="Y26" s="55"/>
      <c r="Z26" s="67">
        <f>IFERROR(IF(Z18&gt;0,Z18-Z22,""),"")</f>
        <v>377.5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32846</v>
      </c>
      <c r="D27" s="76">
        <f>C7+C12+C13+C14+C15</f>
        <v>19280</v>
      </c>
      <c r="E27" s="77">
        <f>D27-C27</f>
        <v>-13566</v>
      </c>
      <c r="O27" s="4"/>
      <c r="AF27" s="69"/>
    </row>
    <row r="28" spans="2:43" x14ac:dyDescent="0.3">
      <c r="B28" s="74" t="s">
        <v>21</v>
      </c>
      <c r="C28" s="122">
        <v>6090</v>
      </c>
      <c r="D28" s="76">
        <f>C6</f>
        <v>6090</v>
      </c>
      <c r="E28" s="77">
        <f>D28-C28</f>
        <v>0</v>
      </c>
      <c r="O28" s="4"/>
    </row>
    <row r="29" spans="2:43" x14ac:dyDescent="0.3">
      <c r="B29" s="74" t="s">
        <v>57</v>
      </c>
      <c r="C29" s="122">
        <v>4011</v>
      </c>
      <c r="D29" s="76">
        <f>C10</f>
        <v>4074</v>
      </c>
      <c r="E29" s="77">
        <f>D29-C29</f>
        <v>63</v>
      </c>
      <c r="O29" s="4"/>
    </row>
    <row r="30" spans="2:43" x14ac:dyDescent="0.3">
      <c r="B30" s="74" t="s">
        <v>59</v>
      </c>
      <c r="C30" s="122">
        <v>17170</v>
      </c>
      <c r="D30" s="76">
        <f>C16+C17+C18</f>
        <v>15961</v>
      </c>
      <c r="E30" s="77">
        <f>D30-C30</f>
        <v>-1209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4055</v>
      </c>
      <c r="D31" s="80">
        <f>SUM(C8+C9)</f>
        <v>4055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75</v>
      </c>
      <c r="T35" s="104">
        <v>150</v>
      </c>
      <c r="U35" s="104">
        <f t="shared" ref="U35:U64" si="2">IF(V35&gt;0,(V35-T35)/2,"")</f>
        <v>0</v>
      </c>
      <c r="V35" s="104">
        <v>150</v>
      </c>
      <c r="W35" s="104">
        <f t="shared" ref="W35:W64" si="3">IF(X35&gt;0,(X35-V35)/2,"")</f>
        <v>767.5</v>
      </c>
      <c r="X35" s="104">
        <v>1685</v>
      </c>
      <c r="Y35" s="104">
        <f t="shared" ref="Y35:Y64" si="4">IF(Z35&gt;0,(Z35-X35)/2,"")</f>
        <v>0</v>
      </c>
      <c r="Z35" s="104">
        <v>1685</v>
      </c>
      <c r="AA35" s="104">
        <f t="shared" ref="AA35:AA64" si="5">IF(AB35&gt;0,(AB35-Z35)/2,"")</f>
        <v>0</v>
      </c>
      <c r="AB35" s="104">
        <v>1685</v>
      </c>
      <c r="AC35" s="104">
        <f t="shared" ref="AC35:AC64" si="6">IF(AD35&gt;0,(AD35-AB35)/2,"")</f>
        <v>0</v>
      </c>
      <c r="AD35" s="104">
        <v>1685</v>
      </c>
      <c r="AE35" s="105">
        <f t="shared" ref="AE35:AE64" si="7">AD35-Q35</f>
        <v>1685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621.5</v>
      </c>
      <c r="T36" s="106">
        <v>1243</v>
      </c>
      <c r="U36" s="106">
        <f t="shared" si="2"/>
        <v>0</v>
      </c>
      <c r="V36" s="106">
        <v>1243</v>
      </c>
      <c r="W36" s="106">
        <f t="shared" si="3"/>
        <v>649</v>
      </c>
      <c r="X36" s="106">
        <v>2541</v>
      </c>
      <c r="Y36" s="106">
        <f t="shared" si="4"/>
        <v>0</v>
      </c>
      <c r="Z36" s="106">
        <v>2541</v>
      </c>
      <c r="AA36" s="106">
        <f t="shared" si="5"/>
        <v>0</v>
      </c>
      <c r="AB36" s="106">
        <v>2541</v>
      </c>
      <c r="AC36" s="106">
        <f t="shared" si="6"/>
        <v>0</v>
      </c>
      <c r="AD36" s="106">
        <v>2541</v>
      </c>
      <c r="AE36" s="107">
        <f t="shared" si="7"/>
        <v>2541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0</v>
      </c>
      <c r="S37" s="108">
        <f t="shared" si="1"/>
        <v>875</v>
      </c>
      <c r="T37" s="108">
        <v>1750</v>
      </c>
      <c r="U37" s="108">
        <f t="shared" si="2"/>
        <v>0</v>
      </c>
      <c r="V37" s="108">
        <v>1750</v>
      </c>
      <c r="W37" s="108">
        <f t="shared" si="3"/>
        <v>713.5</v>
      </c>
      <c r="X37" s="108">
        <v>3177</v>
      </c>
      <c r="Y37" s="108">
        <f t="shared" si="4"/>
        <v>0</v>
      </c>
      <c r="Z37" s="108">
        <v>3177</v>
      </c>
      <c r="AA37" s="108">
        <f t="shared" si="5"/>
        <v>0</v>
      </c>
      <c r="AB37" s="108">
        <v>3177</v>
      </c>
      <c r="AC37" s="108">
        <f t="shared" si="6"/>
        <v>0</v>
      </c>
      <c r="AD37" s="108">
        <v>3177</v>
      </c>
      <c r="AE37" s="109">
        <f t="shared" si="7"/>
        <v>3177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1459</v>
      </c>
      <c r="S38" s="106">
        <f t="shared" si="1"/>
        <v>279</v>
      </c>
      <c r="T38" s="106">
        <v>2017</v>
      </c>
      <c r="U38" s="106">
        <f t="shared" si="2"/>
        <v>484.5</v>
      </c>
      <c r="V38" s="106">
        <v>2986</v>
      </c>
      <c r="W38" s="106">
        <f t="shared" si="3"/>
        <v>626</v>
      </c>
      <c r="X38" s="106">
        <v>4238</v>
      </c>
      <c r="Y38" s="106">
        <f t="shared" si="4"/>
        <v>0</v>
      </c>
      <c r="Z38" s="106">
        <v>4238</v>
      </c>
      <c r="AA38" s="106">
        <f t="shared" si="5"/>
        <v>0</v>
      </c>
      <c r="AB38" s="106">
        <v>4238</v>
      </c>
      <c r="AC38" s="106">
        <f t="shared" si="6"/>
        <v>0</v>
      </c>
      <c r="AD38" s="106">
        <v>4238</v>
      </c>
      <c r="AE38" s="107">
        <f t="shared" si="7"/>
        <v>4238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1286</v>
      </c>
      <c r="S39" s="108">
        <f t="shared" si="1"/>
        <v>111.5</v>
      </c>
      <c r="T39" s="108">
        <v>1509</v>
      </c>
      <c r="U39" s="108">
        <f t="shared" si="2"/>
        <v>200</v>
      </c>
      <c r="V39" s="108">
        <v>1909</v>
      </c>
      <c r="W39" s="108">
        <f t="shared" si="3"/>
        <v>233.5</v>
      </c>
      <c r="X39" s="108">
        <v>2376</v>
      </c>
      <c r="Y39" s="108">
        <f t="shared" si="4"/>
        <v>190</v>
      </c>
      <c r="Z39" s="108">
        <v>2756</v>
      </c>
      <c r="AA39" s="108">
        <f t="shared" si="5"/>
        <v>0</v>
      </c>
      <c r="AB39" s="108">
        <v>2756</v>
      </c>
      <c r="AC39" s="108">
        <f t="shared" si="6"/>
        <v>0</v>
      </c>
      <c r="AD39" s="108">
        <v>2756</v>
      </c>
      <c r="AE39" s="109">
        <f t="shared" si="7"/>
        <v>2756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38</v>
      </c>
      <c r="S40" s="106">
        <f t="shared" si="1"/>
        <v>0</v>
      </c>
      <c r="T40" s="106">
        <v>38</v>
      </c>
      <c r="U40" s="106">
        <f t="shared" si="2"/>
        <v>115</v>
      </c>
      <c r="V40" s="106">
        <v>268</v>
      </c>
      <c r="W40" s="106">
        <f t="shared" si="3"/>
        <v>563</v>
      </c>
      <c r="X40" s="106">
        <v>1394</v>
      </c>
      <c r="Y40" s="106">
        <f t="shared" si="4"/>
        <v>191</v>
      </c>
      <c r="Z40" s="106">
        <v>1776</v>
      </c>
      <c r="AA40" s="106">
        <f t="shared" si="5"/>
        <v>0</v>
      </c>
      <c r="AB40" s="106">
        <v>1776</v>
      </c>
      <c r="AC40" s="106">
        <f t="shared" si="6"/>
        <v>0</v>
      </c>
      <c r="AD40" s="106">
        <v>1776</v>
      </c>
      <c r="AE40" s="107">
        <f t="shared" si="7"/>
        <v>1776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1266</v>
      </c>
      <c r="S41" s="108">
        <f t="shared" si="1"/>
        <v>218.5</v>
      </c>
      <c r="T41" s="108">
        <v>1703</v>
      </c>
      <c r="U41" s="108">
        <f t="shared" si="2"/>
        <v>0</v>
      </c>
      <c r="V41" s="108">
        <v>1703</v>
      </c>
      <c r="W41" s="108">
        <f t="shared" si="3"/>
        <v>0</v>
      </c>
      <c r="X41" s="108">
        <v>1703</v>
      </c>
      <c r="Y41" s="108">
        <f t="shared" si="4"/>
        <v>0</v>
      </c>
      <c r="Z41" s="108">
        <v>1703</v>
      </c>
      <c r="AA41" s="108">
        <f t="shared" si="5"/>
        <v>0</v>
      </c>
      <c r="AB41" s="108">
        <v>1703</v>
      </c>
      <c r="AC41" s="108">
        <f t="shared" si="6"/>
        <v>0</v>
      </c>
      <c r="AD41" s="108">
        <v>1703</v>
      </c>
      <c r="AE41" s="109">
        <f t="shared" si="7"/>
        <v>1703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215</v>
      </c>
      <c r="S44" s="112">
        <f t="shared" si="1"/>
        <v>-0.5</v>
      </c>
      <c r="T44" s="112">
        <v>214</v>
      </c>
      <c r="U44" s="112">
        <f t="shared" si="2"/>
        <v>78</v>
      </c>
      <c r="V44" s="112">
        <v>370</v>
      </c>
      <c r="W44" s="112">
        <f t="shared" si="3"/>
        <v>131</v>
      </c>
      <c r="X44" s="112">
        <v>632</v>
      </c>
      <c r="Y44" s="112">
        <f t="shared" si="4"/>
        <v>0</v>
      </c>
      <c r="Z44" s="112">
        <v>632</v>
      </c>
      <c r="AA44" s="112">
        <f t="shared" si="5"/>
        <v>0</v>
      </c>
      <c r="AB44" s="112">
        <v>632</v>
      </c>
      <c r="AC44" s="112">
        <f t="shared" si="6"/>
        <v>0</v>
      </c>
      <c r="AD44" s="112">
        <v>632</v>
      </c>
      <c r="AE44" s="113">
        <f t="shared" si="7"/>
        <v>632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18</v>
      </c>
      <c r="S45" s="108">
        <f t="shared" si="1"/>
        <v>242.5</v>
      </c>
      <c r="T45" s="108">
        <v>503</v>
      </c>
      <c r="U45" s="108">
        <f t="shared" si="2"/>
        <v>369</v>
      </c>
      <c r="V45" s="108">
        <v>1241</v>
      </c>
      <c r="W45" s="108">
        <f t="shared" si="3"/>
        <v>166.5</v>
      </c>
      <c r="X45" s="108">
        <v>1574</v>
      </c>
      <c r="Y45" s="108">
        <f t="shared" si="4"/>
        <v>0</v>
      </c>
      <c r="Z45" s="108">
        <v>1574</v>
      </c>
      <c r="AA45" s="108">
        <f t="shared" si="5"/>
        <v>0</v>
      </c>
      <c r="AB45" s="108">
        <v>1574</v>
      </c>
      <c r="AC45" s="108">
        <f t="shared" si="6"/>
        <v>0</v>
      </c>
      <c r="AD45" s="108">
        <v>1574</v>
      </c>
      <c r="AE45" s="109">
        <f t="shared" si="7"/>
        <v>1574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606.5</v>
      </c>
      <c r="T48" s="112">
        <v>1213</v>
      </c>
      <c r="U48" s="112">
        <f t="shared" si="2"/>
        <v>0</v>
      </c>
      <c r="V48" s="112">
        <v>1213</v>
      </c>
      <c r="W48" s="112">
        <f t="shared" si="3"/>
        <v>382.5</v>
      </c>
      <c r="X48" s="112">
        <v>1978</v>
      </c>
      <c r="Y48" s="112">
        <f t="shared" si="4"/>
        <v>0</v>
      </c>
      <c r="Z48" s="112">
        <v>1978</v>
      </c>
      <c r="AA48" s="112">
        <f t="shared" si="5"/>
        <v>0</v>
      </c>
      <c r="AB48" s="112">
        <v>1978</v>
      </c>
      <c r="AC48" s="112">
        <f t="shared" si="6"/>
        <v>0</v>
      </c>
      <c r="AD48" s="112">
        <v>1978</v>
      </c>
      <c r="AE48" s="113">
        <f t="shared" si="7"/>
        <v>1978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1298</v>
      </c>
      <c r="S49" s="108">
        <f t="shared" si="1"/>
        <v>95.5</v>
      </c>
      <c r="T49" s="108">
        <v>1489</v>
      </c>
      <c r="U49" s="108">
        <f t="shared" si="2"/>
        <v>185.5</v>
      </c>
      <c r="V49" s="108">
        <v>1860</v>
      </c>
      <c r="W49" s="108">
        <f t="shared" si="3"/>
        <v>109.5</v>
      </c>
      <c r="X49" s="108">
        <v>2079</v>
      </c>
      <c r="Y49" s="108">
        <f t="shared" si="4"/>
        <v>0</v>
      </c>
      <c r="Z49" s="108">
        <v>2079</v>
      </c>
      <c r="AA49" s="108">
        <f t="shared" si="5"/>
        <v>0</v>
      </c>
      <c r="AB49" s="108">
        <v>2079</v>
      </c>
      <c r="AC49" s="108">
        <f t="shared" si="6"/>
        <v>0</v>
      </c>
      <c r="AD49" s="108">
        <v>2079</v>
      </c>
      <c r="AE49" s="109">
        <f t="shared" si="7"/>
        <v>2079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42</v>
      </c>
      <c r="S50" s="106">
        <f t="shared" si="1"/>
        <v>184</v>
      </c>
      <c r="T50" s="106">
        <v>410</v>
      </c>
      <c r="U50" s="106">
        <f t="shared" si="2"/>
        <v>168</v>
      </c>
      <c r="V50" s="106">
        <v>746</v>
      </c>
      <c r="W50" s="106">
        <f t="shared" si="3"/>
        <v>804.5</v>
      </c>
      <c r="X50" s="106">
        <v>2355</v>
      </c>
      <c r="Y50" s="106">
        <f t="shared" si="4"/>
        <v>0</v>
      </c>
      <c r="Z50" s="106">
        <v>2355</v>
      </c>
      <c r="AA50" s="106">
        <f t="shared" si="5"/>
        <v>0</v>
      </c>
      <c r="AB50" s="106">
        <v>2355</v>
      </c>
      <c r="AC50" s="106">
        <f t="shared" si="6"/>
        <v>0</v>
      </c>
      <c r="AD50" s="106">
        <v>2355</v>
      </c>
      <c r="AE50" s="107">
        <f t="shared" si="7"/>
        <v>2355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1040</v>
      </c>
      <c r="S51" s="108">
        <f t="shared" si="1"/>
        <v>-184</v>
      </c>
      <c r="T51" s="108">
        <v>672</v>
      </c>
      <c r="U51" s="108">
        <f t="shared" si="2"/>
        <v>348</v>
      </c>
      <c r="V51" s="108">
        <v>1368</v>
      </c>
      <c r="W51" s="108">
        <f t="shared" si="3"/>
        <v>0</v>
      </c>
      <c r="X51" s="108">
        <v>1368</v>
      </c>
      <c r="Y51" s="108">
        <f t="shared" si="4"/>
        <v>0</v>
      </c>
      <c r="Z51" s="108">
        <v>1368</v>
      </c>
      <c r="AA51" s="108">
        <f t="shared" si="5"/>
        <v>0</v>
      </c>
      <c r="AB51" s="108">
        <v>1368</v>
      </c>
      <c r="AC51" s="108">
        <f t="shared" si="6"/>
        <v>0</v>
      </c>
      <c r="AD51" s="108">
        <v>1368</v>
      </c>
      <c r="AE51" s="109">
        <f t="shared" si="7"/>
        <v>1368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1248</v>
      </c>
      <c r="S52" s="106">
        <f t="shared" si="1"/>
        <v>0</v>
      </c>
      <c r="T52" s="106">
        <v>1248</v>
      </c>
      <c r="U52" s="106">
        <f t="shared" si="2"/>
        <v>0</v>
      </c>
      <c r="V52" s="106">
        <v>1248</v>
      </c>
      <c r="W52" s="106">
        <f t="shared" si="3"/>
        <v>470</v>
      </c>
      <c r="X52" s="106">
        <v>2188</v>
      </c>
      <c r="Y52" s="106">
        <f t="shared" si="4"/>
        <v>0</v>
      </c>
      <c r="Z52" s="106">
        <v>2188</v>
      </c>
      <c r="AA52" s="106">
        <f t="shared" si="5"/>
        <v>0</v>
      </c>
      <c r="AB52" s="106">
        <v>2188</v>
      </c>
      <c r="AC52" s="106">
        <f t="shared" si="6"/>
        <v>0</v>
      </c>
      <c r="AD52" s="106">
        <v>2188</v>
      </c>
      <c r="AE52" s="107">
        <f t="shared" si="7"/>
        <v>2188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1474</v>
      </c>
      <c r="S53" s="108">
        <f t="shared" si="1"/>
        <v>106</v>
      </c>
      <c r="T53" s="108">
        <v>1686</v>
      </c>
      <c r="U53" s="108">
        <f t="shared" si="2"/>
        <v>252</v>
      </c>
      <c r="V53" s="108">
        <v>2190</v>
      </c>
      <c r="W53" s="108">
        <f t="shared" si="3"/>
        <v>516</v>
      </c>
      <c r="X53" s="108">
        <v>3222</v>
      </c>
      <c r="Y53" s="108">
        <f t="shared" si="4"/>
        <v>0</v>
      </c>
      <c r="Z53" s="108">
        <v>3222</v>
      </c>
      <c r="AA53" s="108">
        <f t="shared" si="5"/>
        <v>0</v>
      </c>
      <c r="AB53" s="108">
        <v>3222</v>
      </c>
      <c r="AC53" s="108">
        <f t="shared" si="6"/>
        <v>0</v>
      </c>
      <c r="AD53" s="108">
        <v>3222</v>
      </c>
      <c r="AE53" s="109">
        <f t="shared" si="7"/>
        <v>3222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1717</v>
      </c>
      <c r="S57" s="104">
        <f t="shared" si="1"/>
        <v>-395.5</v>
      </c>
      <c r="T57" s="104">
        <v>926</v>
      </c>
      <c r="U57" s="104">
        <f t="shared" si="2"/>
        <v>478.5</v>
      </c>
      <c r="V57" s="104">
        <v>1883</v>
      </c>
      <c r="W57" s="104">
        <f t="shared" si="3"/>
        <v>0</v>
      </c>
      <c r="X57" s="104">
        <v>1883</v>
      </c>
      <c r="Y57" s="104">
        <f t="shared" si="4"/>
        <v>0</v>
      </c>
      <c r="Z57" s="104">
        <v>1883</v>
      </c>
      <c r="AA57" s="104">
        <f t="shared" si="5"/>
        <v>0</v>
      </c>
      <c r="AB57" s="104">
        <v>1883</v>
      </c>
      <c r="AC57" s="104">
        <f t="shared" si="6"/>
        <v>0</v>
      </c>
      <c r="AD57" s="104">
        <v>1883</v>
      </c>
      <c r="AE57" s="105">
        <f t="shared" si="7"/>
        <v>1883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2183</v>
      </c>
      <c r="S58" s="106">
        <f t="shared" si="1"/>
        <v>390</v>
      </c>
      <c r="T58" s="106">
        <v>2963</v>
      </c>
      <c r="U58" s="106">
        <f t="shared" si="2"/>
        <v>221.5</v>
      </c>
      <c r="V58" s="106">
        <v>3406</v>
      </c>
      <c r="W58" s="106">
        <f t="shared" si="3"/>
        <v>0</v>
      </c>
      <c r="X58" s="106">
        <v>3406</v>
      </c>
      <c r="Y58" s="106">
        <f t="shared" si="4"/>
        <v>0</v>
      </c>
      <c r="Z58" s="106">
        <v>3406</v>
      </c>
      <c r="AA58" s="106">
        <f t="shared" si="5"/>
        <v>0</v>
      </c>
      <c r="AB58" s="106">
        <v>3406</v>
      </c>
      <c r="AC58" s="106">
        <f t="shared" si="6"/>
        <v>0</v>
      </c>
      <c r="AD58" s="106">
        <v>3406</v>
      </c>
      <c r="AE58" s="107">
        <f t="shared" si="7"/>
        <v>3406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1825</v>
      </c>
      <c r="S59" s="108">
        <f t="shared" si="1"/>
        <v>66.5</v>
      </c>
      <c r="T59" s="108">
        <v>1958</v>
      </c>
      <c r="U59" s="108">
        <f t="shared" si="2"/>
        <v>0</v>
      </c>
      <c r="V59" s="108">
        <v>1958</v>
      </c>
      <c r="W59" s="108">
        <f t="shared" si="3"/>
        <v>0</v>
      </c>
      <c r="X59" s="108">
        <v>1958</v>
      </c>
      <c r="Y59" s="108">
        <f t="shared" si="4"/>
        <v>0</v>
      </c>
      <c r="Z59" s="108">
        <v>1958</v>
      </c>
      <c r="AA59" s="108">
        <f t="shared" si="5"/>
        <v>0</v>
      </c>
      <c r="AB59" s="108">
        <v>1958</v>
      </c>
      <c r="AC59" s="108">
        <f t="shared" si="6"/>
        <v>0</v>
      </c>
      <c r="AD59" s="108">
        <v>1958</v>
      </c>
      <c r="AE59" s="109">
        <f t="shared" si="7"/>
        <v>1958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1847</v>
      </c>
      <c r="S60" s="114">
        <f t="shared" si="1"/>
        <v>210.5</v>
      </c>
      <c r="T60" s="114">
        <v>2268</v>
      </c>
      <c r="U60" s="114">
        <f t="shared" si="2"/>
        <v>93.5</v>
      </c>
      <c r="V60" s="114">
        <v>2455</v>
      </c>
      <c r="W60" s="114">
        <f t="shared" si="3"/>
        <v>0</v>
      </c>
      <c r="X60" s="114">
        <v>2455</v>
      </c>
      <c r="Y60" s="114">
        <f t="shared" si="4"/>
        <v>0</v>
      </c>
      <c r="Z60" s="114">
        <v>2455</v>
      </c>
      <c r="AA60" s="114">
        <f t="shared" si="5"/>
        <v>0</v>
      </c>
      <c r="AB60" s="114">
        <v>2455</v>
      </c>
      <c r="AC60" s="114">
        <f t="shared" si="6"/>
        <v>0</v>
      </c>
      <c r="AD60" s="114">
        <v>2455</v>
      </c>
      <c r="AE60" s="115">
        <f t="shared" si="7"/>
        <v>2455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679</v>
      </c>
      <c r="S61" s="104">
        <f t="shared" si="1"/>
        <v>136.5</v>
      </c>
      <c r="T61" s="104">
        <v>952</v>
      </c>
      <c r="U61" s="104">
        <f t="shared" si="2"/>
        <v>335</v>
      </c>
      <c r="V61" s="104">
        <v>1622</v>
      </c>
      <c r="W61" s="104">
        <f t="shared" si="3"/>
        <v>86</v>
      </c>
      <c r="X61" s="104">
        <v>1794</v>
      </c>
      <c r="Y61" s="104">
        <f t="shared" si="4"/>
        <v>0</v>
      </c>
      <c r="Z61" s="104">
        <v>1794</v>
      </c>
      <c r="AA61" s="104">
        <f t="shared" si="5"/>
        <v>0</v>
      </c>
      <c r="AB61" s="104">
        <v>1794</v>
      </c>
      <c r="AC61" s="104">
        <f t="shared" si="6"/>
        <v>0</v>
      </c>
      <c r="AD61" s="104">
        <v>1794</v>
      </c>
      <c r="AE61" s="105">
        <f t="shared" si="7"/>
        <v>1794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1230</v>
      </c>
      <c r="S62" s="106">
        <f t="shared" si="1"/>
        <v>293.5</v>
      </c>
      <c r="T62" s="106">
        <v>1817</v>
      </c>
      <c r="U62" s="106">
        <f t="shared" si="2"/>
        <v>93.5</v>
      </c>
      <c r="V62" s="106">
        <v>2004</v>
      </c>
      <c r="W62" s="106">
        <f t="shared" si="3"/>
        <v>103</v>
      </c>
      <c r="X62" s="106">
        <v>2210</v>
      </c>
      <c r="Y62" s="106">
        <f t="shared" si="4"/>
        <v>0</v>
      </c>
      <c r="Z62" s="106">
        <v>2210</v>
      </c>
      <c r="AA62" s="106">
        <f t="shared" si="5"/>
        <v>0</v>
      </c>
      <c r="AB62" s="106">
        <v>2210</v>
      </c>
      <c r="AC62" s="106">
        <f t="shared" si="6"/>
        <v>0</v>
      </c>
      <c r="AD62" s="106">
        <v>2210</v>
      </c>
      <c r="AE62" s="107">
        <f t="shared" si="7"/>
        <v>2210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108</v>
      </c>
      <c r="S63" s="108">
        <f t="shared" si="1"/>
        <v>90</v>
      </c>
      <c r="T63" s="108">
        <v>288</v>
      </c>
      <c r="U63" s="108">
        <f t="shared" si="2"/>
        <v>153</v>
      </c>
      <c r="V63" s="108">
        <v>594</v>
      </c>
      <c r="W63" s="108">
        <f t="shared" si="3"/>
        <v>278</v>
      </c>
      <c r="X63" s="108">
        <v>1150</v>
      </c>
      <c r="Y63" s="108">
        <f t="shared" si="4"/>
        <v>0</v>
      </c>
      <c r="Z63" s="108">
        <v>1150</v>
      </c>
      <c r="AA63" s="108">
        <f t="shared" si="5"/>
        <v>0</v>
      </c>
      <c r="AB63" s="108">
        <v>1150</v>
      </c>
      <c r="AC63" s="108">
        <f t="shared" si="6"/>
        <v>0</v>
      </c>
      <c r="AD63" s="108">
        <v>1150</v>
      </c>
      <c r="AE63" s="109">
        <f t="shared" si="7"/>
        <v>1150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1564</v>
      </c>
      <c r="S64" s="114">
        <f t="shared" si="1"/>
        <v>223.5</v>
      </c>
      <c r="T64" s="114">
        <v>2011</v>
      </c>
      <c r="U64" s="114">
        <f t="shared" si="2"/>
        <v>115.5</v>
      </c>
      <c r="V64" s="114">
        <v>2242</v>
      </c>
      <c r="W64" s="114">
        <f t="shared" si="3"/>
        <v>17.5</v>
      </c>
      <c r="X64" s="114">
        <v>2277</v>
      </c>
      <c r="Y64" s="114">
        <f t="shared" si="4"/>
        <v>0</v>
      </c>
      <c r="Z64" s="114">
        <v>2277</v>
      </c>
      <c r="AA64" s="114">
        <f t="shared" si="5"/>
        <v>0</v>
      </c>
      <c r="AB64" s="114">
        <v>2277</v>
      </c>
      <c r="AC64" s="114">
        <f t="shared" si="6"/>
        <v>0</v>
      </c>
      <c r="AD64" s="114">
        <v>2277</v>
      </c>
      <c r="AE64" s="115">
        <f t="shared" si="7"/>
        <v>2277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03" priority="11" operator="lessThan">
      <formula>0</formula>
    </cfRule>
    <cfRule type="cellIs" dxfId="502" priority="12" operator="greaterThan">
      <formula>0</formula>
    </cfRule>
  </conditionalFormatting>
  <conditionalFormatting sqref="R25:AC25">
    <cfRule type="cellIs" dxfId="501" priority="9" operator="lessThan">
      <formula>0</formula>
    </cfRule>
    <cfRule type="cellIs" dxfId="500" priority="10" operator="greaterThan">
      <formula>0</formula>
    </cfRule>
  </conditionalFormatting>
  <conditionalFormatting sqref="R26 T26 V26 X26 Z26 AB26">
    <cfRule type="cellIs" dxfId="499" priority="7" operator="lessThan">
      <formula>0</formula>
    </cfRule>
    <cfRule type="cellIs" dxfId="498" priority="8" operator="greaterThan">
      <formula>0</formula>
    </cfRule>
  </conditionalFormatting>
  <conditionalFormatting sqref="AD24:AE24">
    <cfRule type="cellIs" dxfId="497" priority="5" operator="lessThan">
      <formula>0</formula>
    </cfRule>
    <cfRule type="cellIs" dxfId="496" priority="6" operator="greaterThan">
      <formula>0</formula>
    </cfRule>
  </conditionalFormatting>
  <conditionalFormatting sqref="AD25:AE25">
    <cfRule type="cellIs" dxfId="495" priority="3" operator="lessThan">
      <formula>0</formula>
    </cfRule>
    <cfRule type="cellIs" dxfId="494" priority="4" operator="greaterThan">
      <formula>0</formula>
    </cfRule>
  </conditionalFormatting>
  <conditionalFormatting sqref="AD26">
    <cfRule type="cellIs" dxfId="493" priority="1" operator="lessThan">
      <formula>0</formula>
    </cfRule>
    <cfRule type="cellIs" dxfId="49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44477</v>
      </c>
    </row>
    <row r="3" spans="2:42" ht="18.75" customHeight="1" thickBot="1" x14ac:dyDescent="0.35">
      <c r="B3" t="s">
        <v>1</v>
      </c>
      <c r="C3" s="3">
        <f>C2+1</f>
        <v>44478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18162</v>
      </c>
      <c r="G6" s="117">
        <v>8941.5247499999969</v>
      </c>
      <c r="H6" s="117">
        <v>893.07723750000014</v>
      </c>
      <c r="I6" s="19">
        <f>G6+H6</f>
        <v>9834.6019874999965</v>
      </c>
      <c r="J6" s="119">
        <v>18395</v>
      </c>
      <c r="K6" s="117">
        <v>9132.2642500000002</v>
      </c>
      <c r="L6" s="117">
        <v>844.54239499999983</v>
      </c>
      <c r="M6" s="19">
        <f>K6+L6</f>
        <v>9976.8066450000006</v>
      </c>
      <c r="N6" s="85">
        <v>59</v>
      </c>
      <c r="O6" s="85">
        <v>49</v>
      </c>
      <c r="P6" s="92"/>
      <c r="Q6" s="20">
        <f>J6-P6</f>
        <v>18395</v>
      </c>
      <c r="R6" s="21">
        <v>3108</v>
      </c>
      <c r="S6" s="20">
        <f>IF(R6&gt;0,(R6-R7-$Q6),"")</f>
        <v>-15381</v>
      </c>
      <c r="T6" s="21">
        <v>6093</v>
      </c>
      <c r="U6" s="20">
        <f>IF(T6&gt;0,(T6-T7-$Q6),"")</f>
        <v>-12459</v>
      </c>
      <c r="V6" s="21">
        <v>11221</v>
      </c>
      <c r="W6" s="20">
        <f>IF(V6&gt;0,(V6-V7-$Q6),"")</f>
        <v>-7338</v>
      </c>
      <c r="X6" s="21">
        <v>16313</v>
      </c>
      <c r="Y6" s="20">
        <f>IF(X6&gt;0,(X6-X7-$Q6),"")</f>
        <v>-2249</v>
      </c>
      <c r="Z6" s="21">
        <v>15954</v>
      </c>
      <c r="AA6" s="20">
        <f>IF(Z6&gt;0,(Z6-Z7-$Q6),"")</f>
        <v>-2608</v>
      </c>
      <c r="AB6" s="21">
        <v>15954</v>
      </c>
      <c r="AC6" s="22">
        <f>IF(AB6&gt;0,(AB6-AB7-$Q6),"")</f>
        <v>-2608</v>
      </c>
      <c r="AD6" s="21">
        <v>15954</v>
      </c>
      <c r="AE6" s="22">
        <f>IF(AD6&gt;0,(AD6-AD7-$Q6),"")</f>
        <v>-2608</v>
      </c>
    </row>
    <row r="7" spans="2:42" x14ac:dyDescent="0.3">
      <c r="B7" s="16" t="s">
        <v>23</v>
      </c>
      <c r="C7" s="17">
        <v>1870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94</v>
      </c>
      <c r="S7" s="24"/>
      <c r="T7" s="25">
        <v>157</v>
      </c>
      <c r="U7" s="24"/>
      <c r="V7" s="25">
        <v>164</v>
      </c>
      <c r="W7" s="24"/>
      <c r="X7" s="25">
        <v>167</v>
      </c>
      <c r="Y7" s="24"/>
      <c r="Z7" s="25">
        <v>167</v>
      </c>
      <c r="AA7" s="24"/>
      <c r="AB7" s="25">
        <v>167</v>
      </c>
      <c r="AC7" s="26"/>
      <c r="AD7" s="25">
        <v>167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2735</v>
      </c>
      <c r="E8" s="29" t="s">
        <v>27</v>
      </c>
      <c r="F8" s="119">
        <v>3033</v>
      </c>
      <c r="G8" s="117">
        <v>3438.8225000000002</v>
      </c>
      <c r="H8" s="117">
        <v>12100.847579499999</v>
      </c>
      <c r="I8" s="19">
        <f>G8+H8</f>
        <v>15539.6700795</v>
      </c>
      <c r="J8" s="119">
        <v>2933</v>
      </c>
      <c r="K8" s="117">
        <v>3834.6695</v>
      </c>
      <c r="L8" s="117">
        <v>12600.6201506</v>
      </c>
      <c r="M8" s="19">
        <f>K8+L8</f>
        <v>16435.2896506</v>
      </c>
      <c r="N8" s="87">
        <v>13</v>
      </c>
      <c r="O8" s="87">
        <v>11</v>
      </c>
      <c r="P8" s="92"/>
      <c r="Q8" s="20">
        <f>J8-P8</f>
        <v>2933</v>
      </c>
      <c r="R8" s="21">
        <v>0</v>
      </c>
      <c r="S8" s="20" t="str">
        <f>IF(R8&gt;0,(R8-R9-$Q8),"")</f>
        <v/>
      </c>
      <c r="T8" s="21">
        <v>850</v>
      </c>
      <c r="U8" s="20">
        <f>IF(T8&gt;0,(T8-T9-$Q8),"")</f>
        <v>-2083</v>
      </c>
      <c r="V8" s="21">
        <v>1777</v>
      </c>
      <c r="W8" s="20">
        <f>IF(V8&gt;0,(V8-V9-$Q8),"")</f>
        <v>-1156</v>
      </c>
      <c r="X8" s="21">
        <v>1880</v>
      </c>
      <c r="Y8" s="20">
        <f>IF(X8&gt;0,(X8-X9-$Q8),"")</f>
        <v>-1053</v>
      </c>
      <c r="Z8" s="21">
        <v>1880</v>
      </c>
      <c r="AA8" s="20">
        <f>IF(Z8&gt;0,(Z8-Z9-$Q8),"")</f>
        <v>-1053</v>
      </c>
      <c r="AB8" s="21">
        <v>1880</v>
      </c>
      <c r="AC8" s="22">
        <f>IF(AB8&gt;0,(AB8-AB9-$Q8),"")</f>
        <v>-1053</v>
      </c>
      <c r="AD8" s="21">
        <v>1880</v>
      </c>
      <c r="AE8" s="22">
        <f>IF(AD8&gt;0,(AD8-AD9-$Q8),"")</f>
        <v>-1053</v>
      </c>
    </row>
    <row r="9" spans="2:42" x14ac:dyDescent="0.3">
      <c r="B9" s="28" t="s">
        <v>28</v>
      </c>
      <c r="C9" s="17">
        <v>1429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1297</v>
      </c>
      <c r="E10" s="18" t="s">
        <v>31</v>
      </c>
      <c r="F10" s="119">
        <v>16652</v>
      </c>
      <c r="G10" s="117">
        <v>13119.9575</v>
      </c>
      <c r="H10" s="117">
        <v>376.5196315</v>
      </c>
      <c r="I10" s="19">
        <f>G10+H10</f>
        <v>13496.4771315</v>
      </c>
      <c r="J10" s="119">
        <v>16687</v>
      </c>
      <c r="K10" s="117">
        <v>13358.416999999999</v>
      </c>
      <c r="L10" s="117">
        <v>363.25619519999998</v>
      </c>
      <c r="M10" s="19">
        <f>K10+L10</f>
        <v>13721.673195199999</v>
      </c>
      <c r="N10" s="88">
        <v>39</v>
      </c>
      <c r="O10" s="88">
        <v>35</v>
      </c>
      <c r="P10" s="92"/>
      <c r="Q10" s="20">
        <f>J10-P10</f>
        <v>16687</v>
      </c>
      <c r="R10" s="21">
        <v>3372</v>
      </c>
      <c r="S10" s="20">
        <f>IF(R10&gt;0,(R10-R11-$Q10),"")</f>
        <v>-13324</v>
      </c>
      <c r="T10" s="21">
        <v>4953</v>
      </c>
      <c r="U10" s="20">
        <f>IF(T10&gt;0,(T10-T11-$Q10),"")</f>
        <v>-11743</v>
      </c>
      <c r="V10" s="21">
        <v>9671</v>
      </c>
      <c r="W10" s="20">
        <f>IF(V10&gt;0,(V10-V11-$Q10),"")</f>
        <v>-7025</v>
      </c>
      <c r="X10" s="21">
        <v>11823</v>
      </c>
      <c r="Y10" s="20">
        <f>IF(X10&gt;0,(X10-X11-$Q10),"")</f>
        <v>-4873</v>
      </c>
      <c r="Z10" s="21">
        <v>11823</v>
      </c>
      <c r="AA10" s="20">
        <f>IF(Z10&gt;0,(Z10-Z11-$Q10),"")</f>
        <v>-4873</v>
      </c>
      <c r="AB10" s="21">
        <v>11823</v>
      </c>
      <c r="AC10" s="22">
        <f>IF(AB10&gt;0,(AB10-AB11-$Q10),"")</f>
        <v>-4873</v>
      </c>
      <c r="AD10" s="21">
        <v>11823</v>
      </c>
      <c r="AE10" s="22">
        <f>IF(AD10&gt;0,(AD10-AD11-$Q10),"")</f>
        <v>-4873</v>
      </c>
    </row>
    <row r="11" spans="2:42" x14ac:dyDescent="0.3">
      <c r="B11" s="16" t="s">
        <v>38</v>
      </c>
      <c r="C11" s="17">
        <v>11682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9</v>
      </c>
      <c r="S11" s="24"/>
      <c r="T11" s="30">
        <v>9</v>
      </c>
      <c r="U11" s="24"/>
      <c r="V11" s="30">
        <v>9</v>
      </c>
      <c r="W11" s="24"/>
      <c r="X11" s="30">
        <v>9</v>
      </c>
      <c r="Y11" s="24"/>
      <c r="Z11" s="30">
        <v>9</v>
      </c>
      <c r="AA11" s="24"/>
      <c r="AB11" s="30">
        <v>9</v>
      </c>
      <c r="AC11" s="26"/>
      <c r="AD11" s="30">
        <v>9</v>
      </c>
      <c r="AE11" s="26"/>
    </row>
    <row r="12" spans="2:42" x14ac:dyDescent="0.3">
      <c r="B12" s="16" t="s">
        <v>40</v>
      </c>
      <c r="C12" s="17">
        <v>1962</v>
      </c>
      <c r="E12" s="29" t="s">
        <v>35</v>
      </c>
      <c r="F12" s="119">
        <v>12271</v>
      </c>
      <c r="G12" s="117">
        <v>12173.9745</v>
      </c>
      <c r="H12" s="117">
        <v>15541.27613548</v>
      </c>
      <c r="I12" s="19">
        <f>G12+H12</f>
        <v>27715.250635479999</v>
      </c>
      <c r="J12" s="119">
        <v>12394</v>
      </c>
      <c r="K12" s="117">
        <v>11842.402</v>
      </c>
      <c r="L12" s="117">
        <v>15391.05569003</v>
      </c>
      <c r="M12" s="19">
        <f>K12+L12</f>
        <v>27233.457690030002</v>
      </c>
      <c r="N12" s="88">
        <v>47</v>
      </c>
      <c r="O12" s="88">
        <v>37</v>
      </c>
      <c r="P12" s="92"/>
      <c r="Q12" s="20">
        <f>J12-P12</f>
        <v>12394</v>
      </c>
      <c r="R12" s="21">
        <v>7455</v>
      </c>
      <c r="S12" s="20">
        <f>IF(R12&gt;0,(R12-R13-$Q12),"")</f>
        <v>-5351</v>
      </c>
      <c r="T12" s="21">
        <v>8783</v>
      </c>
      <c r="U12" s="20">
        <f>IF(T12&gt;0,(T12-T13-$Q12),"")</f>
        <v>-4051</v>
      </c>
      <c r="V12" s="21">
        <v>12087</v>
      </c>
      <c r="W12" s="20">
        <f>IF(V12&gt;0,(V12-V13-$Q12),"")</f>
        <v>-816</v>
      </c>
      <c r="X12" s="21">
        <v>12456</v>
      </c>
      <c r="Y12" s="20">
        <f>IF(X12&gt;0,(X12-X13-$Q12),"")</f>
        <v>-447</v>
      </c>
      <c r="Z12" s="21">
        <v>12456</v>
      </c>
      <c r="AA12" s="20">
        <f>IF(Z12&gt;0,(Z12-Z13-$Q12),"")</f>
        <v>-447</v>
      </c>
      <c r="AB12" s="21">
        <v>12456</v>
      </c>
      <c r="AC12" s="22">
        <f>IF(AB12&gt;0,(AB12-AB13-$Q12),"")</f>
        <v>-447</v>
      </c>
      <c r="AD12" s="21">
        <v>12456</v>
      </c>
      <c r="AE12" s="22">
        <f>IF(AD12&gt;0,(AD12-AD13-$Q12),"")</f>
        <v>-447</v>
      </c>
    </row>
    <row r="13" spans="2:42" x14ac:dyDescent="0.3">
      <c r="B13" s="28" t="s">
        <v>42</v>
      </c>
      <c r="C13" s="17">
        <v>12519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412</v>
      </c>
      <c r="S13" s="24"/>
      <c r="T13" s="30">
        <v>440</v>
      </c>
      <c r="U13" s="24"/>
      <c r="V13" s="30">
        <v>509</v>
      </c>
      <c r="W13" s="24"/>
      <c r="X13" s="30">
        <v>509</v>
      </c>
      <c r="Y13" s="24"/>
      <c r="Z13" s="30">
        <v>509</v>
      </c>
      <c r="AA13" s="24"/>
      <c r="AB13" s="30">
        <v>509</v>
      </c>
      <c r="AC13" s="26"/>
      <c r="AD13" s="30">
        <v>509</v>
      </c>
      <c r="AE13" s="26"/>
    </row>
    <row r="14" spans="2:42" x14ac:dyDescent="0.3">
      <c r="B14" s="43" t="s">
        <v>47</v>
      </c>
      <c r="C14" s="17">
        <v>1453</v>
      </c>
      <c r="E14" s="18" t="s">
        <v>39</v>
      </c>
      <c r="F14" s="119">
        <v>15342</v>
      </c>
      <c r="G14" s="117">
        <v>16081.995000000001</v>
      </c>
      <c r="H14" s="117">
        <v>18973.318345299969</v>
      </c>
      <c r="I14" s="19">
        <f>G14+H14</f>
        <v>35055.313345299968</v>
      </c>
      <c r="J14" s="119">
        <v>16528</v>
      </c>
      <c r="K14" s="117">
        <v>18521.867249999999</v>
      </c>
      <c r="L14" s="117">
        <v>21354.01622765998</v>
      </c>
      <c r="M14" s="19">
        <f>K14+L14</f>
        <v>39875.883477659983</v>
      </c>
      <c r="N14" s="88">
        <v>62</v>
      </c>
      <c r="O14" s="88">
        <v>45</v>
      </c>
      <c r="P14" s="92"/>
      <c r="Q14" s="20">
        <f>J14-P14</f>
        <v>16528</v>
      </c>
      <c r="R14" s="21">
        <v>4174</v>
      </c>
      <c r="S14" s="20">
        <f>IF(R14&gt;0,(R14-R15-$Q14),"")</f>
        <v>-12379</v>
      </c>
      <c r="T14" s="21">
        <v>5838</v>
      </c>
      <c r="U14" s="20">
        <f>IF(T14&gt;0,(T14-T15-$Q14),"")</f>
        <v>-10715</v>
      </c>
      <c r="V14" s="21">
        <v>7072</v>
      </c>
      <c r="W14" s="20">
        <f>IF(V14&gt;0,(V14-V15-$Q14),"")</f>
        <v>-9481</v>
      </c>
      <c r="X14" s="21">
        <v>7939</v>
      </c>
      <c r="Y14" s="20">
        <f>IF(X14&gt;0,(X14-X15-$Q14),"")</f>
        <v>-8655</v>
      </c>
      <c r="Z14" s="21">
        <v>7616</v>
      </c>
      <c r="AA14" s="20">
        <f>IF(Z14&gt;0,(Z14-Z15-$Q14),"")</f>
        <v>-8978</v>
      </c>
      <c r="AB14" s="21">
        <v>7616</v>
      </c>
      <c r="AC14" s="22">
        <f>IF(AB14&gt;0,(AB14-AB15-$Q14),"")</f>
        <v>-8978</v>
      </c>
      <c r="AD14" s="21">
        <v>7616</v>
      </c>
      <c r="AE14" s="22">
        <f>IF(AD14&gt;0,(AD14-AD15-$Q14),"")</f>
        <v>-8978</v>
      </c>
    </row>
    <row r="15" spans="2:42" ht="15" customHeight="1" thickBot="1" x14ac:dyDescent="0.35">
      <c r="B15" s="43" t="s">
        <v>48</v>
      </c>
      <c r="C15" s="50">
        <v>377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25</v>
      </c>
      <c r="S15" s="24"/>
      <c r="T15" s="25">
        <v>25</v>
      </c>
      <c r="U15" s="24"/>
      <c r="V15" s="25">
        <v>25</v>
      </c>
      <c r="W15" s="24"/>
      <c r="X15" s="25">
        <v>66</v>
      </c>
      <c r="Y15" s="24"/>
      <c r="Z15" s="25">
        <v>66</v>
      </c>
      <c r="AA15" s="24"/>
      <c r="AB15" s="25">
        <v>66</v>
      </c>
      <c r="AC15" s="26"/>
      <c r="AD15" s="25">
        <v>66</v>
      </c>
      <c r="AE15" s="26"/>
    </row>
    <row r="16" spans="2:42" ht="15" customHeight="1" thickBot="1" x14ac:dyDescent="0.35">
      <c r="B16" s="16" t="s">
        <v>50</v>
      </c>
      <c r="C16" s="17">
        <v>7756</v>
      </c>
      <c r="E16" s="84"/>
      <c r="F16" s="31">
        <f t="shared" ref="F16:M16" si="0">SUM(F6:F15)</f>
        <v>65460</v>
      </c>
      <c r="G16" s="31">
        <f t="shared" si="0"/>
        <v>53756.274249999995</v>
      </c>
      <c r="H16" s="31">
        <f t="shared" si="0"/>
        <v>47885.038929279966</v>
      </c>
      <c r="I16" s="32">
        <f t="shared" si="0"/>
        <v>101641.31317927997</v>
      </c>
      <c r="J16" s="33">
        <f t="shared" si="0"/>
        <v>66937</v>
      </c>
      <c r="K16" s="33">
        <f t="shared" si="0"/>
        <v>56689.619999999995</v>
      </c>
      <c r="L16" s="33">
        <f t="shared" si="0"/>
        <v>50553.49065848998</v>
      </c>
      <c r="M16" s="33">
        <f t="shared" si="0"/>
        <v>107243.11065848998</v>
      </c>
      <c r="N16" s="31">
        <f>SUM(N14,N12,N10,N8,N6)</f>
        <v>220</v>
      </c>
      <c r="O16" s="31">
        <f>SUM(O14,O12,O10,O8,O6)</f>
        <v>177</v>
      </c>
      <c r="P16" s="34">
        <f>SUM(P6:P15)</f>
        <v>0</v>
      </c>
      <c r="Q16" s="34">
        <f>SUM(Q6:Q15)</f>
        <v>66937</v>
      </c>
      <c r="R16" s="35">
        <f>R6+R8+R10+R12+R14-R7-R9-R11-R13-R15</f>
        <v>17569</v>
      </c>
      <c r="S16" s="36">
        <f>IF(R16&gt;1,(R16-$Q16),"")</f>
        <v>-49368</v>
      </c>
      <c r="T16" s="35">
        <f>T6+T8+T10+T12+T14-T7-T9-T11-T13-T15</f>
        <v>25886</v>
      </c>
      <c r="U16" s="36">
        <f>IF(T16&gt;1,(T16-$Q16),"")</f>
        <v>-41051</v>
      </c>
      <c r="V16" s="35">
        <f>V6+V8+V10+V12+V14-V7-V9-V11-V13-V15</f>
        <v>41121</v>
      </c>
      <c r="W16" s="36">
        <f>IF(V16&gt;1,(V16-$Q16),"")</f>
        <v>-25816</v>
      </c>
      <c r="X16" s="35">
        <f>X6+X8+X10+X12+X14-X7-X9-X11-X13-X15</f>
        <v>49660</v>
      </c>
      <c r="Y16" s="36">
        <f>IF(X16&gt;1,(X16-$Q16),"")</f>
        <v>-17277</v>
      </c>
      <c r="Z16" s="35">
        <f>Z6+Z8+Z10+Z12+Z14-Z7-Z9-Z11-Z13-Z15</f>
        <v>48978</v>
      </c>
      <c r="AA16" s="36">
        <f>IF(Z16&gt;1,(Z16-$Q16),"")</f>
        <v>-17959</v>
      </c>
      <c r="AB16" s="35">
        <f>AB6+AB8+AB10+AB12+AB14-AB7-AB9-AB11-AB13-AB15</f>
        <v>48978</v>
      </c>
      <c r="AC16" s="37">
        <f>IF(AB16&gt;1,(AB16-$Q16),"")</f>
        <v>-17959</v>
      </c>
      <c r="AD16" s="35">
        <f>AD6+AD8+AD10+AD12+AD14-AD7-AD9-AD11-AD13-AD15</f>
        <v>48978</v>
      </c>
      <c r="AE16" s="37">
        <f>IF(AD16&gt;1,(AD16-$Q16),"")</f>
        <v>-17959</v>
      </c>
    </row>
    <row r="17" spans="2:43" s="4" customFormat="1" ht="15" customHeight="1" thickBot="1" x14ac:dyDescent="0.35">
      <c r="B17" s="16" t="s">
        <v>51</v>
      </c>
      <c r="C17" s="17">
        <v>833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540</v>
      </c>
      <c r="S17" s="41"/>
      <c r="T17" s="40">
        <f>T15+T13+T11+T9+T7</f>
        <v>631</v>
      </c>
      <c r="U17" s="41"/>
      <c r="V17" s="40">
        <f>V15+V13+V11+V9+V7</f>
        <v>707</v>
      </c>
      <c r="W17" s="41"/>
      <c r="X17" s="40">
        <f>X15+X13+X11+X9+X7</f>
        <v>751</v>
      </c>
      <c r="Y17" s="41"/>
      <c r="Z17" s="40">
        <f>Z15+Z13+Z11+Z9+Z7</f>
        <v>751</v>
      </c>
      <c r="AA17" s="41"/>
      <c r="AB17" s="40">
        <f>AB15+AB13+AB11+AB9+AB7</f>
        <v>751</v>
      </c>
      <c r="AC17" s="42"/>
      <c r="AD17" s="40">
        <f>AD15+AD13+AD11+AD9+AD7</f>
        <v>751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4075</v>
      </c>
      <c r="O18" s="125">
        <f>O17/N16</f>
        <v>0.19545454545454546</v>
      </c>
      <c r="P18" s="45" t="s">
        <v>46</v>
      </c>
      <c r="Q18" s="46"/>
      <c r="R18" s="47">
        <f>IF(R16&gt;0,(R16)/2,"")</f>
        <v>8784.5</v>
      </c>
      <c r="S18" s="46"/>
      <c r="T18" s="47">
        <f>IF(T16&gt;0,(T16-R16)/2,"")</f>
        <v>4158.5</v>
      </c>
      <c r="U18" s="46"/>
      <c r="V18" s="47">
        <f>IF(V16&gt;0,(V16-T16)/2,"")</f>
        <v>7617.5</v>
      </c>
      <c r="W18" s="46"/>
      <c r="X18" s="47">
        <f>IF(X16&gt;0,(X16-V16)/2,"")</f>
        <v>4269.5</v>
      </c>
      <c r="Y18" s="46"/>
      <c r="Z18" s="47">
        <f>IF(Z16&gt;0,(Z16-X16)/2,"")</f>
        <v>-341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21395</v>
      </c>
      <c r="S20" s="36">
        <v>-63527</v>
      </c>
      <c r="T20" s="35">
        <v>29947</v>
      </c>
      <c r="U20" s="36">
        <v>-54975</v>
      </c>
      <c r="V20" s="35">
        <v>37214</v>
      </c>
      <c r="W20" s="36">
        <v>-47708</v>
      </c>
      <c r="X20" s="35">
        <v>51200</v>
      </c>
      <c r="Y20" s="36">
        <v>-33722</v>
      </c>
      <c r="Z20" s="35">
        <v>51962</v>
      </c>
      <c r="AA20" s="36">
        <v>-32960</v>
      </c>
      <c r="AB20" s="35">
        <v>51962</v>
      </c>
      <c r="AC20" s="37">
        <v>-32960</v>
      </c>
      <c r="AD20" s="35">
        <v>51962</v>
      </c>
      <c r="AE20" s="37">
        <v>-32960</v>
      </c>
    </row>
    <row r="21" spans="2:43" ht="15" customHeight="1" thickBot="1" x14ac:dyDescent="0.35">
      <c r="M21" s="4"/>
      <c r="Q21" s="52"/>
      <c r="R21" s="40">
        <v>653</v>
      </c>
      <c r="S21" s="41"/>
      <c r="T21" s="40">
        <v>788</v>
      </c>
      <c r="U21" s="41"/>
      <c r="V21" s="40">
        <v>840</v>
      </c>
      <c r="W21" s="41"/>
      <c r="X21" s="40">
        <v>894</v>
      </c>
      <c r="Y21" s="41"/>
      <c r="Z21" s="40">
        <v>894</v>
      </c>
      <c r="AA21" s="41"/>
      <c r="AB21" s="40">
        <v>894</v>
      </c>
      <c r="AC21" s="42"/>
      <c r="AD21" s="40">
        <v>894</v>
      </c>
      <c r="AE21" s="42"/>
    </row>
    <row r="22" spans="2:43" ht="15" customHeight="1" thickBot="1" x14ac:dyDescent="0.35">
      <c r="M22" s="4"/>
      <c r="Q22" s="54"/>
      <c r="R22" s="47">
        <v>10697.5</v>
      </c>
      <c r="S22" s="46"/>
      <c r="T22" s="47">
        <v>4276</v>
      </c>
      <c r="U22" s="46"/>
      <c r="V22" s="47">
        <v>3633.5</v>
      </c>
      <c r="W22" s="46"/>
      <c r="X22" s="47">
        <v>6993</v>
      </c>
      <c r="Y22" s="46"/>
      <c r="Z22" s="47">
        <v>381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-3826</v>
      </c>
      <c r="S24" s="60"/>
      <c r="T24" s="60">
        <f>IF(T16&gt;0,T16-T20,"")</f>
        <v>-4061</v>
      </c>
      <c r="U24" s="60"/>
      <c r="V24" s="60">
        <f>IF(V16&gt;0,V16-V20,"")</f>
        <v>3907</v>
      </c>
      <c r="W24" s="60"/>
      <c r="X24" s="60">
        <f>IF(X16&gt;0,X16-X20,"")</f>
        <v>-1540</v>
      </c>
      <c r="Y24" s="60"/>
      <c r="Z24" s="60">
        <f>IF(Z16&gt;0,Z16-Z20,"")</f>
        <v>-2984</v>
      </c>
      <c r="AA24" s="60"/>
      <c r="AB24" s="60">
        <f>IF(AB16&gt;0,AB16-AB20,"")</f>
        <v>-2984</v>
      </c>
      <c r="AC24" s="61"/>
      <c r="AD24" s="60">
        <f>IF(AD16&gt;0,AD16-AD20,"")</f>
        <v>-2984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-113</v>
      </c>
      <c r="S25" s="64"/>
      <c r="T25" s="63">
        <f>IF(T17&gt;=0,T17-T21,"")</f>
        <v>-157</v>
      </c>
      <c r="U25" s="64"/>
      <c r="V25" s="63">
        <f>IF(V17&gt;=0,V17-V21,"")</f>
        <v>-133</v>
      </c>
      <c r="W25" s="64"/>
      <c r="X25" s="63">
        <f>IF(X17&gt;=0,X17-X21,"")</f>
        <v>-143</v>
      </c>
      <c r="Y25" s="64"/>
      <c r="Z25" s="63">
        <f>IF(Z17&gt;=0,Z17-Z21,"")</f>
        <v>-143</v>
      </c>
      <c r="AA25" s="64"/>
      <c r="AB25" s="63">
        <f>IF(AB17&gt;=0,AB17-AB21,"")</f>
        <v>-143</v>
      </c>
      <c r="AC25" s="65"/>
      <c r="AD25" s="63">
        <f>IF(AD17&gt;=0,AD17-AD21,"")</f>
        <v>-143</v>
      </c>
      <c r="AE25" s="65"/>
    </row>
    <row r="26" spans="2:43" ht="15" customHeight="1" thickBot="1" x14ac:dyDescent="0.35">
      <c r="B26" s="74" t="s">
        <v>55</v>
      </c>
      <c r="C26" s="122">
        <v>11064</v>
      </c>
      <c r="D26" s="76">
        <f>C11</f>
        <v>11682</v>
      </c>
      <c r="E26" s="77">
        <f>D26-C26</f>
        <v>618</v>
      </c>
      <c r="M26" s="4"/>
      <c r="Q26" s="66"/>
      <c r="R26" s="67">
        <f>IFERROR(IF(R18&gt;0,R18-R22,""),"")</f>
        <v>-1913</v>
      </c>
      <c r="S26" s="55"/>
      <c r="T26" s="67">
        <f>IFERROR(IF(T18&gt;0,T18-T22,""),"")</f>
        <v>-117.5</v>
      </c>
      <c r="U26" s="55"/>
      <c r="V26" s="67">
        <f>IFERROR(IF(V18&gt;0,V18-V22,""),"")</f>
        <v>3984</v>
      </c>
      <c r="W26" s="55"/>
      <c r="X26" s="67">
        <f>IFERROR(IF(X18&gt;0,X18-X22,""),"")</f>
        <v>-2723.5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32652</v>
      </c>
      <c r="D27" s="76">
        <f>C7+C12+C13+C14+C15</f>
        <v>18181</v>
      </c>
      <c r="E27" s="77">
        <f>D27-C27</f>
        <v>-14471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1297</v>
      </c>
      <c r="D29" s="76">
        <f>C10</f>
        <v>1297</v>
      </c>
      <c r="E29" s="77">
        <f>D29-C29</f>
        <v>0</v>
      </c>
      <c r="O29" s="4"/>
    </row>
    <row r="30" spans="2:43" x14ac:dyDescent="0.3">
      <c r="B30" s="74" t="s">
        <v>59</v>
      </c>
      <c r="C30" s="122">
        <v>13055</v>
      </c>
      <c r="D30" s="76">
        <f>C16+C17+C18</f>
        <v>12664</v>
      </c>
      <c r="E30" s="77">
        <f>D30-C30</f>
        <v>-391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4164</v>
      </c>
      <c r="D31" s="80">
        <f>SUM(C8+C9)</f>
        <v>4164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833.5</v>
      </c>
      <c r="V35" s="104">
        <v>1667</v>
      </c>
      <c r="W35" s="104">
        <f t="shared" ref="W35:W64" si="3">IF(X35&gt;0,(X35-V35)/2,"")</f>
        <v>590</v>
      </c>
      <c r="X35" s="104">
        <v>2847</v>
      </c>
      <c r="Y35" s="104">
        <f t="shared" ref="Y35:Y64" si="4">IF(Z35&gt;0,(Z35-X35)/2,"")</f>
        <v>0</v>
      </c>
      <c r="Z35" s="104">
        <v>2847</v>
      </c>
      <c r="AA35" s="104">
        <f t="shared" ref="AA35:AA64" si="5">IF(AB35&gt;0,(AB35-Z35)/2,"")</f>
        <v>0</v>
      </c>
      <c r="AB35" s="104">
        <v>2847</v>
      </c>
      <c r="AC35" s="104">
        <f t="shared" ref="AC35:AC64" si="6">IF(AD35&gt;0,(AD35-AB35)/2,"")</f>
        <v>0</v>
      </c>
      <c r="AD35" s="104">
        <v>2847</v>
      </c>
      <c r="AE35" s="105">
        <f t="shared" ref="AE35:AE64" si="7">AD35-Q35</f>
        <v>2847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500</v>
      </c>
      <c r="T36" s="106">
        <v>1000</v>
      </c>
      <c r="U36" s="106">
        <f t="shared" si="2"/>
        <v>0</v>
      </c>
      <c r="V36" s="106">
        <v>1000</v>
      </c>
      <c r="W36" s="106">
        <f t="shared" si="3"/>
        <v>435.5</v>
      </c>
      <c r="X36" s="106">
        <v>1871</v>
      </c>
      <c r="Y36" s="106">
        <f t="shared" si="4"/>
        <v>0</v>
      </c>
      <c r="Z36" s="106">
        <v>1871</v>
      </c>
      <c r="AA36" s="106">
        <f t="shared" si="5"/>
        <v>0</v>
      </c>
      <c r="AB36" s="106">
        <v>1871</v>
      </c>
      <c r="AC36" s="106">
        <f t="shared" si="6"/>
        <v>0</v>
      </c>
      <c r="AD36" s="106">
        <v>1871</v>
      </c>
      <c r="AE36" s="107">
        <f t="shared" si="7"/>
        <v>1871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0</v>
      </c>
      <c r="S37" s="108">
        <f t="shared" si="1"/>
        <v>687.5</v>
      </c>
      <c r="T37" s="108">
        <v>1375</v>
      </c>
      <c r="U37" s="108">
        <f t="shared" si="2"/>
        <v>437.5</v>
      </c>
      <c r="V37" s="108">
        <v>2250</v>
      </c>
      <c r="W37" s="108">
        <f t="shared" si="3"/>
        <v>147.5</v>
      </c>
      <c r="X37" s="108">
        <v>2545</v>
      </c>
      <c r="Y37" s="108">
        <f t="shared" si="4"/>
        <v>0</v>
      </c>
      <c r="Z37" s="108">
        <v>2545</v>
      </c>
      <c r="AA37" s="108">
        <f t="shared" si="5"/>
        <v>0</v>
      </c>
      <c r="AB37" s="108">
        <v>2545</v>
      </c>
      <c r="AC37" s="108">
        <f t="shared" si="6"/>
        <v>0</v>
      </c>
      <c r="AD37" s="108">
        <v>2545</v>
      </c>
      <c r="AE37" s="109">
        <f t="shared" si="7"/>
        <v>2545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823</v>
      </c>
      <c r="S38" s="106">
        <f t="shared" si="1"/>
        <v>30</v>
      </c>
      <c r="T38" s="106">
        <v>883</v>
      </c>
      <c r="U38" s="106">
        <f t="shared" si="2"/>
        <v>539.5</v>
      </c>
      <c r="V38" s="106">
        <v>1962</v>
      </c>
      <c r="W38" s="106">
        <f t="shared" si="3"/>
        <v>650</v>
      </c>
      <c r="X38" s="106">
        <v>3262</v>
      </c>
      <c r="Y38" s="106">
        <f t="shared" si="4"/>
        <v>-83.5</v>
      </c>
      <c r="Z38" s="106">
        <v>3095</v>
      </c>
      <c r="AA38" s="106">
        <f t="shared" si="5"/>
        <v>0</v>
      </c>
      <c r="AB38" s="106">
        <v>3095</v>
      </c>
      <c r="AC38" s="106">
        <f t="shared" si="6"/>
        <v>0</v>
      </c>
      <c r="AD38" s="106">
        <v>3095</v>
      </c>
      <c r="AE38" s="107">
        <f t="shared" si="7"/>
        <v>3095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800</v>
      </c>
      <c r="S39" s="108">
        <f t="shared" si="1"/>
        <v>0</v>
      </c>
      <c r="T39" s="108">
        <v>800</v>
      </c>
      <c r="U39" s="108">
        <f t="shared" si="2"/>
        <v>534</v>
      </c>
      <c r="V39" s="108">
        <v>1868</v>
      </c>
      <c r="W39" s="108">
        <f t="shared" si="3"/>
        <v>449.5</v>
      </c>
      <c r="X39" s="108">
        <v>2767</v>
      </c>
      <c r="Y39" s="108">
        <f t="shared" si="4"/>
        <v>-117.5</v>
      </c>
      <c r="Z39" s="108">
        <v>2532</v>
      </c>
      <c r="AA39" s="108">
        <f t="shared" si="5"/>
        <v>0</v>
      </c>
      <c r="AB39" s="108">
        <v>2532</v>
      </c>
      <c r="AC39" s="108">
        <f t="shared" si="6"/>
        <v>0</v>
      </c>
      <c r="AD39" s="108">
        <v>2532</v>
      </c>
      <c r="AE39" s="109">
        <f t="shared" si="7"/>
        <v>2532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688</v>
      </c>
      <c r="S40" s="106">
        <f t="shared" si="1"/>
        <v>274.5</v>
      </c>
      <c r="T40" s="106">
        <v>1237</v>
      </c>
      <c r="U40" s="106">
        <f t="shared" si="2"/>
        <v>0</v>
      </c>
      <c r="V40" s="106">
        <v>1237</v>
      </c>
      <c r="W40" s="106">
        <f t="shared" si="3"/>
        <v>273.5</v>
      </c>
      <c r="X40" s="106">
        <v>1784</v>
      </c>
      <c r="Y40" s="106">
        <f t="shared" si="4"/>
        <v>0</v>
      </c>
      <c r="Z40" s="106">
        <v>1784</v>
      </c>
      <c r="AA40" s="106">
        <f t="shared" si="5"/>
        <v>0</v>
      </c>
      <c r="AB40" s="106">
        <v>1784</v>
      </c>
      <c r="AC40" s="106">
        <f t="shared" si="6"/>
        <v>0</v>
      </c>
      <c r="AD40" s="106">
        <v>1784</v>
      </c>
      <c r="AE40" s="107">
        <f t="shared" si="7"/>
        <v>1784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797</v>
      </c>
      <c r="S41" s="108">
        <f t="shared" si="1"/>
        <v>0.5</v>
      </c>
      <c r="T41" s="108">
        <v>798</v>
      </c>
      <c r="U41" s="108">
        <f t="shared" si="2"/>
        <v>219.5</v>
      </c>
      <c r="V41" s="108">
        <v>1237</v>
      </c>
      <c r="W41" s="108">
        <f t="shared" si="3"/>
        <v>0</v>
      </c>
      <c r="X41" s="108">
        <v>1237</v>
      </c>
      <c r="Y41" s="108">
        <f t="shared" si="4"/>
        <v>21.5</v>
      </c>
      <c r="Z41" s="108">
        <v>1280</v>
      </c>
      <c r="AA41" s="108">
        <f t="shared" si="5"/>
        <v>0</v>
      </c>
      <c r="AB41" s="108">
        <v>1280</v>
      </c>
      <c r="AC41" s="108">
        <f t="shared" si="6"/>
        <v>0</v>
      </c>
      <c r="AD41" s="108">
        <v>1280</v>
      </c>
      <c r="AE41" s="109">
        <f t="shared" si="7"/>
        <v>1280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116</v>
      </c>
      <c r="T44" s="112">
        <v>232</v>
      </c>
      <c r="U44" s="112">
        <f t="shared" si="2"/>
        <v>168</v>
      </c>
      <c r="V44" s="112">
        <v>568</v>
      </c>
      <c r="W44" s="112">
        <f t="shared" si="3"/>
        <v>51.5</v>
      </c>
      <c r="X44" s="112">
        <v>671</v>
      </c>
      <c r="Y44" s="112">
        <f t="shared" si="4"/>
        <v>0</v>
      </c>
      <c r="Z44" s="112">
        <v>671</v>
      </c>
      <c r="AA44" s="112">
        <f t="shared" si="5"/>
        <v>0</v>
      </c>
      <c r="AB44" s="112">
        <v>671</v>
      </c>
      <c r="AC44" s="112">
        <f t="shared" si="6"/>
        <v>0</v>
      </c>
      <c r="AD44" s="112">
        <v>671</v>
      </c>
      <c r="AE44" s="113">
        <f t="shared" si="7"/>
        <v>671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0</v>
      </c>
      <c r="S45" s="108">
        <f t="shared" si="1"/>
        <v>309</v>
      </c>
      <c r="T45" s="108">
        <v>618</v>
      </c>
      <c r="U45" s="108">
        <f t="shared" si="2"/>
        <v>295.5</v>
      </c>
      <c r="V45" s="108">
        <v>1209</v>
      </c>
      <c r="W45" s="108">
        <f t="shared" si="3"/>
        <v>0</v>
      </c>
      <c r="X45" s="108">
        <v>1209</v>
      </c>
      <c r="Y45" s="108">
        <f t="shared" si="4"/>
        <v>0</v>
      </c>
      <c r="Z45" s="108">
        <v>1209</v>
      </c>
      <c r="AA45" s="108">
        <f t="shared" si="5"/>
        <v>0</v>
      </c>
      <c r="AB45" s="108">
        <v>1209</v>
      </c>
      <c r="AC45" s="108">
        <f t="shared" si="6"/>
        <v>0</v>
      </c>
      <c r="AD45" s="108">
        <v>1209</v>
      </c>
      <c r="AE45" s="109">
        <f t="shared" si="7"/>
        <v>1209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>
        <f t="shared" si="2"/>
        <v>593.5</v>
      </c>
      <c r="V48" s="112">
        <v>1187</v>
      </c>
      <c r="W48" s="112">
        <f t="shared" si="3"/>
        <v>388</v>
      </c>
      <c r="X48" s="112">
        <v>1963</v>
      </c>
      <c r="Y48" s="112">
        <f t="shared" si="4"/>
        <v>0</v>
      </c>
      <c r="Z48" s="112">
        <v>1963</v>
      </c>
      <c r="AA48" s="112">
        <f t="shared" si="5"/>
        <v>0</v>
      </c>
      <c r="AB48" s="112">
        <v>1963</v>
      </c>
      <c r="AC48" s="112">
        <f t="shared" si="6"/>
        <v>0</v>
      </c>
      <c r="AD48" s="112">
        <v>1963</v>
      </c>
      <c r="AE48" s="113">
        <f t="shared" si="7"/>
        <v>1963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517</v>
      </c>
      <c r="S49" s="108">
        <f t="shared" si="1"/>
        <v>187</v>
      </c>
      <c r="T49" s="108">
        <v>891</v>
      </c>
      <c r="U49" s="108">
        <f t="shared" si="2"/>
        <v>213</v>
      </c>
      <c r="V49" s="108">
        <v>1317</v>
      </c>
      <c r="W49" s="108">
        <f t="shared" si="3"/>
        <v>446</v>
      </c>
      <c r="X49" s="108">
        <v>2209</v>
      </c>
      <c r="Y49" s="108">
        <f t="shared" si="4"/>
        <v>0</v>
      </c>
      <c r="Z49" s="108">
        <v>2209</v>
      </c>
      <c r="AA49" s="108">
        <f t="shared" si="5"/>
        <v>0</v>
      </c>
      <c r="AB49" s="108">
        <v>2209</v>
      </c>
      <c r="AC49" s="108">
        <f t="shared" si="6"/>
        <v>0</v>
      </c>
      <c r="AD49" s="108">
        <v>2209</v>
      </c>
      <c r="AE49" s="109">
        <f t="shared" si="7"/>
        <v>2209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429</v>
      </c>
      <c r="S50" s="106">
        <f t="shared" si="1"/>
        <v>324</v>
      </c>
      <c r="T50" s="106">
        <v>1077</v>
      </c>
      <c r="U50" s="106">
        <f t="shared" si="2"/>
        <v>68.5</v>
      </c>
      <c r="V50" s="106">
        <v>1214</v>
      </c>
      <c r="W50" s="106">
        <f t="shared" si="3"/>
        <v>22.5</v>
      </c>
      <c r="X50" s="106">
        <v>1259</v>
      </c>
      <c r="Y50" s="106">
        <f t="shared" si="4"/>
        <v>0</v>
      </c>
      <c r="Z50" s="106">
        <v>1259</v>
      </c>
      <c r="AA50" s="106">
        <f t="shared" si="5"/>
        <v>0</v>
      </c>
      <c r="AB50" s="106">
        <v>1259</v>
      </c>
      <c r="AC50" s="106">
        <f t="shared" si="6"/>
        <v>0</v>
      </c>
      <c r="AD50" s="106">
        <v>1259</v>
      </c>
      <c r="AE50" s="107">
        <f t="shared" si="7"/>
        <v>1259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800</v>
      </c>
      <c r="S51" s="108">
        <f t="shared" si="1"/>
        <v>0</v>
      </c>
      <c r="T51" s="108">
        <v>800</v>
      </c>
      <c r="U51" s="108">
        <f t="shared" si="2"/>
        <v>1114</v>
      </c>
      <c r="V51" s="108">
        <v>3028</v>
      </c>
      <c r="W51" s="108">
        <f t="shared" si="3"/>
        <v>0</v>
      </c>
      <c r="X51" s="108">
        <v>3028</v>
      </c>
      <c r="Y51" s="108">
        <f t="shared" si="4"/>
        <v>0</v>
      </c>
      <c r="Z51" s="108">
        <v>3028</v>
      </c>
      <c r="AA51" s="108">
        <f t="shared" si="5"/>
        <v>0</v>
      </c>
      <c r="AB51" s="108">
        <v>3028</v>
      </c>
      <c r="AC51" s="108">
        <f t="shared" si="6"/>
        <v>0</v>
      </c>
      <c r="AD51" s="108">
        <v>3028</v>
      </c>
      <c r="AE51" s="109">
        <f t="shared" si="7"/>
        <v>3028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720</v>
      </c>
      <c r="S52" s="106">
        <f t="shared" si="1"/>
        <v>279.5</v>
      </c>
      <c r="T52" s="106">
        <v>1279</v>
      </c>
      <c r="U52" s="106">
        <f t="shared" si="2"/>
        <v>370</v>
      </c>
      <c r="V52" s="106">
        <v>2019</v>
      </c>
      <c r="W52" s="106">
        <f t="shared" si="3"/>
        <v>2</v>
      </c>
      <c r="X52" s="106">
        <v>2023</v>
      </c>
      <c r="Y52" s="106">
        <f t="shared" si="4"/>
        <v>0</v>
      </c>
      <c r="Z52" s="106">
        <v>2023</v>
      </c>
      <c r="AA52" s="106">
        <f t="shared" si="5"/>
        <v>0</v>
      </c>
      <c r="AB52" s="106">
        <v>2023</v>
      </c>
      <c r="AC52" s="106">
        <f t="shared" si="6"/>
        <v>0</v>
      </c>
      <c r="AD52" s="106">
        <v>2023</v>
      </c>
      <c r="AE52" s="107">
        <f t="shared" si="7"/>
        <v>2023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906</v>
      </c>
      <c r="S53" s="108">
        <f t="shared" si="1"/>
        <v>0</v>
      </c>
      <c r="T53" s="108">
        <v>906</v>
      </c>
      <c r="U53" s="108">
        <f t="shared" si="2"/>
        <v>0</v>
      </c>
      <c r="V53" s="108">
        <v>906</v>
      </c>
      <c r="W53" s="108">
        <f t="shared" si="3"/>
        <v>217.5</v>
      </c>
      <c r="X53" s="108">
        <v>1341</v>
      </c>
      <c r="Y53" s="108">
        <f t="shared" si="4"/>
        <v>0</v>
      </c>
      <c r="Z53" s="108">
        <v>1341</v>
      </c>
      <c r="AA53" s="108">
        <f t="shared" si="5"/>
        <v>0</v>
      </c>
      <c r="AB53" s="108">
        <v>1341</v>
      </c>
      <c r="AC53" s="108">
        <f t="shared" si="6"/>
        <v>0</v>
      </c>
      <c r="AD53" s="108">
        <v>1341</v>
      </c>
      <c r="AE53" s="109">
        <f t="shared" si="7"/>
        <v>1341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2073</v>
      </c>
      <c r="S57" s="104">
        <f t="shared" si="1"/>
        <v>302</v>
      </c>
      <c r="T57" s="104">
        <v>2677</v>
      </c>
      <c r="U57" s="104">
        <f t="shared" si="2"/>
        <v>580</v>
      </c>
      <c r="V57" s="104">
        <v>3837</v>
      </c>
      <c r="W57" s="104">
        <f t="shared" si="3"/>
        <v>0</v>
      </c>
      <c r="X57" s="104">
        <v>3837</v>
      </c>
      <c r="Y57" s="104">
        <f t="shared" si="4"/>
        <v>0</v>
      </c>
      <c r="Z57" s="104">
        <v>3837</v>
      </c>
      <c r="AA57" s="104">
        <f t="shared" si="5"/>
        <v>0</v>
      </c>
      <c r="AB57" s="104">
        <v>3837</v>
      </c>
      <c r="AC57" s="104">
        <f t="shared" si="6"/>
        <v>0</v>
      </c>
      <c r="AD57" s="104">
        <v>3837</v>
      </c>
      <c r="AE57" s="105">
        <f t="shared" si="7"/>
        <v>3837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2126</v>
      </c>
      <c r="S58" s="106">
        <f t="shared" si="1"/>
        <v>208.5</v>
      </c>
      <c r="T58" s="106">
        <v>2543</v>
      </c>
      <c r="U58" s="106">
        <f t="shared" si="2"/>
        <v>613.5</v>
      </c>
      <c r="V58" s="106">
        <v>3770</v>
      </c>
      <c r="W58" s="106">
        <f t="shared" si="3"/>
        <v>23</v>
      </c>
      <c r="X58" s="106">
        <v>3816</v>
      </c>
      <c r="Y58" s="106">
        <f t="shared" si="4"/>
        <v>0</v>
      </c>
      <c r="Z58" s="106">
        <v>3816</v>
      </c>
      <c r="AA58" s="106">
        <f t="shared" si="5"/>
        <v>0</v>
      </c>
      <c r="AB58" s="106">
        <v>3816</v>
      </c>
      <c r="AC58" s="106">
        <f t="shared" si="6"/>
        <v>0</v>
      </c>
      <c r="AD58" s="106">
        <v>3816</v>
      </c>
      <c r="AE58" s="107">
        <f t="shared" si="7"/>
        <v>3816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1503</v>
      </c>
      <c r="S59" s="108">
        <f t="shared" si="1"/>
        <v>64.5</v>
      </c>
      <c r="T59" s="108">
        <v>1632</v>
      </c>
      <c r="U59" s="108">
        <f t="shared" si="2"/>
        <v>266.5</v>
      </c>
      <c r="V59" s="108">
        <v>2165</v>
      </c>
      <c r="W59" s="108">
        <f t="shared" si="3"/>
        <v>0</v>
      </c>
      <c r="X59" s="108">
        <v>2165</v>
      </c>
      <c r="Y59" s="108">
        <f t="shared" si="4"/>
        <v>0</v>
      </c>
      <c r="Z59" s="108">
        <v>2165</v>
      </c>
      <c r="AA59" s="108">
        <f t="shared" si="5"/>
        <v>0</v>
      </c>
      <c r="AB59" s="108">
        <v>2165</v>
      </c>
      <c r="AC59" s="108">
        <f t="shared" si="6"/>
        <v>0</v>
      </c>
      <c r="AD59" s="108">
        <v>2165</v>
      </c>
      <c r="AE59" s="109">
        <f t="shared" si="7"/>
        <v>2165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1753</v>
      </c>
      <c r="S60" s="114">
        <f t="shared" si="1"/>
        <v>89</v>
      </c>
      <c r="T60" s="114">
        <v>1931</v>
      </c>
      <c r="U60" s="114">
        <f t="shared" si="2"/>
        <v>192</v>
      </c>
      <c r="V60" s="114">
        <v>2315</v>
      </c>
      <c r="W60" s="114">
        <f t="shared" si="3"/>
        <v>161.5</v>
      </c>
      <c r="X60" s="114">
        <v>2638</v>
      </c>
      <c r="Y60" s="114">
        <f t="shared" si="4"/>
        <v>0</v>
      </c>
      <c r="Z60" s="114">
        <v>2638</v>
      </c>
      <c r="AA60" s="114">
        <f t="shared" si="5"/>
        <v>0</v>
      </c>
      <c r="AB60" s="114">
        <v>2638</v>
      </c>
      <c r="AC60" s="114">
        <f t="shared" si="6"/>
        <v>0</v>
      </c>
      <c r="AD60" s="114">
        <v>2638</v>
      </c>
      <c r="AE60" s="115">
        <f t="shared" si="7"/>
        <v>2638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736</v>
      </c>
      <c r="S61" s="104">
        <f t="shared" si="1"/>
        <v>0</v>
      </c>
      <c r="T61" s="104">
        <v>736</v>
      </c>
      <c r="U61" s="104">
        <f t="shared" si="2"/>
        <v>229</v>
      </c>
      <c r="V61" s="104">
        <v>1194</v>
      </c>
      <c r="W61" s="104">
        <f t="shared" si="3"/>
        <v>284</v>
      </c>
      <c r="X61" s="104">
        <v>1762</v>
      </c>
      <c r="Y61" s="104">
        <f t="shared" si="4"/>
        <v>0</v>
      </c>
      <c r="Z61" s="104">
        <v>1762</v>
      </c>
      <c r="AA61" s="104">
        <f t="shared" si="5"/>
        <v>0</v>
      </c>
      <c r="AB61" s="104">
        <v>1762</v>
      </c>
      <c r="AC61" s="104">
        <f t="shared" si="6"/>
        <v>0</v>
      </c>
      <c r="AD61" s="104">
        <v>1762</v>
      </c>
      <c r="AE61" s="105">
        <f t="shared" si="7"/>
        <v>1762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180</v>
      </c>
      <c r="S62" s="106">
        <f t="shared" si="1"/>
        <v>413.5</v>
      </c>
      <c r="T62" s="106">
        <v>1007</v>
      </c>
      <c r="U62" s="106">
        <f t="shared" si="2"/>
        <v>270</v>
      </c>
      <c r="V62" s="106">
        <v>1547</v>
      </c>
      <c r="W62" s="106">
        <f t="shared" si="3"/>
        <v>8.5</v>
      </c>
      <c r="X62" s="106">
        <v>1564</v>
      </c>
      <c r="Y62" s="106">
        <f t="shared" si="4"/>
        <v>-161.5</v>
      </c>
      <c r="Z62" s="106">
        <v>1241</v>
      </c>
      <c r="AA62" s="106">
        <f t="shared" si="5"/>
        <v>0</v>
      </c>
      <c r="AB62" s="106">
        <v>1241</v>
      </c>
      <c r="AC62" s="106">
        <f t="shared" si="6"/>
        <v>0</v>
      </c>
      <c r="AD62" s="106">
        <v>1241</v>
      </c>
      <c r="AE62" s="107">
        <f t="shared" si="7"/>
        <v>1241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295</v>
      </c>
      <c r="S63" s="108">
        <f t="shared" si="1"/>
        <v>60</v>
      </c>
      <c r="T63" s="108">
        <v>415</v>
      </c>
      <c r="U63" s="108">
        <f t="shared" si="2"/>
        <v>67.5</v>
      </c>
      <c r="V63" s="108">
        <v>550</v>
      </c>
      <c r="W63" s="108">
        <f t="shared" si="3"/>
        <v>0</v>
      </c>
      <c r="X63" s="108">
        <v>550</v>
      </c>
      <c r="Y63" s="108">
        <f t="shared" si="4"/>
        <v>0</v>
      </c>
      <c r="Z63" s="108">
        <v>550</v>
      </c>
      <c r="AA63" s="108">
        <f t="shared" si="5"/>
        <v>0</v>
      </c>
      <c r="AB63" s="108">
        <v>550</v>
      </c>
      <c r="AC63" s="108">
        <f t="shared" si="6"/>
        <v>0</v>
      </c>
      <c r="AD63" s="108">
        <v>550</v>
      </c>
      <c r="AE63" s="109">
        <f t="shared" si="7"/>
        <v>550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1453</v>
      </c>
      <c r="S64" s="114">
        <f t="shared" si="1"/>
        <v>139</v>
      </c>
      <c r="T64" s="114">
        <v>1731</v>
      </c>
      <c r="U64" s="114">
        <f t="shared" si="2"/>
        <v>4.5</v>
      </c>
      <c r="V64" s="114">
        <v>1740</v>
      </c>
      <c r="W64" s="114">
        <f t="shared" si="3"/>
        <v>33.5</v>
      </c>
      <c r="X64" s="114">
        <v>1807</v>
      </c>
      <c r="Y64" s="114">
        <f t="shared" si="4"/>
        <v>0</v>
      </c>
      <c r="Z64" s="114">
        <v>1807</v>
      </c>
      <c r="AA64" s="114">
        <f t="shared" si="5"/>
        <v>0</v>
      </c>
      <c r="AB64" s="114">
        <v>1807</v>
      </c>
      <c r="AC64" s="114">
        <f t="shared" si="6"/>
        <v>0</v>
      </c>
      <c r="AD64" s="114">
        <v>1807</v>
      </c>
      <c r="AE64" s="115">
        <f t="shared" si="7"/>
        <v>1807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91" priority="11" operator="lessThan">
      <formula>0</formula>
    </cfRule>
    <cfRule type="cellIs" dxfId="490" priority="12" operator="greaterThan">
      <formula>0</formula>
    </cfRule>
  </conditionalFormatting>
  <conditionalFormatting sqref="R25:AC25">
    <cfRule type="cellIs" dxfId="489" priority="9" operator="lessThan">
      <formula>0</formula>
    </cfRule>
    <cfRule type="cellIs" dxfId="488" priority="10" operator="greaterThan">
      <formula>0</formula>
    </cfRule>
  </conditionalFormatting>
  <conditionalFormatting sqref="R26 T26 V26 X26 Z26 AB26">
    <cfRule type="cellIs" dxfId="487" priority="7" operator="lessThan">
      <formula>0</formula>
    </cfRule>
    <cfRule type="cellIs" dxfId="486" priority="8" operator="greaterThan">
      <formula>0</formula>
    </cfRule>
  </conditionalFormatting>
  <conditionalFormatting sqref="AD24:AE24">
    <cfRule type="cellIs" dxfId="485" priority="5" operator="lessThan">
      <formula>0</formula>
    </cfRule>
    <cfRule type="cellIs" dxfId="484" priority="6" operator="greaterThan">
      <formula>0</formula>
    </cfRule>
  </conditionalFormatting>
  <conditionalFormatting sqref="AD25:AE25">
    <cfRule type="cellIs" dxfId="483" priority="3" operator="lessThan">
      <formula>0</formula>
    </cfRule>
    <cfRule type="cellIs" dxfId="482" priority="4" operator="greaterThan">
      <formula>0</formula>
    </cfRule>
  </conditionalFormatting>
  <conditionalFormatting sqref="AD26">
    <cfRule type="cellIs" dxfId="481" priority="1" operator="lessThan">
      <formula>0</formula>
    </cfRule>
    <cfRule type="cellIs" dxfId="48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44478</v>
      </c>
    </row>
    <row r="3" spans="2:42" ht="18.75" customHeight="1" thickBot="1" x14ac:dyDescent="0.35">
      <c r="B3" t="s">
        <v>1</v>
      </c>
      <c r="C3" s="3">
        <f>C2+1</f>
        <v>44479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18176</v>
      </c>
      <c r="G6" s="117">
        <v>8499.2480000000032</v>
      </c>
      <c r="H6" s="117">
        <v>941.15672499999994</v>
      </c>
      <c r="I6" s="19">
        <f>G6+H6</f>
        <v>9440.404725000004</v>
      </c>
      <c r="J6" s="119">
        <v>18075</v>
      </c>
      <c r="K6" s="117">
        <v>8339.0126250000012</v>
      </c>
      <c r="L6" s="117">
        <v>962.11659249999991</v>
      </c>
      <c r="M6" s="19">
        <f>K6+L6</f>
        <v>9301.1292175000017</v>
      </c>
      <c r="N6" s="85">
        <v>74</v>
      </c>
      <c r="O6" s="85">
        <v>63</v>
      </c>
      <c r="P6" s="92"/>
      <c r="Q6" s="20">
        <f>J6-P6</f>
        <v>18075</v>
      </c>
      <c r="R6" s="21">
        <v>4790</v>
      </c>
      <c r="S6" s="20">
        <f>IF(R6&gt;0,(R6-R7-$Q6),"")</f>
        <v>-13342</v>
      </c>
      <c r="T6" s="21">
        <v>7253</v>
      </c>
      <c r="U6" s="20">
        <f>IF(T6&gt;0,(T6-T7-$Q6),"")</f>
        <v>-11149</v>
      </c>
      <c r="V6" s="21">
        <v>11485</v>
      </c>
      <c r="W6" s="20">
        <f>IF(V6&gt;0,(V6-V7-$Q6),"")</f>
        <v>-6948</v>
      </c>
      <c r="X6" s="21">
        <v>14388</v>
      </c>
      <c r="Y6" s="20">
        <f>IF(X6&gt;0,(X6-X7-$Q6),"")</f>
        <v>-4050</v>
      </c>
      <c r="Z6" s="21">
        <v>14388</v>
      </c>
      <c r="AA6" s="20">
        <f>IF(Z6&gt;0,(Z6-Z7-$Q6),"")</f>
        <v>-4050</v>
      </c>
      <c r="AB6" s="21">
        <v>14388</v>
      </c>
      <c r="AC6" s="22">
        <f>IF(AB6&gt;0,(AB6-AB7-$Q6),"")</f>
        <v>-4050</v>
      </c>
      <c r="AD6" s="21">
        <v>14388</v>
      </c>
      <c r="AE6" s="22">
        <f>IF(AD6&gt;0,(AD6-AD7-$Q6),"")</f>
        <v>-4050</v>
      </c>
    </row>
    <row r="7" spans="2:42" x14ac:dyDescent="0.3">
      <c r="B7" s="16" t="s">
        <v>23</v>
      </c>
      <c r="C7" s="17">
        <v>117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57</v>
      </c>
      <c r="S7" s="24"/>
      <c r="T7" s="25">
        <v>327</v>
      </c>
      <c r="U7" s="24"/>
      <c r="V7" s="25">
        <v>358</v>
      </c>
      <c r="W7" s="24"/>
      <c r="X7" s="25">
        <v>363</v>
      </c>
      <c r="Y7" s="24"/>
      <c r="Z7" s="25">
        <v>363</v>
      </c>
      <c r="AA7" s="24"/>
      <c r="AB7" s="25">
        <v>363</v>
      </c>
      <c r="AC7" s="26"/>
      <c r="AD7" s="25">
        <v>363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3253</v>
      </c>
      <c r="E8" s="29" t="s">
        <v>27</v>
      </c>
      <c r="F8" s="119">
        <v>2288</v>
      </c>
      <c r="G8" s="117">
        <v>3116.8224999999989</v>
      </c>
      <c r="H8" s="117">
        <v>9767.2365744133349</v>
      </c>
      <c r="I8" s="19">
        <f>G8+H8</f>
        <v>12884.059074413333</v>
      </c>
      <c r="J8" s="119">
        <v>2324</v>
      </c>
      <c r="K8" s="117">
        <v>3327.7635</v>
      </c>
      <c r="L8" s="117">
        <v>9652.0591509000096</v>
      </c>
      <c r="M8" s="19">
        <f>K8+L8</f>
        <v>12979.822650900009</v>
      </c>
      <c r="N8" s="87">
        <v>21</v>
      </c>
      <c r="O8" s="87">
        <v>13</v>
      </c>
      <c r="P8" s="92"/>
      <c r="Q8" s="20">
        <f>J8-P8</f>
        <v>2324</v>
      </c>
      <c r="R8" s="21">
        <v>0</v>
      </c>
      <c r="S8" s="20" t="str">
        <f>IF(R8&gt;0,(R8-R9-$Q8),"")</f>
        <v/>
      </c>
      <c r="T8" s="21">
        <v>171</v>
      </c>
      <c r="U8" s="20">
        <f>IF(T8&gt;0,(T8-T9-$Q8),"")</f>
        <v>-2153</v>
      </c>
      <c r="V8" s="21">
        <v>1814</v>
      </c>
      <c r="W8" s="20">
        <f>IF(V8&gt;0,(V8-V9-$Q8),"")</f>
        <v>-513</v>
      </c>
      <c r="X8" s="21">
        <v>1814</v>
      </c>
      <c r="Y8" s="20">
        <f>IF(X8&gt;0,(X8-X9-$Q8),"")</f>
        <v>-513</v>
      </c>
      <c r="Z8" s="21">
        <v>1814</v>
      </c>
      <c r="AA8" s="20">
        <f>IF(Z8&gt;0,(Z8-Z9-$Q8),"")</f>
        <v>-513</v>
      </c>
      <c r="AB8" s="21">
        <v>1814</v>
      </c>
      <c r="AC8" s="22">
        <f>IF(AB8&gt;0,(AB8-AB9-$Q8),"")</f>
        <v>-513</v>
      </c>
      <c r="AD8" s="21">
        <v>1814</v>
      </c>
      <c r="AE8" s="22">
        <f>IF(AD8&gt;0,(AD8-AD9-$Q8),"")</f>
        <v>-513</v>
      </c>
    </row>
    <row r="9" spans="2:42" x14ac:dyDescent="0.3">
      <c r="B9" s="28" t="s">
        <v>28</v>
      </c>
      <c r="C9" s="17">
        <v>141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3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3</v>
      </c>
      <c r="AE9" s="26"/>
    </row>
    <row r="10" spans="2:42" x14ac:dyDescent="0.3">
      <c r="B10" s="16" t="s">
        <v>30</v>
      </c>
      <c r="C10" s="17">
        <v>1857</v>
      </c>
      <c r="E10" s="18" t="s">
        <v>31</v>
      </c>
      <c r="F10" s="119">
        <v>16724</v>
      </c>
      <c r="G10" s="117">
        <v>12467.960999999999</v>
      </c>
      <c r="H10" s="117">
        <v>427.83067249999999</v>
      </c>
      <c r="I10" s="19">
        <f>G10+H10</f>
        <v>12895.7916725</v>
      </c>
      <c r="J10" s="119">
        <v>16606</v>
      </c>
      <c r="K10" s="117">
        <v>12515.2855</v>
      </c>
      <c r="L10" s="117">
        <v>424.38671749999997</v>
      </c>
      <c r="M10" s="19">
        <f>K10+L10</f>
        <v>12939.6722175</v>
      </c>
      <c r="N10" s="88">
        <v>50</v>
      </c>
      <c r="O10" s="88">
        <v>37</v>
      </c>
      <c r="P10" s="92"/>
      <c r="Q10" s="20">
        <f>J10-P10</f>
        <v>16606</v>
      </c>
      <c r="R10" s="21">
        <v>3391</v>
      </c>
      <c r="S10" s="20">
        <f>IF(R10&gt;0,(R10-R11-$Q10),"")</f>
        <v>-13260</v>
      </c>
      <c r="T10" s="21">
        <v>6163</v>
      </c>
      <c r="U10" s="20">
        <f>IF(T10&gt;0,(T10-T11-$Q10),"")</f>
        <v>-10488</v>
      </c>
      <c r="V10" s="21">
        <v>9285</v>
      </c>
      <c r="W10" s="20">
        <f>IF(V10&gt;0,(V10-V11-$Q10),"")</f>
        <v>-7366</v>
      </c>
      <c r="X10" s="21">
        <v>11690</v>
      </c>
      <c r="Y10" s="20">
        <f>IF(X10&gt;0,(X10-X11-$Q10),"")</f>
        <v>-4961</v>
      </c>
      <c r="Z10" s="21">
        <v>11690</v>
      </c>
      <c r="AA10" s="20">
        <f>IF(Z10&gt;0,(Z10-Z11-$Q10),"")</f>
        <v>-4961</v>
      </c>
      <c r="AB10" s="21">
        <v>11690</v>
      </c>
      <c r="AC10" s="22">
        <f>IF(AB10&gt;0,(AB10-AB11-$Q10),"")</f>
        <v>-4961</v>
      </c>
      <c r="AD10" s="21">
        <v>11690</v>
      </c>
      <c r="AE10" s="22">
        <f>IF(AD10&gt;0,(AD10-AD11-$Q10),"")</f>
        <v>-4961</v>
      </c>
    </row>
    <row r="11" spans="2:42" x14ac:dyDescent="0.3">
      <c r="B11" s="16" t="s">
        <v>38</v>
      </c>
      <c r="C11" s="17">
        <v>8245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45</v>
      </c>
      <c r="S11" s="24"/>
      <c r="T11" s="30">
        <v>45</v>
      </c>
      <c r="U11" s="24"/>
      <c r="V11" s="30">
        <v>45</v>
      </c>
      <c r="W11" s="24"/>
      <c r="X11" s="30">
        <v>45</v>
      </c>
      <c r="Y11" s="24"/>
      <c r="Z11" s="30">
        <v>45</v>
      </c>
      <c r="AA11" s="24"/>
      <c r="AB11" s="30">
        <v>45</v>
      </c>
      <c r="AC11" s="26"/>
      <c r="AD11" s="30">
        <v>45</v>
      </c>
      <c r="AE11" s="26"/>
    </row>
    <row r="12" spans="2:42" x14ac:dyDescent="0.3">
      <c r="B12" s="16" t="s">
        <v>40</v>
      </c>
      <c r="C12" s="17">
        <v>1558</v>
      </c>
      <c r="E12" s="29" t="s">
        <v>35</v>
      </c>
      <c r="F12" s="119">
        <v>11259</v>
      </c>
      <c r="G12" s="117">
        <v>11189.945000000011</v>
      </c>
      <c r="H12" s="117">
        <v>14341.598055169999</v>
      </c>
      <c r="I12" s="19">
        <f>G12+H12</f>
        <v>25531.543055170012</v>
      </c>
      <c r="J12" s="119">
        <v>11767</v>
      </c>
      <c r="K12" s="117">
        <v>11265.8675</v>
      </c>
      <c r="L12" s="117">
        <v>14334.406875830011</v>
      </c>
      <c r="M12" s="19">
        <f>K12+L12</f>
        <v>25600.274375830013</v>
      </c>
      <c r="N12" s="88">
        <v>53</v>
      </c>
      <c r="O12" s="88">
        <v>38</v>
      </c>
      <c r="P12" s="92"/>
      <c r="Q12" s="20">
        <f>J12-P12</f>
        <v>11767</v>
      </c>
      <c r="R12" s="21">
        <v>6133</v>
      </c>
      <c r="S12" s="20">
        <f>IF(R12&gt;0,(R12-R13-$Q12),"")</f>
        <v>-5738</v>
      </c>
      <c r="T12" s="21">
        <v>7565</v>
      </c>
      <c r="U12" s="20">
        <f>IF(T12&gt;0,(T12-T13-$Q12),"")</f>
        <v>-4313</v>
      </c>
      <c r="V12" s="21">
        <v>9995</v>
      </c>
      <c r="W12" s="20">
        <f>IF(V12&gt;0,(V12-V13-$Q12),"")</f>
        <v>-1930</v>
      </c>
      <c r="X12" s="21">
        <v>11079</v>
      </c>
      <c r="Y12" s="20">
        <f>IF(X12&gt;0,(X12-X13-$Q12),"")</f>
        <v>-846</v>
      </c>
      <c r="Z12" s="21">
        <v>11079</v>
      </c>
      <c r="AA12" s="20">
        <f>IF(Z12&gt;0,(Z12-Z13-$Q12),"")</f>
        <v>-846</v>
      </c>
      <c r="AB12" s="21">
        <v>11079</v>
      </c>
      <c r="AC12" s="22">
        <f>IF(AB12&gt;0,(AB12-AB13-$Q12),"")</f>
        <v>-846</v>
      </c>
      <c r="AD12" s="21">
        <v>11079</v>
      </c>
      <c r="AE12" s="22">
        <f>IF(AD12&gt;0,(AD12-AD13-$Q12),"")</f>
        <v>-846</v>
      </c>
    </row>
    <row r="13" spans="2:42" x14ac:dyDescent="0.3">
      <c r="B13" s="28" t="s">
        <v>42</v>
      </c>
      <c r="C13" s="17">
        <v>12943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15</v>
      </c>
      <c r="P13" s="93" t="s">
        <v>37</v>
      </c>
      <c r="Q13" s="24"/>
      <c r="R13" s="30">
        <v>104</v>
      </c>
      <c r="S13" s="24"/>
      <c r="T13" s="30">
        <v>111</v>
      </c>
      <c r="U13" s="24"/>
      <c r="V13" s="30">
        <v>158</v>
      </c>
      <c r="W13" s="24"/>
      <c r="X13" s="30">
        <v>158</v>
      </c>
      <c r="Y13" s="24"/>
      <c r="Z13" s="30">
        <v>158</v>
      </c>
      <c r="AA13" s="24"/>
      <c r="AB13" s="30">
        <v>158</v>
      </c>
      <c r="AC13" s="26"/>
      <c r="AD13" s="30">
        <v>158</v>
      </c>
      <c r="AE13" s="26"/>
    </row>
    <row r="14" spans="2:42" x14ac:dyDescent="0.3">
      <c r="B14" s="43" t="s">
        <v>47</v>
      </c>
      <c r="C14" s="17">
        <v>1016</v>
      </c>
      <c r="E14" s="18" t="s">
        <v>39</v>
      </c>
      <c r="F14" s="119">
        <v>19412</v>
      </c>
      <c r="G14" s="117">
        <v>18153.89</v>
      </c>
      <c r="H14" s="117">
        <v>22596.696339419981</v>
      </c>
      <c r="I14" s="19">
        <f>G14+H14</f>
        <v>40750.586339419984</v>
      </c>
      <c r="J14" s="119">
        <v>19608</v>
      </c>
      <c r="K14" s="117">
        <v>19409.79075</v>
      </c>
      <c r="L14" s="117">
        <v>23704.418850959999</v>
      </c>
      <c r="M14" s="19">
        <f>K14+L14</f>
        <v>43114.209600959999</v>
      </c>
      <c r="N14" s="88">
        <v>70</v>
      </c>
      <c r="O14" s="88">
        <v>53</v>
      </c>
      <c r="P14" s="92"/>
      <c r="Q14" s="20">
        <f>J14-P14</f>
        <v>19608</v>
      </c>
      <c r="R14" s="21">
        <v>3664</v>
      </c>
      <c r="S14" s="20">
        <f>IF(R14&gt;0,(R14-R15-$Q14),"")</f>
        <v>-16109</v>
      </c>
      <c r="T14" s="21">
        <v>4765</v>
      </c>
      <c r="U14" s="20">
        <f>IF(T14&gt;0,(T14-T15-$Q14),"")</f>
        <v>-15008</v>
      </c>
      <c r="V14" s="21">
        <v>7131</v>
      </c>
      <c r="W14" s="20">
        <f>IF(V14&gt;0,(V14-V15-$Q14),"")</f>
        <v>-12655</v>
      </c>
      <c r="X14" s="21">
        <v>7652</v>
      </c>
      <c r="Y14" s="20">
        <f>IF(X14&gt;0,(X14-X15-$Q14),"")</f>
        <v>-12259</v>
      </c>
      <c r="Z14" s="21">
        <v>7434</v>
      </c>
      <c r="AA14" s="20">
        <f>IF(Z14&gt;0,(Z14-Z15-$Q14),"")</f>
        <v>-12477</v>
      </c>
      <c r="AB14" s="21">
        <v>7434</v>
      </c>
      <c r="AC14" s="22">
        <f>IF(AB14&gt;0,(AB14-AB15-$Q14),"")</f>
        <v>-12477</v>
      </c>
      <c r="AD14" s="21">
        <v>7434</v>
      </c>
      <c r="AE14" s="22">
        <f>IF(AD14&gt;0,(AD14-AD15-$Q14),"")</f>
        <v>-12477</v>
      </c>
    </row>
    <row r="15" spans="2:42" ht="15" customHeight="1" thickBot="1" x14ac:dyDescent="0.35">
      <c r="B15" s="43" t="s">
        <v>48</v>
      </c>
      <c r="C15" s="50">
        <v>201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165</v>
      </c>
      <c r="S15" s="24"/>
      <c r="T15" s="25">
        <v>165</v>
      </c>
      <c r="U15" s="24"/>
      <c r="V15" s="25">
        <v>178</v>
      </c>
      <c r="W15" s="24"/>
      <c r="X15" s="25">
        <v>303</v>
      </c>
      <c r="Y15" s="24"/>
      <c r="Z15" s="25">
        <v>303</v>
      </c>
      <c r="AA15" s="24"/>
      <c r="AB15" s="25">
        <v>303</v>
      </c>
      <c r="AC15" s="26"/>
      <c r="AD15" s="25">
        <v>303</v>
      </c>
      <c r="AE15" s="26"/>
    </row>
    <row r="16" spans="2:42" ht="15" customHeight="1" thickBot="1" x14ac:dyDescent="0.35">
      <c r="B16" s="16" t="s">
        <v>50</v>
      </c>
      <c r="C16" s="17">
        <v>9796</v>
      </c>
      <c r="E16" s="84"/>
      <c r="F16" s="31">
        <f t="shared" ref="F16:M16" si="0">SUM(F6:F15)</f>
        <v>67859</v>
      </c>
      <c r="G16" s="31">
        <f t="shared" si="0"/>
        <v>53427.866500000011</v>
      </c>
      <c r="H16" s="31">
        <f t="shared" si="0"/>
        <v>48074.518366503311</v>
      </c>
      <c r="I16" s="32">
        <f t="shared" si="0"/>
        <v>101502.38486650333</v>
      </c>
      <c r="J16" s="33">
        <f t="shared" si="0"/>
        <v>68380</v>
      </c>
      <c r="K16" s="33">
        <f t="shared" si="0"/>
        <v>54857.719875000003</v>
      </c>
      <c r="L16" s="33">
        <f t="shared" si="0"/>
        <v>49077.38818769002</v>
      </c>
      <c r="M16" s="33">
        <f t="shared" si="0"/>
        <v>103935.10806269002</v>
      </c>
      <c r="N16" s="31">
        <f>SUM(N14,N12,N10,N8,N6)</f>
        <v>268</v>
      </c>
      <c r="O16" s="31">
        <f>SUM(O14,O12,O10,O8,O6)</f>
        <v>204</v>
      </c>
      <c r="P16" s="34">
        <f>SUM(P6:P15)</f>
        <v>0</v>
      </c>
      <c r="Q16" s="34">
        <f>SUM(Q6:Q15)</f>
        <v>68380</v>
      </c>
      <c r="R16" s="35">
        <f>R6+R8+R10+R12+R14-R7-R9-R11-R13-R15</f>
        <v>17607</v>
      </c>
      <c r="S16" s="36">
        <f>IF(R16&gt;1,(R16-$Q16),"")</f>
        <v>-50773</v>
      </c>
      <c r="T16" s="35">
        <f>T6+T8+T10+T12+T14-T7-T9-T11-T13-T15</f>
        <v>25269</v>
      </c>
      <c r="U16" s="36">
        <f>IF(T16&gt;1,(T16-$Q16),"")</f>
        <v>-43111</v>
      </c>
      <c r="V16" s="35">
        <f>V6+V8+V10+V12+V14-V7-V9-V11-V13-V15</f>
        <v>38968</v>
      </c>
      <c r="W16" s="36">
        <f>IF(V16&gt;1,(V16-$Q16),"")</f>
        <v>-29412</v>
      </c>
      <c r="X16" s="35">
        <f>X6+X8+X10+X12+X14-X7-X9-X11-X13-X15</f>
        <v>45751</v>
      </c>
      <c r="Y16" s="36">
        <f>IF(X16&gt;1,(X16-$Q16),"")</f>
        <v>-22629</v>
      </c>
      <c r="Z16" s="35">
        <f>Z6+Z8+Z10+Z12+Z14-Z7-Z9-Z11-Z13-Z15</f>
        <v>45533</v>
      </c>
      <c r="AA16" s="36">
        <f>IF(Z16&gt;1,(Z16-$Q16),"")</f>
        <v>-22847</v>
      </c>
      <c r="AB16" s="35">
        <f>AB6+AB8+AB10+AB12+AB14-AB7-AB9-AB11-AB13-AB15</f>
        <v>45533</v>
      </c>
      <c r="AC16" s="37">
        <f>IF(AB16&gt;1,(AB16-$Q16),"")</f>
        <v>-22847</v>
      </c>
      <c r="AD16" s="35">
        <f>AD6+AD8+AD10+AD12+AD14-AD7-AD9-AD11-AD13-AD15</f>
        <v>45533</v>
      </c>
      <c r="AE16" s="37">
        <f>IF(AD16&gt;1,(AD16-$Q16),"")</f>
        <v>-22847</v>
      </c>
    </row>
    <row r="17" spans="2:43" s="4" customFormat="1" ht="15" customHeight="1" thickBot="1" x14ac:dyDescent="0.35">
      <c r="B17" s="16" t="s">
        <v>51</v>
      </c>
      <c r="C17" s="17">
        <v>2193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371</v>
      </c>
      <c r="S17" s="41"/>
      <c r="T17" s="40">
        <f>T15+T13+T11+T9+T7</f>
        <v>648</v>
      </c>
      <c r="U17" s="41"/>
      <c r="V17" s="40">
        <f>V15+V13+V11+V9+V7</f>
        <v>742</v>
      </c>
      <c r="W17" s="41"/>
      <c r="X17" s="40">
        <f>X15+X13+X11+X9+X7</f>
        <v>872</v>
      </c>
      <c r="Y17" s="41"/>
      <c r="Z17" s="40">
        <f>Z15+Z13+Z11+Z9+Z7</f>
        <v>872</v>
      </c>
      <c r="AA17" s="41"/>
      <c r="AB17" s="40">
        <f>AB15+AB13+AB11+AB9+AB7</f>
        <v>872</v>
      </c>
      <c r="AC17" s="42"/>
      <c r="AD17" s="40">
        <f>AD15+AD13+AD11+AD9+AD7</f>
        <v>872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4452</v>
      </c>
      <c r="O18" s="125">
        <f>O17/N16</f>
        <v>0.23880597014925373</v>
      </c>
      <c r="P18" s="45" t="s">
        <v>46</v>
      </c>
      <c r="Q18" s="46"/>
      <c r="R18" s="47">
        <f>IF(R16&gt;0,(R16)/2,"")</f>
        <v>8803.5</v>
      </c>
      <c r="S18" s="46"/>
      <c r="T18" s="47">
        <f>IF(T16&gt;0,(T16-R16)/2,"")</f>
        <v>3831</v>
      </c>
      <c r="U18" s="46"/>
      <c r="V18" s="47">
        <f>IF(V16&gt;0,(V16-T16)/2,"")</f>
        <v>6849.5</v>
      </c>
      <c r="W18" s="46"/>
      <c r="X18" s="47">
        <f>IF(X16&gt;0,(X16-V16)/2,"")</f>
        <v>3391.5</v>
      </c>
      <c r="Y18" s="46"/>
      <c r="Z18" s="47">
        <f>IF(Z16&gt;0,(Z16-X16)/2,"")</f>
        <v>-109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17569</v>
      </c>
      <c r="S20" s="36"/>
      <c r="T20" s="35">
        <v>25886</v>
      </c>
      <c r="U20" s="36"/>
      <c r="V20" s="35">
        <v>41121</v>
      </c>
      <c r="W20" s="36"/>
      <c r="X20" s="35">
        <v>49660</v>
      </c>
      <c r="Y20" s="36"/>
      <c r="Z20" s="35">
        <v>48978</v>
      </c>
      <c r="AA20" s="36"/>
      <c r="AB20" s="35">
        <v>48978</v>
      </c>
      <c r="AC20" s="37"/>
      <c r="AD20" s="35">
        <v>48978</v>
      </c>
      <c r="AE20" s="37">
        <v>-17959</v>
      </c>
    </row>
    <row r="21" spans="2:43" ht="15" customHeight="1" thickBot="1" x14ac:dyDescent="0.35">
      <c r="M21" s="4"/>
      <c r="Q21" s="52"/>
      <c r="R21" s="40">
        <v>540</v>
      </c>
      <c r="S21" s="41"/>
      <c r="T21" s="40">
        <v>631</v>
      </c>
      <c r="U21" s="41"/>
      <c r="V21" s="40">
        <v>707</v>
      </c>
      <c r="W21" s="41"/>
      <c r="X21" s="40">
        <v>751</v>
      </c>
      <c r="Y21" s="41"/>
      <c r="Z21" s="40">
        <v>751</v>
      </c>
      <c r="AA21" s="41"/>
      <c r="AB21" s="40">
        <v>751</v>
      </c>
      <c r="AC21" s="42"/>
      <c r="AD21" s="40">
        <v>751</v>
      </c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38</v>
      </c>
      <c r="S24" s="60"/>
      <c r="T24" s="60">
        <f>IF(T16&gt;0,T16-T20,"")</f>
        <v>-617</v>
      </c>
      <c r="U24" s="60"/>
      <c r="V24" s="60">
        <f>IF(V16&gt;0,V16-V20,"")</f>
        <v>-2153</v>
      </c>
      <c r="W24" s="60"/>
      <c r="X24" s="60">
        <f>IF(X16&gt;0,X16-X20,"")</f>
        <v>-3909</v>
      </c>
      <c r="Y24" s="60"/>
      <c r="Z24" s="60">
        <f>IF(Z16&gt;0,Z16-Z20,"")</f>
        <v>-3445</v>
      </c>
      <c r="AA24" s="60"/>
      <c r="AB24" s="60">
        <f>IF(AB16&gt;0,AB16-AB20,"")</f>
        <v>-3445</v>
      </c>
      <c r="AC24" s="61"/>
      <c r="AD24" s="60">
        <f>IF(AD16&gt;0,AD16-AD20,"")</f>
        <v>-3445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-169</v>
      </c>
      <c r="S25" s="64"/>
      <c r="T25" s="63">
        <f>IF(T17&gt;=0,T17-T21,"")</f>
        <v>17</v>
      </c>
      <c r="U25" s="64"/>
      <c r="V25" s="63">
        <f>IF(V17&gt;=0,V17-V21,"")</f>
        <v>35</v>
      </c>
      <c r="W25" s="64"/>
      <c r="X25" s="63">
        <f>IF(X17&gt;=0,X17-X21,"")</f>
        <v>121</v>
      </c>
      <c r="Y25" s="64"/>
      <c r="Z25" s="63">
        <f>IF(Z17&gt;=0,Z17-Z21,"")</f>
        <v>121</v>
      </c>
      <c r="AA25" s="64"/>
      <c r="AB25" s="63">
        <f>IF(AB17&gt;=0,AB17-AB21,"")</f>
        <v>121</v>
      </c>
      <c r="AC25" s="65"/>
      <c r="AD25" s="63">
        <f>IF(AD17&gt;=0,AD17-AD21,"")</f>
        <v>121</v>
      </c>
      <c r="AE25" s="65"/>
    </row>
    <row r="26" spans="2:43" ht="15" customHeight="1" thickBot="1" x14ac:dyDescent="0.35">
      <c r="B26" s="74" t="s">
        <v>55</v>
      </c>
      <c r="C26" s="122">
        <v>8667</v>
      </c>
      <c r="D26" s="76">
        <f>C11</f>
        <v>8245</v>
      </c>
      <c r="E26" s="77">
        <f>D26-C26</f>
        <v>-422</v>
      </c>
      <c r="M26" s="4"/>
      <c r="Q26" s="66"/>
      <c r="R26" s="67">
        <f>IFERROR(IF(R18&gt;0,R18-R22,""),"")</f>
        <v>8803.5</v>
      </c>
      <c r="S26" s="55"/>
      <c r="T26" s="67">
        <f>IFERROR(IF(T18&gt;0,T18-T22,""),"")</f>
        <v>3831</v>
      </c>
      <c r="U26" s="55"/>
      <c r="V26" s="67">
        <f>IFERROR(IF(V18&gt;0,V18-V22,""),"")</f>
        <v>6849.5</v>
      </c>
      <c r="W26" s="55"/>
      <c r="X26" s="67">
        <f>IFERROR(IF(X18&gt;0,X18-X22,""),"")</f>
        <v>3391.5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31525</v>
      </c>
      <c r="D27" s="76">
        <f>C7+C12+C13+C14+C15</f>
        <v>15835</v>
      </c>
      <c r="E27" s="77">
        <f>D27-C27</f>
        <v>-15690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1833</v>
      </c>
      <c r="D29" s="76">
        <f>C10</f>
        <v>1857</v>
      </c>
      <c r="E29" s="77">
        <f>D29-C29</f>
        <v>24</v>
      </c>
      <c r="O29" s="4"/>
    </row>
    <row r="30" spans="2:43" x14ac:dyDescent="0.3">
      <c r="B30" s="74" t="s">
        <v>59</v>
      </c>
      <c r="C30" s="122">
        <v>16259</v>
      </c>
      <c r="D30" s="76">
        <f>C16+C17+C18</f>
        <v>16441</v>
      </c>
      <c r="E30" s="77">
        <f>D30-C30</f>
        <v>182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4664</v>
      </c>
      <c r="D31" s="80">
        <f>SUM(C8+C9)</f>
        <v>3394</v>
      </c>
      <c r="E31" s="81">
        <f>C31-D31</f>
        <v>1270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>
        <v>3662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63</v>
      </c>
      <c r="X35" s="104">
        <v>126</v>
      </c>
      <c r="Y35" s="104">
        <f t="shared" ref="Y35:Y64" si="4">IF(Z35&gt;0,(Z35-X35)/2,"")</f>
        <v>0</v>
      </c>
      <c r="Z35" s="104">
        <v>126</v>
      </c>
      <c r="AA35" s="104">
        <f t="shared" ref="AA35:AA64" si="5">IF(AB35&gt;0,(AB35-Z35)/2,"")</f>
        <v>0</v>
      </c>
      <c r="AB35" s="104">
        <v>126</v>
      </c>
      <c r="AC35" s="104">
        <f t="shared" ref="AC35:AC64" si="6">IF(AD35&gt;0,(AD35-AB35)/2,"")</f>
        <v>0</v>
      </c>
      <c r="AD35" s="104">
        <v>126</v>
      </c>
      <c r="AE35" s="105">
        <f t="shared" ref="AE35:AE64" si="7">AD35-Q35</f>
        <v>-3536</v>
      </c>
    </row>
    <row r="36" spans="11:31" ht="15.6" customHeight="1" x14ac:dyDescent="0.3">
      <c r="N36" s="212"/>
      <c r="O36" s="95" t="s">
        <v>66</v>
      </c>
      <c r="P36" s="106"/>
      <c r="Q36" s="106">
        <v>2586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644.5</v>
      </c>
      <c r="V36" s="106">
        <v>1289</v>
      </c>
      <c r="W36" s="106">
        <f t="shared" si="3"/>
        <v>648.5</v>
      </c>
      <c r="X36" s="106">
        <v>2586</v>
      </c>
      <c r="Y36" s="106">
        <f t="shared" si="4"/>
        <v>0</v>
      </c>
      <c r="Z36" s="106">
        <v>2586</v>
      </c>
      <c r="AA36" s="106">
        <f t="shared" si="5"/>
        <v>0</v>
      </c>
      <c r="AB36" s="106">
        <v>2586</v>
      </c>
      <c r="AC36" s="106">
        <f t="shared" si="6"/>
        <v>0</v>
      </c>
      <c r="AD36" s="106">
        <v>2586</v>
      </c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>
        <v>3171</v>
      </c>
      <c r="R37" s="108">
        <v>1650</v>
      </c>
      <c r="S37" s="108">
        <f t="shared" si="1"/>
        <v>0</v>
      </c>
      <c r="T37" s="108">
        <v>1650</v>
      </c>
      <c r="U37" s="108">
        <f t="shared" si="2"/>
        <v>176.5</v>
      </c>
      <c r="V37" s="108">
        <v>2003</v>
      </c>
      <c r="W37" s="108">
        <f t="shared" si="3"/>
        <v>568</v>
      </c>
      <c r="X37" s="108">
        <v>3139</v>
      </c>
      <c r="Y37" s="108">
        <f t="shared" si="4"/>
        <v>0</v>
      </c>
      <c r="Z37" s="108">
        <v>3139</v>
      </c>
      <c r="AA37" s="108">
        <f t="shared" si="5"/>
        <v>0</v>
      </c>
      <c r="AB37" s="108">
        <v>3139</v>
      </c>
      <c r="AC37" s="108">
        <f t="shared" si="6"/>
        <v>0</v>
      </c>
      <c r="AD37" s="108">
        <v>3139</v>
      </c>
      <c r="AE37" s="109">
        <f t="shared" si="7"/>
        <v>-32</v>
      </c>
    </row>
    <row r="38" spans="11:31" ht="15.6" customHeight="1" x14ac:dyDescent="0.3">
      <c r="N38" s="212"/>
      <c r="O38" s="95" t="s">
        <v>68</v>
      </c>
      <c r="P38" s="106"/>
      <c r="Q38" s="106">
        <v>2996</v>
      </c>
      <c r="R38" s="106">
        <v>740</v>
      </c>
      <c r="S38" s="106">
        <f t="shared" si="1"/>
        <v>621.5</v>
      </c>
      <c r="T38" s="106">
        <v>1983</v>
      </c>
      <c r="U38" s="106">
        <f t="shared" si="2"/>
        <v>643.5</v>
      </c>
      <c r="V38" s="106">
        <v>3270</v>
      </c>
      <c r="W38" s="106">
        <f t="shared" si="3"/>
        <v>-183</v>
      </c>
      <c r="X38" s="106">
        <v>2904</v>
      </c>
      <c r="Y38" s="106">
        <f t="shared" si="4"/>
        <v>0</v>
      </c>
      <c r="Z38" s="106">
        <v>2904</v>
      </c>
      <c r="AA38" s="106">
        <f t="shared" si="5"/>
        <v>0</v>
      </c>
      <c r="AB38" s="106">
        <v>2904</v>
      </c>
      <c r="AC38" s="106">
        <f t="shared" si="6"/>
        <v>0</v>
      </c>
      <c r="AD38" s="106">
        <v>2904</v>
      </c>
      <c r="AE38" s="107">
        <f t="shared" si="7"/>
        <v>-92</v>
      </c>
    </row>
    <row r="39" spans="11:31" ht="15.6" customHeight="1" x14ac:dyDescent="0.3">
      <c r="N39" s="212"/>
      <c r="O39" s="94" t="s">
        <v>69</v>
      </c>
      <c r="P39" s="108"/>
      <c r="Q39" s="108">
        <v>2412</v>
      </c>
      <c r="R39" s="108">
        <v>956</v>
      </c>
      <c r="S39" s="108">
        <f t="shared" si="1"/>
        <v>219</v>
      </c>
      <c r="T39" s="108">
        <v>1394</v>
      </c>
      <c r="U39" s="108">
        <f t="shared" si="2"/>
        <v>126.5</v>
      </c>
      <c r="V39" s="108">
        <v>1647</v>
      </c>
      <c r="W39" s="108">
        <f t="shared" si="3"/>
        <v>355</v>
      </c>
      <c r="X39" s="108">
        <v>2357</v>
      </c>
      <c r="Y39" s="108">
        <f t="shared" si="4"/>
        <v>0</v>
      </c>
      <c r="Z39" s="108">
        <v>2357</v>
      </c>
      <c r="AA39" s="108">
        <f t="shared" si="5"/>
        <v>0</v>
      </c>
      <c r="AB39" s="108">
        <v>2357</v>
      </c>
      <c r="AC39" s="108">
        <f t="shared" si="6"/>
        <v>0</v>
      </c>
      <c r="AD39" s="108">
        <v>2357</v>
      </c>
      <c r="AE39" s="109">
        <f t="shared" si="7"/>
        <v>-55</v>
      </c>
    </row>
    <row r="40" spans="11:31" ht="15.6" customHeight="1" x14ac:dyDescent="0.3">
      <c r="N40" s="212"/>
      <c r="O40" s="95" t="s">
        <v>70</v>
      </c>
      <c r="P40" s="106"/>
      <c r="Q40" s="106">
        <v>1757</v>
      </c>
      <c r="R40" s="106">
        <v>666</v>
      </c>
      <c r="S40" s="106">
        <f t="shared" si="1"/>
        <v>199</v>
      </c>
      <c r="T40" s="106">
        <v>1064</v>
      </c>
      <c r="U40" s="106">
        <f t="shared" si="2"/>
        <v>360</v>
      </c>
      <c r="V40" s="106">
        <v>1784</v>
      </c>
      <c r="W40" s="106">
        <f t="shared" si="3"/>
        <v>0</v>
      </c>
      <c r="X40" s="106">
        <v>1784</v>
      </c>
      <c r="Y40" s="106">
        <f t="shared" si="4"/>
        <v>0</v>
      </c>
      <c r="Z40" s="106">
        <v>1784</v>
      </c>
      <c r="AA40" s="106">
        <f t="shared" si="5"/>
        <v>0</v>
      </c>
      <c r="AB40" s="106">
        <v>1784</v>
      </c>
      <c r="AC40" s="106">
        <f t="shared" si="6"/>
        <v>0</v>
      </c>
      <c r="AD40" s="106">
        <v>1784</v>
      </c>
      <c r="AE40" s="107">
        <f t="shared" si="7"/>
        <v>27</v>
      </c>
    </row>
    <row r="41" spans="11:31" ht="15.6" customHeight="1" x14ac:dyDescent="0.3">
      <c r="N41" s="212"/>
      <c r="O41" s="94" t="s">
        <v>71</v>
      </c>
      <c r="P41" s="108"/>
      <c r="Q41" s="108">
        <v>1491</v>
      </c>
      <c r="R41" s="108">
        <v>778</v>
      </c>
      <c r="S41" s="108">
        <f t="shared" si="1"/>
        <v>192</v>
      </c>
      <c r="T41" s="108">
        <v>1162</v>
      </c>
      <c r="U41" s="108">
        <f t="shared" si="2"/>
        <v>165</v>
      </c>
      <c r="V41" s="108">
        <v>1492</v>
      </c>
      <c r="W41" s="108">
        <f t="shared" si="3"/>
        <v>0</v>
      </c>
      <c r="X41" s="108">
        <v>1492</v>
      </c>
      <c r="Y41" s="108">
        <f t="shared" si="4"/>
        <v>0</v>
      </c>
      <c r="Z41" s="108">
        <v>1492</v>
      </c>
      <c r="AA41" s="108">
        <f t="shared" si="5"/>
        <v>0</v>
      </c>
      <c r="AB41" s="108">
        <v>1492</v>
      </c>
      <c r="AC41" s="108">
        <f t="shared" si="6"/>
        <v>0</v>
      </c>
      <c r="AD41" s="108">
        <v>1492</v>
      </c>
      <c r="AE41" s="109">
        <f t="shared" si="7"/>
        <v>1</v>
      </c>
    </row>
    <row r="42" spans="11:31" ht="15.6" customHeight="1" x14ac:dyDescent="0.3">
      <c r="N42" s="212"/>
      <c r="O42" s="95" t="s">
        <v>72</v>
      </c>
      <c r="P42" s="106"/>
      <c r="Q42" s="106">
        <v>0</v>
      </c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>
        <v>0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>
        <v>564</v>
      </c>
      <c r="R44" s="112">
        <v>0</v>
      </c>
      <c r="S44" s="112">
        <f t="shared" si="1"/>
        <v>85.5</v>
      </c>
      <c r="T44" s="112">
        <v>171</v>
      </c>
      <c r="U44" s="112">
        <f t="shared" si="2"/>
        <v>196.5</v>
      </c>
      <c r="V44" s="112">
        <v>564</v>
      </c>
      <c r="W44" s="112">
        <f t="shared" si="3"/>
        <v>0</v>
      </c>
      <c r="X44" s="112">
        <v>564</v>
      </c>
      <c r="Y44" s="112">
        <f t="shared" si="4"/>
        <v>0</v>
      </c>
      <c r="Z44" s="112">
        <v>564</v>
      </c>
      <c r="AA44" s="112">
        <f t="shared" si="5"/>
        <v>0</v>
      </c>
      <c r="AB44" s="112">
        <v>564</v>
      </c>
      <c r="AC44" s="112">
        <f t="shared" si="6"/>
        <v>0</v>
      </c>
      <c r="AD44" s="112">
        <v>564</v>
      </c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>
        <v>2125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625</v>
      </c>
      <c r="V45" s="108">
        <v>1250</v>
      </c>
      <c r="W45" s="108">
        <f t="shared" si="3"/>
        <v>0</v>
      </c>
      <c r="X45" s="108">
        <v>1250</v>
      </c>
      <c r="Y45" s="108">
        <f t="shared" si="4"/>
        <v>0</v>
      </c>
      <c r="Z45" s="108">
        <v>1250</v>
      </c>
      <c r="AA45" s="108">
        <f t="shared" si="5"/>
        <v>0</v>
      </c>
      <c r="AB45" s="108">
        <v>1250</v>
      </c>
      <c r="AC45" s="108">
        <f t="shared" si="6"/>
        <v>0</v>
      </c>
      <c r="AD45" s="108">
        <v>1250</v>
      </c>
      <c r="AE45" s="109">
        <f t="shared" si="7"/>
        <v>-875</v>
      </c>
    </row>
    <row r="46" spans="11:31" ht="15.6" customHeight="1" x14ac:dyDescent="0.3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>
        <v>1539</v>
      </c>
      <c r="R48" s="112">
        <v>0</v>
      </c>
      <c r="S48" s="112">
        <f t="shared" si="1"/>
        <v>336</v>
      </c>
      <c r="T48" s="112">
        <v>672</v>
      </c>
      <c r="U48" s="112">
        <f t="shared" si="2"/>
        <v>95.5</v>
      </c>
      <c r="V48" s="112">
        <v>863</v>
      </c>
      <c r="W48" s="112">
        <f t="shared" si="3"/>
        <v>269.5</v>
      </c>
      <c r="X48" s="112">
        <v>1402</v>
      </c>
      <c r="Y48" s="112">
        <f t="shared" si="4"/>
        <v>0</v>
      </c>
      <c r="Z48" s="112">
        <v>1402</v>
      </c>
      <c r="AA48" s="112">
        <f t="shared" si="5"/>
        <v>0</v>
      </c>
      <c r="AB48" s="112">
        <v>1402</v>
      </c>
      <c r="AC48" s="112">
        <f t="shared" si="6"/>
        <v>0</v>
      </c>
      <c r="AD48" s="112">
        <v>1402</v>
      </c>
      <c r="AE48" s="113">
        <f t="shared" si="7"/>
        <v>-137</v>
      </c>
    </row>
    <row r="49" spans="14:31" ht="15.6" customHeight="1" x14ac:dyDescent="0.3">
      <c r="N49" s="212"/>
      <c r="O49" s="94" t="s">
        <v>66</v>
      </c>
      <c r="P49" s="108"/>
      <c r="Q49" s="108">
        <v>2989</v>
      </c>
      <c r="R49" s="108">
        <v>1070</v>
      </c>
      <c r="S49" s="108">
        <f t="shared" si="1"/>
        <v>134.5</v>
      </c>
      <c r="T49" s="108">
        <v>1339</v>
      </c>
      <c r="U49" s="108">
        <f t="shared" si="2"/>
        <v>156</v>
      </c>
      <c r="V49" s="108">
        <v>1651</v>
      </c>
      <c r="W49" s="108">
        <f t="shared" si="3"/>
        <v>68</v>
      </c>
      <c r="X49" s="108">
        <v>1787</v>
      </c>
      <c r="Y49" s="108">
        <f t="shared" si="4"/>
        <v>0</v>
      </c>
      <c r="Z49" s="108">
        <v>1787</v>
      </c>
      <c r="AA49" s="108">
        <f t="shared" si="5"/>
        <v>0</v>
      </c>
      <c r="AB49" s="108">
        <v>1787</v>
      </c>
      <c r="AC49" s="108">
        <f t="shared" si="6"/>
        <v>0</v>
      </c>
      <c r="AD49" s="108">
        <v>1787</v>
      </c>
      <c r="AE49" s="109">
        <f t="shared" si="7"/>
        <v>-1202</v>
      </c>
    </row>
    <row r="50" spans="14:31" ht="15.6" customHeight="1" x14ac:dyDescent="0.3">
      <c r="N50" s="212"/>
      <c r="O50" s="95" t="s">
        <v>67</v>
      </c>
      <c r="P50" s="106"/>
      <c r="Q50" s="106">
        <v>1907</v>
      </c>
      <c r="R50" s="106">
        <v>385</v>
      </c>
      <c r="S50" s="106">
        <f t="shared" si="1"/>
        <v>441</v>
      </c>
      <c r="T50" s="106">
        <v>1267</v>
      </c>
      <c r="U50" s="106">
        <f t="shared" si="2"/>
        <v>342.5</v>
      </c>
      <c r="V50" s="106">
        <v>1952</v>
      </c>
      <c r="W50" s="106">
        <f t="shared" si="3"/>
        <v>0</v>
      </c>
      <c r="X50" s="106">
        <v>1952</v>
      </c>
      <c r="Y50" s="106">
        <f t="shared" si="4"/>
        <v>0</v>
      </c>
      <c r="Z50" s="106">
        <v>1952</v>
      </c>
      <c r="AA50" s="106">
        <f t="shared" si="5"/>
        <v>0</v>
      </c>
      <c r="AB50" s="106">
        <v>1952</v>
      </c>
      <c r="AC50" s="106">
        <f t="shared" si="6"/>
        <v>0</v>
      </c>
      <c r="AD50" s="106">
        <v>1952</v>
      </c>
      <c r="AE50" s="107">
        <f t="shared" si="7"/>
        <v>45</v>
      </c>
    </row>
    <row r="51" spans="14:31" ht="15.6" customHeight="1" x14ac:dyDescent="0.3">
      <c r="N51" s="212"/>
      <c r="O51" s="94" t="s">
        <v>68</v>
      </c>
      <c r="P51" s="108"/>
      <c r="Q51" s="108">
        <v>5139</v>
      </c>
      <c r="R51" s="108">
        <v>1000</v>
      </c>
      <c r="S51" s="108">
        <f t="shared" si="1"/>
        <v>-49.5</v>
      </c>
      <c r="T51" s="108">
        <v>901</v>
      </c>
      <c r="U51" s="108">
        <f t="shared" si="2"/>
        <v>871</v>
      </c>
      <c r="V51" s="108">
        <v>2643</v>
      </c>
      <c r="W51" s="108">
        <f t="shared" si="3"/>
        <v>-123</v>
      </c>
      <c r="X51" s="108">
        <v>2397</v>
      </c>
      <c r="Y51" s="108">
        <f t="shared" si="4"/>
        <v>0</v>
      </c>
      <c r="Z51" s="108">
        <v>2397</v>
      </c>
      <c r="AA51" s="108">
        <f t="shared" si="5"/>
        <v>0</v>
      </c>
      <c r="AB51" s="108">
        <v>2397</v>
      </c>
      <c r="AC51" s="108">
        <f t="shared" si="6"/>
        <v>0</v>
      </c>
      <c r="AD51" s="108">
        <v>2397</v>
      </c>
      <c r="AE51" s="109">
        <f t="shared" si="7"/>
        <v>-2742</v>
      </c>
    </row>
    <row r="52" spans="14:31" ht="15.6" customHeight="1" x14ac:dyDescent="0.3">
      <c r="N52" s="212"/>
      <c r="O52" s="95" t="s">
        <v>69</v>
      </c>
      <c r="P52" s="106"/>
      <c r="Q52" s="106">
        <v>2206</v>
      </c>
      <c r="R52" s="106">
        <v>456</v>
      </c>
      <c r="S52" s="106">
        <f t="shared" si="1"/>
        <v>260</v>
      </c>
      <c r="T52" s="106">
        <v>976</v>
      </c>
      <c r="U52" s="106">
        <f t="shared" si="2"/>
        <v>0</v>
      </c>
      <c r="V52" s="106">
        <v>976</v>
      </c>
      <c r="W52" s="106">
        <f t="shared" si="3"/>
        <v>562</v>
      </c>
      <c r="X52" s="106">
        <v>2100</v>
      </c>
      <c r="Y52" s="106">
        <f t="shared" si="4"/>
        <v>0</v>
      </c>
      <c r="Z52" s="106">
        <v>2100</v>
      </c>
      <c r="AA52" s="106">
        <f t="shared" si="5"/>
        <v>0</v>
      </c>
      <c r="AB52" s="106">
        <v>2100</v>
      </c>
      <c r="AC52" s="106">
        <f t="shared" si="6"/>
        <v>0</v>
      </c>
      <c r="AD52" s="106">
        <v>2100</v>
      </c>
      <c r="AE52" s="107">
        <f t="shared" si="7"/>
        <v>-106</v>
      </c>
    </row>
    <row r="53" spans="14:31" ht="15.6" customHeight="1" x14ac:dyDescent="0.3">
      <c r="N53" s="212"/>
      <c r="O53" s="94" t="s">
        <v>70</v>
      </c>
      <c r="P53" s="108"/>
      <c r="Q53" s="108">
        <v>3756</v>
      </c>
      <c r="R53" s="108">
        <v>480</v>
      </c>
      <c r="S53" s="108">
        <f t="shared" si="1"/>
        <v>264</v>
      </c>
      <c r="T53" s="108">
        <v>1008</v>
      </c>
      <c r="U53" s="108">
        <f t="shared" si="2"/>
        <v>96</v>
      </c>
      <c r="V53" s="108">
        <v>1200</v>
      </c>
      <c r="W53" s="108">
        <f t="shared" si="3"/>
        <v>426</v>
      </c>
      <c r="X53" s="108">
        <v>2052</v>
      </c>
      <c r="Y53" s="108">
        <f t="shared" si="4"/>
        <v>0</v>
      </c>
      <c r="Z53" s="108">
        <v>2052</v>
      </c>
      <c r="AA53" s="108">
        <f t="shared" si="5"/>
        <v>0</v>
      </c>
      <c r="AB53" s="108">
        <v>2052</v>
      </c>
      <c r="AC53" s="108">
        <f t="shared" si="6"/>
        <v>0</v>
      </c>
      <c r="AD53" s="108">
        <v>2052</v>
      </c>
      <c r="AE53" s="109">
        <f t="shared" si="7"/>
        <v>-1704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3620</v>
      </c>
      <c r="R57" s="104">
        <v>1734</v>
      </c>
      <c r="S57" s="104">
        <f t="shared" si="1"/>
        <v>75.5</v>
      </c>
      <c r="T57" s="104">
        <v>1885</v>
      </c>
      <c r="U57" s="104">
        <f t="shared" si="2"/>
        <v>337.5</v>
      </c>
      <c r="V57" s="104">
        <v>2560</v>
      </c>
      <c r="W57" s="104">
        <f t="shared" si="3"/>
        <v>349.5</v>
      </c>
      <c r="X57" s="104">
        <v>3259</v>
      </c>
      <c r="Y57" s="104">
        <f t="shared" si="4"/>
        <v>0</v>
      </c>
      <c r="Z57" s="104">
        <v>3259</v>
      </c>
      <c r="AA57" s="104">
        <f t="shared" si="5"/>
        <v>0</v>
      </c>
      <c r="AB57" s="104">
        <v>3259</v>
      </c>
      <c r="AC57" s="104">
        <f t="shared" si="6"/>
        <v>0</v>
      </c>
      <c r="AD57" s="104">
        <v>3259</v>
      </c>
      <c r="AE57" s="105">
        <f t="shared" si="7"/>
        <v>-361</v>
      </c>
    </row>
    <row r="58" spans="14:31" ht="15.6" customHeight="1" x14ac:dyDescent="0.3">
      <c r="N58" s="212"/>
      <c r="O58" s="95" t="s">
        <v>66</v>
      </c>
      <c r="P58" s="106"/>
      <c r="Q58" s="106">
        <v>3286</v>
      </c>
      <c r="R58" s="106">
        <v>1318</v>
      </c>
      <c r="S58" s="106">
        <f t="shared" si="1"/>
        <v>294.5</v>
      </c>
      <c r="T58" s="106">
        <v>1907</v>
      </c>
      <c r="U58" s="106">
        <f t="shared" si="2"/>
        <v>498.5</v>
      </c>
      <c r="V58" s="106">
        <v>2904</v>
      </c>
      <c r="W58" s="106">
        <f t="shared" si="3"/>
        <v>23</v>
      </c>
      <c r="X58" s="106">
        <v>2950</v>
      </c>
      <c r="Y58" s="106">
        <f t="shared" si="4"/>
        <v>0</v>
      </c>
      <c r="Z58" s="106">
        <v>2950</v>
      </c>
      <c r="AA58" s="106">
        <f t="shared" si="5"/>
        <v>0</v>
      </c>
      <c r="AB58" s="106">
        <v>2950</v>
      </c>
      <c r="AC58" s="106">
        <f t="shared" si="6"/>
        <v>0</v>
      </c>
      <c r="AD58" s="106">
        <v>2950</v>
      </c>
      <c r="AE58" s="107">
        <f t="shared" si="7"/>
        <v>-336</v>
      </c>
    </row>
    <row r="59" spans="14:31" ht="15.6" customHeight="1" x14ac:dyDescent="0.3">
      <c r="N59" s="212"/>
      <c r="O59" s="94" t="s">
        <v>67</v>
      </c>
      <c r="P59" s="108"/>
      <c r="Q59" s="108">
        <v>3431</v>
      </c>
      <c r="R59" s="108">
        <v>1624</v>
      </c>
      <c r="S59" s="108">
        <f t="shared" si="1"/>
        <v>198.5</v>
      </c>
      <c r="T59" s="108">
        <v>2021</v>
      </c>
      <c r="U59" s="108">
        <f t="shared" si="2"/>
        <v>32.5</v>
      </c>
      <c r="V59" s="108">
        <v>2086</v>
      </c>
      <c r="W59" s="108">
        <f t="shared" si="3"/>
        <v>0</v>
      </c>
      <c r="X59" s="108">
        <v>2086</v>
      </c>
      <c r="Y59" s="108">
        <f t="shared" si="4"/>
        <v>0</v>
      </c>
      <c r="Z59" s="108">
        <v>2086</v>
      </c>
      <c r="AA59" s="108">
        <f t="shared" si="5"/>
        <v>0</v>
      </c>
      <c r="AB59" s="108">
        <v>2086</v>
      </c>
      <c r="AC59" s="108">
        <f t="shared" si="6"/>
        <v>0</v>
      </c>
      <c r="AD59" s="108">
        <v>2086</v>
      </c>
      <c r="AE59" s="109">
        <f t="shared" si="7"/>
        <v>-1345</v>
      </c>
    </row>
    <row r="60" spans="14:31" ht="15.6" customHeight="1" thickBot="1" x14ac:dyDescent="0.35">
      <c r="N60" s="213"/>
      <c r="O60" s="99" t="s">
        <v>68</v>
      </c>
      <c r="P60" s="114"/>
      <c r="Q60" s="114">
        <v>4974</v>
      </c>
      <c r="R60" s="114">
        <v>1457</v>
      </c>
      <c r="S60" s="114">
        <f t="shared" si="1"/>
        <v>147.5</v>
      </c>
      <c r="T60" s="114">
        <v>1752</v>
      </c>
      <c r="U60" s="114">
        <f t="shared" si="2"/>
        <v>346.5</v>
      </c>
      <c r="V60" s="114">
        <v>2445</v>
      </c>
      <c r="W60" s="114">
        <f t="shared" si="3"/>
        <v>169.5</v>
      </c>
      <c r="X60" s="114">
        <v>2784</v>
      </c>
      <c r="Y60" s="114">
        <f t="shared" si="4"/>
        <v>0</v>
      </c>
      <c r="Z60" s="114">
        <v>2784</v>
      </c>
      <c r="AA60" s="114">
        <f t="shared" si="5"/>
        <v>0</v>
      </c>
      <c r="AB60" s="114">
        <v>2784</v>
      </c>
      <c r="AC60" s="114">
        <f t="shared" si="6"/>
        <v>0</v>
      </c>
      <c r="AD60" s="114">
        <v>2784</v>
      </c>
      <c r="AE60" s="115">
        <f t="shared" si="7"/>
        <v>-2190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6288</v>
      </c>
      <c r="R61" s="104">
        <v>239</v>
      </c>
      <c r="S61" s="104">
        <f t="shared" si="1"/>
        <v>0</v>
      </c>
      <c r="T61" s="104">
        <v>239</v>
      </c>
      <c r="U61" s="104">
        <f t="shared" si="2"/>
        <v>305</v>
      </c>
      <c r="V61" s="104">
        <v>849</v>
      </c>
      <c r="W61" s="104">
        <f t="shared" si="3"/>
        <v>431</v>
      </c>
      <c r="X61" s="104">
        <v>1711</v>
      </c>
      <c r="Y61" s="104">
        <f t="shared" si="4"/>
        <v>0</v>
      </c>
      <c r="Z61" s="104">
        <v>1711</v>
      </c>
      <c r="AA61" s="104">
        <f t="shared" si="5"/>
        <v>0</v>
      </c>
      <c r="AB61" s="104">
        <v>1711</v>
      </c>
      <c r="AC61" s="104">
        <f t="shared" si="6"/>
        <v>0</v>
      </c>
      <c r="AD61" s="104">
        <v>1711</v>
      </c>
      <c r="AE61" s="105">
        <f t="shared" si="7"/>
        <v>-4577</v>
      </c>
    </row>
    <row r="62" spans="14:31" ht="15.6" customHeight="1" x14ac:dyDescent="0.3">
      <c r="N62" s="212"/>
      <c r="O62" s="95" t="s">
        <v>66</v>
      </c>
      <c r="P62" s="106"/>
      <c r="Q62" s="106">
        <v>3904</v>
      </c>
      <c r="R62" s="106">
        <v>743</v>
      </c>
      <c r="S62" s="106">
        <f t="shared" si="1"/>
        <v>260</v>
      </c>
      <c r="T62" s="106">
        <v>1263</v>
      </c>
      <c r="U62" s="106">
        <f t="shared" si="2"/>
        <v>222</v>
      </c>
      <c r="V62" s="106">
        <v>1707</v>
      </c>
      <c r="W62" s="106">
        <f t="shared" si="3"/>
        <v>-337</v>
      </c>
      <c r="X62" s="106">
        <v>1033</v>
      </c>
      <c r="Y62" s="106">
        <f t="shared" si="4"/>
        <v>10.5</v>
      </c>
      <c r="Z62" s="106">
        <v>1054</v>
      </c>
      <c r="AA62" s="106">
        <f t="shared" si="5"/>
        <v>0</v>
      </c>
      <c r="AB62" s="106">
        <v>1054</v>
      </c>
      <c r="AC62" s="106">
        <f t="shared" si="6"/>
        <v>0</v>
      </c>
      <c r="AD62" s="106">
        <v>1054</v>
      </c>
      <c r="AE62" s="107">
        <f t="shared" si="7"/>
        <v>-2850</v>
      </c>
    </row>
    <row r="63" spans="14:31" ht="15.6" customHeight="1" x14ac:dyDescent="0.3">
      <c r="N63" s="212"/>
      <c r="O63" s="94" t="s">
        <v>67</v>
      </c>
      <c r="P63" s="108"/>
      <c r="Q63" s="108">
        <v>3048</v>
      </c>
      <c r="R63" s="108">
        <v>330</v>
      </c>
      <c r="S63" s="108">
        <f t="shared" si="1"/>
        <v>81</v>
      </c>
      <c r="T63" s="108">
        <v>492</v>
      </c>
      <c r="U63" s="108">
        <f t="shared" si="2"/>
        <v>71.5</v>
      </c>
      <c r="V63" s="108">
        <v>635</v>
      </c>
      <c r="W63" s="108">
        <f t="shared" si="3"/>
        <v>67</v>
      </c>
      <c r="X63" s="108">
        <v>769</v>
      </c>
      <c r="Y63" s="108">
        <f t="shared" si="4"/>
        <v>0</v>
      </c>
      <c r="Z63" s="108">
        <v>769</v>
      </c>
      <c r="AA63" s="108">
        <f t="shared" si="5"/>
        <v>0</v>
      </c>
      <c r="AB63" s="108">
        <v>769</v>
      </c>
      <c r="AC63" s="108">
        <f t="shared" si="6"/>
        <v>0</v>
      </c>
      <c r="AD63" s="108">
        <v>769</v>
      </c>
      <c r="AE63" s="109">
        <f t="shared" si="7"/>
        <v>-2279</v>
      </c>
    </row>
    <row r="64" spans="14:31" ht="15.6" customHeight="1" thickBot="1" x14ac:dyDescent="0.35">
      <c r="N64" s="213"/>
      <c r="O64" s="99" t="s">
        <v>68</v>
      </c>
      <c r="P64" s="114"/>
      <c r="Q64" s="114">
        <v>6782</v>
      </c>
      <c r="R64" s="114">
        <v>703</v>
      </c>
      <c r="S64" s="114">
        <f t="shared" si="1"/>
        <v>47.5</v>
      </c>
      <c r="T64" s="114">
        <v>798</v>
      </c>
      <c r="U64" s="114">
        <f t="shared" si="2"/>
        <v>373.5</v>
      </c>
      <c r="V64" s="114">
        <v>1545</v>
      </c>
      <c r="W64" s="114">
        <f t="shared" si="3"/>
        <v>132</v>
      </c>
      <c r="X64" s="114">
        <v>1809</v>
      </c>
      <c r="Y64" s="114">
        <f t="shared" si="4"/>
        <v>-119.5</v>
      </c>
      <c r="Z64" s="114">
        <v>1570</v>
      </c>
      <c r="AA64" s="114">
        <f t="shared" si="5"/>
        <v>0</v>
      </c>
      <c r="AB64" s="114">
        <v>1570</v>
      </c>
      <c r="AC64" s="114">
        <f t="shared" si="6"/>
        <v>0</v>
      </c>
      <c r="AD64" s="114">
        <v>1570</v>
      </c>
      <c r="AE64" s="115">
        <f t="shared" si="7"/>
        <v>-5212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79" priority="11" operator="lessThan">
      <formula>0</formula>
    </cfRule>
    <cfRule type="cellIs" dxfId="478" priority="12" operator="greaterThan">
      <formula>0</formula>
    </cfRule>
  </conditionalFormatting>
  <conditionalFormatting sqref="R25:AC25">
    <cfRule type="cellIs" dxfId="477" priority="9" operator="lessThan">
      <formula>0</formula>
    </cfRule>
    <cfRule type="cellIs" dxfId="476" priority="10" operator="greaterThan">
      <formula>0</formula>
    </cfRule>
  </conditionalFormatting>
  <conditionalFormatting sqref="R26 T26 V26 X26 Z26 AB26">
    <cfRule type="cellIs" dxfId="475" priority="7" operator="lessThan">
      <formula>0</formula>
    </cfRule>
    <cfRule type="cellIs" dxfId="474" priority="8" operator="greaterThan">
      <formula>0</formula>
    </cfRule>
  </conditionalFormatting>
  <conditionalFormatting sqref="AD24:AE24">
    <cfRule type="cellIs" dxfId="473" priority="5" operator="lessThan">
      <formula>0</formula>
    </cfRule>
    <cfRule type="cellIs" dxfId="472" priority="6" operator="greaterThan">
      <formula>0</formula>
    </cfRule>
  </conditionalFormatting>
  <conditionalFormatting sqref="AD25:AE25">
    <cfRule type="cellIs" dxfId="471" priority="3" operator="lessThan">
      <formula>0</formula>
    </cfRule>
    <cfRule type="cellIs" dxfId="470" priority="4" operator="greaterThan">
      <formula>0</formula>
    </cfRule>
  </conditionalFormatting>
  <conditionalFormatting sqref="AD26">
    <cfRule type="cellIs" dxfId="469" priority="1" operator="lessThan">
      <formula>0</formula>
    </cfRule>
    <cfRule type="cellIs" dxfId="46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44479</v>
      </c>
    </row>
    <row r="3" spans="2:42" ht="18.75" customHeight="1" thickBot="1" x14ac:dyDescent="0.35">
      <c r="B3" t="s">
        <v>1</v>
      </c>
      <c r="C3" s="3">
        <f>C2+1</f>
        <v>44480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2632</v>
      </c>
      <c r="E6" s="18" t="s">
        <v>22</v>
      </c>
      <c r="F6" s="119">
        <v>20128</v>
      </c>
      <c r="G6" s="117">
        <v>9860.6491249999963</v>
      </c>
      <c r="H6" s="117">
        <v>897.71089999999992</v>
      </c>
      <c r="I6" s="19">
        <f>G6+H6</f>
        <v>10758.360024999996</v>
      </c>
      <c r="J6" s="119">
        <v>19699</v>
      </c>
      <c r="K6" s="117">
        <v>9733.5184999999965</v>
      </c>
      <c r="L6" s="117">
        <v>857.39620000000002</v>
      </c>
      <c r="M6" s="19">
        <f>K6+L6</f>
        <v>10590.914699999996</v>
      </c>
      <c r="N6" s="85">
        <v>60</v>
      </c>
      <c r="O6" s="85">
        <v>47</v>
      </c>
      <c r="P6" s="92"/>
      <c r="Q6" s="20">
        <f>J6-P6</f>
        <v>19699</v>
      </c>
      <c r="R6" s="21">
        <v>2976</v>
      </c>
      <c r="S6" s="20">
        <f>IF(R6&gt;0,(R6-R7-$Q6),"")</f>
        <v>-16803</v>
      </c>
      <c r="T6" s="21">
        <v>4930</v>
      </c>
      <c r="U6" s="20">
        <f>IF(T6&gt;0,(T6-T7-$Q6),"")</f>
        <v>-14860</v>
      </c>
      <c r="V6" s="21">
        <v>12294</v>
      </c>
      <c r="W6" s="20">
        <f>IF(V6&gt;0,(V6-V7-$Q6),"")</f>
        <v>-7534</v>
      </c>
      <c r="X6" s="21">
        <v>18092</v>
      </c>
      <c r="Y6" s="20">
        <f>IF(X6&gt;0,(X6-X7-$Q6),"")</f>
        <v>-1755</v>
      </c>
      <c r="Z6" s="21">
        <v>18092</v>
      </c>
      <c r="AA6" s="20">
        <f>IF(Z6&gt;0,(Z6-Z7-$Q6),"")</f>
        <v>-1755</v>
      </c>
      <c r="AB6" s="21">
        <v>18092</v>
      </c>
      <c r="AC6" s="22">
        <f>IF(AB6&gt;0,(AB6-AB7-$Q6),"")</f>
        <v>-1755</v>
      </c>
      <c r="AD6" s="21">
        <v>18092</v>
      </c>
      <c r="AE6" s="22">
        <f>IF(AD6&gt;0,(AD6-AD7-$Q6),"")</f>
        <v>-1755</v>
      </c>
    </row>
    <row r="7" spans="2:42" x14ac:dyDescent="0.3">
      <c r="B7" s="16" t="s">
        <v>23</v>
      </c>
      <c r="C7" s="17">
        <v>371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80</v>
      </c>
      <c r="S7" s="24"/>
      <c r="T7" s="25">
        <v>91</v>
      </c>
      <c r="U7" s="24"/>
      <c r="V7" s="25">
        <v>129</v>
      </c>
      <c r="W7" s="24"/>
      <c r="X7" s="25">
        <v>148</v>
      </c>
      <c r="Y7" s="24"/>
      <c r="Z7" s="25">
        <v>148</v>
      </c>
      <c r="AA7" s="24"/>
      <c r="AB7" s="25">
        <v>148</v>
      </c>
      <c r="AC7" s="26"/>
      <c r="AD7" s="25">
        <v>148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1672</v>
      </c>
      <c r="E8" s="29" t="s">
        <v>27</v>
      </c>
      <c r="F8" s="119">
        <v>3564</v>
      </c>
      <c r="G8" s="117">
        <v>3599.2474999999999</v>
      </c>
      <c r="H8" s="117">
        <v>27981.79280191334</v>
      </c>
      <c r="I8" s="19">
        <f>G8+H8</f>
        <v>31581.040301913341</v>
      </c>
      <c r="J8" s="119">
        <v>3556</v>
      </c>
      <c r="K8" s="117">
        <v>3565.9564999999998</v>
      </c>
      <c r="L8" s="117">
        <v>27271.019517440021</v>
      </c>
      <c r="M8" s="19">
        <f>K8+L8</f>
        <v>30836.976017440022</v>
      </c>
      <c r="N8" s="87">
        <v>20</v>
      </c>
      <c r="O8" s="87">
        <v>14</v>
      </c>
      <c r="P8" s="92"/>
      <c r="Q8" s="20">
        <f>J8-P8</f>
        <v>3556</v>
      </c>
      <c r="R8" s="21">
        <v>837</v>
      </c>
      <c r="S8" s="20">
        <f>IF(R8&gt;0,(R8-R9-$Q8),"")</f>
        <v>-2719</v>
      </c>
      <c r="T8" s="21">
        <v>1002</v>
      </c>
      <c r="U8" s="20">
        <f>IF(T8&gt;0,(T8-T9-$Q8),"")</f>
        <v>-2554</v>
      </c>
      <c r="V8" s="21">
        <v>1847</v>
      </c>
      <c r="W8" s="20">
        <f>IF(V8&gt;0,(V8-V9-$Q8),"")</f>
        <v>-1709</v>
      </c>
      <c r="X8" s="21">
        <v>1847</v>
      </c>
      <c r="Y8" s="20">
        <f>IF(X8&gt;0,(X8-X9-$Q8),"")</f>
        <v>-1709</v>
      </c>
      <c r="Z8" s="21">
        <v>1847</v>
      </c>
      <c r="AA8" s="20">
        <f>IF(Z8&gt;0,(Z8-Z9-$Q8),"")</f>
        <v>-1709</v>
      </c>
      <c r="AB8" s="21">
        <v>1847</v>
      </c>
      <c r="AC8" s="22">
        <f>IF(AB8&gt;0,(AB8-AB9-$Q8),"")</f>
        <v>-1709</v>
      </c>
      <c r="AD8" s="21">
        <v>1847</v>
      </c>
      <c r="AE8" s="22">
        <f>IF(AD8&gt;0,(AD8-AD9-$Q8),"")</f>
        <v>-1709</v>
      </c>
    </row>
    <row r="9" spans="2:42" x14ac:dyDescent="0.3">
      <c r="B9" s="28" t="s">
        <v>28</v>
      </c>
      <c r="C9" s="17">
        <v>1141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2223</v>
      </c>
      <c r="E10" s="18" t="s">
        <v>31</v>
      </c>
      <c r="F10" s="119">
        <v>11708</v>
      </c>
      <c r="G10" s="117">
        <v>8023.9705000000013</v>
      </c>
      <c r="H10" s="117">
        <v>411.48316849999998</v>
      </c>
      <c r="I10" s="19">
        <f>G10+H10</f>
        <v>8435.4536685000021</v>
      </c>
      <c r="J10" s="119">
        <v>11423</v>
      </c>
      <c r="K10" s="117">
        <v>7861.1410000000014</v>
      </c>
      <c r="L10" s="117">
        <v>400.39986399999998</v>
      </c>
      <c r="M10" s="19">
        <f>K10+L10</f>
        <v>8261.5408640000023</v>
      </c>
      <c r="N10" s="88">
        <v>38</v>
      </c>
      <c r="O10" s="88">
        <v>34</v>
      </c>
      <c r="P10" s="92"/>
      <c r="Q10" s="20">
        <f>J10-P10</f>
        <v>11423</v>
      </c>
      <c r="R10" s="21">
        <v>2678</v>
      </c>
      <c r="S10" s="20">
        <f>IF(R10&gt;0,(R10-R11-$Q10),"")</f>
        <v>-8745</v>
      </c>
      <c r="T10" s="21">
        <v>3105</v>
      </c>
      <c r="U10" s="20">
        <f>IF(T10&gt;0,(T10-T11-$Q10),"")</f>
        <v>-8318</v>
      </c>
      <c r="V10" s="21">
        <v>7462</v>
      </c>
      <c r="W10" s="20">
        <f>IF(V10&gt;0,(V10-V11-$Q10),"")</f>
        <v>-3961</v>
      </c>
      <c r="X10" s="21">
        <v>7462</v>
      </c>
      <c r="Y10" s="20">
        <f>IF(X10&gt;0,(X10-X11-$Q10),"")</f>
        <v>-3961</v>
      </c>
      <c r="Z10" s="21">
        <v>7462</v>
      </c>
      <c r="AA10" s="20">
        <f>IF(Z10&gt;0,(Z10-Z11-$Q10),"")</f>
        <v>-3961</v>
      </c>
      <c r="AB10" s="21">
        <v>7462</v>
      </c>
      <c r="AC10" s="22">
        <f>IF(AB10&gt;0,(AB10-AB11-$Q10),"")</f>
        <v>-3961</v>
      </c>
      <c r="AD10" s="21">
        <v>7462</v>
      </c>
      <c r="AE10" s="22">
        <f>IF(AD10&gt;0,(AD10-AD11-$Q10),"")</f>
        <v>-3961</v>
      </c>
    </row>
    <row r="11" spans="2:42" x14ac:dyDescent="0.3">
      <c r="B11" s="16" t="s">
        <v>38</v>
      </c>
      <c r="C11" s="17">
        <v>10991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0</v>
      </c>
      <c r="W11" s="24"/>
      <c r="X11" s="30">
        <v>0</v>
      </c>
      <c r="Y11" s="24"/>
      <c r="Z11" s="30">
        <v>0</v>
      </c>
      <c r="AA11" s="24"/>
      <c r="AB11" s="30">
        <v>0</v>
      </c>
      <c r="AC11" s="26"/>
      <c r="AD11" s="30">
        <v>0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12368</v>
      </c>
      <c r="G12" s="117">
        <v>12013.842500000001</v>
      </c>
      <c r="H12" s="117">
        <v>14886.28548731</v>
      </c>
      <c r="I12" s="19">
        <f>G12+H12</f>
        <v>26900.127987309999</v>
      </c>
      <c r="J12" s="119">
        <v>11847</v>
      </c>
      <c r="K12" s="117">
        <v>11421.808499999999</v>
      </c>
      <c r="L12" s="117">
        <v>14231.060083890001</v>
      </c>
      <c r="M12" s="19">
        <f>K12+L12</f>
        <v>25652.868583889998</v>
      </c>
      <c r="N12" s="88">
        <v>47</v>
      </c>
      <c r="O12" s="88">
        <v>34</v>
      </c>
      <c r="P12" s="92"/>
      <c r="Q12" s="20">
        <f>J12-P12</f>
        <v>11847</v>
      </c>
      <c r="R12" s="21">
        <v>6139</v>
      </c>
      <c r="S12" s="20">
        <f>IF(R12&gt;0,(R12-R13-$Q12),"")</f>
        <v>-6082</v>
      </c>
      <c r="T12" s="21">
        <v>8180</v>
      </c>
      <c r="U12" s="20">
        <f>IF(T12&gt;0,(T12-T13-$Q12),"")</f>
        <v>-4313</v>
      </c>
      <c r="V12" s="21">
        <v>9832</v>
      </c>
      <c r="W12" s="20">
        <f>IF(V12&gt;0,(V12-V13-$Q12),"")</f>
        <v>-2728</v>
      </c>
      <c r="X12" s="21">
        <v>10539</v>
      </c>
      <c r="Y12" s="20">
        <f>IF(X12&gt;0,(X12-X13-$Q12),"")</f>
        <v>-2028</v>
      </c>
      <c r="Z12" s="21">
        <v>10539</v>
      </c>
      <c r="AA12" s="20">
        <f>IF(Z12&gt;0,(Z12-Z13-$Q12),"")</f>
        <v>-2028</v>
      </c>
      <c r="AB12" s="21">
        <v>10539</v>
      </c>
      <c r="AC12" s="22">
        <f>IF(AB12&gt;0,(AB12-AB13-$Q12),"")</f>
        <v>-2028</v>
      </c>
      <c r="AD12" s="21">
        <v>10539</v>
      </c>
      <c r="AE12" s="22">
        <f>IF(AD12&gt;0,(AD12-AD13-$Q12),"")</f>
        <v>-2028</v>
      </c>
    </row>
    <row r="13" spans="2:42" x14ac:dyDescent="0.3">
      <c r="B13" s="28" t="s">
        <v>42</v>
      </c>
      <c r="C13" s="17">
        <v>10653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374</v>
      </c>
      <c r="S13" s="24"/>
      <c r="T13" s="30">
        <v>646</v>
      </c>
      <c r="U13" s="24"/>
      <c r="V13" s="30">
        <v>713</v>
      </c>
      <c r="W13" s="24"/>
      <c r="X13" s="30">
        <v>720</v>
      </c>
      <c r="Y13" s="24"/>
      <c r="Z13" s="30">
        <v>720</v>
      </c>
      <c r="AA13" s="24"/>
      <c r="AB13" s="30">
        <v>720</v>
      </c>
      <c r="AC13" s="26"/>
      <c r="AD13" s="30">
        <v>720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19071</v>
      </c>
      <c r="G14" s="117">
        <v>17499.032500000001</v>
      </c>
      <c r="H14" s="117">
        <v>27459.758812020031</v>
      </c>
      <c r="I14" s="19">
        <f>G14+H14</f>
        <v>44958.791312020032</v>
      </c>
      <c r="J14" s="119">
        <v>18718</v>
      </c>
      <c r="K14" s="117">
        <v>17795.560750000001</v>
      </c>
      <c r="L14" s="117">
        <v>27679.38756138003</v>
      </c>
      <c r="M14" s="19">
        <f>K14+L14</f>
        <v>45474.948311380031</v>
      </c>
      <c r="N14" s="88">
        <v>66</v>
      </c>
      <c r="O14" s="88">
        <v>52</v>
      </c>
      <c r="P14" s="92"/>
      <c r="Q14" s="20">
        <f>J14-P14</f>
        <v>18718</v>
      </c>
      <c r="R14" s="21">
        <v>3312</v>
      </c>
      <c r="S14" s="20">
        <f>IF(R14&gt;0,(R14-R15-$Q14),"")</f>
        <v>-15501</v>
      </c>
      <c r="T14" s="21">
        <v>4312</v>
      </c>
      <c r="U14" s="20">
        <f>IF(T14&gt;0,(T14-T15-$Q14),"")</f>
        <v>-14518</v>
      </c>
      <c r="V14" s="21">
        <v>6847</v>
      </c>
      <c r="W14" s="20">
        <f>IF(V14&gt;0,(V14-V15-$Q14),"")</f>
        <v>-12033</v>
      </c>
      <c r="X14" s="21">
        <v>8043</v>
      </c>
      <c r="Y14" s="20">
        <f>IF(X14&gt;0,(X14-X15-$Q14),"")</f>
        <v>-10842</v>
      </c>
      <c r="Z14" s="21">
        <v>8043</v>
      </c>
      <c r="AA14" s="20">
        <f>IF(Z14&gt;0,(Z14-Z15-$Q14),"")</f>
        <v>-10842</v>
      </c>
      <c r="AB14" s="21">
        <v>8043</v>
      </c>
      <c r="AC14" s="22">
        <f>IF(AB14&gt;0,(AB14-AB15-$Q14),"")</f>
        <v>-10842</v>
      </c>
      <c r="AD14" s="21">
        <v>8043</v>
      </c>
      <c r="AE14" s="22">
        <f>IF(AD14&gt;0,(AD14-AD15-$Q14),"")</f>
        <v>-10842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95</v>
      </c>
      <c r="S15" s="24"/>
      <c r="T15" s="25">
        <v>112</v>
      </c>
      <c r="U15" s="24"/>
      <c r="V15" s="25">
        <v>162</v>
      </c>
      <c r="W15" s="24"/>
      <c r="X15" s="25">
        <v>167</v>
      </c>
      <c r="Y15" s="24"/>
      <c r="Z15" s="25">
        <v>167</v>
      </c>
      <c r="AA15" s="24"/>
      <c r="AB15" s="25">
        <v>167</v>
      </c>
      <c r="AC15" s="26"/>
      <c r="AD15" s="25">
        <v>167</v>
      </c>
      <c r="AE15" s="26"/>
    </row>
    <row r="16" spans="2:42" ht="15" customHeight="1" thickBot="1" x14ac:dyDescent="0.35">
      <c r="B16" s="16" t="s">
        <v>50</v>
      </c>
      <c r="C16" s="17">
        <v>8806</v>
      </c>
      <c r="E16" s="84"/>
      <c r="F16" s="31">
        <f t="shared" ref="F16:M16" si="0">SUM(F6:F15)</f>
        <v>66839</v>
      </c>
      <c r="G16" s="31">
        <f t="shared" si="0"/>
        <v>50996.742124999997</v>
      </c>
      <c r="H16" s="31">
        <f t="shared" si="0"/>
        <v>71637.031169743364</v>
      </c>
      <c r="I16" s="32">
        <f t="shared" si="0"/>
        <v>122633.77329474338</v>
      </c>
      <c r="J16" s="33">
        <f t="shared" si="0"/>
        <v>65243</v>
      </c>
      <c r="K16" s="33">
        <f t="shared" si="0"/>
        <v>50377.985249999998</v>
      </c>
      <c r="L16" s="33">
        <f t="shared" si="0"/>
        <v>70439.263226710056</v>
      </c>
      <c r="M16" s="33">
        <f t="shared" si="0"/>
        <v>120817.24847671005</v>
      </c>
      <c r="N16" s="31">
        <f>SUM(N14,N12,N10,N8,N6)</f>
        <v>231</v>
      </c>
      <c r="O16" s="31">
        <f>SUM(O14,O12,O10,O8,O6)</f>
        <v>181</v>
      </c>
      <c r="P16" s="34">
        <f>SUM(P6:P15)</f>
        <v>0</v>
      </c>
      <c r="Q16" s="34">
        <f>SUM(Q6:Q15)</f>
        <v>65243</v>
      </c>
      <c r="R16" s="35">
        <f>R6+R8+R10+R12+R14-R7-R9-R11-R13-R15</f>
        <v>15393</v>
      </c>
      <c r="S16" s="36">
        <f>IF(R16&gt;1,(R16-$Q16),"")</f>
        <v>-49850</v>
      </c>
      <c r="T16" s="35">
        <f>T6+T8+T10+T12+T14-T7-T9-T11-T13-T15</f>
        <v>20680</v>
      </c>
      <c r="U16" s="36">
        <f>IF(T16&gt;1,(T16-$Q16),"")</f>
        <v>-44563</v>
      </c>
      <c r="V16" s="35">
        <f>V6+V8+V10+V12+V14-V7-V9-V11-V13-V15</f>
        <v>37278</v>
      </c>
      <c r="W16" s="36">
        <f>IF(V16&gt;1,(V16-$Q16),"")</f>
        <v>-27965</v>
      </c>
      <c r="X16" s="35">
        <f>X6+X8+X10+X12+X14-X7-X9-X11-X13-X15</f>
        <v>44948</v>
      </c>
      <c r="Y16" s="36">
        <f>IF(X16&gt;1,(X16-$Q16),"")</f>
        <v>-20295</v>
      </c>
      <c r="Z16" s="35">
        <f>Z6+Z8+Z10+Z12+Z14-Z7-Z9-Z11-Z13-Z15</f>
        <v>44948</v>
      </c>
      <c r="AA16" s="36">
        <f>IF(Z16&gt;1,(Z16-$Q16),"")</f>
        <v>-20295</v>
      </c>
      <c r="AB16" s="35">
        <f>AB6+AB8+AB10+AB12+AB14-AB7-AB9-AB11-AB13-AB15</f>
        <v>44948</v>
      </c>
      <c r="AC16" s="37">
        <f>IF(AB16&gt;1,(AB16-$Q16),"")</f>
        <v>-20295</v>
      </c>
      <c r="AD16" s="35">
        <f>AD6+AD8+AD10+AD12+AD14-AD7-AD9-AD11-AD13-AD15</f>
        <v>44948</v>
      </c>
      <c r="AE16" s="37">
        <f>IF(AD16&gt;1,(AD16-$Q16),"")</f>
        <v>-20295</v>
      </c>
    </row>
    <row r="17" spans="2:43" s="4" customFormat="1" ht="15" customHeight="1" thickBot="1" x14ac:dyDescent="0.35">
      <c r="B17" s="16" t="s">
        <v>51</v>
      </c>
      <c r="C17" s="17">
        <v>1186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50</v>
      </c>
      <c r="P17" s="38" t="s">
        <v>44</v>
      </c>
      <c r="Q17" s="39"/>
      <c r="R17" s="40">
        <f>R15+R13+R11+R9+R7</f>
        <v>549</v>
      </c>
      <c r="S17" s="41"/>
      <c r="T17" s="40">
        <f>T15+T13+T11+T9+T7</f>
        <v>849</v>
      </c>
      <c r="U17" s="41"/>
      <c r="V17" s="40">
        <f>V15+V13+V11+V9+V7</f>
        <v>1004</v>
      </c>
      <c r="W17" s="41"/>
      <c r="X17" s="40">
        <f>X15+X13+X11+X9+X7</f>
        <v>1035</v>
      </c>
      <c r="Y17" s="41"/>
      <c r="Z17" s="40">
        <f>Z15+Z13+Z11+Z9+Z7</f>
        <v>1035</v>
      </c>
      <c r="AA17" s="41"/>
      <c r="AB17" s="40">
        <f>AB15+AB13+AB11+AB9+AB7</f>
        <v>1035</v>
      </c>
      <c r="AC17" s="42"/>
      <c r="AD17" s="40">
        <f>AD15+AD13+AD11+AD9+AD7</f>
        <v>1035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4447</v>
      </c>
      <c r="O18" s="125">
        <f>O17/N16</f>
        <v>0.21645021645021645</v>
      </c>
      <c r="P18" s="45" t="s">
        <v>46</v>
      </c>
      <c r="Q18" s="46"/>
      <c r="R18" s="47">
        <f>IF(R16&gt;0,(R16)/2,"")</f>
        <v>7696.5</v>
      </c>
      <c r="S18" s="46"/>
      <c r="T18" s="47">
        <f>IF(T16&gt;0,(T16-R16)/2,"")</f>
        <v>2643.5</v>
      </c>
      <c r="U18" s="46"/>
      <c r="V18" s="47">
        <f>IF(V16&gt;0,(V16-T16)/2,"")</f>
        <v>8299</v>
      </c>
      <c r="W18" s="46"/>
      <c r="X18" s="47">
        <f>IF(X16&gt;0,(X16-V16)/2,"")</f>
        <v>3835</v>
      </c>
      <c r="Y18" s="46"/>
      <c r="Z18" s="47">
        <f>IF(Z16&gt;0,(Z16-X16)/2,"")</f>
        <v>0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17607</v>
      </c>
      <c r="S20" s="36"/>
      <c r="T20" s="35">
        <v>25269</v>
      </c>
      <c r="U20" s="36"/>
      <c r="V20" s="35">
        <v>38968</v>
      </c>
      <c r="W20" s="36"/>
      <c r="X20" s="35">
        <v>45751</v>
      </c>
      <c r="Y20" s="36"/>
      <c r="Z20" s="35">
        <v>45533</v>
      </c>
      <c r="AA20" s="36"/>
      <c r="AB20" s="35">
        <v>45533</v>
      </c>
      <c r="AC20" s="37"/>
      <c r="AD20" s="35">
        <v>45533</v>
      </c>
      <c r="AE20" s="37"/>
    </row>
    <row r="21" spans="2:43" ht="15" customHeight="1" thickBot="1" x14ac:dyDescent="0.35">
      <c r="M21" s="4"/>
      <c r="Q21" s="52"/>
      <c r="R21" s="40">
        <v>371</v>
      </c>
      <c r="S21" s="41"/>
      <c r="T21" s="40">
        <v>648</v>
      </c>
      <c r="U21" s="41"/>
      <c r="V21" s="40">
        <v>742</v>
      </c>
      <c r="W21" s="41"/>
      <c r="X21" s="40">
        <v>872</v>
      </c>
      <c r="Y21" s="41"/>
      <c r="Z21" s="40">
        <v>872</v>
      </c>
      <c r="AA21" s="41"/>
      <c r="AB21" s="40">
        <v>872</v>
      </c>
      <c r="AC21" s="42"/>
      <c r="AD21" s="40">
        <v>872</v>
      </c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-2214</v>
      </c>
      <c r="S24" s="60"/>
      <c r="T24" s="60">
        <f>IF(T16&gt;0,T16-T20,"")</f>
        <v>-4589</v>
      </c>
      <c r="U24" s="60"/>
      <c r="V24" s="60">
        <f>IF(V16&gt;0,V16-V20,"")</f>
        <v>-1690</v>
      </c>
      <c r="W24" s="60"/>
      <c r="X24" s="60">
        <f>IF(X16&gt;0,X16-X20,"")</f>
        <v>-803</v>
      </c>
      <c r="Y24" s="60"/>
      <c r="Z24" s="60">
        <f>IF(Z16&gt;0,Z16-Z20,"")</f>
        <v>-585</v>
      </c>
      <c r="AA24" s="60"/>
      <c r="AB24" s="60">
        <f>IF(AB16&gt;0,AB16-AB20,"")</f>
        <v>-585</v>
      </c>
      <c r="AC24" s="61"/>
      <c r="AD24" s="60">
        <f>IF(AD16&gt;0,AD16-AD20,"")</f>
        <v>-585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178</v>
      </c>
      <c r="S25" s="64"/>
      <c r="T25" s="63">
        <f>IF(T17&gt;=0,T17-T21,"")</f>
        <v>201</v>
      </c>
      <c r="U25" s="64"/>
      <c r="V25" s="63">
        <f>IF(V17&gt;=0,V17-V21,"")</f>
        <v>262</v>
      </c>
      <c r="W25" s="64"/>
      <c r="X25" s="63">
        <f>IF(X17&gt;=0,X17-X21,"")</f>
        <v>163</v>
      </c>
      <c r="Y25" s="64"/>
      <c r="Z25" s="63">
        <f>IF(Z17&gt;=0,Z17-Z21,"")</f>
        <v>163</v>
      </c>
      <c r="AA25" s="64"/>
      <c r="AB25" s="63">
        <f>IF(AB17&gt;=0,AB17-AB21,"")</f>
        <v>163</v>
      </c>
      <c r="AC25" s="65"/>
      <c r="AD25" s="63">
        <f>IF(AD17&gt;=0,AD17-AD21,"")</f>
        <v>163</v>
      </c>
      <c r="AE25" s="65"/>
    </row>
    <row r="26" spans="2:43" ht="15" customHeight="1" thickBot="1" x14ac:dyDescent="0.35">
      <c r="B26" s="74" t="s">
        <v>55</v>
      </c>
      <c r="C26" s="122">
        <v>11287</v>
      </c>
      <c r="D26" s="76">
        <f>C11</f>
        <v>10991</v>
      </c>
      <c r="E26" s="77">
        <f>D26-C26</f>
        <v>-296</v>
      </c>
      <c r="M26" s="4"/>
      <c r="Q26" s="66"/>
      <c r="R26" s="67">
        <f>IFERROR(IF(R18&gt;0,R18-R22,""),"")</f>
        <v>7696.5</v>
      </c>
      <c r="S26" s="55"/>
      <c r="T26" s="67">
        <f>IFERROR(IF(T18&gt;0,T18-T22,""),"")</f>
        <v>2643.5</v>
      </c>
      <c r="U26" s="55"/>
      <c r="V26" s="67">
        <f>IFERROR(IF(V18&gt;0,V18-V22,""),"")</f>
        <v>8299</v>
      </c>
      <c r="W26" s="55"/>
      <c r="X26" s="67">
        <f>IFERROR(IF(X18&gt;0,X18-X22,""),"")</f>
        <v>3835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26652</v>
      </c>
      <c r="D27" s="76">
        <f>C7+C12+C13+C14+C15</f>
        <v>11024</v>
      </c>
      <c r="E27" s="77">
        <f>D27-C27</f>
        <v>-15628</v>
      </c>
      <c r="O27" s="4"/>
      <c r="AF27" s="69"/>
    </row>
    <row r="28" spans="2:43" x14ac:dyDescent="0.3">
      <c r="B28" s="74" t="s">
        <v>21</v>
      </c>
      <c r="C28" s="122">
        <v>2632</v>
      </c>
      <c r="D28" s="76">
        <f>C6</f>
        <v>2632</v>
      </c>
      <c r="E28" s="77">
        <f>D28-C28</f>
        <v>0</v>
      </c>
      <c r="O28" s="4"/>
    </row>
    <row r="29" spans="2:43" x14ac:dyDescent="0.3">
      <c r="B29" s="74" t="s">
        <v>57</v>
      </c>
      <c r="C29" s="122">
        <v>2223</v>
      </c>
      <c r="D29" s="76">
        <f>C10</f>
        <v>2223</v>
      </c>
      <c r="E29" s="77">
        <f>D29-C29</f>
        <v>0</v>
      </c>
      <c r="O29" s="4"/>
    </row>
    <row r="30" spans="2:43" x14ac:dyDescent="0.3">
      <c r="B30" s="74" t="s">
        <v>59</v>
      </c>
      <c r="C30" s="122">
        <v>15009</v>
      </c>
      <c r="D30" s="76">
        <f>C16+C17+C18</f>
        <v>14439</v>
      </c>
      <c r="E30" s="77">
        <f>D30-C30</f>
        <v>-570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2813</v>
      </c>
      <c r="D31" s="80">
        <f>SUM(C8+C9)</f>
        <v>2813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>
        <v>3174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922</v>
      </c>
      <c r="V35" s="104">
        <v>1844</v>
      </c>
      <c r="W35" s="104">
        <f t="shared" ref="W35:W64" si="3">IF(X35&gt;0,(X35-V35)/2,"")</f>
        <v>665.5</v>
      </c>
      <c r="X35" s="104">
        <v>3175</v>
      </c>
      <c r="Y35" s="104">
        <f t="shared" ref="Y35:Y64" si="4">IF(Z35&gt;0,(Z35-X35)/2,"")</f>
        <v>0</v>
      </c>
      <c r="Z35" s="104">
        <v>3175</v>
      </c>
      <c r="AA35" s="104">
        <f t="shared" ref="AA35:AA64" si="5">IF(AB35&gt;0,(AB35-Z35)/2,"")</f>
        <v>0</v>
      </c>
      <c r="AB35" s="104">
        <v>3175</v>
      </c>
      <c r="AC35" s="104">
        <f t="shared" ref="AC35:AC64" si="6">IF(AD35&gt;0,(AD35-AB35)/2,"")</f>
        <v>0</v>
      </c>
      <c r="AD35" s="104">
        <v>3175</v>
      </c>
      <c r="AE35" s="105">
        <f t="shared" ref="AE35:AE64" si="7">AD35-Q35</f>
        <v>1</v>
      </c>
    </row>
    <row r="36" spans="11:31" ht="15.6" customHeight="1" x14ac:dyDescent="0.3">
      <c r="N36" s="212"/>
      <c r="O36" s="95" t="s">
        <v>66</v>
      </c>
      <c r="P36" s="106"/>
      <c r="Q36" s="106">
        <v>2239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557</v>
      </c>
      <c r="V36" s="106">
        <v>1114</v>
      </c>
      <c r="W36" s="106">
        <f t="shared" si="3"/>
        <v>562.5</v>
      </c>
      <c r="X36" s="106">
        <v>2239</v>
      </c>
      <c r="Y36" s="106">
        <f t="shared" si="4"/>
        <v>0</v>
      </c>
      <c r="Z36" s="106">
        <v>2239</v>
      </c>
      <c r="AA36" s="106">
        <f t="shared" si="5"/>
        <v>0</v>
      </c>
      <c r="AB36" s="106">
        <v>2239</v>
      </c>
      <c r="AC36" s="106">
        <f t="shared" si="6"/>
        <v>0</v>
      </c>
      <c r="AD36" s="106">
        <v>2239</v>
      </c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>
        <v>2787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768</v>
      </c>
      <c r="V37" s="108">
        <v>1536</v>
      </c>
      <c r="W37" s="108">
        <f t="shared" si="3"/>
        <v>641.5</v>
      </c>
      <c r="X37" s="108">
        <v>2819</v>
      </c>
      <c r="Y37" s="108">
        <f t="shared" si="4"/>
        <v>0</v>
      </c>
      <c r="Z37" s="108">
        <v>2819</v>
      </c>
      <c r="AA37" s="108">
        <f t="shared" si="5"/>
        <v>0</v>
      </c>
      <c r="AB37" s="108">
        <v>2819</v>
      </c>
      <c r="AC37" s="108">
        <f t="shared" si="6"/>
        <v>0</v>
      </c>
      <c r="AD37" s="108">
        <v>2819</v>
      </c>
      <c r="AE37" s="109">
        <f t="shared" si="7"/>
        <v>32</v>
      </c>
    </row>
    <row r="38" spans="11:31" ht="15.6" customHeight="1" x14ac:dyDescent="0.3">
      <c r="N38" s="212"/>
      <c r="O38" s="95" t="s">
        <v>68</v>
      </c>
      <c r="P38" s="106"/>
      <c r="Q38" s="106">
        <v>3875</v>
      </c>
      <c r="R38" s="106">
        <v>1128</v>
      </c>
      <c r="S38" s="106">
        <f t="shared" si="1"/>
        <v>373.5</v>
      </c>
      <c r="T38" s="106">
        <v>1875</v>
      </c>
      <c r="U38" s="106">
        <f t="shared" si="2"/>
        <v>440.5</v>
      </c>
      <c r="V38" s="106">
        <v>2756</v>
      </c>
      <c r="W38" s="106">
        <f t="shared" si="3"/>
        <v>544.5</v>
      </c>
      <c r="X38" s="106">
        <v>3845</v>
      </c>
      <c r="Y38" s="106">
        <f t="shared" si="4"/>
        <v>0</v>
      </c>
      <c r="Z38" s="106">
        <v>3845</v>
      </c>
      <c r="AA38" s="106">
        <f t="shared" si="5"/>
        <v>0</v>
      </c>
      <c r="AB38" s="106">
        <v>3845</v>
      </c>
      <c r="AC38" s="106">
        <f t="shared" si="6"/>
        <v>0</v>
      </c>
      <c r="AD38" s="106">
        <v>3845</v>
      </c>
      <c r="AE38" s="107">
        <f t="shared" si="7"/>
        <v>-30</v>
      </c>
    </row>
    <row r="39" spans="11:31" ht="15.6" customHeight="1" x14ac:dyDescent="0.3">
      <c r="N39" s="212"/>
      <c r="O39" s="94" t="s">
        <v>69</v>
      </c>
      <c r="P39" s="108"/>
      <c r="Q39" s="108">
        <v>2853</v>
      </c>
      <c r="R39" s="108">
        <v>1214</v>
      </c>
      <c r="S39" s="108">
        <f t="shared" si="1"/>
        <v>110</v>
      </c>
      <c r="T39" s="108">
        <v>1434</v>
      </c>
      <c r="U39" s="108">
        <f t="shared" si="2"/>
        <v>406.5</v>
      </c>
      <c r="V39" s="108">
        <v>2247</v>
      </c>
      <c r="W39" s="108">
        <f t="shared" si="3"/>
        <v>148.5</v>
      </c>
      <c r="X39" s="108">
        <v>2544</v>
      </c>
      <c r="Y39" s="108">
        <f t="shared" si="4"/>
        <v>0</v>
      </c>
      <c r="Z39" s="108">
        <v>2544</v>
      </c>
      <c r="AA39" s="108">
        <f t="shared" si="5"/>
        <v>0</v>
      </c>
      <c r="AB39" s="108">
        <v>2544</v>
      </c>
      <c r="AC39" s="108">
        <f t="shared" si="6"/>
        <v>0</v>
      </c>
      <c r="AD39" s="108">
        <v>2544</v>
      </c>
      <c r="AE39" s="109">
        <f t="shared" si="7"/>
        <v>-309</v>
      </c>
    </row>
    <row r="40" spans="11:31" ht="15.6" customHeight="1" x14ac:dyDescent="0.3">
      <c r="N40" s="212"/>
      <c r="O40" s="95" t="s">
        <v>70</v>
      </c>
      <c r="P40" s="106"/>
      <c r="Q40" s="106">
        <v>2980</v>
      </c>
      <c r="R40" s="106">
        <v>19</v>
      </c>
      <c r="S40" s="106">
        <f t="shared" si="1"/>
        <v>244</v>
      </c>
      <c r="T40" s="106">
        <v>507</v>
      </c>
      <c r="U40" s="106">
        <f t="shared" si="2"/>
        <v>360</v>
      </c>
      <c r="V40" s="106">
        <v>1227</v>
      </c>
      <c r="W40" s="106">
        <f t="shared" si="3"/>
        <v>336.5</v>
      </c>
      <c r="X40" s="106">
        <v>1900</v>
      </c>
      <c r="Y40" s="106">
        <f t="shared" si="4"/>
        <v>0</v>
      </c>
      <c r="Z40" s="106">
        <v>1900</v>
      </c>
      <c r="AA40" s="106">
        <f t="shared" si="5"/>
        <v>0</v>
      </c>
      <c r="AB40" s="106">
        <v>1900</v>
      </c>
      <c r="AC40" s="106">
        <f t="shared" si="6"/>
        <v>0</v>
      </c>
      <c r="AD40" s="106">
        <v>1900</v>
      </c>
      <c r="AE40" s="107">
        <f t="shared" si="7"/>
        <v>-1080</v>
      </c>
    </row>
    <row r="41" spans="11:31" ht="15.6" customHeight="1" x14ac:dyDescent="0.3">
      <c r="N41" s="212"/>
      <c r="O41" s="94" t="s">
        <v>71</v>
      </c>
      <c r="P41" s="108"/>
      <c r="Q41" s="108">
        <v>1791</v>
      </c>
      <c r="R41" s="108">
        <v>615</v>
      </c>
      <c r="S41" s="108">
        <f t="shared" si="1"/>
        <v>249.5</v>
      </c>
      <c r="T41" s="108">
        <v>1114</v>
      </c>
      <c r="U41" s="108">
        <f t="shared" si="2"/>
        <v>228</v>
      </c>
      <c r="V41" s="108">
        <v>1570</v>
      </c>
      <c r="W41" s="108">
        <f t="shared" si="3"/>
        <v>0</v>
      </c>
      <c r="X41" s="108">
        <v>1570</v>
      </c>
      <c r="Y41" s="108">
        <f t="shared" si="4"/>
        <v>0</v>
      </c>
      <c r="Z41" s="108">
        <v>1570</v>
      </c>
      <c r="AA41" s="108">
        <f t="shared" si="5"/>
        <v>0</v>
      </c>
      <c r="AB41" s="108">
        <v>1570</v>
      </c>
      <c r="AC41" s="108">
        <f t="shared" si="6"/>
        <v>0</v>
      </c>
      <c r="AD41" s="108">
        <v>1570</v>
      </c>
      <c r="AE41" s="109">
        <f t="shared" si="7"/>
        <v>-221</v>
      </c>
    </row>
    <row r="42" spans="11:31" ht="15.6" customHeight="1" x14ac:dyDescent="0.3">
      <c r="N42" s="212"/>
      <c r="O42" s="95" t="s">
        <v>72</v>
      </c>
      <c r="P42" s="106"/>
      <c r="Q42" s="106">
        <v>0</v>
      </c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>
        <v>0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>
        <v>525</v>
      </c>
      <c r="R44" s="112">
        <v>201</v>
      </c>
      <c r="S44" s="112">
        <f t="shared" si="1"/>
        <v>82.5</v>
      </c>
      <c r="T44" s="112">
        <v>366</v>
      </c>
      <c r="U44" s="112">
        <f t="shared" si="2"/>
        <v>76.5</v>
      </c>
      <c r="V44" s="112">
        <v>519</v>
      </c>
      <c r="W44" s="112">
        <f t="shared" si="3"/>
        <v>0</v>
      </c>
      <c r="X44" s="112">
        <v>519</v>
      </c>
      <c r="Y44" s="112">
        <f t="shared" si="4"/>
        <v>0</v>
      </c>
      <c r="Z44" s="112">
        <v>519</v>
      </c>
      <c r="AA44" s="112">
        <f t="shared" si="5"/>
        <v>0</v>
      </c>
      <c r="AB44" s="112">
        <v>519</v>
      </c>
      <c r="AC44" s="112">
        <f t="shared" si="6"/>
        <v>0</v>
      </c>
      <c r="AD44" s="112">
        <v>519</v>
      </c>
      <c r="AE44" s="113">
        <f t="shared" si="7"/>
        <v>-6</v>
      </c>
    </row>
    <row r="45" spans="11:31" ht="15.6" customHeight="1" x14ac:dyDescent="0.3">
      <c r="N45" s="212"/>
      <c r="O45" s="94" t="s">
        <v>66</v>
      </c>
      <c r="P45" s="108"/>
      <c r="Q45" s="108">
        <v>3396</v>
      </c>
      <c r="R45" s="108">
        <v>636</v>
      </c>
      <c r="S45" s="108">
        <f t="shared" si="1"/>
        <v>0</v>
      </c>
      <c r="T45" s="108">
        <v>636</v>
      </c>
      <c r="U45" s="108">
        <f t="shared" si="2"/>
        <v>346</v>
      </c>
      <c r="V45" s="108">
        <v>1328</v>
      </c>
      <c r="W45" s="108">
        <f t="shared" si="3"/>
        <v>0</v>
      </c>
      <c r="X45" s="108">
        <v>1328</v>
      </c>
      <c r="Y45" s="108">
        <f t="shared" si="4"/>
        <v>0</v>
      </c>
      <c r="Z45" s="108">
        <v>1328</v>
      </c>
      <c r="AA45" s="108">
        <f t="shared" si="5"/>
        <v>0</v>
      </c>
      <c r="AB45" s="108">
        <v>1328</v>
      </c>
      <c r="AC45" s="108">
        <f t="shared" si="6"/>
        <v>0</v>
      </c>
      <c r="AD45" s="108">
        <v>1328</v>
      </c>
      <c r="AE45" s="109">
        <f t="shared" si="7"/>
        <v>-2068</v>
      </c>
    </row>
    <row r="46" spans="11:31" ht="15.6" customHeight="1" x14ac:dyDescent="0.3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>
        <v>2020</v>
      </c>
      <c r="R48" s="112">
        <v>0</v>
      </c>
      <c r="S48" s="112">
        <f t="shared" si="1"/>
        <v>116.5</v>
      </c>
      <c r="T48" s="112">
        <v>233</v>
      </c>
      <c r="U48" s="112">
        <f t="shared" si="2"/>
        <v>841</v>
      </c>
      <c r="V48" s="112">
        <v>1915</v>
      </c>
      <c r="W48" s="112">
        <f t="shared" si="3"/>
        <v>0</v>
      </c>
      <c r="X48" s="112">
        <v>1915</v>
      </c>
      <c r="Y48" s="112">
        <f t="shared" si="4"/>
        <v>0</v>
      </c>
      <c r="Z48" s="112">
        <v>1915</v>
      </c>
      <c r="AA48" s="112">
        <f t="shared" si="5"/>
        <v>0</v>
      </c>
      <c r="AB48" s="112">
        <v>1915</v>
      </c>
      <c r="AC48" s="112">
        <f t="shared" si="6"/>
        <v>0</v>
      </c>
      <c r="AD48" s="112">
        <v>1915</v>
      </c>
      <c r="AE48" s="113">
        <f t="shared" si="7"/>
        <v>-105</v>
      </c>
    </row>
    <row r="49" spans="14:31" ht="15.6" customHeight="1" x14ac:dyDescent="0.3">
      <c r="N49" s="212"/>
      <c r="O49" s="94" t="s">
        <v>66</v>
      </c>
      <c r="P49" s="108"/>
      <c r="Q49" s="108">
        <v>3115</v>
      </c>
      <c r="R49" s="108">
        <v>729</v>
      </c>
      <c r="S49" s="108">
        <f t="shared" si="1"/>
        <v>13.5</v>
      </c>
      <c r="T49" s="108">
        <v>756</v>
      </c>
      <c r="U49" s="108">
        <f t="shared" si="2"/>
        <v>252.5</v>
      </c>
      <c r="V49" s="108">
        <v>1261</v>
      </c>
      <c r="W49" s="108">
        <f t="shared" si="3"/>
        <v>0</v>
      </c>
      <c r="X49" s="108">
        <v>1261</v>
      </c>
      <c r="Y49" s="108">
        <f t="shared" si="4"/>
        <v>0</v>
      </c>
      <c r="Z49" s="108">
        <v>1261</v>
      </c>
      <c r="AA49" s="108">
        <f t="shared" si="5"/>
        <v>0</v>
      </c>
      <c r="AB49" s="108">
        <v>1261</v>
      </c>
      <c r="AC49" s="108">
        <f t="shared" si="6"/>
        <v>0</v>
      </c>
      <c r="AD49" s="108">
        <v>1261</v>
      </c>
      <c r="AE49" s="109">
        <f t="shared" si="7"/>
        <v>-1854</v>
      </c>
    </row>
    <row r="50" spans="14:31" ht="15.6" customHeight="1" x14ac:dyDescent="0.3">
      <c r="N50" s="212"/>
      <c r="O50" s="95" t="s">
        <v>67</v>
      </c>
      <c r="P50" s="106"/>
      <c r="Q50" s="106">
        <v>2350</v>
      </c>
      <c r="R50" s="106">
        <v>149</v>
      </c>
      <c r="S50" s="106">
        <f t="shared" si="1"/>
        <v>83.5</v>
      </c>
      <c r="T50" s="106">
        <v>316</v>
      </c>
      <c r="U50" s="106">
        <f t="shared" si="2"/>
        <v>570.5</v>
      </c>
      <c r="V50" s="106">
        <v>1457</v>
      </c>
      <c r="W50" s="106">
        <f t="shared" si="3"/>
        <v>0</v>
      </c>
      <c r="X50" s="106">
        <v>1457</v>
      </c>
      <c r="Y50" s="106">
        <f t="shared" si="4"/>
        <v>0</v>
      </c>
      <c r="Z50" s="106">
        <v>1457</v>
      </c>
      <c r="AA50" s="106">
        <f t="shared" si="5"/>
        <v>0</v>
      </c>
      <c r="AB50" s="106">
        <v>1457</v>
      </c>
      <c r="AC50" s="106">
        <f t="shared" si="6"/>
        <v>0</v>
      </c>
      <c r="AD50" s="106">
        <v>1457</v>
      </c>
      <c r="AE50" s="107">
        <f t="shared" si="7"/>
        <v>-893</v>
      </c>
    </row>
    <row r="51" spans="14:31" ht="15.6" customHeight="1" x14ac:dyDescent="0.3">
      <c r="N51" s="212"/>
      <c r="O51" s="94" t="s">
        <v>68</v>
      </c>
      <c r="P51" s="108"/>
      <c r="Q51" s="108">
        <v>3329</v>
      </c>
      <c r="R51" s="108">
        <v>1800</v>
      </c>
      <c r="S51" s="108">
        <f t="shared" si="1"/>
        <v>0</v>
      </c>
      <c r="T51" s="108">
        <v>1800</v>
      </c>
      <c r="U51" s="108">
        <f t="shared" si="2"/>
        <v>0</v>
      </c>
      <c r="V51" s="108">
        <v>1800</v>
      </c>
      <c r="W51" s="108">
        <f t="shared" si="3"/>
        <v>0</v>
      </c>
      <c r="X51" s="108">
        <v>1800</v>
      </c>
      <c r="Y51" s="108">
        <f t="shared" si="4"/>
        <v>0</v>
      </c>
      <c r="Z51" s="108">
        <v>1800</v>
      </c>
      <c r="AA51" s="108">
        <f t="shared" si="5"/>
        <v>0</v>
      </c>
      <c r="AB51" s="108">
        <v>1800</v>
      </c>
      <c r="AC51" s="108">
        <f t="shared" si="6"/>
        <v>0</v>
      </c>
      <c r="AD51" s="108">
        <v>1800</v>
      </c>
      <c r="AE51" s="109">
        <f t="shared" si="7"/>
        <v>-1529</v>
      </c>
    </row>
    <row r="52" spans="14:31" ht="15.6" customHeight="1" x14ac:dyDescent="0.3">
      <c r="N52" s="212"/>
      <c r="O52" s="95" t="s">
        <v>69</v>
      </c>
      <c r="P52" s="106"/>
      <c r="Q52" s="106">
        <v>1131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499.5</v>
      </c>
      <c r="V52" s="106">
        <v>999</v>
      </c>
      <c r="W52" s="106">
        <f t="shared" si="3"/>
        <v>0</v>
      </c>
      <c r="X52" s="106">
        <v>999</v>
      </c>
      <c r="Y52" s="106">
        <f t="shared" si="4"/>
        <v>0</v>
      </c>
      <c r="Z52" s="106">
        <v>999</v>
      </c>
      <c r="AA52" s="106">
        <f t="shared" si="5"/>
        <v>0</v>
      </c>
      <c r="AB52" s="106">
        <v>999</v>
      </c>
      <c r="AC52" s="106">
        <f t="shared" si="6"/>
        <v>0</v>
      </c>
      <c r="AD52" s="106">
        <v>999</v>
      </c>
      <c r="AE52" s="107">
        <f t="shared" si="7"/>
        <v>-132</v>
      </c>
    </row>
    <row r="53" spans="14:31" ht="15.6" customHeight="1" x14ac:dyDescent="0.3">
      <c r="N53" s="212"/>
      <c r="O53" s="94" t="s">
        <v>70</v>
      </c>
      <c r="P53" s="108"/>
      <c r="Q53" s="108">
        <v>493</v>
      </c>
      <c r="R53" s="108">
        <v>0</v>
      </c>
      <c r="S53" s="108" t="str">
        <f t="shared" si="1"/>
        <v/>
      </c>
      <c r="T53" s="108">
        <v>0</v>
      </c>
      <c r="U53" s="108">
        <f t="shared" si="2"/>
        <v>15</v>
      </c>
      <c r="V53" s="108">
        <v>30</v>
      </c>
      <c r="W53" s="108">
        <f t="shared" si="3"/>
        <v>0</v>
      </c>
      <c r="X53" s="108">
        <v>30</v>
      </c>
      <c r="Y53" s="108">
        <f t="shared" si="4"/>
        <v>0</v>
      </c>
      <c r="Z53" s="108">
        <v>30</v>
      </c>
      <c r="AA53" s="108">
        <f t="shared" si="5"/>
        <v>0</v>
      </c>
      <c r="AB53" s="108">
        <v>30</v>
      </c>
      <c r="AC53" s="108">
        <f t="shared" si="6"/>
        <v>0</v>
      </c>
      <c r="AD53" s="108">
        <v>30</v>
      </c>
      <c r="AE53" s="109">
        <f t="shared" si="7"/>
        <v>-463</v>
      </c>
    </row>
    <row r="54" spans="14:31" ht="15.6" customHeight="1" x14ac:dyDescent="0.3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>
        <v>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>
        <v>3611</v>
      </c>
      <c r="R57" s="104">
        <v>1519</v>
      </c>
      <c r="S57" s="104">
        <f t="shared" si="1"/>
        <v>183.5</v>
      </c>
      <c r="T57" s="104">
        <v>1886</v>
      </c>
      <c r="U57" s="104">
        <f t="shared" si="2"/>
        <v>293</v>
      </c>
      <c r="V57" s="104">
        <v>2472</v>
      </c>
      <c r="W57" s="104">
        <f t="shared" si="3"/>
        <v>88</v>
      </c>
      <c r="X57" s="104">
        <v>2648</v>
      </c>
      <c r="Y57" s="104">
        <f t="shared" si="4"/>
        <v>0</v>
      </c>
      <c r="Z57" s="104">
        <v>2648</v>
      </c>
      <c r="AA57" s="104">
        <f t="shared" si="5"/>
        <v>0</v>
      </c>
      <c r="AB57" s="104">
        <v>2648</v>
      </c>
      <c r="AC57" s="104">
        <f t="shared" si="6"/>
        <v>0</v>
      </c>
      <c r="AD57" s="104">
        <v>2648</v>
      </c>
      <c r="AE57" s="105">
        <f t="shared" si="7"/>
        <v>-963</v>
      </c>
    </row>
    <row r="58" spans="14:31" ht="15.6" customHeight="1" x14ac:dyDescent="0.3">
      <c r="N58" s="212"/>
      <c r="O58" s="95" t="s">
        <v>66</v>
      </c>
      <c r="P58" s="106"/>
      <c r="Q58" s="106">
        <v>3656</v>
      </c>
      <c r="R58" s="106">
        <v>1902</v>
      </c>
      <c r="S58" s="106">
        <f t="shared" si="1"/>
        <v>436.5</v>
      </c>
      <c r="T58" s="106">
        <v>2775</v>
      </c>
      <c r="U58" s="106">
        <f t="shared" si="2"/>
        <v>115</v>
      </c>
      <c r="V58" s="106">
        <v>3005</v>
      </c>
      <c r="W58" s="106">
        <f t="shared" si="3"/>
        <v>76</v>
      </c>
      <c r="X58" s="106">
        <v>3157</v>
      </c>
      <c r="Y58" s="106">
        <f t="shared" si="4"/>
        <v>0</v>
      </c>
      <c r="Z58" s="106">
        <v>3157</v>
      </c>
      <c r="AA58" s="106">
        <f t="shared" si="5"/>
        <v>0</v>
      </c>
      <c r="AB58" s="106">
        <v>3157</v>
      </c>
      <c r="AC58" s="106">
        <f t="shared" si="6"/>
        <v>0</v>
      </c>
      <c r="AD58" s="106">
        <v>3157</v>
      </c>
      <c r="AE58" s="107">
        <f t="shared" si="7"/>
        <v>-499</v>
      </c>
    </row>
    <row r="59" spans="14:31" ht="15.6" customHeight="1" x14ac:dyDescent="0.3">
      <c r="N59" s="212"/>
      <c r="O59" s="94" t="s">
        <v>67</v>
      </c>
      <c r="P59" s="108"/>
      <c r="Q59" s="108">
        <v>3977</v>
      </c>
      <c r="R59" s="108">
        <v>1579</v>
      </c>
      <c r="S59" s="108">
        <f t="shared" si="1"/>
        <v>263</v>
      </c>
      <c r="T59" s="108">
        <v>2105</v>
      </c>
      <c r="U59" s="108">
        <f t="shared" si="2"/>
        <v>117.5</v>
      </c>
      <c r="V59" s="108">
        <v>2340</v>
      </c>
      <c r="W59" s="108">
        <f t="shared" si="3"/>
        <v>0</v>
      </c>
      <c r="X59" s="108">
        <v>2340</v>
      </c>
      <c r="Y59" s="108">
        <f t="shared" si="4"/>
        <v>0</v>
      </c>
      <c r="Z59" s="108">
        <v>2340</v>
      </c>
      <c r="AA59" s="108">
        <f t="shared" si="5"/>
        <v>0</v>
      </c>
      <c r="AB59" s="108">
        <v>2340</v>
      </c>
      <c r="AC59" s="108">
        <f t="shared" si="6"/>
        <v>0</v>
      </c>
      <c r="AD59" s="108">
        <v>2340</v>
      </c>
      <c r="AE59" s="109">
        <f t="shared" si="7"/>
        <v>-1637</v>
      </c>
    </row>
    <row r="60" spans="14:31" ht="15.6" customHeight="1" thickBot="1" x14ac:dyDescent="0.35">
      <c r="N60" s="213"/>
      <c r="O60" s="99" t="s">
        <v>68</v>
      </c>
      <c r="P60" s="114"/>
      <c r="Q60" s="114">
        <v>5108</v>
      </c>
      <c r="R60" s="114">
        <v>1139</v>
      </c>
      <c r="S60" s="114">
        <f t="shared" si="1"/>
        <v>137.5</v>
      </c>
      <c r="T60" s="114">
        <v>1414</v>
      </c>
      <c r="U60" s="114">
        <f t="shared" si="2"/>
        <v>300.5</v>
      </c>
      <c r="V60" s="114">
        <v>2015</v>
      </c>
      <c r="W60" s="114">
        <f t="shared" si="3"/>
        <v>189.5</v>
      </c>
      <c r="X60" s="114">
        <v>2394</v>
      </c>
      <c r="Y60" s="114">
        <f t="shared" si="4"/>
        <v>0</v>
      </c>
      <c r="Z60" s="114">
        <v>2394</v>
      </c>
      <c r="AA60" s="114">
        <f t="shared" si="5"/>
        <v>0</v>
      </c>
      <c r="AB60" s="114">
        <v>2394</v>
      </c>
      <c r="AC60" s="114">
        <f t="shared" si="6"/>
        <v>0</v>
      </c>
      <c r="AD60" s="114">
        <v>2394</v>
      </c>
      <c r="AE60" s="115">
        <f t="shared" si="7"/>
        <v>-2714</v>
      </c>
    </row>
    <row r="61" spans="14:31" ht="15.6" customHeight="1" x14ac:dyDescent="0.3">
      <c r="N61" s="211" t="s">
        <v>39</v>
      </c>
      <c r="O61" s="96" t="s">
        <v>65</v>
      </c>
      <c r="P61" s="104"/>
      <c r="Q61" s="104">
        <v>5666</v>
      </c>
      <c r="R61" s="104">
        <v>565</v>
      </c>
      <c r="S61" s="104">
        <f t="shared" si="1"/>
        <v>173</v>
      </c>
      <c r="T61" s="104">
        <v>911</v>
      </c>
      <c r="U61" s="104">
        <f t="shared" si="2"/>
        <v>260</v>
      </c>
      <c r="V61" s="104">
        <v>1431</v>
      </c>
      <c r="W61" s="104">
        <f t="shared" si="3"/>
        <v>559.5</v>
      </c>
      <c r="X61" s="104">
        <v>2550</v>
      </c>
      <c r="Y61" s="104">
        <f t="shared" si="4"/>
        <v>0</v>
      </c>
      <c r="Z61" s="104">
        <v>2550</v>
      </c>
      <c r="AA61" s="104">
        <f t="shared" si="5"/>
        <v>0</v>
      </c>
      <c r="AB61" s="104">
        <v>2550</v>
      </c>
      <c r="AC61" s="104">
        <f t="shared" si="6"/>
        <v>0</v>
      </c>
      <c r="AD61" s="104">
        <v>2550</v>
      </c>
      <c r="AE61" s="105">
        <f t="shared" si="7"/>
        <v>-3116</v>
      </c>
    </row>
    <row r="62" spans="14:31" ht="15.6" customHeight="1" x14ac:dyDescent="0.3">
      <c r="N62" s="212"/>
      <c r="O62" s="95" t="s">
        <v>66</v>
      </c>
      <c r="P62" s="106"/>
      <c r="Q62" s="106">
        <v>4375</v>
      </c>
      <c r="R62" s="106">
        <v>531</v>
      </c>
      <c r="S62" s="106">
        <f t="shared" si="1"/>
        <v>203.5</v>
      </c>
      <c r="T62" s="106">
        <v>938</v>
      </c>
      <c r="U62" s="106">
        <f t="shared" si="2"/>
        <v>216</v>
      </c>
      <c r="V62" s="106">
        <v>1370</v>
      </c>
      <c r="W62" s="106">
        <f t="shared" si="3"/>
        <v>-84</v>
      </c>
      <c r="X62" s="106">
        <v>1202</v>
      </c>
      <c r="Y62" s="106">
        <f t="shared" si="4"/>
        <v>0</v>
      </c>
      <c r="Z62" s="106">
        <v>1202</v>
      </c>
      <c r="AA62" s="106">
        <f t="shared" si="5"/>
        <v>0</v>
      </c>
      <c r="AB62" s="106">
        <v>1202</v>
      </c>
      <c r="AC62" s="106">
        <f t="shared" si="6"/>
        <v>0</v>
      </c>
      <c r="AD62" s="106">
        <v>1202</v>
      </c>
      <c r="AE62" s="107">
        <f t="shared" si="7"/>
        <v>-3173</v>
      </c>
    </row>
    <row r="63" spans="14:31" ht="15.6" customHeight="1" x14ac:dyDescent="0.3">
      <c r="N63" s="212"/>
      <c r="O63" s="94" t="s">
        <v>67</v>
      </c>
      <c r="P63" s="108"/>
      <c r="Q63" s="108">
        <v>3284</v>
      </c>
      <c r="R63" s="108">
        <v>350</v>
      </c>
      <c r="S63" s="108">
        <f t="shared" si="1"/>
        <v>0</v>
      </c>
      <c r="T63" s="108">
        <v>350</v>
      </c>
      <c r="U63" s="108">
        <f t="shared" si="2"/>
        <v>193.5</v>
      </c>
      <c r="V63" s="108">
        <v>737</v>
      </c>
      <c r="W63" s="108">
        <f t="shared" si="3"/>
        <v>0</v>
      </c>
      <c r="X63" s="108">
        <v>737</v>
      </c>
      <c r="Y63" s="108">
        <f t="shared" si="4"/>
        <v>0</v>
      </c>
      <c r="Z63" s="108">
        <v>737</v>
      </c>
      <c r="AA63" s="108">
        <f t="shared" si="5"/>
        <v>0</v>
      </c>
      <c r="AB63" s="108">
        <v>737</v>
      </c>
      <c r="AC63" s="108">
        <f t="shared" si="6"/>
        <v>0</v>
      </c>
      <c r="AD63" s="108">
        <v>737</v>
      </c>
      <c r="AE63" s="109">
        <f t="shared" si="7"/>
        <v>-2547</v>
      </c>
    </row>
    <row r="64" spans="14:31" ht="15.6" customHeight="1" thickBot="1" x14ac:dyDescent="0.35">
      <c r="N64" s="213"/>
      <c r="O64" s="99" t="s">
        <v>68</v>
      </c>
      <c r="P64" s="114"/>
      <c r="Q64" s="114">
        <v>6831</v>
      </c>
      <c r="R64" s="114">
        <v>653</v>
      </c>
      <c r="S64" s="114">
        <f t="shared" si="1"/>
        <v>123.5</v>
      </c>
      <c r="T64" s="114">
        <v>900</v>
      </c>
      <c r="U64" s="114">
        <f t="shared" si="2"/>
        <v>425.5</v>
      </c>
      <c r="V64" s="114">
        <v>1751</v>
      </c>
      <c r="W64" s="114">
        <f t="shared" si="3"/>
        <v>7</v>
      </c>
      <c r="X64" s="114">
        <v>1765</v>
      </c>
      <c r="Y64" s="114">
        <f t="shared" si="4"/>
        <v>0</v>
      </c>
      <c r="Z64" s="114">
        <v>1765</v>
      </c>
      <c r="AA64" s="114">
        <f t="shared" si="5"/>
        <v>0</v>
      </c>
      <c r="AB64" s="114">
        <v>1765</v>
      </c>
      <c r="AC64" s="114">
        <f t="shared" si="6"/>
        <v>0</v>
      </c>
      <c r="AD64" s="114">
        <v>1765</v>
      </c>
      <c r="AE64" s="115">
        <f t="shared" si="7"/>
        <v>-5066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67" priority="11" operator="lessThan">
      <formula>0</formula>
    </cfRule>
    <cfRule type="cellIs" dxfId="466" priority="12" operator="greaterThan">
      <formula>0</formula>
    </cfRule>
  </conditionalFormatting>
  <conditionalFormatting sqref="R25:AC25">
    <cfRule type="cellIs" dxfId="465" priority="9" operator="lessThan">
      <formula>0</formula>
    </cfRule>
    <cfRule type="cellIs" dxfId="464" priority="10" operator="greaterThan">
      <formula>0</formula>
    </cfRule>
  </conditionalFormatting>
  <conditionalFormatting sqref="R26 T26 V26 X26 Z26 AB26">
    <cfRule type="cellIs" dxfId="463" priority="7" operator="lessThan">
      <formula>0</formula>
    </cfRule>
    <cfRule type="cellIs" dxfId="462" priority="8" operator="greaterThan">
      <formula>0</formula>
    </cfRule>
  </conditionalFormatting>
  <conditionalFormatting sqref="AD24:AE24">
    <cfRule type="cellIs" dxfId="461" priority="5" operator="lessThan">
      <formula>0</formula>
    </cfRule>
    <cfRule type="cellIs" dxfId="460" priority="6" operator="greaterThan">
      <formula>0</formula>
    </cfRule>
  </conditionalFormatting>
  <conditionalFormatting sqref="AD25:AE25">
    <cfRule type="cellIs" dxfId="459" priority="3" operator="lessThan">
      <formula>0</formula>
    </cfRule>
    <cfRule type="cellIs" dxfId="458" priority="4" operator="greaterThan">
      <formula>0</formula>
    </cfRule>
  </conditionalFormatting>
  <conditionalFormatting sqref="AD26">
    <cfRule type="cellIs" dxfId="457" priority="1" operator="lessThan">
      <formula>0</formula>
    </cfRule>
    <cfRule type="cellIs" dxfId="45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>
    <tabColor theme="1"/>
    <pageSetUpPr fitToPage="1"/>
  </sheetPr>
  <dimension ref="B1:AQ64"/>
  <sheetViews>
    <sheetView topLeftCell="D1" zoomScale="115" zoomScaleNormal="11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44480</v>
      </c>
    </row>
    <row r="3" spans="2:42" ht="18.75" customHeight="1" thickBot="1" x14ac:dyDescent="0.35">
      <c r="B3" t="s">
        <v>1</v>
      </c>
      <c r="C3" s="3">
        <f>C2+1</f>
        <v>44481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2652</v>
      </c>
      <c r="E6" s="18" t="s">
        <v>22</v>
      </c>
      <c r="F6" s="119">
        <v>17235</v>
      </c>
      <c r="G6" s="117">
        <v>7987.3278749999999</v>
      </c>
      <c r="H6" s="117">
        <v>893.15837500000009</v>
      </c>
      <c r="I6" s="19">
        <f>G6+H6</f>
        <v>8880.4862499999999</v>
      </c>
      <c r="J6" s="119">
        <v>17053</v>
      </c>
      <c r="K6" s="117">
        <v>7873.5651249999992</v>
      </c>
      <c r="L6" s="117">
        <v>866.01430249999999</v>
      </c>
      <c r="M6" s="19">
        <f>K6+L6</f>
        <v>8739.5794274999989</v>
      </c>
      <c r="N6" s="85">
        <v>54</v>
      </c>
      <c r="O6" s="85">
        <v>43</v>
      </c>
      <c r="P6" s="92"/>
      <c r="Q6" s="20">
        <f>J6-P6</f>
        <v>17053</v>
      </c>
      <c r="R6" s="21">
        <v>2749</v>
      </c>
      <c r="S6" s="20">
        <f>IF(R6&gt;0,(R6-R7-$Q6),"")</f>
        <v>-14371</v>
      </c>
      <c r="T6" s="21">
        <v>6215</v>
      </c>
      <c r="U6" s="20">
        <f>IF(T6&gt;0,(T6-T7-$Q6),"")</f>
        <v>-10914</v>
      </c>
      <c r="V6" s="21">
        <v>10932</v>
      </c>
      <c r="W6" s="20">
        <f>IF(V6&gt;0,(V6-V7-$Q6),"")</f>
        <v>-6202</v>
      </c>
      <c r="X6" s="21">
        <v>13371</v>
      </c>
      <c r="Y6" s="20">
        <f>IF(X6&gt;0,(X6-X7-$Q6),"")</f>
        <v>-3763</v>
      </c>
      <c r="Z6" s="21">
        <v>13371</v>
      </c>
      <c r="AA6" s="20">
        <f>IF(Z6&gt;0,(Z6-Z7-$Q6),"")</f>
        <v>-3763</v>
      </c>
      <c r="AB6" s="21">
        <v>13371</v>
      </c>
      <c r="AC6" s="22">
        <f>IF(AB6&gt;0,(AB6-AB7-$Q6),"")</f>
        <v>-3763</v>
      </c>
      <c r="AD6" s="21">
        <v>13371</v>
      </c>
      <c r="AE6" s="22">
        <f>IF(AD6&gt;0,(AD6-AD7-$Q6),"")</f>
        <v>-3763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67</v>
      </c>
      <c r="S7" s="24"/>
      <c r="T7" s="25">
        <v>76</v>
      </c>
      <c r="U7" s="24"/>
      <c r="V7" s="25">
        <v>81</v>
      </c>
      <c r="W7" s="24"/>
      <c r="X7" s="25">
        <v>81</v>
      </c>
      <c r="Y7" s="24"/>
      <c r="Z7" s="25">
        <v>81</v>
      </c>
      <c r="AA7" s="24"/>
      <c r="AB7" s="25">
        <v>81</v>
      </c>
      <c r="AC7" s="26"/>
      <c r="AD7" s="25">
        <v>81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1757</v>
      </c>
      <c r="E8" s="29" t="s">
        <v>27</v>
      </c>
      <c r="F8" s="119">
        <v>2291</v>
      </c>
      <c r="G8" s="117">
        <v>885.48199999999997</v>
      </c>
      <c r="H8" s="117">
        <v>27405.665072060001</v>
      </c>
      <c r="I8" s="19">
        <f>G8+H8</f>
        <v>28291.147072060001</v>
      </c>
      <c r="J8" s="119">
        <v>2183</v>
      </c>
      <c r="K8" s="117">
        <v>1073.471</v>
      </c>
      <c r="L8" s="117">
        <v>26555.30783894</v>
      </c>
      <c r="M8" s="19">
        <f>K8+L8</f>
        <v>27628.778838940001</v>
      </c>
      <c r="N8" s="87">
        <v>14</v>
      </c>
      <c r="O8" s="87">
        <v>11</v>
      </c>
      <c r="P8" s="92"/>
      <c r="Q8" s="20">
        <f>J8-P8</f>
        <v>2183</v>
      </c>
      <c r="R8" s="21">
        <v>607</v>
      </c>
      <c r="S8" s="20">
        <f>IF(R8&gt;0,(R8-R9-$Q8),"")</f>
        <v>-1576</v>
      </c>
      <c r="T8" s="21">
        <v>1069</v>
      </c>
      <c r="U8" s="20">
        <f>IF(T8&gt;0,(T8-T9-$Q8),"")</f>
        <v>-1114</v>
      </c>
      <c r="V8" s="21">
        <v>1404</v>
      </c>
      <c r="W8" s="20">
        <f>IF(V8&gt;0,(V8-V9-$Q8),"")</f>
        <v>-779</v>
      </c>
      <c r="X8" s="21">
        <v>1404</v>
      </c>
      <c r="Y8" s="20">
        <f>IF(X8&gt;0,(X8-X9-$Q8),"")</f>
        <v>-779</v>
      </c>
      <c r="Z8" s="21">
        <v>1404</v>
      </c>
      <c r="AA8" s="20">
        <f>IF(Z8&gt;0,(Z8-Z9-$Q8),"")</f>
        <v>-779</v>
      </c>
      <c r="AB8" s="21">
        <v>1404</v>
      </c>
      <c r="AC8" s="22">
        <f>IF(AB8&gt;0,(AB8-AB9-$Q8),"")</f>
        <v>-779</v>
      </c>
      <c r="AD8" s="21">
        <v>1404</v>
      </c>
      <c r="AE8" s="22">
        <f>IF(AD8&gt;0,(AD8-AD9-$Q8),"")</f>
        <v>-779</v>
      </c>
    </row>
    <row r="9" spans="2:42" x14ac:dyDescent="0.3">
      <c r="B9" s="28" t="s">
        <v>28</v>
      </c>
      <c r="C9" s="17">
        <v>1338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4437</v>
      </c>
      <c r="E10" s="18" t="s">
        <v>31</v>
      </c>
      <c r="F10" s="119">
        <v>17919</v>
      </c>
      <c r="G10" s="117">
        <v>12910.676750000001</v>
      </c>
      <c r="H10" s="117">
        <v>417.20264040000001</v>
      </c>
      <c r="I10" s="19">
        <f>G10+H10</f>
        <v>13327.879390400001</v>
      </c>
      <c r="J10" s="119">
        <v>11385</v>
      </c>
      <c r="K10" s="117">
        <v>7296.7117499999986</v>
      </c>
      <c r="L10" s="117">
        <v>406.71660919999999</v>
      </c>
      <c r="M10" s="19">
        <f>K10+L10</f>
        <v>7703.4283591999983</v>
      </c>
      <c r="N10" s="88">
        <v>40</v>
      </c>
      <c r="O10" s="88">
        <v>35</v>
      </c>
      <c r="P10" s="92"/>
      <c r="Q10" s="20">
        <f>J10-P10</f>
        <v>11385</v>
      </c>
      <c r="R10" s="21">
        <v>3906</v>
      </c>
      <c r="S10" s="20">
        <f>IF(R10&gt;0,(R10-R11-$Q10),"")</f>
        <v>-9683</v>
      </c>
      <c r="T10" s="21">
        <v>5891</v>
      </c>
      <c r="U10" s="20">
        <f>IF(T10&gt;0,(T10-T11-$Q10),"")</f>
        <v>-7654</v>
      </c>
      <c r="V10" s="21">
        <v>8436</v>
      </c>
      <c r="W10" s="20">
        <f>IF(V10&gt;0,(V10-V11-$Q10),"")</f>
        <v>-5562</v>
      </c>
      <c r="X10" s="21">
        <v>9984</v>
      </c>
      <c r="Y10" s="20">
        <f>IF(X10&gt;0,(X10-X11-$Q10),"")</f>
        <v>-4014</v>
      </c>
      <c r="Z10" s="21">
        <v>9984</v>
      </c>
      <c r="AA10" s="20">
        <f>IF(Z10&gt;0,(Z10-Z11-$Q10),"")</f>
        <v>-4014</v>
      </c>
      <c r="AB10" s="21">
        <v>9984</v>
      </c>
      <c r="AC10" s="22">
        <f>IF(AB10&gt;0,(AB10-AB11-$Q10),"")</f>
        <v>-4014</v>
      </c>
      <c r="AD10" s="21">
        <v>9984</v>
      </c>
      <c r="AE10" s="22">
        <f>IF(AD10&gt;0,(AD10-AD11-$Q10),"")</f>
        <v>-4014</v>
      </c>
    </row>
    <row r="11" spans="2:42" x14ac:dyDescent="0.3">
      <c r="B11" s="16" t="s">
        <v>38</v>
      </c>
      <c r="C11" s="17">
        <v>10178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2204</v>
      </c>
      <c r="S11" s="24"/>
      <c r="T11" s="30">
        <v>2160</v>
      </c>
      <c r="U11" s="24"/>
      <c r="V11" s="30">
        <v>2613</v>
      </c>
      <c r="W11" s="24"/>
      <c r="X11" s="30">
        <v>2613</v>
      </c>
      <c r="Y11" s="24"/>
      <c r="Z11" s="30">
        <v>2613</v>
      </c>
      <c r="AA11" s="24"/>
      <c r="AB11" s="30">
        <v>2613</v>
      </c>
      <c r="AC11" s="26"/>
      <c r="AD11" s="30">
        <v>2613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5896</v>
      </c>
      <c r="G12" s="117">
        <v>3842.6777499999989</v>
      </c>
      <c r="H12" s="117">
        <v>6328.5985585399994</v>
      </c>
      <c r="I12" s="19">
        <f>G12+H12</f>
        <v>10171.276308539998</v>
      </c>
      <c r="J12" s="119">
        <v>5479</v>
      </c>
      <c r="K12" s="117">
        <v>3591.2555000000002</v>
      </c>
      <c r="L12" s="117">
        <v>5307.966102020001</v>
      </c>
      <c r="M12" s="19">
        <f>K12+L12</f>
        <v>8899.2216020200012</v>
      </c>
      <c r="N12" s="88">
        <v>46</v>
      </c>
      <c r="O12" s="88">
        <v>37</v>
      </c>
      <c r="P12" s="92"/>
      <c r="Q12" s="20">
        <f>J12-P12</f>
        <v>5479</v>
      </c>
      <c r="R12" s="21">
        <v>4330</v>
      </c>
      <c r="S12" s="20">
        <f>IF(R12&gt;0,(R12-R13-$Q12),"")</f>
        <v>-1504</v>
      </c>
      <c r="T12" s="21">
        <v>5369</v>
      </c>
      <c r="U12" s="20">
        <f>IF(T12&gt;0,(T12-T13-$Q12),"")</f>
        <v>-519</v>
      </c>
      <c r="V12" s="21">
        <v>5369</v>
      </c>
      <c r="W12" s="20">
        <f>IF(V12&gt;0,(V12-V13-$Q12),"")</f>
        <v>-519</v>
      </c>
      <c r="X12" s="21">
        <v>5369</v>
      </c>
      <c r="Y12" s="20">
        <f>IF(X12&gt;0,(X12-X13-$Q12),"")</f>
        <v>-519</v>
      </c>
      <c r="Z12" s="21">
        <v>5369</v>
      </c>
      <c r="AA12" s="20">
        <f>IF(Z12&gt;0,(Z12-Z13-$Q12),"")</f>
        <v>-519</v>
      </c>
      <c r="AB12" s="21">
        <v>5369</v>
      </c>
      <c r="AC12" s="22">
        <f>IF(AB12&gt;0,(AB12-AB13-$Q12),"")</f>
        <v>-519</v>
      </c>
      <c r="AD12" s="21">
        <v>5369</v>
      </c>
      <c r="AE12" s="22">
        <f>IF(AD12&gt;0,(AD12-AD13-$Q12),"")</f>
        <v>-519</v>
      </c>
    </row>
    <row r="13" spans="2:42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355</v>
      </c>
      <c r="S13" s="24"/>
      <c r="T13" s="30">
        <v>409</v>
      </c>
      <c r="U13" s="24"/>
      <c r="V13" s="30">
        <v>409</v>
      </c>
      <c r="W13" s="24"/>
      <c r="X13" s="30">
        <v>409</v>
      </c>
      <c r="Y13" s="24"/>
      <c r="Z13" s="30">
        <v>409</v>
      </c>
      <c r="AA13" s="24"/>
      <c r="AB13" s="30">
        <v>409</v>
      </c>
      <c r="AC13" s="26"/>
      <c r="AD13" s="30">
        <v>409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26846</v>
      </c>
      <c r="G14" s="117">
        <v>19230.555</v>
      </c>
      <c r="H14" s="117">
        <v>35975.45762074001</v>
      </c>
      <c r="I14" s="19">
        <f>G14+H14</f>
        <v>55206.01262074001</v>
      </c>
      <c r="J14" s="119">
        <v>27481</v>
      </c>
      <c r="K14" s="117">
        <v>20645.948250000001</v>
      </c>
      <c r="L14" s="117">
        <v>37239.725826820017</v>
      </c>
      <c r="M14" s="19">
        <f>K14+L14</f>
        <v>57885.674076820018</v>
      </c>
      <c r="N14" s="88">
        <v>63</v>
      </c>
      <c r="O14" s="88">
        <v>54</v>
      </c>
      <c r="P14" s="92"/>
      <c r="Q14" s="20">
        <f>J14-P14</f>
        <v>27481</v>
      </c>
      <c r="R14" s="21">
        <v>5037</v>
      </c>
      <c r="S14" s="20">
        <f>IF(R14&gt;0,(R14-R15-$Q14),"")</f>
        <v>-22456</v>
      </c>
      <c r="T14" s="21">
        <v>6044</v>
      </c>
      <c r="U14" s="20">
        <f>IF(T14&gt;0,(T14-T15-$Q14),"")</f>
        <v>-21449</v>
      </c>
      <c r="V14" s="21">
        <v>8484</v>
      </c>
      <c r="W14" s="20">
        <f>IF(V14&gt;0,(V14-V15-$Q14),"")</f>
        <v>-19013</v>
      </c>
      <c r="X14" s="21">
        <v>10017</v>
      </c>
      <c r="Y14" s="20">
        <f>IF(X14&gt;0,(X14-X15-$Q14),"")</f>
        <v>-17501</v>
      </c>
      <c r="Z14" s="21">
        <v>9832</v>
      </c>
      <c r="AA14" s="20">
        <f>IF(Z14&gt;0,(Z14-Z15-$Q14),"")</f>
        <v>-17691</v>
      </c>
      <c r="AB14" s="21">
        <v>9832</v>
      </c>
      <c r="AC14" s="22">
        <f>IF(AB14&gt;0,(AB14-AB15-$Q14),"")</f>
        <v>-17691</v>
      </c>
      <c r="AD14" s="21">
        <v>9832</v>
      </c>
      <c r="AE14" s="22">
        <f>IF(AD14&gt;0,(AD14-AD15-$Q14),"")</f>
        <v>-17691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12</v>
      </c>
      <c r="S15" s="24"/>
      <c r="T15" s="25">
        <v>12</v>
      </c>
      <c r="U15" s="24"/>
      <c r="V15" s="25">
        <v>16</v>
      </c>
      <c r="W15" s="24"/>
      <c r="X15" s="25">
        <v>37</v>
      </c>
      <c r="Y15" s="24"/>
      <c r="Z15" s="25">
        <v>42</v>
      </c>
      <c r="AA15" s="24"/>
      <c r="AB15" s="25">
        <v>42</v>
      </c>
      <c r="AC15" s="26"/>
      <c r="AD15" s="25">
        <v>42</v>
      </c>
      <c r="AE15" s="26"/>
    </row>
    <row r="16" spans="2:42" ht="15" customHeight="1" thickBot="1" x14ac:dyDescent="0.35">
      <c r="B16" s="16" t="s">
        <v>50</v>
      </c>
      <c r="C16" s="17">
        <v>10630</v>
      </c>
      <c r="E16" s="84"/>
      <c r="F16" s="31">
        <f t="shared" ref="F16:M16" si="0">SUM(F6:F15)</f>
        <v>70187</v>
      </c>
      <c r="G16" s="31">
        <f t="shared" si="0"/>
        <v>44856.719375000001</v>
      </c>
      <c r="H16" s="31">
        <f t="shared" si="0"/>
        <v>71020.082266740006</v>
      </c>
      <c r="I16" s="32">
        <f t="shared" si="0"/>
        <v>115876.80164174001</v>
      </c>
      <c r="J16" s="33">
        <f t="shared" si="0"/>
        <v>63581</v>
      </c>
      <c r="K16" s="33">
        <f t="shared" si="0"/>
        <v>40480.951625000002</v>
      </c>
      <c r="L16" s="33">
        <f t="shared" si="0"/>
        <v>70375.73067948001</v>
      </c>
      <c r="M16" s="33">
        <f t="shared" si="0"/>
        <v>110856.68230448003</v>
      </c>
      <c r="N16" s="31">
        <f>SUM(N14,N12,N10,N8,N6)</f>
        <v>217</v>
      </c>
      <c r="O16" s="31">
        <f>SUM(O14,O12,O10,O8,O6)</f>
        <v>180</v>
      </c>
      <c r="P16" s="34">
        <f>SUM(P6:P15)</f>
        <v>0</v>
      </c>
      <c r="Q16" s="34">
        <f>SUM(Q6:Q15)</f>
        <v>63581</v>
      </c>
      <c r="R16" s="35">
        <f>R6+R8+R10+R12+R14-R7-R9-R11-R13-R15</f>
        <v>13991</v>
      </c>
      <c r="S16" s="36">
        <f>IF(R16&gt;1,(R16-$Q16),"")</f>
        <v>-49590</v>
      </c>
      <c r="T16" s="35">
        <f>T6+T8+T10+T12+T14-T7-T9-T11-T13-T15</f>
        <v>21931</v>
      </c>
      <c r="U16" s="36">
        <f>IF(T16&gt;1,(T16-$Q16),"")</f>
        <v>-41650</v>
      </c>
      <c r="V16" s="35">
        <f>V6+V8+V10+V12+V14-V7-V9-V11-V13-V15</f>
        <v>31506</v>
      </c>
      <c r="W16" s="36">
        <f>IF(V16&gt;1,(V16-$Q16),"")</f>
        <v>-32075</v>
      </c>
      <c r="X16" s="35">
        <f>X6+X8+X10+X12+X14-X7-X9-X11-X13-X15</f>
        <v>37005</v>
      </c>
      <c r="Y16" s="36">
        <f>IF(X16&gt;1,(X16-$Q16),"")</f>
        <v>-26576</v>
      </c>
      <c r="Z16" s="35">
        <f>Z6+Z8+Z10+Z12+Z14-Z7-Z9-Z11-Z13-Z15</f>
        <v>36815</v>
      </c>
      <c r="AA16" s="36">
        <f>IF(Z16&gt;1,(Z16-$Q16),"")</f>
        <v>-26766</v>
      </c>
      <c r="AB16" s="35">
        <f>AB6+AB8+AB10+AB12+AB14-AB7-AB9-AB11-AB13-AB15</f>
        <v>36815</v>
      </c>
      <c r="AC16" s="37">
        <f>IF(AB16&gt;1,(AB16-$Q16),"")</f>
        <v>-26766</v>
      </c>
      <c r="AD16" s="35">
        <f>AD6+AD8+AD10+AD12+AD14-AD7-AD9-AD11-AD13-AD15</f>
        <v>36815</v>
      </c>
      <c r="AE16" s="37">
        <f>IF(AD16&gt;1,(AD16-$Q16),"")</f>
        <v>-26766</v>
      </c>
    </row>
    <row r="17" spans="2:43" s="4" customFormat="1" ht="15" customHeight="1" thickBot="1" x14ac:dyDescent="0.35">
      <c r="B17" s="16" t="s">
        <v>51</v>
      </c>
      <c r="C17" s="17">
        <v>1532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37</v>
      </c>
      <c r="P17" s="38" t="s">
        <v>44</v>
      </c>
      <c r="Q17" s="39"/>
      <c r="R17" s="40">
        <f>R15+R13+R11+R9+R7</f>
        <v>2638</v>
      </c>
      <c r="S17" s="41"/>
      <c r="T17" s="40">
        <f>T15+T13+T11+T9+T7</f>
        <v>2657</v>
      </c>
      <c r="U17" s="41"/>
      <c r="V17" s="40">
        <f>V15+V13+V11+V9+V7</f>
        <v>3119</v>
      </c>
      <c r="W17" s="41"/>
      <c r="X17" s="40">
        <f>X15+X13+X11+X9+X7</f>
        <v>3140</v>
      </c>
      <c r="Y17" s="41"/>
      <c r="Z17" s="40">
        <f>Z15+Z13+Z11+Z9+Z7</f>
        <v>3145</v>
      </c>
      <c r="AA17" s="41"/>
      <c r="AB17" s="40">
        <f>AB15+AB13+AB11+AB9+AB7</f>
        <v>3145</v>
      </c>
      <c r="AC17" s="42"/>
      <c r="AD17" s="40">
        <f>AD15+AD13+AD11+AD9+AD7</f>
        <v>3145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4624</v>
      </c>
      <c r="O18" s="125">
        <f>O17/N16</f>
        <v>0.17050691244239632</v>
      </c>
      <c r="P18" s="45" t="s">
        <v>46</v>
      </c>
      <c r="Q18" s="46"/>
      <c r="R18" s="47">
        <f>IF(R16&gt;0,(R16)/2,"")</f>
        <v>6995.5</v>
      </c>
      <c r="S18" s="46"/>
      <c r="T18" s="47">
        <f>IF(T16&gt;0,(T16-R16)/2,"")</f>
        <v>3970</v>
      </c>
      <c r="U18" s="46"/>
      <c r="V18" s="47">
        <f>IF(V16&gt;0,(V16-T16)/2,"")</f>
        <v>4787.5</v>
      </c>
      <c r="W18" s="46"/>
      <c r="X18" s="47">
        <f>IF(X16&gt;0,(X16-V16)/2,"")</f>
        <v>2749.5</v>
      </c>
      <c r="Y18" s="46"/>
      <c r="Z18" s="47">
        <f>IF(Z16&gt;0,(Z16-X16)/2,"")</f>
        <v>-95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15393</v>
      </c>
      <c r="S20" s="36"/>
      <c r="T20" s="35">
        <v>20680</v>
      </c>
      <c r="U20" s="36"/>
      <c r="V20" s="35">
        <v>37278</v>
      </c>
      <c r="W20" s="36"/>
      <c r="X20" s="35">
        <v>44948</v>
      </c>
      <c r="Y20" s="36"/>
      <c r="Z20" s="35">
        <v>44948</v>
      </c>
      <c r="AA20" s="36"/>
      <c r="AB20" s="35">
        <v>44948</v>
      </c>
      <c r="AC20" s="37"/>
      <c r="AD20" s="35">
        <v>44948</v>
      </c>
      <c r="AE20" s="37"/>
    </row>
    <row r="21" spans="2:43" ht="15" customHeight="1" thickBot="1" x14ac:dyDescent="0.35">
      <c r="M21" s="4"/>
      <c r="Q21" s="52"/>
      <c r="R21" s="40">
        <v>549</v>
      </c>
      <c r="S21" s="41"/>
      <c r="T21" s="40">
        <v>849</v>
      </c>
      <c r="U21" s="41"/>
      <c r="V21" s="40">
        <v>1004</v>
      </c>
      <c r="W21" s="41"/>
      <c r="X21" s="40">
        <v>1035</v>
      </c>
      <c r="Y21" s="41"/>
      <c r="Z21" s="40">
        <v>1035</v>
      </c>
      <c r="AA21" s="41"/>
      <c r="AB21" s="40">
        <v>1035</v>
      </c>
      <c r="AC21" s="42"/>
      <c r="AD21" s="40">
        <v>1035</v>
      </c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-1402</v>
      </c>
      <c r="S24" s="60"/>
      <c r="T24" s="60">
        <f>IF(T16&gt;0,T16-T20,"")</f>
        <v>1251</v>
      </c>
      <c r="U24" s="60"/>
      <c r="V24" s="60">
        <f>IF(V16&gt;0,V16-V20,"")</f>
        <v>-5772</v>
      </c>
      <c r="W24" s="60"/>
      <c r="X24" s="60">
        <f>IF(X16&gt;0,X16-X20,"")</f>
        <v>-7943</v>
      </c>
      <c r="Y24" s="60"/>
      <c r="Z24" s="60">
        <f>IF(Z16&gt;0,Z16-Z20,"")</f>
        <v>-8133</v>
      </c>
      <c r="AA24" s="60"/>
      <c r="AB24" s="60">
        <f>IF(AB16&gt;0,AB16-AB20,"")</f>
        <v>-8133</v>
      </c>
      <c r="AC24" s="61"/>
      <c r="AD24" s="60">
        <f>IF(AD16&gt;0,AD16-AD20,"")</f>
        <v>-8133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2089</v>
      </c>
      <c r="S25" s="64"/>
      <c r="T25" s="63">
        <f>IF(T17&gt;=0,T17-T21,"")</f>
        <v>1808</v>
      </c>
      <c r="U25" s="64"/>
      <c r="V25" s="63">
        <f>IF(V17&gt;=0,V17-V21,"")</f>
        <v>2115</v>
      </c>
      <c r="W25" s="64"/>
      <c r="X25" s="63">
        <f>IF(X17&gt;=0,X17-X21,"")</f>
        <v>2105</v>
      </c>
      <c r="Y25" s="64"/>
      <c r="Z25" s="63">
        <f>IF(Z17&gt;=0,Z17-Z21,"")</f>
        <v>2110</v>
      </c>
      <c r="AA25" s="64"/>
      <c r="AB25" s="63">
        <f>IF(AB17&gt;=0,AB17-AB21,"")</f>
        <v>2110</v>
      </c>
      <c r="AC25" s="65"/>
      <c r="AD25" s="63">
        <f>IF(AD17&gt;=0,AD17-AD21,"")</f>
        <v>2110</v>
      </c>
      <c r="AE25" s="65"/>
    </row>
    <row r="26" spans="2:43" ht="15" customHeight="1" thickBot="1" x14ac:dyDescent="0.35">
      <c r="B26" s="74" t="s">
        <v>55</v>
      </c>
      <c r="C26" s="122">
        <v>10246</v>
      </c>
      <c r="D26" s="76">
        <f>C11</f>
        <v>10178</v>
      </c>
      <c r="E26" s="77">
        <f>D26-C26</f>
        <v>-68</v>
      </c>
      <c r="M26" s="4"/>
      <c r="Q26" s="66"/>
      <c r="R26" s="67">
        <f>IFERROR(IF(R18&gt;0,R18-R22,""),"")</f>
        <v>6995.5</v>
      </c>
      <c r="S26" s="55"/>
      <c r="T26" s="67">
        <f>IFERROR(IF(T18&gt;0,T18-T22,""),"")</f>
        <v>3970</v>
      </c>
      <c r="U26" s="55"/>
      <c r="V26" s="67">
        <f>IFERROR(IF(V18&gt;0,V18-V22,""),"")</f>
        <v>4787.5</v>
      </c>
      <c r="W26" s="55"/>
      <c r="X26" s="67">
        <f>IFERROR(IF(X18&gt;0,X18-X22,""),"")</f>
        <v>2749.5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20714</v>
      </c>
      <c r="D27" s="76">
        <f>C7+C12+C13+C14+C15</f>
        <v>0</v>
      </c>
      <c r="E27" s="77">
        <f>D27-C27</f>
        <v>-20714</v>
      </c>
      <c r="O27" s="4"/>
      <c r="AF27" s="69"/>
    </row>
    <row r="28" spans="2:43" x14ac:dyDescent="0.3">
      <c r="B28" s="74" t="s">
        <v>21</v>
      </c>
      <c r="C28" s="122">
        <v>2652</v>
      </c>
      <c r="D28" s="76">
        <f>C6</f>
        <v>2652</v>
      </c>
      <c r="E28" s="77">
        <f>D28-C28</f>
        <v>0</v>
      </c>
      <c r="O28" s="4"/>
    </row>
    <row r="29" spans="2:43" x14ac:dyDescent="0.3">
      <c r="B29" s="74" t="s">
        <v>57</v>
      </c>
      <c r="C29" s="122">
        <v>4437</v>
      </c>
      <c r="D29" s="76">
        <f>C10</f>
        <v>4437</v>
      </c>
      <c r="E29" s="77">
        <f>D29-C29</f>
        <v>0</v>
      </c>
      <c r="O29" s="4"/>
    </row>
    <row r="30" spans="2:43" x14ac:dyDescent="0.3">
      <c r="B30" s="74" t="s">
        <v>59</v>
      </c>
      <c r="C30" s="122">
        <v>17076</v>
      </c>
      <c r="D30" s="76">
        <f>C16+C17+C18</f>
        <v>16786</v>
      </c>
      <c r="E30" s="77">
        <f>D30-C30</f>
        <v>-290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3095</v>
      </c>
      <c r="D31" s="80">
        <f>SUM(C8+C9)</f>
        <v>3095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65</v>
      </c>
      <c r="T35" s="104">
        <v>130</v>
      </c>
      <c r="U35" s="104">
        <f t="shared" ref="U35:U64" si="2">IF(V35&gt;0,(V35-T35)/2,"")</f>
        <v>792.5</v>
      </c>
      <c r="V35" s="104">
        <v>1715</v>
      </c>
      <c r="W35" s="104">
        <f t="shared" ref="W35:W64" si="3">IF(X35&gt;0,(X35-V35)/2,"")</f>
        <v>0</v>
      </c>
      <c r="X35" s="104">
        <v>1715</v>
      </c>
      <c r="Y35" s="104">
        <f t="shared" ref="Y35:Y64" si="4">IF(Z35&gt;0,(Z35-X35)/2,"")</f>
        <v>0</v>
      </c>
      <c r="Z35" s="104">
        <v>1715</v>
      </c>
      <c r="AA35" s="104">
        <f t="shared" ref="AA35:AA64" si="5">IF(AB35&gt;0,(AB35-Z35)/2,"")</f>
        <v>0</v>
      </c>
      <c r="AB35" s="104">
        <v>1715</v>
      </c>
      <c r="AC35" s="104">
        <f t="shared" ref="AC35:AC64" si="6">IF(AD35&gt;0,(AD35-AB35)/2,"")</f>
        <v>0</v>
      </c>
      <c r="AD35" s="104">
        <v>1715</v>
      </c>
      <c r="AE35" s="105">
        <f t="shared" ref="AE35:AE64" si="7">AD35-Q35</f>
        <v>1715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668.5</v>
      </c>
      <c r="V36" s="106">
        <v>1337</v>
      </c>
      <c r="W36" s="106">
        <f t="shared" si="3"/>
        <v>661</v>
      </c>
      <c r="X36" s="106">
        <v>2659</v>
      </c>
      <c r="Y36" s="106">
        <f t="shared" si="4"/>
        <v>0</v>
      </c>
      <c r="Z36" s="106">
        <v>2659</v>
      </c>
      <c r="AA36" s="106">
        <f t="shared" si="5"/>
        <v>0</v>
      </c>
      <c r="AB36" s="106">
        <v>2659</v>
      </c>
      <c r="AC36" s="106">
        <f t="shared" si="6"/>
        <v>0</v>
      </c>
      <c r="AD36" s="106">
        <v>2659</v>
      </c>
      <c r="AE36" s="107">
        <f t="shared" si="7"/>
        <v>2659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0</v>
      </c>
      <c r="S37" s="108">
        <f t="shared" si="1"/>
        <v>866.5</v>
      </c>
      <c r="T37" s="108">
        <v>1733</v>
      </c>
      <c r="U37" s="108">
        <f t="shared" si="2"/>
        <v>165</v>
      </c>
      <c r="V37" s="108">
        <v>2063</v>
      </c>
      <c r="W37" s="108">
        <f t="shared" si="3"/>
        <v>577.5</v>
      </c>
      <c r="X37" s="108">
        <v>3218</v>
      </c>
      <c r="Y37" s="108">
        <f t="shared" si="4"/>
        <v>0</v>
      </c>
      <c r="Z37" s="108">
        <v>3218</v>
      </c>
      <c r="AA37" s="108">
        <f t="shared" si="5"/>
        <v>0</v>
      </c>
      <c r="AB37" s="108">
        <v>3218</v>
      </c>
      <c r="AC37" s="108">
        <f t="shared" si="6"/>
        <v>0</v>
      </c>
      <c r="AD37" s="108">
        <v>3218</v>
      </c>
      <c r="AE37" s="109">
        <f t="shared" si="7"/>
        <v>3218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742</v>
      </c>
      <c r="S38" s="106">
        <f t="shared" si="1"/>
        <v>431.5</v>
      </c>
      <c r="T38" s="106">
        <v>1605</v>
      </c>
      <c r="U38" s="106">
        <f t="shared" si="2"/>
        <v>279</v>
      </c>
      <c r="V38" s="106">
        <v>2163</v>
      </c>
      <c r="W38" s="106">
        <f t="shared" si="3"/>
        <v>0</v>
      </c>
      <c r="X38" s="106">
        <v>2163</v>
      </c>
      <c r="Y38" s="106">
        <f t="shared" si="4"/>
        <v>0</v>
      </c>
      <c r="Z38" s="106">
        <v>2163</v>
      </c>
      <c r="AA38" s="106">
        <f t="shared" si="5"/>
        <v>0</v>
      </c>
      <c r="AB38" s="106">
        <v>2163</v>
      </c>
      <c r="AC38" s="106">
        <f t="shared" si="6"/>
        <v>0</v>
      </c>
      <c r="AD38" s="106">
        <v>2163</v>
      </c>
      <c r="AE38" s="107">
        <f t="shared" si="7"/>
        <v>2163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697</v>
      </c>
      <c r="S39" s="108">
        <f t="shared" si="1"/>
        <v>370</v>
      </c>
      <c r="T39" s="108">
        <v>1437</v>
      </c>
      <c r="U39" s="108">
        <f t="shared" si="2"/>
        <v>453.5</v>
      </c>
      <c r="V39" s="108">
        <v>2344</v>
      </c>
      <c r="W39" s="108">
        <f t="shared" si="3"/>
        <v>-19</v>
      </c>
      <c r="X39" s="108">
        <v>2306</v>
      </c>
      <c r="Y39" s="108">
        <f t="shared" si="4"/>
        <v>0</v>
      </c>
      <c r="Z39" s="108">
        <v>2306</v>
      </c>
      <c r="AA39" s="108">
        <f t="shared" si="5"/>
        <v>0</v>
      </c>
      <c r="AB39" s="108">
        <v>2306</v>
      </c>
      <c r="AC39" s="108">
        <f t="shared" si="6"/>
        <v>0</v>
      </c>
      <c r="AD39" s="108">
        <v>2306</v>
      </c>
      <c r="AE39" s="109">
        <f t="shared" si="7"/>
        <v>2306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504</v>
      </c>
      <c r="S40" s="106">
        <f t="shared" si="1"/>
        <v>0</v>
      </c>
      <c r="T40" s="106">
        <v>504</v>
      </c>
      <c r="U40" s="106">
        <f t="shared" si="2"/>
        <v>0</v>
      </c>
      <c r="V40" s="106">
        <v>504</v>
      </c>
      <c r="W40" s="106">
        <f t="shared" si="3"/>
        <v>0</v>
      </c>
      <c r="X40" s="106">
        <v>504</v>
      </c>
      <c r="Y40" s="106">
        <f t="shared" si="4"/>
        <v>0</v>
      </c>
      <c r="Z40" s="106">
        <v>504</v>
      </c>
      <c r="AA40" s="106">
        <f t="shared" si="5"/>
        <v>0</v>
      </c>
      <c r="AB40" s="106">
        <v>504</v>
      </c>
      <c r="AC40" s="106">
        <f t="shared" si="6"/>
        <v>0</v>
      </c>
      <c r="AD40" s="106">
        <v>504</v>
      </c>
      <c r="AE40" s="107">
        <f t="shared" si="7"/>
        <v>504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806</v>
      </c>
      <c r="S41" s="108">
        <f t="shared" si="1"/>
        <v>0</v>
      </c>
      <c r="T41" s="108">
        <v>806</v>
      </c>
      <c r="U41" s="108">
        <f t="shared" si="2"/>
        <v>0</v>
      </c>
      <c r="V41" s="108">
        <v>806</v>
      </c>
      <c r="W41" s="108">
        <f t="shared" si="3"/>
        <v>0</v>
      </c>
      <c r="X41" s="108">
        <v>806</v>
      </c>
      <c r="Y41" s="108">
        <f t="shared" si="4"/>
        <v>0</v>
      </c>
      <c r="Z41" s="108">
        <v>806</v>
      </c>
      <c r="AA41" s="108">
        <f t="shared" si="5"/>
        <v>0</v>
      </c>
      <c r="AB41" s="108">
        <v>806</v>
      </c>
      <c r="AC41" s="108">
        <f t="shared" si="6"/>
        <v>0</v>
      </c>
      <c r="AD41" s="108">
        <v>806</v>
      </c>
      <c r="AE41" s="109">
        <f t="shared" si="7"/>
        <v>806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</v>
      </c>
      <c r="T44" s="112">
        <v>2</v>
      </c>
      <c r="U44" s="112">
        <f t="shared" si="2"/>
        <v>0</v>
      </c>
      <c r="V44" s="112">
        <v>2</v>
      </c>
      <c r="W44" s="112">
        <f t="shared" si="3"/>
        <v>0</v>
      </c>
      <c r="X44" s="112">
        <v>2</v>
      </c>
      <c r="Y44" s="112">
        <f t="shared" si="4"/>
        <v>0</v>
      </c>
      <c r="Z44" s="112">
        <v>2</v>
      </c>
      <c r="AA44" s="112">
        <f t="shared" si="5"/>
        <v>0</v>
      </c>
      <c r="AB44" s="112">
        <v>2</v>
      </c>
      <c r="AC44" s="112">
        <f t="shared" si="6"/>
        <v>0</v>
      </c>
      <c r="AD44" s="112">
        <v>2</v>
      </c>
      <c r="AE44" s="113">
        <f t="shared" si="7"/>
        <v>2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607</v>
      </c>
      <c r="S45" s="108">
        <f t="shared" si="1"/>
        <v>230</v>
      </c>
      <c r="T45" s="108">
        <v>1067</v>
      </c>
      <c r="U45" s="108">
        <f t="shared" si="2"/>
        <v>167.5</v>
      </c>
      <c r="V45" s="108">
        <v>1402</v>
      </c>
      <c r="W45" s="108">
        <f t="shared" si="3"/>
        <v>0</v>
      </c>
      <c r="X45" s="108">
        <v>1402</v>
      </c>
      <c r="Y45" s="108">
        <f t="shared" si="4"/>
        <v>0</v>
      </c>
      <c r="Z45" s="108">
        <v>1402</v>
      </c>
      <c r="AA45" s="108">
        <f t="shared" si="5"/>
        <v>0</v>
      </c>
      <c r="AB45" s="108">
        <v>1402</v>
      </c>
      <c r="AC45" s="108">
        <f t="shared" si="6"/>
        <v>0</v>
      </c>
      <c r="AD45" s="108">
        <v>1402</v>
      </c>
      <c r="AE45" s="109">
        <f t="shared" si="7"/>
        <v>1402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326.5</v>
      </c>
      <c r="T48" s="112">
        <v>653</v>
      </c>
      <c r="U48" s="112">
        <f t="shared" si="2"/>
        <v>0</v>
      </c>
      <c r="V48" s="112">
        <v>653</v>
      </c>
      <c r="W48" s="112">
        <f t="shared" si="3"/>
        <v>278</v>
      </c>
      <c r="X48" s="112">
        <v>1209</v>
      </c>
      <c r="Y48" s="112">
        <f t="shared" si="4"/>
        <v>0</v>
      </c>
      <c r="Z48" s="112">
        <v>1209</v>
      </c>
      <c r="AA48" s="112">
        <f t="shared" si="5"/>
        <v>0</v>
      </c>
      <c r="AB48" s="112">
        <v>1209</v>
      </c>
      <c r="AC48" s="112">
        <f t="shared" si="6"/>
        <v>0</v>
      </c>
      <c r="AD48" s="112">
        <v>1209</v>
      </c>
      <c r="AE48" s="113">
        <f t="shared" si="7"/>
        <v>1209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682</v>
      </c>
      <c r="S49" s="108">
        <f t="shared" si="1"/>
        <v>221</v>
      </c>
      <c r="T49" s="108">
        <v>1124</v>
      </c>
      <c r="U49" s="108">
        <f t="shared" si="2"/>
        <v>81.5</v>
      </c>
      <c r="V49" s="108">
        <v>1287</v>
      </c>
      <c r="W49" s="108">
        <f t="shared" si="3"/>
        <v>0</v>
      </c>
      <c r="X49" s="108">
        <v>1287</v>
      </c>
      <c r="Y49" s="108">
        <f t="shared" si="4"/>
        <v>0</v>
      </c>
      <c r="Z49" s="108">
        <v>1287</v>
      </c>
      <c r="AA49" s="108">
        <f t="shared" si="5"/>
        <v>0</v>
      </c>
      <c r="AB49" s="108">
        <v>1287</v>
      </c>
      <c r="AC49" s="108">
        <f t="shared" si="6"/>
        <v>0</v>
      </c>
      <c r="AD49" s="108">
        <v>1287</v>
      </c>
      <c r="AE49" s="109">
        <f t="shared" si="7"/>
        <v>1287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20</v>
      </c>
      <c r="S50" s="106">
        <f t="shared" si="1"/>
        <v>467</v>
      </c>
      <c r="T50" s="106">
        <v>954</v>
      </c>
      <c r="U50" s="106">
        <f t="shared" si="2"/>
        <v>158</v>
      </c>
      <c r="V50" s="106">
        <v>1270</v>
      </c>
      <c r="W50" s="106">
        <f t="shared" si="3"/>
        <v>73</v>
      </c>
      <c r="X50" s="106">
        <v>1416</v>
      </c>
      <c r="Y50" s="106">
        <f t="shared" si="4"/>
        <v>0</v>
      </c>
      <c r="Z50" s="106">
        <v>1416</v>
      </c>
      <c r="AA50" s="106">
        <f t="shared" si="5"/>
        <v>0</v>
      </c>
      <c r="AB50" s="106">
        <v>1416</v>
      </c>
      <c r="AC50" s="106">
        <f t="shared" si="6"/>
        <v>0</v>
      </c>
      <c r="AD50" s="106">
        <v>1416</v>
      </c>
      <c r="AE50" s="107">
        <f t="shared" si="7"/>
        <v>1416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1000</v>
      </c>
      <c r="S51" s="108">
        <f t="shared" si="1"/>
        <v>0</v>
      </c>
      <c r="T51" s="108">
        <v>1000</v>
      </c>
      <c r="U51" s="108">
        <f t="shared" si="2"/>
        <v>921</v>
      </c>
      <c r="V51" s="108">
        <v>2842</v>
      </c>
      <c r="W51" s="108">
        <f t="shared" si="3"/>
        <v>-139</v>
      </c>
      <c r="X51" s="108">
        <v>2564</v>
      </c>
      <c r="Y51" s="108">
        <f t="shared" si="4"/>
        <v>0</v>
      </c>
      <c r="Z51" s="108">
        <v>2564</v>
      </c>
      <c r="AA51" s="108">
        <f t="shared" si="5"/>
        <v>0</v>
      </c>
      <c r="AB51" s="108">
        <v>2564</v>
      </c>
      <c r="AC51" s="108">
        <f t="shared" si="6"/>
        <v>0</v>
      </c>
      <c r="AD51" s="108">
        <v>2564</v>
      </c>
      <c r="AE51" s="109">
        <f t="shared" si="7"/>
        <v>2564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1244</v>
      </c>
      <c r="S52" s="106">
        <f t="shared" si="1"/>
        <v>-22</v>
      </c>
      <c r="T52" s="106">
        <v>1200</v>
      </c>
      <c r="U52" s="106">
        <f t="shared" si="2"/>
        <v>11.5</v>
      </c>
      <c r="V52" s="106">
        <v>1223</v>
      </c>
      <c r="W52" s="106">
        <f t="shared" si="3"/>
        <v>562</v>
      </c>
      <c r="X52" s="106">
        <v>2347</v>
      </c>
      <c r="Y52" s="106">
        <f t="shared" si="4"/>
        <v>0</v>
      </c>
      <c r="Z52" s="106">
        <v>2347</v>
      </c>
      <c r="AA52" s="106">
        <f t="shared" si="5"/>
        <v>0</v>
      </c>
      <c r="AB52" s="106">
        <v>2347</v>
      </c>
      <c r="AC52" s="106">
        <f t="shared" si="6"/>
        <v>0</v>
      </c>
      <c r="AD52" s="106">
        <v>2347</v>
      </c>
      <c r="AE52" s="107">
        <f t="shared" si="7"/>
        <v>2347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>
        <f t="shared" si="2"/>
        <v>100.5</v>
      </c>
      <c r="V53" s="108">
        <v>1161</v>
      </c>
      <c r="W53" s="108">
        <f t="shared" si="3"/>
        <v>0</v>
      </c>
      <c r="X53" s="108">
        <v>1161</v>
      </c>
      <c r="Y53" s="108">
        <f t="shared" si="4"/>
        <v>0</v>
      </c>
      <c r="Z53" s="108">
        <v>1161</v>
      </c>
      <c r="AA53" s="108">
        <f t="shared" si="5"/>
        <v>0</v>
      </c>
      <c r="AB53" s="108">
        <v>1161</v>
      </c>
      <c r="AC53" s="108">
        <f t="shared" si="6"/>
        <v>0</v>
      </c>
      <c r="AD53" s="108">
        <v>1161</v>
      </c>
      <c r="AE53" s="109">
        <f t="shared" si="7"/>
        <v>1161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50</v>
      </c>
      <c r="S57" s="104">
        <f t="shared" si="1"/>
        <v>0</v>
      </c>
      <c r="T57" s="104">
        <v>50</v>
      </c>
      <c r="U57" s="104">
        <f t="shared" si="2"/>
        <v>0</v>
      </c>
      <c r="V57" s="104">
        <v>50</v>
      </c>
      <c r="W57" s="104">
        <f t="shared" si="3"/>
        <v>0</v>
      </c>
      <c r="X57" s="104">
        <v>50</v>
      </c>
      <c r="Y57" s="104">
        <f t="shared" si="4"/>
        <v>0</v>
      </c>
      <c r="Z57" s="104">
        <v>50</v>
      </c>
      <c r="AA57" s="104">
        <f t="shared" si="5"/>
        <v>0</v>
      </c>
      <c r="AB57" s="104">
        <v>50</v>
      </c>
      <c r="AC57" s="104">
        <f t="shared" si="6"/>
        <v>0</v>
      </c>
      <c r="AD57" s="104">
        <v>50</v>
      </c>
      <c r="AE57" s="105">
        <f t="shared" si="7"/>
        <v>50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1249</v>
      </c>
      <c r="S58" s="106">
        <f t="shared" si="1"/>
        <v>0</v>
      </c>
      <c r="T58" s="106">
        <v>1249</v>
      </c>
      <c r="U58" s="106">
        <f t="shared" si="2"/>
        <v>0</v>
      </c>
      <c r="V58" s="106">
        <v>1249</v>
      </c>
      <c r="W58" s="106">
        <f t="shared" si="3"/>
        <v>0</v>
      </c>
      <c r="X58" s="106">
        <v>1249</v>
      </c>
      <c r="Y58" s="106">
        <f t="shared" si="4"/>
        <v>0</v>
      </c>
      <c r="Z58" s="106">
        <v>1249</v>
      </c>
      <c r="AA58" s="106">
        <f t="shared" si="5"/>
        <v>0</v>
      </c>
      <c r="AB58" s="106">
        <v>1249</v>
      </c>
      <c r="AC58" s="106">
        <f t="shared" si="6"/>
        <v>0</v>
      </c>
      <c r="AD58" s="106">
        <v>1249</v>
      </c>
      <c r="AE58" s="107">
        <f t="shared" si="7"/>
        <v>1249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1854</v>
      </c>
      <c r="S59" s="108">
        <f t="shared" si="1"/>
        <v>6.5</v>
      </c>
      <c r="T59" s="108">
        <v>1867</v>
      </c>
      <c r="U59" s="108">
        <f t="shared" si="2"/>
        <v>0</v>
      </c>
      <c r="V59" s="108">
        <v>1867</v>
      </c>
      <c r="W59" s="108">
        <f t="shared" si="3"/>
        <v>0</v>
      </c>
      <c r="X59" s="108">
        <v>1867</v>
      </c>
      <c r="Y59" s="108">
        <f t="shared" si="4"/>
        <v>0</v>
      </c>
      <c r="Z59" s="108">
        <v>1867</v>
      </c>
      <c r="AA59" s="108">
        <f t="shared" si="5"/>
        <v>0</v>
      </c>
      <c r="AB59" s="108">
        <v>1867</v>
      </c>
      <c r="AC59" s="108">
        <f t="shared" si="6"/>
        <v>0</v>
      </c>
      <c r="AD59" s="108">
        <v>1867</v>
      </c>
      <c r="AE59" s="109">
        <f t="shared" si="7"/>
        <v>1867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1177</v>
      </c>
      <c r="S60" s="114">
        <f t="shared" si="1"/>
        <v>513</v>
      </c>
      <c r="T60" s="114">
        <v>2203</v>
      </c>
      <c r="U60" s="114">
        <f t="shared" si="2"/>
        <v>0</v>
      </c>
      <c r="V60" s="114">
        <v>2203</v>
      </c>
      <c r="W60" s="114">
        <f t="shared" si="3"/>
        <v>0</v>
      </c>
      <c r="X60" s="114">
        <v>2203</v>
      </c>
      <c r="Y60" s="114">
        <f t="shared" si="4"/>
        <v>0</v>
      </c>
      <c r="Z60" s="114">
        <v>2203</v>
      </c>
      <c r="AA60" s="114">
        <f t="shared" si="5"/>
        <v>0</v>
      </c>
      <c r="AB60" s="114">
        <v>2203</v>
      </c>
      <c r="AC60" s="114">
        <f t="shared" si="6"/>
        <v>0</v>
      </c>
      <c r="AD60" s="114">
        <v>2203</v>
      </c>
      <c r="AE60" s="115">
        <f t="shared" si="7"/>
        <v>2203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807</v>
      </c>
      <c r="S61" s="104">
        <f t="shared" si="1"/>
        <v>165</v>
      </c>
      <c r="T61" s="104">
        <v>1137</v>
      </c>
      <c r="U61" s="104">
        <f t="shared" si="2"/>
        <v>234</v>
      </c>
      <c r="V61" s="104">
        <v>1605</v>
      </c>
      <c r="W61" s="104">
        <f t="shared" si="3"/>
        <v>142</v>
      </c>
      <c r="X61" s="104">
        <v>1889</v>
      </c>
      <c r="Y61" s="104">
        <f t="shared" si="4"/>
        <v>-98</v>
      </c>
      <c r="Z61" s="104">
        <v>1693</v>
      </c>
      <c r="AA61" s="104">
        <f t="shared" si="5"/>
        <v>0</v>
      </c>
      <c r="AB61" s="104">
        <v>1693</v>
      </c>
      <c r="AC61" s="104">
        <f t="shared" si="6"/>
        <v>0</v>
      </c>
      <c r="AD61" s="104">
        <v>1693</v>
      </c>
      <c r="AE61" s="105">
        <f t="shared" si="7"/>
        <v>1693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114</v>
      </c>
      <c r="S62" s="106">
        <f t="shared" si="1"/>
        <v>181.5</v>
      </c>
      <c r="T62" s="106">
        <v>477</v>
      </c>
      <c r="U62" s="106">
        <f t="shared" si="2"/>
        <v>327</v>
      </c>
      <c r="V62" s="106">
        <v>1131</v>
      </c>
      <c r="W62" s="106">
        <f t="shared" si="3"/>
        <v>135</v>
      </c>
      <c r="X62" s="106">
        <v>1401</v>
      </c>
      <c r="Y62" s="106">
        <f t="shared" si="4"/>
        <v>18.5</v>
      </c>
      <c r="Z62" s="106">
        <v>1438</v>
      </c>
      <c r="AA62" s="106">
        <f t="shared" si="5"/>
        <v>0</v>
      </c>
      <c r="AB62" s="106">
        <v>1438</v>
      </c>
      <c r="AC62" s="106">
        <f t="shared" si="6"/>
        <v>0</v>
      </c>
      <c r="AD62" s="106">
        <v>1438</v>
      </c>
      <c r="AE62" s="107">
        <f t="shared" si="7"/>
        <v>1438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274</v>
      </c>
      <c r="S63" s="108">
        <f t="shared" si="1"/>
        <v>0</v>
      </c>
      <c r="T63" s="108">
        <v>274</v>
      </c>
      <c r="U63" s="108">
        <f t="shared" si="2"/>
        <v>116</v>
      </c>
      <c r="V63" s="108">
        <v>506</v>
      </c>
      <c r="W63" s="108">
        <f t="shared" si="3"/>
        <v>208.5</v>
      </c>
      <c r="X63" s="108">
        <v>923</v>
      </c>
      <c r="Y63" s="108">
        <f t="shared" si="4"/>
        <v>296.5</v>
      </c>
      <c r="Z63" s="108">
        <v>1516</v>
      </c>
      <c r="AA63" s="108">
        <f t="shared" si="5"/>
        <v>0</v>
      </c>
      <c r="AB63" s="108">
        <v>1516</v>
      </c>
      <c r="AC63" s="108">
        <f t="shared" si="6"/>
        <v>0</v>
      </c>
      <c r="AD63" s="108">
        <v>1516</v>
      </c>
      <c r="AE63" s="109">
        <f t="shared" si="7"/>
        <v>1516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1471</v>
      </c>
      <c r="S64" s="114">
        <f t="shared" si="1"/>
        <v>132</v>
      </c>
      <c r="T64" s="114">
        <v>1735</v>
      </c>
      <c r="U64" s="114">
        <f t="shared" si="2"/>
        <v>402</v>
      </c>
      <c r="V64" s="114">
        <v>2539</v>
      </c>
      <c r="W64" s="114">
        <f t="shared" si="3"/>
        <v>36</v>
      </c>
      <c r="X64" s="114">
        <v>2611</v>
      </c>
      <c r="Y64" s="114">
        <f t="shared" si="4"/>
        <v>-309.5</v>
      </c>
      <c r="Z64" s="114">
        <v>1992</v>
      </c>
      <c r="AA64" s="114">
        <f t="shared" si="5"/>
        <v>0</v>
      </c>
      <c r="AB64" s="114">
        <v>1992</v>
      </c>
      <c r="AC64" s="114">
        <f t="shared" si="6"/>
        <v>0</v>
      </c>
      <c r="AD64" s="114">
        <v>1992</v>
      </c>
      <c r="AE64" s="115">
        <f t="shared" si="7"/>
        <v>1992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55" priority="11" operator="lessThan">
      <formula>0</formula>
    </cfRule>
    <cfRule type="cellIs" dxfId="454" priority="12" operator="greaterThan">
      <formula>0</formula>
    </cfRule>
  </conditionalFormatting>
  <conditionalFormatting sqref="R25:AC25">
    <cfRule type="cellIs" dxfId="453" priority="9" operator="lessThan">
      <formula>0</formula>
    </cfRule>
    <cfRule type="cellIs" dxfId="452" priority="10" operator="greaterThan">
      <formula>0</formula>
    </cfRule>
  </conditionalFormatting>
  <conditionalFormatting sqref="R26 T26 V26 X26 Z26 AB26">
    <cfRule type="cellIs" dxfId="451" priority="7" operator="lessThan">
      <formula>0</formula>
    </cfRule>
    <cfRule type="cellIs" dxfId="450" priority="8" operator="greaterThan">
      <formula>0</formula>
    </cfRule>
  </conditionalFormatting>
  <conditionalFormatting sqref="AD24:AE24">
    <cfRule type="cellIs" dxfId="449" priority="5" operator="lessThan">
      <formula>0</formula>
    </cfRule>
    <cfRule type="cellIs" dxfId="448" priority="6" operator="greaterThan">
      <formula>0</formula>
    </cfRule>
  </conditionalFormatting>
  <conditionalFormatting sqref="AD25:AE25">
    <cfRule type="cellIs" dxfId="447" priority="3" operator="lessThan">
      <formula>0</formula>
    </cfRule>
    <cfRule type="cellIs" dxfId="446" priority="4" operator="greaterThan">
      <formula>0</formula>
    </cfRule>
  </conditionalFormatting>
  <conditionalFormatting sqref="AD26">
    <cfRule type="cellIs" dxfId="445" priority="1" operator="lessThan">
      <formula>0</formula>
    </cfRule>
    <cfRule type="cellIs" dxfId="44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>
    <tabColor theme="1"/>
    <pageSetUpPr fitToPage="1"/>
  </sheetPr>
  <dimension ref="B1:AQ64"/>
  <sheetViews>
    <sheetView topLeftCell="C1"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44481</v>
      </c>
    </row>
    <row r="3" spans="2:42" ht="18.75" customHeight="1" thickBot="1" x14ac:dyDescent="0.35">
      <c r="B3" t="s">
        <v>1</v>
      </c>
      <c r="C3" s="3">
        <f>C2+1</f>
        <v>44482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4928</v>
      </c>
      <c r="E6" s="18" t="s">
        <v>22</v>
      </c>
      <c r="F6" s="119">
        <v>23571</v>
      </c>
      <c r="G6" s="117">
        <v>13355.018249999999</v>
      </c>
      <c r="H6" s="117">
        <v>899.94767499999989</v>
      </c>
      <c r="I6" s="19">
        <f>G6+H6</f>
        <v>14254.965924999999</v>
      </c>
      <c r="J6" s="119">
        <v>20349</v>
      </c>
      <c r="K6" s="117">
        <v>10065.784250000001</v>
      </c>
      <c r="L6" s="117">
        <v>939.38046249999991</v>
      </c>
      <c r="M6" s="19">
        <f>K6+L6</f>
        <v>11005.1647125</v>
      </c>
      <c r="N6" s="85">
        <v>61</v>
      </c>
      <c r="O6" s="85">
        <v>56</v>
      </c>
      <c r="P6" s="92"/>
      <c r="Q6" s="20">
        <f>J6-P6</f>
        <v>20349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3490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2328</v>
      </c>
      <c r="E8" s="29" t="s">
        <v>27</v>
      </c>
      <c r="F8" s="119">
        <v>4832</v>
      </c>
      <c r="G8" s="117">
        <v>9574.0960000000014</v>
      </c>
      <c r="H8" s="117">
        <v>53924.400429333313</v>
      </c>
      <c r="I8" s="19">
        <f>G8+H8</f>
        <v>63498.496429333318</v>
      </c>
      <c r="J8" s="119">
        <v>4459</v>
      </c>
      <c r="K8" s="117">
        <v>7912.32</v>
      </c>
      <c r="L8" s="117">
        <v>50265.123233279963</v>
      </c>
      <c r="M8" s="19">
        <f>K8+L8</f>
        <v>58177.443233279962</v>
      </c>
      <c r="N8" s="87">
        <v>21</v>
      </c>
      <c r="O8" s="87">
        <v>16</v>
      </c>
      <c r="P8" s="92"/>
      <c r="Q8" s="20">
        <f>J8-P8</f>
        <v>4459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1743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3807</v>
      </c>
      <c r="E10" s="18" t="s">
        <v>31</v>
      </c>
      <c r="F10" s="119">
        <v>19586</v>
      </c>
      <c r="G10" s="117">
        <v>14126.2655</v>
      </c>
      <c r="H10" s="117">
        <v>429.99177500000008</v>
      </c>
      <c r="I10" s="19">
        <f>G10+H10</f>
        <v>14556.257275</v>
      </c>
      <c r="J10" s="119">
        <v>21228</v>
      </c>
      <c r="K10" s="117">
        <v>15275.474</v>
      </c>
      <c r="L10" s="117">
        <v>429.03917949999999</v>
      </c>
      <c r="M10" s="19">
        <f>K10+L10</f>
        <v>15704.5131795</v>
      </c>
      <c r="N10" s="88">
        <v>40</v>
      </c>
      <c r="O10" s="88">
        <v>38</v>
      </c>
      <c r="P10" s="92"/>
      <c r="Q10" s="20">
        <f>J10-P10</f>
        <v>21228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8665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3742</v>
      </c>
      <c r="E12" s="29" t="s">
        <v>35</v>
      </c>
      <c r="F12" s="119">
        <v>12494</v>
      </c>
      <c r="G12" s="117">
        <v>12051.69175</v>
      </c>
      <c r="H12" s="117">
        <v>17514.807013499991</v>
      </c>
      <c r="I12" s="19">
        <f>G12+H12</f>
        <v>29566.498763499992</v>
      </c>
      <c r="J12" s="119">
        <v>12696</v>
      </c>
      <c r="K12" s="117">
        <v>12267.969499999999</v>
      </c>
      <c r="L12" s="117">
        <v>17234.63407375001</v>
      </c>
      <c r="M12" s="19">
        <f>K12+L12</f>
        <v>29502.60357375001</v>
      </c>
      <c r="N12" s="88">
        <v>49</v>
      </c>
      <c r="O12" s="88">
        <v>41</v>
      </c>
      <c r="P12" s="92"/>
      <c r="Q12" s="20">
        <f>J12-P12</f>
        <v>12696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15805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2314</v>
      </c>
      <c r="E14" s="18" t="s">
        <v>39</v>
      </c>
      <c r="F14" s="119">
        <v>24157</v>
      </c>
      <c r="G14" s="117">
        <v>18811.599999999999</v>
      </c>
      <c r="H14" s="117">
        <v>37737.600524059977</v>
      </c>
      <c r="I14" s="19">
        <f>G14+H14</f>
        <v>56549.200524059976</v>
      </c>
      <c r="J14" s="119">
        <v>24248</v>
      </c>
      <c r="K14" s="117">
        <v>18863.76425</v>
      </c>
      <c r="L14" s="117">
        <v>37809.839427320003</v>
      </c>
      <c r="M14" s="19">
        <f>K14+L14</f>
        <v>56673.603677320003</v>
      </c>
      <c r="N14" s="88">
        <v>61</v>
      </c>
      <c r="O14" s="88">
        <v>54</v>
      </c>
      <c r="P14" s="92"/>
      <c r="Q14" s="20">
        <f>J14-P14</f>
        <v>24248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596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9242</v>
      </c>
      <c r="E16" s="84"/>
      <c r="F16" s="31">
        <f t="shared" ref="F16:M16" si="0">SUM(F6:F15)</f>
        <v>84640</v>
      </c>
      <c r="G16" s="31">
        <f t="shared" si="0"/>
        <v>67918.671499999997</v>
      </c>
      <c r="H16" s="31">
        <f t="shared" si="0"/>
        <v>110506.74741689328</v>
      </c>
      <c r="I16" s="32">
        <f t="shared" si="0"/>
        <v>178425.41891689328</v>
      </c>
      <c r="J16" s="33">
        <f t="shared" si="0"/>
        <v>82980</v>
      </c>
      <c r="K16" s="33">
        <f t="shared" si="0"/>
        <v>64385.311999999998</v>
      </c>
      <c r="L16" s="33">
        <f t="shared" si="0"/>
        <v>106678.01637634999</v>
      </c>
      <c r="M16" s="33">
        <f t="shared" si="0"/>
        <v>171063.32837634999</v>
      </c>
      <c r="N16" s="31">
        <f>SUM(N14,N12,N10,N8,N6)</f>
        <v>232</v>
      </c>
      <c r="O16" s="31">
        <f>SUM(O14,O12,O10,O8,O6)</f>
        <v>205</v>
      </c>
      <c r="P16" s="34">
        <f>SUM(P6:P15)</f>
        <v>0</v>
      </c>
      <c r="Q16" s="34">
        <f>SUM(Q6:Q15)</f>
        <v>82980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1845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27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4679</v>
      </c>
      <c r="O18" s="125">
        <f>O17/N16</f>
        <v>0.11637931034482758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13488</v>
      </c>
      <c r="D26" s="76">
        <f>C11</f>
        <v>8665</v>
      </c>
      <c r="E26" s="77">
        <f>D26-C26</f>
        <v>-4823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32891</v>
      </c>
      <c r="D27" s="76">
        <f>C7+C12+C13+C14+C15</f>
        <v>25947</v>
      </c>
      <c r="E27" s="77">
        <f>D27-C27</f>
        <v>-6944</v>
      </c>
      <c r="O27" s="4"/>
      <c r="AF27" s="69"/>
    </row>
    <row r="28" spans="2:43" x14ac:dyDescent="0.3">
      <c r="B28" s="74" t="s">
        <v>21</v>
      </c>
      <c r="C28" s="122">
        <v>4928</v>
      </c>
      <c r="D28" s="76">
        <f>C6</f>
        <v>4928</v>
      </c>
      <c r="E28" s="77">
        <f>D28-C28</f>
        <v>0</v>
      </c>
      <c r="O28" s="4"/>
    </row>
    <row r="29" spans="2:43" x14ac:dyDescent="0.3">
      <c r="B29" s="74" t="s">
        <v>57</v>
      </c>
      <c r="C29" s="122">
        <v>3807</v>
      </c>
      <c r="D29" s="76">
        <f>C10</f>
        <v>3807</v>
      </c>
      <c r="E29" s="77">
        <f>D29-C29</f>
        <v>0</v>
      </c>
      <c r="O29" s="4"/>
    </row>
    <row r="30" spans="2:43" x14ac:dyDescent="0.3">
      <c r="B30" s="74" t="s">
        <v>59</v>
      </c>
      <c r="C30" s="122">
        <v>15460</v>
      </c>
      <c r="D30" s="76">
        <f>C16+C17+C18</f>
        <v>15766</v>
      </c>
      <c r="E30" s="77">
        <f>D30-C30</f>
        <v>306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4071</v>
      </c>
      <c r="D31" s="80">
        <f>SUM(C8+C9)</f>
        <v>4071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43" priority="11" operator="lessThan">
      <formula>0</formula>
    </cfRule>
    <cfRule type="cellIs" dxfId="442" priority="12" operator="greaterThan">
      <formula>0</formula>
    </cfRule>
  </conditionalFormatting>
  <conditionalFormatting sqref="R25:AC25">
    <cfRule type="cellIs" dxfId="441" priority="9" operator="lessThan">
      <formula>0</formula>
    </cfRule>
    <cfRule type="cellIs" dxfId="440" priority="10" operator="greaterThan">
      <formula>0</formula>
    </cfRule>
  </conditionalFormatting>
  <conditionalFormatting sqref="R26 T26 V26 X26 Z26 AB26">
    <cfRule type="cellIs" dxfId="439" priority="7" operator="lessThan">
      <formula>0</formula>
    </cfRule>
    <cfRule type="cellIs" dxfId="438" priority="8" operator="greaterThan">
      <formula>0</formula>
    </cfRule>
  </conditionalFormatting>
  <conditionalFormatting sqref="AD24:AE24">
    <cfRule type="cellIs" dxfId="437" priority="5" operator="lessThan">
      <formula>0</formula>
    </cfRule>
    <cfRule type="cellIs" dxfId="436" priority="6" operator="greaterThan">
      <formula>0</formula>
    </cfRule>
  </conditionalFormatting>
  <conditionalFormatting sqref="AD25:AE25">
    <cfRule type="cellIs" dxfId="435" priority="3" operator="lessThan">
      <formula>0</formula>
    </cfRule>
    <cfRule type="cellIs" dxfId="434" priority="4" operator="greaterThan">
      <formula>0</formula>
    </cfRule>
  </conditionalFormatting>
  <conditionalFormatting sqref="AD26">
    <cfRule type="cellIs" dxfId="433" priority="1" operator="lessThan">
      <formula>0</formula>
    </cfRule>
    <cfRule type="cellIs" dxfId="43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>
    <tabColor theme="1"/>
    <pageSetUpPr fitToPage="1"/>
  </sheetPr>
  <dimension ref="B1:AQ64"/>
  <sheetViews>
    <sheetView topLeftCell="C1" zoomScale="70" zoomScaleNormal="7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44482</v>
      </c>
    </row>
    <row r="3" spans="2:42" ht="18.75" customHeight="1" thickBot="1" x14ac:dyDescent="0.35">
      <c r="B3" t="s">
        <v>1</v>
      </c>
      <c r="C3" s="3">
        <f>C2+1</f>
        <v>44483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19196</v>
      </c>
      <c r="G6" s="117">
        <v>9292.2444999999971</v>
      </c>
      <c r="H6" s="117">
        <v>980.82583750000003</v>
      </c>
      <c r="I6" s="19">
        <f>G6+H6</f>
        <v>10273.070337499998</v>
      </c>
      <c r="J6" s="119">
        <v>19700</v>
      </c>
      <c r="K6" s="117">
        <v>9449.61</v>
      </c>
      <c r="L6" s="117">
        <v>1022.206175</v>
      </c>
      <c r="M6" s="19">
        <f>K6+L6</f>
        <v>10471.816175</v>
      </c>
      <c r="N6" s="85">
        <v>61</v>
      </c>
      <c r="O6" s="85">
        <v>52</v>
      </c>
      <c r="P6" s="92"/>
      <c r="Q6" s="20">
        <f>J6-P6</f>
        <v>19700</v>
      </c>
      <c r="R6" s="21">
        <v>6018</v>
      </c>
      <c r="S6" s="20">
        <f>IF(R6&gt;0,(R6-R7-$Q6),"")</f>
        <v>-13705</v>
      </c>
      <c r="T6" s="21">
        <v>8109</v>
      </c>
      <c r="U6" s="20">
        <f>IF(T6&gt;0,(T6-T7-$Q6),"")</f>
        <v>-11654</v>
      </c>
      <c r="V6" s="21">
        <v>15072</v>
      </c>
      <c r="W6" s="20">
        <f>IF(V6&gt;0,(V6-V7-$Q6),"")</f>
        <v>-4697</v>
      </c>
      <c r="X6" s="21">
        <v>16505</v>
      </c>
      <c r="Y6" s="20">
        <f>IF(X6&gt;0,(X6-X7-$Q6),"")</f>
        <v>-3264</v>
      </c>
      <c r="Z6" s="21">
        <v>16505</v>
      </c>
      <c r="AA6" s="20">
        <f>IF(Z6&gt;0,(Z6-Z7-$Q6),"")</f>
        <v>-3264</v>
      </c>
      <c r="AB6" s="21">
        <v>16505</v>
      </c>
      <c r="AC6" s="22">
        <f>IF(AB6&gt;0,(AB6-AB7-$Q6),"")</f>
        <v>-3264</v>
      </c>
      <c r="AD6" s="21">
        <v>16505</v>
      </c>
      <c r="AE6" s="22">
        <f>IF(AD6&gt;0,(AD6-AD7-$Q6),"")</f>
        <v>-3264</v>
      </c>
    </row>
    <row r="7" spans="2:42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23</v>
      </c>
      <c r="S7" s="24"/>
      <c r="T7" s="25">
        <v>63</v>
      </c>
      <c r="U7" s="24"/>
      <c r="V7" s="25">
        <v>69</v>
      </c>
      <c r="W7" s="24"/>
      <c r="X7" s="25">
        <v>69</v>
      </c>
      <c r="Y7" s="24"/>
      <c r="Z7" s="25">
        <v>69</v>
      </c>
      <c r="AA7" s="24"/>
      <c r="AB7" s="25">
        <v>69</v>
      </c>
      <c r="AC7" s="26"/>
      <c r="AD7" s="25">
        <v>69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2217</v>
      </c>
      <c r="E8" s="29" t="s">
        <v>27</v>
      </c>
      <c r="F8" s="119">
        <v>3381</v>
      </c>
      <c r="G8" s="117">
        <v>4487.753999999999</v>
      </c>
      <c r="H8" s="117">
        <v>10078.85076304667</v>
      </c>
      <c r="I8" s="19">
        <f>G8+H8</f>
        <v>14566.604763046669</v>
      </c>
      <c r="J8" s="119">
        <v>3318</v>
      </c>
      <c r="K8" s="117">
        <v>4186.6774999999998</v>
      </c>
      <c r="L8" s="117">
        <v>9587.4488616666622</v>
      </c>
      <c r="M8" s="19">
        <f>K8+L8</f>
        <v>13774.126361666662</v>
      </c>
      <c r="N8" s="87">
        <v>23</v>
      </c>
      <c r="O8" s="87">
        <v>16</v>
      </c>
      <c r="P8" s="92"/>
      <c r="Q8" s="20">
        <f>J8-P8</f>
        <v>3318</v>
      </c>
      <c r="R8" s="21">
        <v>536</v>
      </c>
      <c r="S8" s="20">
        <f>IF(R8&gt;0,(R8-R9-$Q8),"")</f>
        <v>-2782</v>
      </c>
      <c r="T8" s="21">
        <v>1082</v>
      </c>
      <c r="U8" s="20">
        <f>IF(T8&gt;0,(T8-T9-$Q8),"")</f>
        <v>-2269</v>
      </c>
      <c r="V8" s="21">
        <v>2191</v>
      </c>
      <c r="W8" s="20">
        <f>IF(V8&gt;0,(V8-V9-$Q8),"")</f>
        <v>-1160</v>
      </c>
      <c r="X8" s="21">
        <v>2191</v>
      </c>
      <c r="Y8" s="20">
        <f>IF(X8&gt;0,(X8-X9-$Q8),"")</f>
        <v>-1160</v>
      </c>
      <c r="Z8" s="21">
        <v>2191</v>
      </c>
      <c r="AA8" s="20">
        <f>IF(Z8&gt;0,(Z8-Z9-$Q8),"")</f>
        <v>-1160</v>
      </c>
      <c r="AB8" s="21">
        <v>2191</v>
      </c>
      <c r="AC8" s="22">
        <f>IF(AB8&gt;0,(AB8-AB9-$Q8),"")</f>
        <v>-1160</v>
      </c>
      <c r="AD8" s="21">
        <v>2191</v>
      </c>
      <c r="AE8" s="22">
        <f>IF(AD8&gt;0,(AD8-AD9-$Q8),"")</f>
        <v>-1160</v>
      </c>
    </row>
    <row r="9" spans="2:42" x14ac:dyDescent="0.3">
      <c r="B9" s="28" t="s">
        <v>28</v>
      </c>
      <c r="C9" s="17">
        <v>1631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33</v>
      </c>
      <c r="U9" s="24"/>
      <c r="V9" s="30">
        <v>33</v>
      </c>
      <c r="W9" s="24"/>
      <c r="X9" s="30">
        <v>33</v>
      </c>
      <c r="Y9" s="24"/>
      <c r="Z9" s="30">
        <v>33</v>
      </c>
      <c r="AA9" s="24"/>
      <c r="AB9" s="30">
        <v>33</v>
      </c>
      <c r="AC9" s="26"/>
      <c r="AD9" s="30">
        <v>33</v>
      </c>
      <c r="AE9" s="26"/>
    </row>
    <row r="10" spans="2:42" x14ac:dyDescent="0.3">
      <c r="B10" s="16" t="s">
        <v>30</v>
      </c>
      <c r="C10" s="17">
        <v>2295</v>
      </c>
      <c r="E10" s="18" t="s">
        <v>31</v>
      </c>
      <c r="F10" s="119">
        <v>19268</v>
      </c>
      <c r="G10" s="117">
        <v>14864.108</v>
      </c>
      <c r="H10" s="117">
        <v>461.75094000000001</v>
      </c>
      <c r="I10" s="19">
        <f>G10+H10</f>
        <v>15325.85894</v>
      </c>
      <c r="J10" s="119">
        <v>10859</v>
      </c>
      <c r="K10" s="117">
        <v>7818.5034999999998</v>
      </c>
      <c r="L10" s="117">
        <v>464.05882550000001</v>
      </c>
      <c r="M10" s="19">
        <f>K10+L10</f>
        <v>8282.5623254999991</v>
      </c>
      <c r="N10" s="88">
        <v>40</v>
      </c>
      <c r="O10" s="88">
        <v>36</v>
      </c>
      <c r="P10" s="92"/>
      <c r="Q10" s="20">
        <f>J10-P10</f>
        <v>10859</v>
      </c>
      <c r="R10" s="21">
        <v>3876</v>
      </c>
      <c r="S10" s="20">
        <f>IF(R10&gt;0,(R10-R11-$Q10),"")</f>
        <v>-8740</v>
      </c>
      <c r="T10" s="21">
        <v>5469</v>
      </c>
      <c r="U10" s="20">
        <f>IF(T10&gt;0,(T10-T11-$Q10),"")</f>
        <v>-7795</v>
      </c>
      <c r="V10" s="21">
        <v>7908</v>
      </c>
      <c r="W10" s="20">
        <f>IF(V10&gt;0,(V10-V11-$Q10),"")</f>
        <v>-6198</v>
      </c>
      <c r="X10" s="21">
        <v>8990</v>
      </c>
      <c r="Y10" s="20">
        <f>IF(X10&gt;0,(X10-X11-$Q10),"")</f>
        <v>-5594</v>
      </c>
      <c r="Z10" s="21">
        <v>10575</v>
      </c>
      <c r="AA10" s="20">
        <f>IF(Z10&gt;0,(Z10-Z11-$Q10),"")</f>
        <v>-4009</v>
      </c>
      <c r="AB10" s="21">
        <v>10575</v>
      </c>
      <c r="AC10" s="22">
        <f>IF(AB10&gt;0,(AB10-AB11-$Q10),"")</f>
        <v>-4009</v>
      </c>
      <c r="AD10" s="21">
        <v>10575</v>
      </c>
      <c r="AE10" s="22">
        <f>IF(AD10&gt;0,(AD10-AD11-$Q10),"")</f>
        <v>-4009</v>
      </c>
    </row>
    <row r="11" spans="2:42" x14ac:dyDescent="0.3">
      <c r="B11" s="16" t="s">
        <v>38</v>
      </c>
      <c r="C11" s="17">
        <v>10284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1757</v>
      </c>
      <c r="S11" s="24"/>
      <c r="T11" s="30">
        <v>2405</v>
      </c>
      <c r="U11" s="24"/>
      <c r="V11" s="30">
        <v>3247</v>
      </c>
      <c r="W11" s="24"/>
      <c r="X11" s="30">
        <v>3725</v>
      </c>
      <c r="Y11" s="24"/>
      <c r="Z11" s="30">
        <v>3725</v>
      </c>
      <c r="AA11" s="24"/>
      <c r="AB11" s="30">
        <v>3725</v>
      </c>
      <c r="AC11" s="26"/>
      <c r="AD11" s="30">
        <v>3725</v>
      </c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13486</v>
      </c>
      <c r="G12" s="117">
        <v>13276.169250000001</v>
      </c>
      <c r="H12" s="117">
        <v>16483.708458770001</v>
      </c>
      <c r="I12" s="19">
        <f>G12+H12</f>
        <v>29759.87770877</v>
      </c>
      <c r="J12" s="119">
        <v>13689</v>
      </c>
      <c r="K12" s="117">
        <v>13260.01575</v>
      </c>
      <c r="L12" s="117">
        <v>15348.559895640001</v>
      </c>
      <c r="M12" s="19">
        <f>K12+L12</f>
        <v>28608.575645640001</v>
      </c>
      <c r="N12" s="88">
        <v>48</v>
      </c>
      <c r="O12" s="88">
        <v>40</v>
      </c>
      <c r="P12" s="92"/>
      <c r="Q12" s="20">
        <f>J12-P12</f>
        <v>13689</v>
      </c>
      <c r="R12" s="21">
        <v>6510</v>
      </c>
      <c r="S12" s="20">
        <f>IF(R12&gt;0,(R12-R13-$Q12),"")</f>
        <v>-7490</v>
      </c>
      <c r="T12" s="21">
        <v>7563</v>
      </c>
      <c r="U12" s="20">
        <f>IF(T12&gt;0,(T12-T13-$Q12),"")</f>
        <v>-6503</v>
      </c>
      <c r="V12" s="21">
        <v>9983</v>
      </c>
      <c r="W12" s="20">
        <f>IF(V12&gt;0,(V12-V13-$Q12),"")</f>
        <v>-4138</v>
      </c>
      <c r="X12" s="21">
        <v>12115</v>
      </c>
      <c r="Y12" s="20">
        <f>IF(X12&gt;0,(X12-X13-$Q12),"")</f>
        <v>-2027</v>
      </c>
      <c r="Z12" s="21">
        <v>12115</v>
      </c>
      <c r="AA12" s="20">
        <f>IF(Z12&gt;0,(Z12-Z13-$Q12),"")</f>
        <v>-2027</v>
      </c>
      <c r="AB12" s="21">
        <v>12115</v>
      </c>
      <c r="AC12" s="22">
        <f>IF(AB12&gt;0,(AB12-AB13-$Q12),"")</f>
        <v>-2027</v>
      </c>
      <c r="AD12" s="21">
        <v>12115</v>
      </c>
      <c r="AE12" s="22">
        <f>IF(AD12&gt;0,(AD12-AD13-$Q12),"")</f>
        <v>-2027</v>
      </c>
    </row>
    <row r="13" spans="2:42" x14ac:dyDescent="0.3">
      <c r="B13" s="28" t="s">
        <v>42</v>
      </c>
      <c r="C13" s="17">
        <v>15508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311</v>
      </c>
      <c r="S13" s="24"/>
      <c r="T13" s="30">
        <v>377</v>
      </c>
      <c r="U13" s="24"/>
      <c r="V13" s="30">
        <v>432</v>
      </c>
      <c r="W13" s="24"/>
      <c r="X13" s="30">
        <v>453</v>
      </c>
      <c r="Y13" s="24"/>
      <c r="Z13" s="30">
        <v>453</v>
      </c>
      <c r="AA13" s="24"/>
      <c r="AB13" s="30">
        <v>453</v>
      </c>
      <c r="AC13" s="26"/>
      <c r="AD13" s="30">
        <v>453</v>
      </c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18641</v>
      </c>
      <c r="G14" s="117">
        <v>15450.223749999999</v>
      </c>
      <c r="H14" s="117">
        <v>20461.463020379979</v>
      </c>
      <c r="I14" s="19">
        <f>G14+H14</f>
        <v>35911.68677037998</v>
      </c>
      <c r="J14" s="119">
        <v>17676</v>
      </c>
      <c r="K14" s="117">
        <v>14263.268749999999</v>
      </c>
      <c r="L14" s="117">
        <v>19261.992089259991</v>
      </c>
      <c r="M14" s="19">
        <f>K14+L14</f>
        <v>33525.260839259994</v>
      </c>
      <c r="N14" s="88">
        <v>58</v>
      </c>
      <c r="O14" s="88">
        <v>46</v>
      </c>
      <c r="P14" s="92"/>
      <c r="Q14" s="20">
        <f>J14-P14</f>
        <v>17676</v>
      </c>
      <c r="R14" s="21">
        <v>4242</v>
      </c>
      <c r="S14" s="20">
        <f>IF(R14&gt;0,(R14-R15-$Q14),"")</f>
        <v>-13434</v>
      </c>
      <c r="T14" s="21">
        <v>5534</v>
      </c>
      <c r="U14" s="20">
        <f>IF(T14&gt;0,(T14-T15-$Q14),"")</f>
        <v>-12142</v>
      </c>
      <c r="V14" s="21">
        <v>7522</v>
      </c>
      <c r="W14" s="20">
        <f>IF(V14&gt;0,(V14-V15-$Q14),"")</f>
        <v>-10168</v>
      </c>
      <c r="X14" s="21">
        <v>6215</v>
      </c>
      <c r="Y14" s="20">
        <f>IF(X14&gt;0,(X14-X15-$Q14),"")</f>
        <v>-11475</v>
      </c>
      <c r="Z14" s="21">
        <v>6215</v>
      </c>
      <c r="AA14" s="20">
        <f>IF(Z14&gt;0,(Z14-Z15-$Q14),"")</f>
        <v>-11475</v>
      </c>
      <c r="AB14" s="21">
        <v>6215</v>
      </c>
      <c r="AC14" s="22">
        <f>IF(AB14&gt;0,(AB14-AB15-$Q14),"")</f>
        <v>-11475</v>
      </c>
      <c r="AD14" s="21">
        <v>6215</v>
      </c>
      <c r="AE14" s="22">
        <f>IF(AD14&gt;0,(AD14-AD15-$Q14),"")</f>
        <v>-11475</v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14</v>
      </c>
      <c r="W15" s="24"/>
      <c r="X15" s="25">
        <v>14</v>
      </c>
      <c r="Y15" s="24"/>
      <c r="Z15" s="25">
        <v>14</v>
      </c>
      <c r="AA15" s="24"/>
      <c r="AB15" s="25">
        <v>14</v>
      </c>
      <c r="AC15" s="26"/>
      <c r="AD15" s="25">
        <v>14</v>
      </c>
      <c r="AE15" s="26"/>
    </row>
    <row r="16" spans="2:42" ht="15" customHeight="1" thickBot="1" x14ac:dyDescent="0.35">
      <c r="B16" s="16" t="s">
        <v>50</v>
      </c>
      <c r="C16" s="17">
        <v>10700</v>
      </c>
      <c r="E16" s="84"/>
      <c r="F16" s="31">
        <f t="shared" ref="F16:M16" si="0">SUM(F6:F15)</f>
        <v>73972</v>
      </c>
      <c r="G16" s="31">
        <f t="shared" si="0"/>
        <v>57370.499499999991</v>
      </c>
      <c r="H16" s="31">
        <f t="shared" si="0"/>
        <v>48466.599019696645</v>
      </c>
      <c r="I16" s="32">
        <f t="shared" si="0"/>
        <v>105837.09851969665</v>
      </c>
      <c r="J16" s="33">
        <f t="shared" si="0"/>
        <v>65242</v>
      </c>
      <c r="K16" s="33">
        <f t="shared" si="0"/>
        <v>48978.075500000006</v>
      </c>
      <c r="L16" s="33">
        <f t="shared" si="0"/>
        <v>45684.26584706665</v>
      </c>
      <c r="M16" s="33">
        <f t="shared" si="0"/>
        <v>94662.341347066656</v>
      </c>
      <c r="N16" s="31">
        <f>SUM(N14,N12,N10,N8,N6)</f>
        <v>230</v>
      </c>
      <c r="O16" s="31">
        <f>SUM(O14,O12,O10,O8,O6)</f>
        <v>190</v>
      </c>
      <c r="P16" s="34">
        <f>SUM(P6:P15)</f>
        <v>0</v>
      </c>
      <c r="Q16" s="34">
        <f>SUM(Q6:Q15)</f>
        <v>65242</v>
      </c>
      <c r="R16" s="35">
        <f>R6+R8+R10+R12+R14-R7-R9-R11-R13-R15</f>
        <v>19091</v>
      </c>
      <c r="S16" s="36">
        <f>IF(R16&gt;1,(R16-$Q16),"")</f>
        <v>-46151</v>
      </c>
      <c r="T16" s="35">
        <f>T6+T8+T10+T12+T14-T7-T9-T11-T13-T15</f>
        <v>24879</v>
      </c>
      <c r="U16" s="36">
        <f>IF(T16&gt;1,(T16-$Q16),"")</f>
        <v>-40363</v>
      </c>
      <c r="V16" s="35">
        <f>V6+V8+V10+V12+V14-V7-V9-V11-V13-V15</f>
        <v>38881</v>
      </c>
      <c r="W16" s="36">
        <f>IF(V16&gt;1,(V16-$Q16),"")</f>
        <v>-26361</v>
      </c>
      <c r="X16" s="35">
        <f>X6+X8+X10+X12+X14-X7-X9-X11-X13-X15</f>
        <v>41722</v>
      </c>
      <c r="Y16" s="36">
        <f>IF(X16&gt;1,(X16-$Q16),"")</f>
        <v>-23520</v>
      </c>
      <c r="Z16" s="35">
        <f>Z6+Z8+Z10+Z12+Z14-Z7-Z9-Z11-Z13-Z15</f>
        <v>43307</v>
      </c>
      <c r="AA16" s="36">
        <f>IF(Z16&gt;1,(Z16-$Q16),"")</f>
        <v>-21935</v>
      </c>
      <c r="AB16" s="35">
        <f>AB6+AB8+AB10+AB12+AB14-AB7-AB9-AB11-AB13-AB15</f>
        <v>43307</v>
      </c>
      <c r="AC16" s="37">
        <f>IF(AB16&gt;1,(AB16-$Q16),"")</f>
        <v>-21935</v>
      </c>
      <c r="AD16" s="35">
        <f>AD6+AD8+AD10+AD12+AD14-AD7-AD9-AD11-AD13-AD15</f>
        <v>43307</v>
      </c>
      <c r="AE16" s="37">
        <f>IF(AD16&gt;1,(AD16-$Q16),"")</f>
        <v>-21935</v>
      </c>
    </row>
    <row r="17" spans="2:43" s="4" customFormat="1" ht="15" customHeight="1" thickBot="1" x14ac:dyDescent="0.35">
      <c r="B17" s="16" t="s">
        <v>51</v>
      </c>
      <c r="C17" s="17">
        <v>2347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40</v>
      </c>
      <c r="P17" s="38" t="s">
        <v>44</v>
      </c>
      <c r="Q17" s="39"/>
      <c r="R17" s="40">
        <f>R15+R13+R11+R9+R7</f>
        <v>2091</v>
      </c>
      <c r="S17" s="41"/>
      <c r="T17" s="40">
        <f>T15+T13+T11+T9+T7</f>
        <v>2878</v>
      </c>
      <c r="U17" s="41"/>
      <c r="V17" s="40">
        <f>V15+V13+V11+V9+V7</f>
        <v>3795</v>
      </c>
      <c r="W17" s="41"/>
      <c r="X17" s="40">
        <f>X15+X13+X11+X9+X7</f>
        <v>4294</v>
      </c>
      <c r="Y17" s="41"/>
      <c r="Z17" s="40">
        <f>Z15+Z13+Z11+Z9+Z7</f>
        <v>4294</v>
      </c>
      <c r="AA17" s="41"/>
      <c r="AB17" s="40">
        <f>AB15+AB13+AB11+AB9+AB7</f>
        <v>4294</v>
      </c>
      <c r="AC17" s="42"/>
      <c r="AD17" s="40">
        <f>AD15+AD13+AD11+AD9+AD7</f>
        <v>4294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4724</v>
      </c>
      <c r="O18" s="125">
        <f>O17/N16</f>
        <v>0.17391304347826086</v>
      </c>
      <c r="P18" s="45" t="s">
        <v>46</v>
      </c>
      <c r="Q18" s="46"/>
      <c r="R18" s="47">
        <f>IF(R16&gt;0,(R16)/2,"")</f>
        <v>9545.5</v>
      </c>
      <c r="S18" s="46"/>
      <c r="T18" s="47">
        <f>IF(T16&gt;0,(T16-R16)/2,"")</f>
        <v>2894</v>
      </c>
      <c r="U18" s="46"/>
      <c r="V18" s="47">
        <f>IF(V16&gt;0,(V16-T16)/2,"")</f>
        <v>7001</v>
      </c>
      <c r="W18" s="46"/>
      <c r="X18" s="47">
        <f>IF(X16&gt;0,(X16-V16)/2,"")</f>
        <v>1420.5</v>
      </c>
      <c r="Y18" s="46"/>
      <c r="Z18" s="47">
        <f>IF(Z16&gt;0,(Z16-X16)/2,"")</f>
        <v>792.5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19091</v>
      </c>
      <c r="S24" s="60"/>
      <c r="T24" s="60">
        <f>IF(T16&gt;0,T16-T20,"")</f>
        <v>24879</v>
      </c>
      <c r="U24" s="60"/>
      <c r="V24" s="60">
        <f>IF(V16&gt;0,V16-V20,"")</f>
        <v>38881</v>
      </c>
      <c r="W24" s="60"/>
      <c r="X24" s="60">
        <f>IF(X16&gt;0,X16-X20,"")</f>
        <v>41722</v>
      </c>
      <c r="Y24" s="60"/>
      <c r="Z24" s="60">
        <f>IF(Z16&gt;0,Z16-Z20,"")</f>
        <v>43307</v>
      </c>
      <c r="AA24" s="60"/>
      <c r="AB24" s="60">
        <f>IF(AB16&gt;0,AB16-AB20,"")</f>
        <v>43307</v>
      </c>
      <c r="AC24" s="61"/>
      <c r="AD24" s="60">
        <f>IF(AD16&gt;0,AD16-AD20,"")</f>
        <v>43307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2091</v>
      </c>
      <c r="S25" s="64"/>
      <c r="T25" s="63">
        <f>IF(T17&gt;=0,T17-T21,"")</f>
        <v>2878</v>
      </c>
      <c r="U25" s="64"/>
      <c r="V25" s="63">
        <f>IF(V17&gt;=0,V17-V21,"")</f>
        <v>3795</v>
      </c>
      <c r="W25" s="64"/>
      <c r="X25" s="63">
        <f>IF(X17&gt;=0,X17-X21,"")</f>
        <v>4294</v>
      </c>
      <c r="Y25" s="64"/>
      <c r="Z25" s="63">
        <f>IF(Z17&gt;=0,Z17-Z21,"")</f>
        <v>4294</v>
      </c>
      <c r="AA25" s="64"/>
      <c r="AB25" s="63">
        <f>IF(AB17&gt;=0,AB17-AB21,"")</f>
        <v>4294</v>
      </c>
      <c r="AC25" s="65"/>
      <c r="AD25" s="63">
        <f>IF(AD17&gt;=0,AD17-AD21,"")</f>
        <v>4294</v>
      </c>
      <c r="AE25" s="65"/>
    </row>
    <row r="26" spans="2:43" ht="15" customHeight="1" thickBot="1" x14ac:dyDescent="0.35">
      <c r="B26" s="74" t="s">
        <v>55</v>
      </c>
      <c r="C26" s="122">
        <v>10006</v>
      </c>
      <c r="D26" s="76">
        <f>C11</f>
        <v>10284</v>
      </c>
      <c r="E26" s="77">
        <f>D26-C26</f>
        <v>278</v>
      </c>
      <c r="M26" s="4"/>
      <c r="Q26" s="66"/>
      <c r="R26" s="67">
        <f>IFERROR(IF(R18&gt;0,R18-R22,""),"")</f>
        <v>9545.5</v>
      </c>
      <c r="S26" s="55"/>
      <c r="T26" s="67">
        <f>IFERROR(IF(T18&gt;0,T18-T22,""),"")</f>
        <v>2894</v>
      </c>
      <c r="U26" s="55"/>
      <c r="V26" s="67">
        <f>IFERROR(IF(V18&gt;0,V18-V22,""),"")</f>
        <v>7001</v>
      </c>
      <c r="W26" s="55"/>
      <c r="X26" s="67">
        <f>IFERROR(IF(X18&gt;0,X18-X22,""),"")</f>
        <v>1420.5</v>
      </c>
      <c r="Y26" s="55"/>
      <c r="Z26" s="67">
        <f>IFERROR(IF(Z18&gt;0,Z18-Z22,""),"")</f>
        <v>792.5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34017</v>
      </c>
      <c r="D27" s="76">
        <f>C7+C12+C13+C14+C15</f>
        <v>15508</v>
      </c>
      <c r="E27" s="77">
        <f>D27-C27</f>
        <v>-18509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2295</v>
      </c>
      <c r="D29" s="76">
        <f>C10</f>
        <v>2295</v>
      </c>
      <c r="E29" s="77">
        <f>D29-C29</f>
        <v>0</v>
      </c>
      <c r="O29" s="4"/>
    </row>
    <row r="30" spans="2:43" x14ac:dyDescent="0.3">
      <c r="B30" s="74" t="s">
        <v>59</v>
      </c>
      <c r="C30" s="122">
        <v>17130</v>
      </c>
      <c r="D30" s="76">
        <f>C16+C17+C18</f>
        <v>17771</v>
      </c>
      <c r="E30" s="77">
        <f>D30-C30</f>
        <v>641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3848</v>
      </c>
      <c r="D31" s="80">
        <f>SUM(C8+C9)</f>
        <v>3848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150</v>
      </c>
      <c r="S35" s="104">
        <f t="shared" ref="S35:S64" si="1">IF(T35&gt;0,(T35-R35)/2,"")</f>
        <v>0</v>
      </c>
      <c r="T35" s="104">
        <v>150</v>
      </c>
      <c r="U35" s="104">
        <f t="shared" ref="U35:U64" si="2">IF(V35&gt;0,(V35-T35)/2,"")</f>
        <v>854.5</v>
      </c>
      <c r="V35" s="104">
        <v>1859</v>
      </c>
      <c r="W35" s="104">
        <f t="shared" ref="W35:W64" si="3">IF(X35&gt;0,(X35-V35)/2,"")</f>
        <v>0</v>
      </c>
      <c r="X35" s="104">
        <v>1859</v>
      </c>
      <c r="Y35" s="104">
        <f t="shared" ref="Y35:Y64" si="4">IF(Z35&gt;0,(Z35-X35)/2,"")</f>
        <v>0</v>
      </c>
      <c r="Z35" s="104">
        <v>1859</v>
      </c>
      <c r="AA35" s="104">
        <f t="shared" ref="AA35:AA64" si="5">IF(AB35&gt;0,(AB35-Z35)/2,"")</f>
        <v>0</v>
      </c>
      <c r="AB35" s="104">
        <v>1859</v>
      </c>
      <c r="AC35" s="104">
        <f t="shared" ref="AC35:AC64" si="6">IF(AD35&gt;0,(AD35-AB35)/2,"")</f>
        <v>0</v>
      </c>
      <c r="AD35" s="104">
        <v>1859</v>
      </c>
      <c r="AE35" s="105">
        <f t="shared" ref="AE35:AE64" si="7">AD35-Q35</f>
        <v>1859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1199.5</v>
      </c>
      <c r="V36" s="106">
        <v>2399</v>
      </c>
      <c r="W36" s="106">
        <f t="shared" si="3"/>
        <v>0</v>
      </c>
      <c r="X36" s="106">
        <v>2399</v>
      </c>
      <c r="Y36" s="106">
        <f t="shared" si="4"/>
        <v>0</v>
      </c>
      <c r="Z36" s="106">
        <v>2399</v>
      </c>
      <c r="AA36" s="106">
        <f t="shared" si="5"/>
        <v>0</v>
      </c>
      <c r="AB36" s="106">
        <v>2399</v>
      </c>
      <c r="AC36" s="106">
        <f t="shared" si="6"/>
        <v>0</v>
      </c>
      <c r="AD36" s="106">
        <v>2399</v>
      </c>
      <c r="AE36" s="107">
        <f t="shared" si="7"/>
        <v>2399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1750</v>
      </c>
      <c r="S37" s="108">
        <f t="shared" si="1"/>
        <v>0</v>
      </c>
      <c r="T37" s="108">
        <v>1750</v>
      </c>
      <c r="U37" s="108">
        <f t="shared" si="2"/>
        <v>200</v>
      </c>
      <c r="V37" s="108">
        <v>2150</v>
      </c>
      <c r="W37" s="108">
        <f t="shared" si="3"/>
        <v>618</v>
      </c>
      <c r="X37" s="108">
        <v>3386</v>
      </c>
      <c r="Y37" s="108">
        <f t="shared" si="4"/>
        <v>0</v>
      </c>
      <c r="Z37" s="108">
        <v>3386</v>
      </c>
      <c r="AA37" s="108">
        <f t="shared" si="5"/>
        <v>0</v>
      </c>
      <c r="AB37" s="108">
        <v>3386</v>
      </c>
      <c r="AC37" s="108">
        <f t="shared" si="6"/>
        <v>0</v>
      </c>
      <c r="AD37" s="108">
        <v>3386</v>
      </c>
      <c r="AE37" s="109">
        <f t="shared" si="7"/>
        <v>3386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1031</v>
      </c>
      <c r="S38" s="106">
        <f t="shared" si="1"/>
        <v>832</v>
      </c>
      <c r="T38" s="106">
        <v>2695</v>
      </c>
      <c r="U38" s="106">
        <f t="shared" si="2"/>
        <v>420.5</v>
      </c>
      <c r="V38" s="106">
        <v>3536</v>
      </c>
      <c r="W38" s="106">
        <f t="shared" si="3"/>
        <v>0</v>
      </c>
      <c r="X38" s="106">
        <v>3536</v>
      </c>
      <c r="Y38" s="106">
        <f t="shared" si="4"/>
        <v>0</v>
      </c>
      <c r="Z38" s="106">
        <v>3536</v>
      </c>
      <c r="AA38" s="106">
        <f t="shared" si="5"/>
        <v>0</v>
      </c>
      <c r="AB38" s="106">
        <v>3536</v>
      </c>
      <c r="AC38" s="106">
        <f t="shared" si="6"/>
        <v>0</v>
      </c>
      <c r="AD38" s="106">
        <v>3536</v>
      </c>
      <c r="AE38" s="107">
        <f t="shared" si="7"/>
        <v>3536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1042</v>
      </c>
      <c r="S39" s="108">
        <f t="shared" si="1"/>
        <v>213.5</v>
      </c>
      <c r="T39" s="108">
        <v>1469</v>
      </c>
      <c r="U39" s="108">
        <f t="shared" si="2"/>
        <v>317.5</v>
      </c>
      <c r="V39" s="108">
        <v>2104</v>
      </c>
      <c r="W39" s="108">
        <f t="shared" si="3"/>
        <v>0</v>
      </c>
      <c r="X39" s="108">
        <v>2104</v>
      </c>
      <c r="Y39" s="108">
        <f t="shared" si="4"/>
        <v>0</v>
      </c>
      <c r="Z39" s="108">
        <v>2104</v>
      </c>
      <c r="AA39" s="108">
        <f t="shared" si="5"/>
        <v>0</v>
      </c>
      <c r="AB39" s="108">
        <v>2104</v>
      </c>
      <c r="AC39" s="108">
        <f t="shared" si="6"/>
        <v>0</v>
      </c>
      <c r="AD39" s="108">
        <v>2104</v>
      </c>
      <c r="AE39" s="109">
        <f t="shared" si="7"/>
        <v>2104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784</v>
      </c>
      <c r="S40" s="106">
        <f t="shared" si="1"/>
        <v>0</v>
      </c>
      <c r="T40" s="106">
        <v>784</v>
      </c>
      <c r="U40" s="106">
        <f t="shared" si="2"/>
        <v>268.5</v>
      </c>
      <c r="V40" s="106">
        <v>1321</v>
      </c>
      <c r="W40" s="106">
        <f t="shared" si="3"/>
        <v>98.5</v>
      </c>
      <c r="X40" s="106">
        <v>1518</v>
      </c>
      <c r="Y40" s="106">
        <f t="shared" si="4"/>
        <v>0</v>
      </c>
      <c r="Z40" s="106">
        <v>1518</v>
      </c>
      <c r="AA40" s="106">
        <f t="shared" si="5"/>
        <v>0</v>
      </c>
      <c r="AB40" s="106">
        <v>1518</v>
      </c>
      <c r="AC40" s="106">
        <f t="shared" si="6"/>
        <v>0</v>
      </c>
      <c r="AD40" s="106">
        <v>1518</v>
      </c>
      <c r="AE40" s="107">
        <f t="shared" si="7"/>
        <v>1518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1261</v>
      </c>
      <c r="S41" s="108">
        <f t="shared" si="1"/>
        <v>0</v>
      </c>
      <c r="T41" s="108">
        <v>1261</v>
      </c>
      <c r="U41" s="108">
        <f t="shared" si="2"/>
        <v>221</v>
      </c>
      <c r="V41" s="108">
        <v>1703</v>
      </c>
      <c r="W41" s="108">
        <f t="shared" si="3"/>
        <v>0</v>
      </c>
      <c r="X41" s="108">
        <v>1703</v>
      </c>
      <c r="Y41" s="108">
        <f t="shared" si="4"/>
        <v>0</v>
      </c>
      <c r="Z41" s="108">
        <v>1703</v>
      </c>
      <c r="AA41" s="108">
        <f t="shared" si="5"/>
        <v>0</v>
      </c>
      <c r="AB41" s="108">
        <v>1703</v>
      </c>
      <c r="AC41" s="108">
        <f t="shared" si="6"/>
        <v>0</v>
      </c>
      <c r="AD41" s="108">
        <v>1703</v>
      </c>
      <c r="AE41" s="109">
        <f t="shared" si="7"/>
        <v>1703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326</v>
      </c>
      <c r="S44" s="112">
        <f t="shared" si="1"/>
        <v>77.5</v>
      </c>
      <c r="T44" s="112">
        <v>481</v>
      </c>
      <c r="U44" s="112">
        <f t="shared" si="2"/>
        <v>108.5</v>
      </c>
      <c r="V44" s="112">
        <v>698</v>
      </c>
      <c r="W44" s="112">
        <f t="shared" si="3"/>
        <v>0</v>
      </c>
      <c r="X44" s="112">
        <v>698</v>
      </c>
      <c r="Y44" s="112">
        <f t="shared" si="4"/>
        <v>0</v>
      </c>
      <c r="Z44" s="112">
        <v>698</v>
      </c>
      <c r="AA44" s="112">
        <f t="shared" si="5"/>
        <v>0</v>
      </c>
      <c r="AB44" s="112">
        <v>698</v>
      </c>
      <c r="AC44" s="112">
        <f t="shared" si="6"/>
        <v>0</v>
      </c>
      <c r="AD44" s="112">
        <v>698</v>
      </c>
      <c r="AE44" s="113">
        <f t="shared" si="7"/>
        <v>698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210</v>
      </c>
      <c r="S45" s="108">
        <f t="shared" si="1"/>
        <v>195.5</v>
      </c>
      <c r="T45" s="108">
        <v>601</v>
      </c>
      <c r="U45" s="108">
        <f t="shared" si="2"/>
        <v>446</v>
      </c>
      <c r="V45" s="108">
        <v>1493</v>
      </c>
      <c r="W45" s="108">
        <f t="shared" si="3"/>
        <v>0</v>
      </c>
      <c r="X45" s="108">
        <v>1493</v>
      </c>
      <c r="Y45" s="108">
        <f t="shared" si="4"/>
        <v>0</v>
      </c>
      <c r="Z45" s="108">
        <v>1493</v>
      </c>
      <c r="AA45" s="108">
        <f t="shared" si="5"/>
        <v>0</v>
      </c>
      <c r="AB45" s="108">
        <v>1493</v>
      </c>
      <c r="AC45" s="108">
        <f t="shared" si="6"/>
        <v>0</v>
      </c>
      <c r="AD45" s="108">
        <v>1493</v>
      </c>
      <c r="AE45" s="109">
        <f t="shared" si="7"/>
        <v>1493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>
        <f t="shared" si="2"/>
        <v>497</v>
      </c>
      <c r="V48" s="112">
        <v>994</v>
      </c>
      <c r="W48" s="112">
        <f t="shared" si="3"/>
        <v>141.5</v>
      </c>
      <c r="X48" s="112">
        <v>1277</v>
      </c>
      <c r="Y48" s="112">
        <f t="shared" si="4"/>
        <v>10</v>
      </c>
      <c r="Z48" s="112">
        <v>1297</v>
      </c>
      <c r="AA48" s="112">
        <f t="shared" si="5"/>
        <v>0</v>
      </c>
      <c r="AB48" s="112">
        <v>1297</v>
      </c>
      <c r="AC48" s="112">
        <f t="shared" si="6"/>
        <v>0</v>
      </c>
      <c r="AD48" s="112">
        <v>1297</v>
      </c>
      <c r="AE48" s="113">
        <f t="shared" si="7"/>
        <v>1297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702</v>
      </c>
      <c r="S49" s="108">
        <f t="shared" si="1"/>
        <v>0</v>
      </c>
      <c r="T49" s="108">
        <v>702</v>
      </c>
      <c r="U49" s="108">
        <f t="shared" si="2"/>
        <v>0</v>
      </c>
      <c r="V49" s="108">
        <v>702</v>
      </c>
      <c r="W49" s="108">
        <f t="shared" si="3"/>
        <v>296.5</v>
      </c>
      <c r="X49" s="108">
        <v>1295</v>
      </c>
      <c r="Y49" s="108">
        <f t="shared" si="4"/>
        <v>102</v>
      </c>
      <c r="Z49" s="108">
        <v>1499</v>
      </c>
      <c r="AA49" s="108">
        <f t="shared" si="5"/>
        <v>0</v>
      </c>
      <c r="AB49" s="108">
        <v>1499</v>
      </c>
      <c r="AC49" s="108">
        <f t="shared" si="6"/>
        <v>0</v>
      </c>
      <c r="AD49" s="108">
        <v>1499</v>
      </c>
      <c r="AE49" s="109">
        <f t="shared" si="7"/>
        <v>1499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422</v>
      </c>
      <c r="S50" s="106">
        <f t="shared" si="1"/>
        <v>472.5</v>
      </c>
      <c r="T50" s="106">
        <v>1367</v>
      </c>
      <c r="U50" s="106">
        <f t="shared" si="2"/>
        <v>0</v>
      </c>
      <c r="V50" s="106">
        <v>1367</v>
      </c>
      <c r="W50" s="106">
        <f t="shared" si="3"/>
        <v>63</v>
      </c>
      <c r="X50" s="106">
        <v>1493</v>
      </c>
      <c r="Y50" s="106">
        <f t="shared" si="4"/>
        <v>80.5</v>
      </c>
      <c r="Z50" s="106">
        <v>1654</v>
      </c>
      <c r="AA50" s="106">
        <f t="shared" si="5"/>
        <v>0</v>
      </c>
      <c r="AB50" s="106">
        <v>1654</v>
      </c>
      <c r="AC50" s="106">
        <f t="shared" si="6"/>
        <v>0</v>
      </c>
      <c r="AD50" s="106">
        <v>1654</v>
      </c>
      <c r="AE50" s="107">
        <f t="shared" si="7"/>
        <v>1654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1000</v>
      </c>
      <c r="S51" s="108">
        <f t="shared" si="1"/>
        <v>324</v>
      </c>
      <c r="T51" s="108">
        <v>1648</v>
      </c>
      <c r="U51" s="108">
        <f t="shared" si="2"/>
        <v>0</v>
      </c>
      <c r="V51" s="108">
        <v>1648</v>
      </c>
      <c r="W51" s="108">
        <f t="shared" si="3"/>
        <v>40</v>
      </c>
      <c r="X51" s="108">
        <v>1728</v>
      </c>
      <c r="Y51" s="108">
        <f t="shared" si="4"/>
        <v>0</v>
      </c>
      <c r="Z51" s="108">
        <v>1728</v>
      </c>
      <c r="AA51" s="108">
        <f t="shared" si="5"/>
        <v>0</v>
      </c>
      <c r="AB51" s="108">
        <v>1728</v>
      </c>
      <c r="AC51" s="108">
        <f t="shared" si="6"/>
        <v>0</v>
      </c>
      <c r="AD51" s="108">
        <v>1728</v>
      </c>
      <c r="AE51" s="109">
        <f t="shared" si="7"/>
        <v>1728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792</v>
      </c>
      <c r="S52" s="106">
        <f t="shared" si="1"/>
        <v>0</v>
      </c>
      <c r="T52" s="106">
        <v>792</v>
      </c>
      <c r="U52" s="106">
        <f t="shared" si="2"/>
        <v>420</v>
      </c>
      <c r="V52" s="106">
        <v>1632</v>
      </c>
      <c r="W52" s="106">
        <f t="shared" si="3"/>
        <v>0</v>
      </c>
      <c r="X52" s="106">
        <v>1632</v>
      </c>
      <c r="Y52" s="106">
        <f t="shared" si="4"/>
        <v>600</v>
      </c>
      <c r="Z52" s="106">
        <v>2832</v>
      </c>
      <c r="AA52" s="106">
        <f t="shared" si="5"/>
        <v>0</v>
      </c>
      <c r="AB52" s="106">
        <v>2832</v>
      </c>
      <c r="AC52" s="106">
        <f t="shared" si="6"/>
        <v>0</v>
      </c>
      <c r="AD52" s="106">
        <v>2832</v>
      </c>
      <c r="AE52" s="107">
        <f t="shared" si="7"/>
        <v>2832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>
        <f t="shared" si="2"/>
        <v>302.5</v>
      </c>
      <c r="V53" s="108">
        <v>1565</v>
      </c>
      <c r="W53" s="108">
        <f t="shared" si="3"/>
        <v>0</v>
      </c>
      <c r="X53" s="108">
        <v>1565</v>
      </c>
      <c r="Y53" s="108">
        <f t="shared" si="4"/>
        <v>0</v>
      </c>
      <c r="Z53" s="108">
        <v>1565</v>
      </c>
      <c r="AA53" s="108">
        <f t="shared" si="5"/>
        <v>0</v>
      </c>
      <c r="AB53" s="108">
        <v>1565</v>
      </c>
      <c r="AC53" s="108">
        <f t="shared" si="6"/>
        <v>0</v>
      </c>
      <c r="AD53" s="108">
        <v>1565</v>
      </c>
      <c r="AE53" s="109">
        <f t="shared" si="7"/>
        <v>1565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1590</v>
      </c>
      <c r="S57" s="104">
        <f t="shared" si="1"/>
        <v>111.5</v>
      </c>
      <c r="T57" s="104">
        <v>1813</v>
      </c>
      <c r="U57" s="104">
        <f t="shared" si="2"/>
        <v>332.5</v>
      </c>
      <c r="V57" s="104">
        <v>2478</v>
      </c>
      <c r="W57" s="104">
        <f t="shared" si="3"/>
        <v>377</v>
      </c>
      <c r="X57" s="104">
        <v>3232</v>
      </c>
      <c r="Y57" s="104">
        <f t="shared" si="4"/>
        <v>0</v>
      </c>
      <c r="Z57" s="104">
        <v>3232</v>
      </c>
      <c r="AA57" s="104">
        <f t="shared" si="5"/>
        <v>0</v>
      </c>
      <c r="AB57" s="104">
        <v>3232</v>
      </c>
      <c r="AC57" s="104">
        <f t="shared" si="6"/>
        <v>0</v>
      </c>
      <c r="AD57" s="104">
        <v>3232</v>
      </c>
      <c r="AE57" s="105">
        <f t="shared" si="7"/>
        <v>3232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2375</v>
      </c>
      <c r="S58" s="106">
        <f t="shared" si="1"/>
        <v>146.5</v>
      </c>
      <c r="T58" s="106">
        <v>2668</v>
      </c>
      <c r="U58" s="106">
        <f t="shared" si="2"/>
        <v>533.5</v>
      </c>
      <c r="V58" s="106">
        <v>3735</v>
      </c>
      <c r="W58" s="106">
        <f t="shared" si="3"/>
        <v>32.5</v>
      </c>
      <c r="X58" s="106">
        <v>3800</v>
      </c>
      <c r="Y58" s="106">
        <f t="shared" si="4"/>
        <v>0</v>
      </c>
      <c r="Z58" s="106">
        <v>3800</v>
      </c>
      <c r="AA58" s="106">
        <f t="shared" si="5"/>
        <v>0</v>
      </c>
      <c r="AB58" s="106">
        <v>3800</v>
      </c>
      <c r="AC58" s="106">
        <f t="shared" si="6"/>
        <v>0</v>
      </c>
      <c r="AD58" s="106">
        <v>3800</v>
      </c>
      <c r="AE58" s="107">
        <f t="shared" si="7"/>
        <v>3800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1253</v>
      </c>
      <c r="S59" s="108">
        <f t="shared" si="1"/>
        <v>112</v>
      </c>
      <c r="T59" s="108">
        <v>1477</v>
      </c>
      <c r="U59" s="108">
        <f t="shared" si="2"/>
        <v>183</v>
      </c>
      <c r="V59" s="108">
        <v>1843</v>
      </c>
      <c r="W59" s="108">
        <f t="shared" si="3"/>
        <v>79.5</v>
      </c>
      <c r="X59" s="108">
        <v>2002</v>
      </c>
      <c r="Y59" s="108">
        <f t="shared" si="4"/>
        <v>0</v>
      </c>
      <c r="Z59" s="108">
        <v>2002</v>
      </c>
      <c r="AA59" s="108">
        <f t="shared" si="5"/>
        <v>0</v>
      </c>
      <c r="AB59" s="108">
        <v>2002</v>
      </c>
      <c r="AC59" s="108">
        <f t="shared" si="6"/>
        <v>0</v>
      </c>
      <c r="AD59" s="108">
        <v>2002</v>
      </c>
      <c r="AE59" s="109">
        <f t="shared" si="7"/>
        <v>2002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1292</v>
      </c>
      <c r="S60" s="114">
        <f t="shared" si="1"/>
        <v>156.5</v>
      </c>
      <c r="T60" s="114">
        <v>1605</v>
      </c>
      <c r="U60" s="114">
        <f t="shared" si="2"/>
        <v>161</v>
      </c>
      <c r="V60" s="114">
        <v>1927</v>
      </c>
      <c r="W60" s="114">
        <f t="shared" si="3"/>
        <v>577</v>
      </c>
      <c r="X60" s="114">
        <v>3081</v>
      </c>
      <c r="Y60" s="114">
        <f t="shared" si="4"/>
        <v>0</v>
      </c>
      <c r="Z60" s="114">
        <v>3081</v>
      </c>
      <c r="AA60" s="114">
        <f t="shared" si="5"/>
        <v>0</v>
      </c>
      <c r="AB60" s="114">
        <v>3081</v>
      </c>
      <c r="AC60" s="114">
        <f t="shared" si="6"/>
        <v>0</v>
      </c>
      <c r="AD60" s="114">
        <v>3081</v>
      </c>
      <c r="AE60" s="115">
        <f t="shared" si="7"/>
        <v>3081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1073</v>
      </c>
      <c r="S61" s="104">
        <f t="shared" si="1"/>
        <v>0</v>
      </c>
      <c r="T61" s="104">
        <v>1073</v>
      </c>
      <c r="U61" s="104">
        <f t="shared" si="2"/>
        <v>380</v>
      </c>
      <c r="V61" s="104">
        <v>1833</v>
      </c>
      <c r="W61" s="104">
        <f t="shared" si="3"/>
        <v>-272</v>
      </c>
      <c r="X61" s="104">
        <v>1289</v>
      </c>
      <c r="Y61" s="104">
        <f t="shared" si="4"/>
        <v>0</v>
      </c>
      <c r="Z61" s="104">
        <v>1289</v>
      </c>
      <c r="AA61" s="104">
        <f t="shared" si="5"/>
        <v>0</v>
      </c>
      <c r="AB61" s="104">
        <v>1289</v>
      </c>
      <c r="AC61" s="104">
        <f t="shared" si="6"/>
        <v>0</v>
      </c>
      <c r="AD61" s="104">
        <v>1289</v>
      </c>
      <c r="AE61" s="105">
        <f t="shared" si="7"/>
        <v>1289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330</v>
      </c>
      <c r="S62" s="106">
        <f t="shared" si="1"/>
        <v>350</v>
      </c>
      <c r="T62" s="106">
        <v>1030</v>
      </c>
      <c r="U62" s="106">
        <f t="shared" si="2"/>
        <v>130</v>
      </c>
      <c r="V62" s="106">
        <v>1290</v>
      </c>
      <c r="W62" s="106">
        <f t="shared" si="3"/>
        <v>88</v>
      </c>
      <c r="X62" s="106">
        <v>1466</v>
      </c>
      <c r="Y62" s="106">
        <f t="shared" si="4"/>
        <v>0</v>
      </c>
      <c r="Z62" s="106">
        <v>1466</v>
      </c>
      <c r="AA62" s="106">
        <f t="shared" si="5"/>
        <v>0</v>
      </c>
      <c r="AB62" s="106">
        <v>1466</v>
      </c>
      <c r="AC62" s="106">
        <f t="shared" si="6"/>
        <v>0</v>
      </c>
      <c r="AD62" s="106">
        <v>1466</v>
      </c>
      <c r="AE62" s="107">
        <f t="shared" si="7"/>
        <v>1466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210</v>
      </c>
      <c r="S63" s="108">
        <f t="shared" si="1"/>
        <v>120.5</v>
      </c>
      <c r="T63" s="108">
        <v>451</v>
      </c>
      <c r="U63" s="108">
        <f t="shared" si="2"/>
        <v>114</v>
      </c>
      <c r="V63" s="108">
        <v>679</v>
      </c>
      <c r="W63" s="108">
        <f t="shared" si="3"/>
        <v>0</v>
      </c>
      <c r="X63" s="108">
        <v>679</v>
      </c>
      <c r="Y63" s="108">
        <f t="shared" si="4"/>
        <v>0</v>
      </c>
      <c r="Z63" s="108">
        <v>679</v>
      </c>
      <c r="AA63" s="108">
        <f t="shared" si="5"/>
        <v>0</v>
      </c>
      <c r="AB63" s="108">
        <v>679</v>
      </c>
      <c r="AC63" s="108">
        <f t="shared" si="6"/>
        <v>0</v>
      </c>
      <c r="AD63" s="108">
        <v>679</v>
      </c>
      <c r="AE63" s="109">
        <f t="shared" si="7"/>
        <v>679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1225</v>
      </c>
      <c r="S64" s="114">
        <f t="shared" si="1"/>
        <v>74.5</v>
      </c>
      <c r="T64" s="114">
        <v>1374</v>
      </c>
      <c r="U64" s="114">
        <f t="shared" si="2"/>
        <v>178.5</v>
      </c>
      <c r="V64" s="114">
        <v>1731</v>
      </c>
      <c r="W64" s="114">
        <f t="shared" si="3"/>
        <v>-208</v>
      </c>
      <c r="X64" s="114">
        <v>1315</v>
      </c>
      <c r="Y64" s="114">
        <f t="shared" si="4"/>
        <v>0</v>
      </c>
      <c r="Z64" s="114">
        <v>1315</v>
      </c>
      <c r="AA64" s="114">
        <f t="shared" si="5"/>
        <v>0</v>
      </c>
      <c r="AB64" s="114">
        <v>1315</v>
      </c>
      <c r="AC64" s="114">
        <f t="shared" si="6"/>
        <v>0</v>
      </c>
      <c r="AD64" s="114">
        <v>1315</v>
      </c>
      <c r="AE64" s="115">
        <f t="shared" si="7"/>
        <v>1315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31" priority="11" operator="lessThan">
      <formula>0</formula>
    </cfRule>
    <cfRule type="cellIs" dxfId="430" priority="12" operator="greaterThan">
      <formula>0</formula>
    </cfRule>
  </conditionalFormatting>
  <conditionalFormatting sqref="R25:AC25">
    <cfRule type="cellIs" dxfId="429" priority="9" operator="lessThan">
      <formula>0</formula>
    </cfRule>
    <cfRule type="cellIs" dxfId="428" priority="10" operator="greaterThan">
      <formula>0</formula>
    </cfRule>
  </conditionalFormatting>
  <conditionalFormatting sqref="R26 T26 V26 X26 Z26 AB26">
    <cfRule type="cellIs" dxfId="427" priority="7" operator="lessThan">
      <formula>0</formula>
    </cfRule>
    <cfRule type="cellIs" dxfId="426" priority="8" operator="greaterThan">
      <formula>0</formula>
    </cfRule>
  </conditionalFormatting>
  <conditionalFormatting sqref="AD24:AE24">
    <cfRule type="cellIs" dxfId="425" priority="5" operator="lessThan">
      <formula>0</formula>
    </cfRule>
    <cfRule type="cellIs" dxfId="424" priority="6" operator="greaterThan">
      <formula>0</formula>
    </cfRule>
  </conditionalFormatting>
  <conditionalFormatting sqref="AD25:AE25">
    <cfRule type="cellIs" dxfId="423" priority="3" operator="lessThan">
      <formula>0</formula>
    </cfRule>
    <cfRule type="cellIs" dxfId="422" priority="4" operator="greaterThan">
      <formula>0</formula>
    </cfRule>
  </conditionalFormatting>
  <conditionalFormatting sqref="AD26">
    <cfRule type="cellIs" dxfId="421" priority="1" operator="lessThan">
      <formula>0</formula>
    </cfRule>
    <cfRule type="cellIs" dxfId="420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>
    <tabColor theme="1"/>
    <pageSetUpPr fitToPage="1"/>
  </sheetPr>
  <dimension ref="B1:AQ64"/>
  <sheetViews>
    <sheetView topLeftCell="C1" zoomScale="70" zoomScaleNormal="7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44483</v>
      </c>
    </row>
    <row r="3" spans="2:42" ht="18.75" customHeight="1" thickBot="1" x14ac:dyDescent="0.35">
      <c r="B3" t="s">
        <v>1</v>
      </c>
      <c r="C3" s="3">
        <f>C2+1</f>
        <v>44484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5874</v>
      </c>
      <c r="E6" s="18" t="s">
        <v>22</v>
      </c>
      <c r="F6" s="119">
        <v>20702</v>
      </c>
      <c r="G6" s="117">
        <v>10493.81775</v>
      </c>
      <c r="H6" s="117">
        <v>904.90706249999994</v>
      </c>
      <c r="I6" s="19">
        <f>G6+H6</f>
        <v>11398.724812500001</v>
      </c>
      <c r="J6" s="119">
        <v>20112</v>
      </c>
      <c r="K6" s="117">
        <v>9911.757749999997</v>
      </c>
      <c r="L6" s="117">
        <v>899.92037000000005</v>
      </c>
      <c r="M6" s="19">
        <f>K6+L6</f>
        <v>10811.678119999997</v>
      </c>
      <c r="N6" s="85">
        <v>61</v>
      </c>
      <c r="O6" s="85">
        <v>51</v>
      </c>
      <c r="P6" s="92"/>
      <c r="Q6" s="20">
        <f>J6-P6</f>
        <v>20112</v>
      </c>
      <c r="R6" s="21">
        <v>5148</v>
      </c>
      <c r="S6" s="20">
        <f>IF(R6&gt;0,(R6-R7-$Q6),"")</f>
        <v>-15161</v>
      </c>
      <c r="T6" s="21">
        <v>7119</v>
      </c>
      <c r="U6" s="20">
        <f>IF(T6&gt;0,(T6-T7-$Q6),"")</f>
        <v>-13199</v>
      </c>
      <c r="V6" s="21">
        <v>14255</v>
      </c>
      <c r="W6" s="20">
        <f>IF(V6&gt;0,(V6-V7-$Q6),"")</f>
        <v>-6130</v>
      </c>
      <c r="X6" s="21">
        <v>17781</v>
      </c>
      <c r="Y6" s="20">
        <f>IF(X6&gt;0,(X6-X7-$Q6),"")</f>
        <v>-2623</v>
      </c>
      <c r="Z6" s="21">
        <v>17781</v>
      </c>
      <c r="AA6" s="20">
        <f>IF(Z6&gt;0,(Z6-Z7-$Q6),"")</f>
        <v>-2623</v>
      </c>
      <c r="AB6" s="21">
        <v>17781</v>
      </c>
      <c r="AC6" s="22">
        <f>IF(AB6&gt;0,(AB6-AB7-$Q6),"")</f>
        <v>-2623</v>
      </c>
      <c r="AD6" s="21">
        <v>17781</v>
      </c>
      <c r="AE6" s="22">
        <f>IF(AD6&gt;0,(AD6-AD7-$Q6),"")</f>
        <v>-2623</v>
      </c>
    </row>
    <row r="7" spans="2:42" x14ac:dyDescent="0.3">
      <c r="B7" s="16" t="s">
        <v>23</v>
      </c>
      <c r="C7" s="17">
        <v>3598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197</v>
      </c>
      <c r="S7" s="24"/>
      <c r="T7" s="25">
        <v>206</v>
      </c>
      <c r="U7" s="24"/>
      <c r="V7" s="25">
        <v>273</v>
      </c>
      <c r="W7" s="24"/>
      <c r="X7" s="25">
        <v>292</v>
      </c>
      <c r="Y7" s="24"/>
      <c r="Z7" s="25">
        <v>292</v>
      </c>
      <c r="AA7" s="24"/>
      <c r="AB7" s="25">
        <v>292</v>
      </c>
      <c r="AC7" s="26"/>
      <c r="AD7" s="25">
        <v>292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2317</v>
      </c>
      <c r="E8" s="29" t="s">
        <v>27</v>
      </c>
      <c r="F8" s="119">
        <v>6967</v>
      </c>
      <c r="G8" s="117">
        <v>10422.286</v>
      </c>
      <c r="H8" s="117">
        <v>55725.477721333322</v>
      </c>
      <c r="I8" s="19">
        <f>G8+H8</f>
        <v>66147.763721333322</v>
      </c>
      <c r="J8" s="119">
        <v>6806</v>
      </c>
      <c r="K8" s="117">
        <v>10575.630999999999</v>
      </c>
      <c r="L8" s="117">
        <v>55463.46624446004</v>
      </c>
      <c r="M8" s="19">
        <f>K8+L8</f>
        <v>66039.097244460034</v>
      </c>
      <c r="N8" s="87">
        <v>18</v>
      </c>
      <c r="O8" s="87">
        <v>13</v>
      </c>
      <c r="P8" s="92"/>
      <c r="Q8" s="20">
        <f>J8-P8</f>
        <v>6806</v>
      </c>
      <c r="R8" s="21">
        <v>499</v>
      </c>
      <c r="S8" s="20">
        <f>IF(R8&gt;0,(R8-R9-$Q8),"")</f>
        <v>-6307</v>
      </c>
      <c r="T8" s="21">
        <v>519</v>
      </c>
      <c r="U8" s="20">
        <f>IF(T8&gt;0,(T8-T9-$Q8),"")</f>
        <v>-6287</v>
      </c>
      <c r="V8" s="21">
        <v>1454</v>
      </c>
      <c r="W8" s="20">
        <f>IF(V8&gt;0,(V8-V9-$Q8),"")</f>
        <v>-5352</v>
      </c>
      <c r="X8" s="21">
        <v>2653</v>
      </c>
      <c r="Y8" s="20">
        <f>IF(X8&gt;0,(X8-X9-$Q8),"")</f>
        <v>-4153</v>
      </c>
      <c r="Z8" s="21">
        <v>2653</v>
      </c>
      <c r="AA8" s="20">
        <f>IF(Z8&gt;0,(Z8-Z9-$Q8),"")</f>
        <v>-4153</v>
      </c>
      <c r="AB8" s="21">
        <v>2653</v>
      </c>
      <c r="AC8" s="22">
        <f>IF(AB8&gt;0,(AB8-AB9-$Q8),"")</f>
        <v>-4153</v>
      </c>
      <c r="AD8" s="21">
        <v>2653</v>
      </c>
      <c r="AE8" s="22">
        <f>IF(AD8&gt;0,(AD8-AD9-$Q8),"")</f>
        <v>-4153</v>
      </c>
    </row>
    <row r="9" spans="2:42" x14ac:dyDescent="0.3">
      <c r="B9" s="28" t="s">
        <v>28</v>
      </c>
      <c r="C9" s="17">
        <v>1226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3">
      <c r="B10" s="16" t="s">
        <v>30</v>
      </c>
      <c r="C10" s="17">
        <v>4080</v>
      </c>
      <c r="E10" s="18" t="s">
        <v>31</v>
      </c>
      <c r="F10" s="119">
        <v>20719</v>
      </c>
      <c r="G10" s="117">
        <v>14858.31525</v>
      </c>
      <c r="H10" s="117">
        <v>421.25987700000002</v>
      </c>
      <c r="I10" s="19">
        <f>G10+H10</f>
        <v>15279.575127</v>
      </c>
      <c r="J10" s="119">
        <v>20613</v>
      </c>
      <c r="K10" s="117">
        <v>14707.87175</v>
      </c>
      <c r="L10" s="117">
        <v>409.57446809999999</v>
      </c>
      <c r="M10" s="19">
        <f>K10+L10</f>
        <v>15117.4462181</v>
      </c>
      <c r="N10" s="88">
        <v>45</v>
      </c>
      <c r="O10" s="88">
        <v>40</v>
      </c>
      <c r="P10" s="92"/>
      <c r="Q10" s="20">
        <f>J10-P10</f>
        <v>20613</v>
      </c>
      <c r="R10" s="21">
        <v>4028</v>
      </c>
      <c r="S10" s="20">
        <f>IF(R10&gt;0,(R10-R11-$Q10),"")</f>
        <v>-16585</v>
      </c>
      <c r="T10" s="21">
        <v>6067</v>
      </c>
      <c r="U10" s="20">
        <f>IF(T10&gt;0,(T10-T11-$Q10),"")</f>
        <v>-14593</v>
      </c>
      <c r="V10" s="21">
        <v>10146</v>
      </c>
      <c r="W10" s="20">
        <f>IF(V10&gt;0,(V10-V11-$Q10),"")</f>
        <v>-12214</v>
      </c>
      <c r="X10" s="21">
        <v>12230</v>
      </c>
      <c r="Y10" s="20">
        <f>IF(X10&gt;0,(X10-X11-$Q10),"")</f>
        <v>-10130</v>
      </c>
      <c r="Z10" s="21">
        <v>15339</v>
      </c>
      <c r="AA10" s="20">
        <f>IF(Z10&gt;0,(Z10-Z11-$Q10),"")</f>
        <v>-7023</v>
      </c>
      <c r="AB10" s="21">
        <v>15339</v>
      </c>
      <c r="AC10" s="22">
        <f>IF(AB10&gt;0,(AB10-AB11-$Q10),"")</f>
        <v>-7023</v>
      </c>
      <c r="AD10" s="21">
        <v>15339</v>
      </c>
      <c r="AE10" s="22">
        <f>IF(AD10&gt;0,(AD10-AD11-$Q10),"")</f>
        <v>-7023</v>
      </c>
    </row>
    <row r="11" spans="2:42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0</v>
      </c>
      <c r="S11" s="24"/>
      <c r="T11" s="30">
        <v>47</v>
      </c>
      <c r="U11" s="24"/>
      <c r="V11" s="30">
        <v>1747</v>
      </c>
      <c r="W11" s="24"/>
      <c r="X11" s="30">
        <v>1747</v>
      </c>
      <c r="Y11" s="24"/>
      <c r="Z11" s="30">
        <v>1749</v>
      </c>
      <c r="AA11" s="24"/>
      <c r="AB11" s="30">
        <v>1749</v>
      </c>
      <c r="AC11" s="26"/>
      <c r="AD11" s="30">
        <v>1749</v>
      </c>
      <c r="AE11" s="26"/>
    </row>
    <row r="12" spans="2:42" x14ac:dyDescent="0.3">
      <c r="B12" s="16" t="s">
        <v>40</v>
      </c>
      <c r="C12" s="17">
        <v>4392</v>
      </c>
      <c r="E12" s="29" t="s">
        <v>35</v>
      </c>
      <c r="F12" s="119">
        <v>12169</v>
      </c>
      <c r="G12" s="117">
        <v>11321.268</v>
      </c>
      <c r="H12" s="117">
        <v>16683.52992072999</v>
      </c>
      <c r="I12" s="19">
        <f>G12+H12</f>
        <v>28004.79792072999</v>
      </c>
      <c r="J12" s="119">
        <v>12156</v>
      </c>
      <c r="K12" s="117">
        <v>11284.873250000001</v>
      </c>
      <c r="L12" s="117">
        <v>16582.868826970011</v>
      </c>
      <c r="M12" s="19">
        <f>K12+L12</f>
        <v>27867.742076970011</v>
      </c>
      <c r="N12" s="88">
        <v>48</v>
      </c>
      <c r="O12" s="88">
        <v>41</v>
      </c>
      <c r="P12" s="92"/>
      <c r="Q12" s="20">
        <f>J12-P12</f>
        <v>12156</v>
      </c>
      <c r="R12" s="21">
        <v>7457</v>
      </c>
      <c r="S12" s="20">
        <f>IF(R12&gt;0,(R12-R13-$Q12),"")</f>
        <v>-4995</v>
      </c>
      <c r="T12" s="21">
        <v>8221</v>
      </c>
      <c r="U12" s="20">
        <f>IF(T12&gt;0,(T12-T13-$Q12),"")</f>
        <v>-4252</v>
      </c>
      <c r="V12" s="21">
        <v>11449</v>
      </c>
      <c r="W12" s="20">
        <f>IF(V12&gt;0,(V12-V13-$Q12),"")</f>
        <v>-1072</v>
      </c>
      <c r="X12" s="21">
        <v>11621</v>
      </c>
      <c r="Y12" s="20">
        <f>IF(X12&gt;0,(X12-X13-$Q12),"")</f>
        <v>-900</v>
      </c>
      <c r="Z12" s="21">
        <v>11621</v>
      </c>
      <c r="AA12" s="20">
        <f>IF(Z12&gt;0,(Z12-Z13-$Q12),"")</f>
        <v>-900</v>
      </c>
      <c r="AB12" s="21">
        <v>11621</v>
      </c>
      <c r="AC12" s="22">
        <f>IF(AB12&gt;0,(AB12-AB13-$Q12),"")</f>
        <v>-900</v>
      </c>
      <c r="AD12" s="21">
        <v>11621</v>
      </c>
      <c r="AE12" s="22">
        <f>IF(AD12&gt;0,(AD12-AD13-$Q12),"")</f>
        <v>-900</v>
      </c>
    </row>
    <row r="13" spans="2:42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296</v>
      </c>
      <c r="S13" s="24"/>
      <c r="T13" s="30">
        <v>317</v>
      </c>
      <c r="U13" s="24"/>
      <c r="V13" s="30">
        <v>365</v>
      </c>
      <c r="W13" s="24"/>
      <c r="X13" s="30">
        <v>365</v>
      </c>
      <c r="Y13" s="24"/>
      <c r="Z13" s="30">
        <v>365</v>
      </c>
      <c r="AA13" s="24"/>
      <c r="AB13" s="30">
        <v>365</v>
      </c>
      <c r="AC13" s="26"/>
      <c r="AD13" s="30">
        <v>365</v>
      </c>
      <c r="AE13" s="26"/>
    </row>
    <row r="14" spans="2:42" x14ac:dyDescent="0.3">
      <c r="B14" s="43" t="s">
        <v>47</v>
      </c>
      <c r="C14" s="17">
        <v>2340</v>
      </c>
      <c r="E14" s="18" t="s">
        <v>39</v>
      </c>
      <c r="F14" s="119">
        <v>22978</v>
      </c>
      <c r="G14" s="117">
        <v>18671.361250000002</v>
      </c>
      <c r="H14" s="117">
        <v>40540.94625121999</v>
      </c>
      <c r="I14" s="19">
        <f>G14+H14</f>
        <v>59212.307501219992</v>
      </c>
      <c r="J14" s="119">
        <v>21931</v>
      </c>
      <c r="K14" s="117">
        <v>16593.361250000002</v>
      </c>
      <c r="L14" s="117">
        <v>38644.037310719978</v>
      </c>
      <c r="M14" s="19">
        <f>K14+L14</f>
        <v>55237.398560719979</v>
      </c>
      <c r="N14" s="88">
        <v>60</v>
      </c>
      <c r="O14" s="88">
        <v>51</v>
      </c>
      <c r="P14" s="92"/>
      <c r="Q14" s="20">
        <f>J14-P14</f>
        <v>21931</v>
      </c>
      <c r="R14" s="21">
        <v>6103</v>
      </c>
      <c r="S14" s="20">
        <f>IF(R14&gt;0,(R14-R15-$Q14),"")</f>
        <v>-16126</v>
      </c>
      <c r="T14" s="21">
        <v>6982</v>
      </c>
      <c r="U14" s="20">
        <f>IF(T14&gt;0,(T14-T15-$Q14),"")</f>
        <v>-15248</v>
      </c>
      <c r="V14" s="21">
        <v>8779</v>
      </c>
      <c r="W14" s="20">
        <f>IF(V14&gt;0,(V14-V15-$Q14),"")</f>
        <v>-13478</v>
      </c>
      <c r="X14" s="21">
        <v>9830</v>
      </c>
      <c r="Y14" s="20">
        <f>IF(X14&gt;0,(X14-X15-$Q14),"")</f>
        <v>-12427</v>
      </c>
      <c r="Z14" s="21">
        <v>9830</v>
      </c>
      <c r="AA14" s="20">
        <f>IF(Z14&gt;0,(Z14-Z15-$Q14),"")</f>
        <v>-12427</v>
      </c>
      <c r="AB14" s="21">
        <v>9830</v>
      </c>
      <c r="AC14" s="22">
        <f>IF(AB14&gt;0,(AB14-AB15-$Q14),"")</f>
        <v>-12427</v>
      </c>
      <c r="AD14" s="21">
        <v>9830</v>
      </c>
      <c r="AE14" s="22">
        <f>IF(AD14&gt;0,(AD14-AD15-$Q14),"")</f>
        <v>-12427</v>
      </c>
    </row>
    <row r="15" spans="2:42" ht="15" customHeight="1" thickBot="1" x14ac:dyDescent="0.35">
      <c r="B15" s="43" t="s">
        <v>48</v>
      </c>
      <c r="C15" s="50">
        <v>781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298</v>
      </c>
      <c r="S15" s="24"/>
      <c r="T15" s="25">
        <v>299</v>
      </c>
      <c r="U15" s="24"/>
      <c r="V15" s="25">
        <v>326</v>
      </c>
      <c r="W15" s="24"/>
      <c r="X15" s="25">
        <v>326</v>
      </c>
      <c r="Y15" s="24"/>
      <c r="Z15" s="25">
        <v>326</v>
      </c>
      <c r="AA15" s="24"/>
      <c r="AB15" s="25">
        <v>326</v>
      </c>
      <c r="AC15" s="26"/>
      <c r="AD15" s="25">
        <v>326</v>
      </c>
      <c r="AE15" s="26"/>
    </row>
    <row r="16" spans="2:42" ht="15" customHeight="1" thickBot="1" x14ac:dyDescent="0.35">
      <c r="B16" s="16" t="s">
        <v>50</v>
      </c>
      <c r="C16" s="17"/>
      <c r="E16" s="84"/>
      <c r="F16" s="31">
        <f t="shared" ref="F16:M16" si="0">SUM(F6:F15)</f>
        <v>83535</v>
      </c>
      <c r="G16" s="31">
        <f t="shared" si="0"/>
        <v>65767.048250000007</v>
      </c>
      <c r="H16" s="31">
        <f t="shared" si="0"/>
        <v>114276.12083278329</v>
      </c>
      <c r="I16" s="32">
        <f t="shared" si="0"/>
        <v>180043.16908278331</v>
      </c>
      <c r="J16" s="33">
        <f t="shared" si="0"/>
        <v>81618</v>
      </c>
      <c r="K16" s="33">
        <f t="shared" si="0"/>
        <v>63073.494999999995</v>
      </c>
      <c r="L16" s="33">
        <f t="shared" si="0"/>
        <v>111999.86722025002</v>
      </c>
      <c r="M16" s="33">
        <f t="shared" si="0"/>
        <v>175073.36222025001</v>
      </c>
      <c r="N16" s="31">
        <f>SUM(N14,N12,N10,N8,N6)</f>
        <v>232</v>
      </c>
      <c r="O16" s="31">
        <f>SUM(O14,O12,O10,O8,O6)</f>
        <v>196</v>
      </c>
      <c r="P16" s="34">
        <f>SUM(P6:P15)</f>
        <v>0</v>
      </c>
      <c r="Q16" s="34">
        <f>SUM(Q6:Q15)</f>
        <v>81618</v>
      </c>
      <c r="R16" s="35">
        <f>R6+R8+R10+R12+R14-R7-R9-R11-R13-R15</f>
        <v>22444</v>
      </c>
      <c r="S16" s="36">
        <f>IF(R16&gt;1,(R16-$Q16),"")</f>
        <v>-59174</v>
      </c>
      <c r="T16" s="35">
        <f>T6+T8+T10+T12+T14-T7-T9-T11-T13-T15</f>
        <v>28039</v>
      </c>
      <c r="U16" s="36">
        <f>IF(T16&gt;1,(T16-$Q16),"")</f>
        <v>-53579</v>
      </c>
      <c r="V16" s="35">
        <f>V6+V8+V10+V12+V14-V7-V9-V11-V13-V15</f>
        <v>43372</v>
      </c>
      <c r="W16" s="36">
        <f>IF(V16&gt;1,(V16-$Q16),"")</f>
        <v>-38246</v>
      </c>
      <c r="X16" s="35">
        <f>X6+X8+X10+X12+X14-X7-X9-X11-X13-X15</f>
        <v>51385</v>
      </c>
      <c r="Y16" s="36">
        <f>IF(X16&gt;1,(X16-$Q16),"")</f>
        <v>-30233</v>
      </c>
      <c r="Z16" s="35">
        <f>Z6+Z8+Z10+Z12+Z14-Z7-Z9-Z11-Z13-Z15</f>
        <v>54492</v>
      </c>
      <c r="AA16" s="36">
        <f>IF(Z16&gt;1,(Z16-$Q16),"")</f>
        <v>-27126</v>
      </c>
      <c r="AB16" s="35">
        <f>AB6+AB8+AB10+AB12+AB14-AB7-AB9-AB11-AB13-AB15</f>
        <v>54492</v>
      </c>
      <c r="AC16" s="37">
        <f>IF(AB16&gt;1,(AB16-$Q16),"")</f>
        <v>-27126</v>
      </c>
      <c r="AD16" s="35">
        <f>AD6+AD8+AD10+AD12+AD14-AD7-AD9-AD11-AD13-AD15</f>
        <v>54492</v>
      </c>
      <c r="AE16" s="37">
        <f>IF(AD16&gt;1,(AD16-$Q16),"")</f>
        <v>-27126</v>
      </c>
    </row>
    <row r="17" spans="2:43" s="4" customFormat="1" ht="15" customHeight="1" thickBot="1" x14ac:dyDescent="0.3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36</v>
      </c>
      <c r="P17" s="38" t="s">
        <v>44</v>
      </c>
      <c r="Q17" s="39"/>
      <c r="R17" s="40">
        <f>R15+R13+R11+R9+R7</f>
        <v>791</v>
      </c>
      <c r="S17" s="41"/>
      <c r="T17" s="40">
        <f>T15+T13+T11+T9+T7</f>
        <v>869</v>
      </c>
      <c r="U17" s="41"/>
      <c r="V17" s="40">
        <f>V15+V13+V11+V9+V7</f>
        <v>2711</v>
      </c>
      <c r="W17" s="41"/>
      <c r="X17" s="40">
        <f>X15+X13+X11+X9+X7</f>
        <v>2730</v>
      </c>
      <c r="Y17" s="41"/>
      <c r="Z17" s="40">
        <f>Z15+Z13+Z11+Z9+Z7</f>
        <v>2732</v>
      </c>
      <c r="AA17" s="41"/>
      <c r="AB17" s="40">
        <f>AB15+AB13+AB11+AB9+AB7</f>
        <v>2732</v>
      </c>
      <c r="AC17" s="42"/>
      <c r="AD17" s="40">
        <f>AD15+AD13+AD11+AD9+AD7</f>
        <v>2732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/>
      <c r="O18" s="125">
        <f>O17/N16</f>
        <v>0.15517241379310345</v>
      </c>
      <c r="P18" s="45" t="s">
        <v>46</v>
      </c>
      <c r="Q18" s="46"/>
      <c r="R18" s="47">
        <f>IF(R16&gt;0,(R16)/2,"")</f>
        <v>11222</v>
      </c>
      <c r="S18" s="46"/>
      <c r="T18" s="47">
        <f>IF(T16&gt;0,(T16-R16)/2,"")</f>
        <v>2797.5</v>
      </c>
      <c r="U18" s="46"/>
      <c r="V18" s="47">
        <f>IF(V16&gt;0,(V16-T16)/2,"")</f>
        <v>7666.5</v>
      </c>
      <c r="W18" s="46"/>
      <c r="X18" s="47">
        <f>IF(X16&gt;0,(X16-V16)/2,"")</f>
        <v>4006.5</v>
      </c>
      <c r="Y18" s="46"/>
      <c r="Z18" s="47">
        <f>IF(Z16&gt;0,(Z16-X16)/2,"")</f>
        <v>1553.5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19091</v>
      </c>
      <c r="S20" s="36">
        <v>-46151</v>
      </c>
      <c r="T20" s="35">
        <v>24879</v>
      </c>
      <c r="U20" s="36">
        <v>-40363</v>
      </c>
      <c r="V20" s="35">
        <v>38881</v>
      </c>
      <c r="W20" s="36">
        <v>-26361</v>
      </c>
      <c r="X20" s="35">
        <v>41722</v>
      </c>
      <c r="Y20" s="36">
        <v>-23520</v>
      </c>
      <c r="Z20" s="35">
        <v>43307</v>
      </c>
      <c r="AA20" s="36">
        <v>-21935</v>
      </c>
      <c r="AB20" s="35">
        <v>43307</v>
      </c>
      <c r="AC20" s="37">
        <v>-21935</v>
      </c>
      <c r="AD20" s="35">
        <v>43307</v>
      </c>
      <c r="AE20" s="37">
        <v>-21935</v>
      </c>
    </row>
    <row r="21" spans="2:43" ht="15" customHeight="1" thickBot="1" x14ac:dyDescent="0.35">
      <c r="M21" s="4"/>
      <c r="Q21" s="52"/>
      <c r="R21" s="40">
        <v>2091</v>
      </c>
      <c r="S21" s="41"/>
      <c r="T21" s="40">
        <v>2878</v>
      </c>
      <c r="U21" s="41"/>
      <c r="V21" s="40">
        <v>3795</v>
      </c>
      <c r="W21" s="41"/>
      <c r="X21" s="40">
        <v>4294</v>
      </c>
      <c r="Y21" s="41"/>
      <c r="Z21" s="40">
        <v>4294</v>
      </c>
      <c r="AA21" s="41"/>
      <c r="AB21" s="40">
        <v>4294</v>
      </c>
      <c r="AC21" s="42"/>
      <c r="AD21" s="40">
        <v>4294</v>
      </c>
      <c r="AE21" s="42"/>
    </row>
    <row r="22" spans="2:43" ht="15" customHeight="1" thickBot="1" x14ac:dyDescent="0.35">
      <c r="M22" s="4"/>
      <c r="Q22" s="54"/>
      <c r="R22" s="47">
        <v>9545.5</v>
      </c>
      <c r="S22" s="46"/>
      <c r="T22" s="47">
        <v>2894</v>
      </c>
      <c r="U22" s="46"/>
      <c r="V22" s="47">
        <v>7001</v>
      </c>
      <c r="W22" s="46"/>
      <c r="X22" s="47">
        <v>1420.5</v>
      </c>
      <c r="Y22" s="46"/>
      <c r="Z22" s="47">
        <v>792.5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3353</v>
      </c>
      <c r="S24" s="60"/>
      <c r="T24" s="60">
        <f>IF(T16&gt;0,T16-T20,"")</f>
        <v>3160</v>
      </c>
      <c r="U24" s="60"/>
      <c r="V24" s="60">
        <f>IF(V16&gt;0,V16-V20,"")</f>
        <v>4491</v>
      </c>
      <c r="W24" s="60"/>
      <c r="X24" s="60">
        <f>IF(X16&gt;0,X16-X20,"")</f>
        <v>9663</v>
      </c>
      <c r="Y24" s="60"/>
      <c r="Z24" s="60">
        <f>IF(Z16&gt;0,Z16-Z20,"")</f>
        <v>11185</v>
      </c>
      <c r="AA24" s="60"/>
      <c r="AB24" s="60">
        <f>IF(AB16&gt;0,AB16-AB20,"")</f>
        <v>11185</v>
      </c>
      <c r="AC24" s="61"/>
      <c r="AD24" s="60">
        <f>IF(AD16&gt;0,AD16-AD20,"")</f>
        <v>11185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-1300</v>
      </c>
      <c r="S25" s="64"/>
      <c r="T25" s="63">
        <f>IF(T17&gt;=0,T17-T21,"")</f>
        <v>-2009</v>
      </c>
      <c r="U25" s="64"/>
      <c r="V25" s="63">
        <f>IF(V17&gt;=0,V17-V21,"")</f>
        <v>-1084</v>
      </c>
      <c r="W25" s="64"/>
      <c r="X25" s="63">
        <f>IF(X17&gt;=0,X17-X21,"")</f>
        <v>-1564</v>
      </c>
      <c r="Y25" s="64"/>
      <c r="Z25" s="63">
        <f>IF(Z17&gt;=0,Z17-Z21,"")</f>
        <v>-1562</v>
      </c>
      <c r="AA25" s="64"/>
      <c r="AB25" s="63">
        <f>IF(AB17&gt;=0,AB17-AB21,"")</f>
        <v>-1562</v>
      </c>
      <c r="AC25" s="65"/>
      <c r="AD25" s="63">
        <f>IF(AD17&gt;=0,AD17-AD21,"")</f>
        <v>-1562</v>
      </c>
      <c r="AE25" s="65"/>
    </row>
    <row r="26" spans="2:43" ht="15" customHeight="1" thickBot="1" x14ac:dyDescent="0.35">
      <c r="B26" s="74" t="s">
        <v>55</v>
      </c>
      <c r="C26" s="122">
        <v>10170</v>
      </c>
      <c r="D26" s="76">
        <f>C11</f>
        <v>0</v>
      </c>
      <c r="E26" s="77">
        <f>D26-C26</f>
        <v>-10170</v>
      </c>
      <c r="M26" s="4"/>
      <c r="Q26" s="66"/>
      <c r="R26" s="67">
        <f>IFERROR(IF(R18&gt;0,R18-R22,""),"")</f>
        <v>1676.5</v>
      </c>
      <c r="S26" s="55"/>
      <c r="T26" s="67">
        <f>IFERROR(IF(T18&gt;0,T18-T22,""),"")</f>
        <v>-96.5</v>
      </c>
      <c r="U26" s="55"/>
      <c r="V26" s="67">
        <f>IFERROR(IF(V18&gt;0,V18-V22,""),"")</f>
        <v>665.5</v>
      </c>
      <c r="W26" s="55"/>
      <c r="X26" s="67">
        <f>IFERROR(IF(X18&gt;0,X18-X22,""),"")</f>
        <v>2586</v>
      </c>
      <c r="Y26" s="55"/>
      <c r="Z26" s="67">
        <f>IFERROR(IF(Z18&gt;0,Z18-Z22,""),"")</f>
        <v>761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33260</v>
      </c>
      <c r="D27" s="76">
        <f>C7+C12+C13+C14+C15</f>
        <v>11111</v>
      </c>
      <c r="E27" s="77">
        <f>D27-C27</f>
        <v>-22149</v>
      </c>
      <c r="O27" s="4"/>
      <c r="AF27" s="69"/>
    </row>
    <row r="28" spans="2:43" x14ac:dyDescent="0.3">
      <c r="B28" s="74" t="s">
        <v>21</v>
      </c>
      <c r="C28" s="122">
        <v>5874</v>
      </c>
      <c r="D28" s="76">
        <f>C6</f>
        <v>5874</v>
      </c>
      <c r="E28" s="77">
        <f>D28-C28</f>
        <v>0</v>
      </c>
      <c r="O28" s="4"/>
    </row>
    <row r="29" spans="2:43" x14ac:dyDescent="0.3">
      <c r="B29" s="74" t="s">
        <v>57</v>
      </c>
      <c r="C29" s="122">
        <v>4080</v>
      </c>
      <c r="D29" s="76">
        <f>C10</f>
        <v>4080</v>
      </c>
      <c r="E29" s="77">
        <f>D29-C29</f>
        <v>0</v>
      </c>
      <c r="O29" s="4"/>
    </row>
    <row r="30" spans="2:43" x14ac:dyDescent="0.3">
      <c r="B30" s="74" t="s">
        <v>59</v>
      </c>
      <c r="C30" s="122">
        <v>15930</v>
      </c>
      <c r="D30" s="76">
        <f>C16+C17+C18</f>
        <v>0</v>
      </c>
      <c r="E30" s="77">
        <f>D30-C30</f>
        <v>-15930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3543</v>
      </c>
      <c r="D31" s="80">
        <f>SUM(C8+C9)</f>
        <v>3543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1713</v>
      </c>
      <c r="V35" s="104">
        <v>3426</v>
      </c>
      <c r="W35" s="104">
        <f t="shared" ref="W35:W64" si="3">IF(X35&gt;0,(X35-V35)/2,"")</f>
        <v>0</v>
      </c>
      <c r="X35" s="104">
        <v>3426</v>
      </c>
      <c r="Y35" s="104">
        <f t="shared" ref="Y35:Y64" si="4">IF(Z35&gt;0,(Z35-X35)/2,"")</f>
        <v>0</v>
      </c>
      <c r="Z35" s="104">
        <v>3426</v>
      </c>
      <c r="AA35" s="104">
        <f t="shared" ref="AA35:AA64" si="5">IF(AB35&gt;0,(AB35-Z35)/2,"")</f>
        <v>0</v>
      </c>
      <c r="AB35" s="104">
        <v>3426</v>
      </c>
      <c r="AC35" s="104">
        <f t="shared" ref="AC35:AC64" si="6">IF(AD35&gt;0,(AD35-AB35)/2,"")</f>
        <v>0</v>
      </c>
      <c r="AD35" s="104">
        <v>3426</v>
      </c>
      <c r="AE35" s="105">
        <f t="shared" ref="AE35:AE64" si="7">AD35-Q35</f>
        <v>3426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643.5</v>
      </c>
      <c r="V36" s="106">
        <v>1287</v>
      </c>
      <c r="W36" s="106">
        <f t="shared" si="3"/>
        <v>621</v>
      </c>
      <c r="X36" s="106">
        <v>2529</v>
      </c>
      <c r="Y36" s="106">
        <f t="shared" si="4"/>
        <v>0</v>
      </c>
      <c r="Z36" s="106">
        <v>2529</v>
      </c>
      <c r="AA36" s="106">
        <f t="shared" si="5"/>
        <v>0</v>
      </c>
      <c r="AB36" s="106">
        <v>2529</v>
      </c>
      <c r="AC36" s="106">
        <f t="shared" si="6"/>
        <v>0</v>
      </c>
      <c r="AD36" s="106">
        <v>2529</v>
      </c>
      <c r="AE36" s="107">
        <f t="shared" si="7"/>
        <v>2529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1665</v>
      </c>
      <c r="S37" s="108">
        <f t="shared" si="1"/>
        <v>0</v>
      </c>
      <c r="T37" s="108">
        <v>1665</v>
      </c>
      <c r="U37" s="108">
        <f t="shared" si="2"/>
        <v>0</v>
      </c>
      <c r="V37" s="108">
        <v>1665</v>
      </c>
      <c r="W37" s="108">
        <f t="shared" si="3"/>
        <v>691.5</v>
      </c>
      <c r="X37" s="108">
        <v>3048</v>
      </c>
      <c r="Y37" s="108">
        <f t="shared" si="4"/>
        <v>0</v>
      </c>
      <c r="Z37" s="108">
        <v>3048</v>
      </c>
      <c r="AA37" s="108">
        <f t="shared" si="5"/>
        <v>0</v>
      </c>
      <c r="AB37" s="108">
        <v>3048</v>
      </c>
      <c r="AC37" s="108">
        <f t="shared" si="6"/>
        <v>0</v>
      </c>
      <c r="AD37" s="108">
        <v>3048</v>
      </c>
      <c r="AE37" s="109">
        <f t="shared" si="7"/>
        <v>3048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1738</v>
      </c>
      <c r="S38" s="106">
        <f t="shared" si="1"/>
        <v>413.5</v>
      </c>
      <c r="T38" s="106">
        <v>2565</v>
      </c>
      <c r="U38" s="106">
        <f t="shared" si="2"/>
        <v>402</v>
      </c>
      <c r="V38" s="106">
        <v>3369</v>
      </c>
      <c r="W38" s="106">
        <f t="shared" si="3"/>
        <v>156.5</v>
      </c>
      <c r="X38" s="106">
        <v>3682</v>
      </c>
      <c r="Y38" s="106">
        <f t="shared" si="4"/>
        <v>0</v>
      </c>
      <c r="Z38" s="106">
        <v>3682</v>
      </c>
      <c r="AA38" s="106">
        <f t="shared" si="5"/>
        <v>0</v>
      </c>
      <c r="AB38" s="106">
        <v>3682</v>
      </c>
      <c r="AC38" s="106">
        <f t="shared" si="6"/>
        <v>0</v>
      </c>
      <c r="AD38" s="106">
        <v>3682</v>
      </c>
      <c r="AE38" s="107">
        <f t="shared" si="7"/>
        <v>3682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1038</v>
      </c>
      <c r="S39" s="108">
        <f t="shared" si="1"/>
        <v>124.5</v>
      </c>
      <c r="T39" s="108">
        <v>1287</v>
      </c>
      <c r="U39" s="108">
        <f t="shared" si="2"/>
        <v>125.5</v>
      </c>
      <c r="V39" s="108">
        <v>1538</v>
      </c>
      <c r="W39" s="108">
        <f t="shared" si="3"/>
        <v>297.5</v>
      </c>
      <c r="X39" s="108">
        <v>2133</v>
      </c>
      <c r="Y39" s="108">
        <f t="shared" si="4"/>
        <v>0</v>
      </c>
      <c r="Z39" s="108">
        <v>2133</v>
      </c>
      <c r="AA39" s="108">
        <f t="shared" si="5"/>
        <v>0</v>
      </c>
      <c r="AB39" s="108">
        <v>2133</v>
      </c>
      <c r="AC39" s="108">
        <f t="shared" si="6"/>
        <v>0</v>
      </c>
      <c r="AD39" s="108">
        <v>2133</v>
      </c>
      <c r="AE39" s="109">
        <f t="shared" si="7"/>
        <v>2133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19</v>
      </c>
      <c r="S40" s="106">
        <f t="shared" si="1"/>
        <v>0.5</v>
      </c>
      <c r="T40" s="106">
        <v>20</v>
      </c>
      <c r="U40" s="106">
        <f t="shared" si="2"/>
        <v>684</v>
      </c>
      <c r="V40" s="106">
        <v>1388</v>
      </c>
      <c r="W40" s="106">
        <f t="shared" si="3"/>
        <v>-3.5</v>
      </c>
      <c r="X40" s="106">
        <v>1381</v>
      </c>
      <c r="Y40" s="106">
        <f t="shared" si="4"/>
        <v>0</v>
      </c>
      <c r="Z40" s="106">
        <v>1381</v>
      </c>
      <c r="AA40" s="106">
        <f t="shared" si="5"/>
        <v>0</v>
      </c>
      <c r="AB40" s="106">
        <v>1381</v>
      </c>
      <c r="AC40" s="106">
        <f t="shared" si="6"/>
        <v>0</v>
      </c>
      <c r="AD40" s="106">
        <v>1381</v>
      </c>
      <c r="AE40" s="107">
        <f t="shared" si="7"/>
        <v>1381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688</v>
      </c>
      <c r="S41" s="108">
        <f t="shared" si="1"/>
        <v>447</v>
      </c>
      <c r="T41" s="108">
        <v>1582</v>
      </c>
      <c r="U41" s="108">
        <f t="shared" si="2"/>
        <v>0</v>
      </c>
      <c r="V41" s="108">
        <v>1582</v>
      </c>
      <c r="W41" s="108">
        <f t="shared" si="3"/>
        <v>0</v>
      </c>
      <c r="X41" s="108">
        <v>1582</v>
      </c>
      <c r="Y41" s="108">
        <f t="shared" si="4"/>
        <v>0</v>
      </c>
      <c r="Z41" s="108">
        <v>1582</v>
      </c>
      <c r="AA41" s="108">
        <f t="shared" si="5"/>
        <v>0</v>
      </c>
      <c r="AB41" s="108">
        <v>1582</v>
      </c>
      <c r="AC41" s="108">
        <f t="shared" si="6"/>
        <v>0</v>
      </c>
      <c r="AD41" s="108">
        <v>1582</v>
      </c>
      <c r="AE41" s="109">
        <f t="shared" si="7"/>
        <v>1582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251</v>
      </c>
      <c r="S44" s="112">
        <f t="shared" si="1"/>
        <v>96.5</v>
      </c>
      <c r="T44" s="112">
        <v>444</v>
      </c>
      <c r="U44" s="112">
        <f t="shared" si="2"/>
        <v>280</v>
      </c>
      <c r="V44" s="112">
        <v>1004</v>
      </c>
      <c r="W44" s="112">
        <f t="shared" si="3"/>
        <v>183.5</v>
      </c>
      <c r="X44" s="112">
        <v>1371</v>
      </c>
      <c r="Y44" s="112">
        <f t="shared" si="4"/>
        <v>0</v>
      </c>
      <c r="Z44" s="112">
        <v>1371</v>
      </c>
      <c r="AA44" s="112">
        <f t="shared" si="5"/>
        <v>0</v>
      </c>
      <c r="AB44" s="112">
        <v>1371</v>
      </c>
      <c r="AC44" s="112">
        <f t="shared" si="6"/>
        <v>0</v>
      </c>
      <c r="AD44" s="112">
        <v>1371</v>
      </c>
      <c r="AE44" s="113">
        <f t="shared" si="7"/>
        <v>1371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248</v>
      </c>
      <c r="S45" s="108">
        <f t="shared" si="1"/>
        <v>-86.5</v>
      </c>
      <c r="T45" s="108">
        <v>75</v>
      </c>
      <c r="U45" s="108">
        <f t="shared" si="2"/>
        <v>187.5</v>
      </c>
      <c r="V45" s="108">
        <v>450</v>
      </c>
      <c r="W45" s="108">
        <f t="shared" si="3"/>
        <v>416</v>
      </c>
      <c r="X45" s="108">
        <v>1282</v>
      </c>
      <c r="Y45" s="108">
        <f t="shared" si="4"/>
        <v>0</v>
      </c>
      <c r="Z45" s="108">
        <v>1282</v>
      </c>
      <c r="AA45" s="108">
        <f t="shared" si="5"/>
        <v>0</v>
      </c>
      <c r="AB45" s="108">
        <v>1282</v>
      </c>
      <c r="AC45" s="108">
        <f t="shared" si="6"/>
        <v>0</v>
      </c>
      <c r="AD45" s="108">
        <v>1282</v>
      </c>
      <c r="AE45" s="109">
        <f t="shared" si="7"/>
        <v>1282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474</v>
      </c>
      <c r="T48" s="112">
        <v>948</v>
      </c>
      <c r="U48" s="112">
        <f t="shared" si="2"/>
        <v>941.5</v>
      </c>
      <c r="V48" s="112">
        <v>2831</v>
      </c>
      <c r="W48" s="112">
        <f t="shared" si="3"/>
        <v>58.5</v>
      </c>
      <c r="X48" s="112">
        <v>2948</v>
      </c>
      <c r="Y48" s="112">
        <f t="shared" si="4"/>
        <v>316</v>
      </c>
      <c r="Z48" s="112">
        <v>3580</v>
      </c>
      <c r="AA48" s="112">
        <f t="shared" si="5"/>
        <v>0</v>
      </c>
      <c r="AB48" s="112">
        <v>3580</v>
      </c>
      <c r="AC48" s="112">
        <f t="shared" si="6"/>
        <v>0</v>
      </c>
      <c r="AD48" s="112">
        <v>3580</v>
      </c>
      <c r="AE48" s="113">
        <f t="shared" si="7"/>
        <v>3580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1003</v>
      </c>
      <c r="S49" s="108">
        <f t="shared" si="1"/>
        <v>66.5</v>
      </c>
      <c r="T49" s="108">
        <v>1136</v>
      </c>
      <c r="U49" s="108">
        <f t="shared" si="2"/>
        <v>139</v>
      </c>
      <c r="V49" s="108">
        <v>1414</v>
      </c>
      <c r="W49" s="108">
        <f t="shared" si="3"/>
        <v>0</v>
      </c>
      <c r="X49" s="108">
        <v>1414</v>
      </c>
      <c r="Y49" s="108">
        <f t="shared" si="4"/>
        <v>56</v>
      </c>
      <c r="Z49" s="108">
        <v>1526</v>
      </c>
      <c r="AA49" s="108">
        <f t="shared" si="5"/>
        <v>0</v>
      </c>
      <c r="AB49" s="108">
        <v>1526</v>
      </c>
      <c r="AC49" s="108">
        <f t="shared" si="6"/>
        <v>0</v>
      </c>
      <c r="AD49" s="108">
        <v>1526</v>
      </c>
      <c r="AE49" s="109">
        <f t="shared" si="7"/>
        <v>1526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43</v>
      </c>
      <c r="S50" s="106">
        <f t="shared" si="1"/>
        <v>179</v>
      </c>
      <c r="T50" s="106">
        <v>401</v>
      </c>
      <c r="U50" s="106">
        <f t="shared" si="2"/>
        <v>0</v>
      </c>
      <c r="V50" s="106">
        <v>401</v>
      </c>
      <c r="W50" s="106">
        <f t="shared" si="3"/>
        <v>472</v>
      </c>
      <c r="X50" s="106">
        <v>1345</v>
      </c>
      <c r="Y50" s="106">
        <f t="shared" si="4"/>
        <v>404.5</v>
      </c>
      <c r="Z50" s="106">
        <v>2154</v>
      </c>
      <c r="AA50" s="106">
        <f t="shared" si="5"/>
        <v>0</v>
      </c>
      <c r="AB50" s="106">
        <v>2154</v>
      </c>
      <c r="AC50" s="106">
        <f t="shared" si="6"/>
        <v>0</v>
      </c>
      <c r="AD50" s="106">
        <v>2154</v>
      </c>
      <c r="AE50" s="107">
        <f t="shared" si="7"/>
        <v>2154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860</v>
      </c>
      <c r="S51" s="108">
        <f t="shared" si="1"/>
        <v>0</v>
      </c>
      <c r="T51" s="108">
        <v>860</v>
      </c>
      <c r="U51" s="108">
        <f t="shared" si="2"/>
        <v>707</v>
      </c>
      <c r="V51" s="108">
        <v>2274</v>
      </c>
      <c r="W51" s="108">
        <f t="shared" si="3"/>
        <v>-18.5</v>
      </c>
      <c r="X51" s="108">
        <v>2237</v>
      </c>
      <c r="Y51" s="108">
        <f t="shared" si="4"/>
        <v>0</v>
      </c>
      <c r="Z51" s="108">
        <v>2237</v>
      </c>
      <c r="AA51" s="108">
        <f t="shared" si="5"/>
        <v>0</v>
      </c>
      <c r="AB51" s="108">
        <v>2237</v>
      </c>
      <c r="AC51" s="108">
        <f t="shared" si="6"/>
        <v>0</v>
      </c>
      <c r="AD51" s="108">
        <v>2237</v>
      </c>
      <c r="AE51" s="109">
        <f t="shared" si="7"/>
        <v>2237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1542</v>
      </c>
      <c r="S52" s="106">
        <f t="shared" si="1"/>
        <v>0</v>
      </c>
      <c r="T52" s="106">
        <v>1542</v>
      </c>
      <c r="U52" s="106">
        <f t="shared" si="2"/>
        <v>0</v>
      </c>
      <c r="V52" s="106">
        <v>1542</v>
      </c>
      <c r="W52" s="106">
        <f t="shared" si="3"/>
        <v>10.5</v>
      </c>
      <c r="X52" s="106">
        <v>1563</v>
      </c>
      <c r="Y52" s="106">
        <f t="shared" si="4"/>
        <v>526</v>
      </c>
      <c r="Z52" s="106">
        <v>2615</v>
      </c>
      <c r="AA52" s="106">
        <f t="shared" si="5"/>
        <v>0</v>
      </c>
      <c r="AB52" s="106">
        <v>2615</v>
      </c>
      <c r="AC52" s="106">
        <f t="shared" si="6"/>
        <v>0</v>
      </c>
      <c r="AD52" s="106">
        <v>2615</v>
      </c>
      <c r="AE52" s="107">
        <f t="shared" si="7"/>
        <v>2615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580</v>
      </c>
      <c r="S53" s="108">
        <f t="shared" si="1"/>
        <v>300</v>
      </c>
      <c r="T53" s="108">
        <v>1180</v>
      </c>
      <c r="U53" s="108">
        <f t="shared" si="2"/>
        <v>252</v>
      </c>
      <c r="V53" s="108">
        <v>1684</v>
      </c>
      <c r="W53" s="108">
        <f t="shared" si="3"/>
        <v>519.5</v>
      </c>
      <c r="X53" s="108">
        <v>2723</v>
      </c>
      <c r="Y53" s="108">
        <f t="shared" si="4"/>
        <v>252</v>
      </c>
      <c r="Z53" s="108">
        <v>3227</v>
      </c>
      <c r="AA53" s="108">
        <f t="shared" si="5"/>
        <v>0</v>
      </c>
      <c r="AB53" s="108">
        <v>3227</v>
      </c>
      <c r="AC53" s="108">
        <f t="shared" si="6"/>
        <v>0</v>
      </c>
      <c r="AD53" s="108">
        <v>3227</v>
      </c>
      <c r="AE53" s="109">
        <f t="shared" si="7"/>
        <v>3227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1846</v>
      </c>
      <c r="S57" s="104">
        <f t="shared" si="1"/>
        <v>141.5</v>
      </c>
      <c r="T57" s="104">
        <v>2129</v>
      </c>
      <c r="U57" s="104">
        <f t="shared" si="2"/>
        <v>481</v>
      </c>
      <c r="V57" s="104">
        <v>3091</v>
      </c>
      <c r="W57" s="104">
        <f t="shared" si="3"/>
        <v>0</v>
      </c>
      <c r="X57" s="104">
        <v>3091</v>
      </c>
      <c r="Y57" s="104">
        <f t="shared" si="4"/>
        <v>0</v>
      </c>
      <c r="Z57" s="104">
        <v>3091</v>
      </c>
      <c r="AA57" s="104">
        <f t="shared" si="5"/>
        <v>0</v>
      </c>
      <c r="AB57" s="104">
        <v>3091</v>
      </c>
      <c r="AC57" s="104">
        <f t="shared" si="6"/>
        <v>0</v>
      </c>
      <c r="AD57" s="104">
        <v>3091</v>
      </c>
      <c r="AE57" s="105">
        <f t="shared" si="7"/>
        <v>3091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2628</v>
      </c>
      <c r="S58" s="106">
        <f t="shared" si="1"/>
        <v>0</v>
      </c>
      <c r="T58" s="106">
        <v>2628</v>
      </c>
      <c r="U58" s="106">
        <f t="shared" si="2"/>
        <v>460.5</v>
      </c>
      <c r="V58" s="106">
        <v>3549</v>
      </c>
      <c r="W58" s="106">
        <f t="shared" si="3"/>
        <v>0</v>
      </c>
      <c r="X58" s="106">
        <v>3549</v>
      </c>
      <c r="Y58" s="106">
        <f t="shared" si="4"/>
        <v>0</v>
      </c>
      <c r="Z58" s="106">
        <v>3549</v>
      </c>
      <c r="AA58" s="106">
        <f t="shared" si="5"/>
        <v>0</v>
      </c>
      <c r="AB58" s="106">
        <v>3549</v>
      </c>
      <c r="AC58" s="106">
        <f t="shared" si="6"/>
        <v>0</v>
      </c>
      <c r="AD58" s="106">
        <v>3549</v>
      </c>
      <c r="AE58" s="107">
        <f t="shared" si="7"/>
        <v>3549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1594</v>
      </c>
      <c r="S59" s="108">
        <f t="shared" si="1"/>
        <v>101.5</v>
      </c>
      <c r="T59" s="108">
        <v>1797</v>
      </c>
      <c r="U59" s="108">
        <f t="shared" si="2"/>
        <v>197.5</v>
      </c>
      <c r="V59" s="108">
        <v>2192</v>
      </c>
      <c r="W59" s="108">
        <f t="shared" si="3"/>
        <v>0</v>
      </c>
      <c r="X59" s="108">
        <v>2192</v>
      </c>
      <c r="Y59" s="108">
        <f t="shared" si="4"/>
        <v>0</v>
      </c>
      <c r="Z59" s="108">
        <v>2192</v>
      </c>
      <c r="AA59" s="108">
        <f t="shared" si="5"/>
        <v>0</v>
      </c>
      <c r="AB59" s="108">
        <v>2192</v>
      </c>
      <c r="AC59" s="108">
        <f t="shared" si="6"/>
        <v>0</v>
      </c>
      <c r="AD59" s="108">
        <v>2192</v>
      </c>
      <c r="AE59" s="109">
        <f t="shared" si="7"/>
        <v>2192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1389</v>
      </c>
      <c r="S60" s="114">
        <f t="shared" si="1"/>
        <v>139</v>
      </c>
      <c r="T60" s="114">
        <v>1667</v>
      </c>
      <c r="U60" s="114">
        <f t="shared" si="2"/>
        <v>475</v>
      </c>
      <c r="V60" s="114">
        <v>2617</v>
      </c>
      <c r="W60" s="114">
        <f t="shared" si="3"/>
        <v>86</v>
      </c>
      <c r="X60" s="114">
        <v>2789</v>
      </c>
      <c r="Y60" s="114">
        <f t="shared" si="4"/>
        <v>0</v>
      </c>
      <c r="Z60" s="114">
        <v>2789</v>
      </c>
      <c r="AA60" s="114">
        <f t="shared" si="5"/>
        <v>0</v>
      </c>
      <c r="AB60" s="114">
        <v>2789</v>
      </c>
      <c r="AC60" s="114">
        <f t="shared" si="6"/>
        <v>0</v>
      </c>
      <c r="AD60" s="114">
        <v>2789</v>
      </c>
      <c r="AE60" s="115">
        <f t="shared" si="7"/>
        <v>2789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926</v>
      </c>
      <c r="S61" s="104">
        <f t="shared" si="1"/>
        <v>0</v>
      </c>
      <c r="T61" s="104">
        <v>926</v>
      </c>
      <c r="U61" s="104">
        <f t="shared" si="2"/>
        <v>575</v>
      </c>
      <c r="V61" s="104">
        <v>2076</v>
      </c>
      <c r="W61" s="104">
        <f t="shared" si="3"/>
        <v>0.5</v>
      </c>
      <c r="X61" s="104">
        <v>2077</v>
      </c>
      <c r="Y61" s="104">
        <f t="shared" si="4"/>
        <v>0</v>
      </c>
      <c r="Z61" s="104">
        <v>2077</v>
      </c>
      <c r="AA61" s="104">
        <f t="shared" si="5"/>
        <v>0</v>
      </c>
      <c r="AB61" s="104">
        <v>2077</v>
      </c>
      <c r="AC61" s="104">
        <f t="shared" si="6"/>
        <v>0</v>
      </c>
      <c r="AD61" s="104">
        <v>2077</v>
      </c>
      <c r="AE61" s="105">
        <f t="shared" si="7"/>
        <v>2077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1120</v>
      </c>
      <c r="S62" s="106">
        <f t="shared" si="1"/>
        <v>140</v>
      </c>
      <c r="T62" s="106">
        <v>1400</v>
      </c>
      <c r="U62" s="106">
        <f t="shared" si="2"/>
        <v>8.5</v>
      </c>
      <c r="V62" s="106">
        <v>1417</v>
      </c>
      <c r="W62" s="106">
        <f t="shared" si="3"/>
        <v>0</v>
      </c>
      <c r="X62" s="106">
        <v>1417</v>
      </c>
      <c r="Y62" s="106">
        <f t="shared" si="4"/>
        <v>0</v>
      </c>
      <c r="Z62" s="106">
        <v>1417</v>
      </c>
      <c r="AA62" s="106">
        <f t="shared" si="5"/>
        <v>0</v>
      </c>
      <c r="AB62" s="106">
        <v>1417</v>
      </c>
      <c r="AC62" s="106">
        <f t="shared" si="6"/>
        <v>0</v>
      </c>
      <c r="AD62" s="106">
        <v>1417</v>
      </c>
      <c r="AE62" s="107">
        <f t="shared" si="7"/>
        <v>1417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332</v>
      </c>
      <c r="S63" s="108">
        <f t="shared" si="1"/>
        <v>24</v>
      </c>
      <c r="T63" s="108">
        <v>380</v>
      </c>
      <c r="U63" s="108">
        <f t="shared" si="2"/>
        <v>85.5</v>
      </c>
      <c r="V63" s="108">
        <v>551</v>
      </c>
      <c r="W63" s="108">
        <f t="shared" si="3"/>
        <v>369</v>
      </c>
      <c r="X63" s="108">
        <v>1289</v>
      </c>
      <c r="Y63" s="108">
        <f t="shared" si="4"/>
        <v>0</v>
      </c>
      <c r="Z63" s="108">
        <v>1289</v>
      </c>
      <c r="AA63" s="108">
        <f t="shared" si="5"/>
        <v>0</v>
      </c>
      <c r="AB63" s="108">
        <v>1289</v>
      </c>
      <c r="AC63" s="108">
        <f t="shared" si="6"/>
        <v>0</v>
      </c>
      <c r="AD63" s="108">
        <v>1289</v>
      </c>
      <c r="AE63" s="109">
        <f t="shared" si="7"/>
        <v>1289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1426</v>
      </c>
      <c r="S64" s="114">
        <f t="shared" si="1"/>
        <v>191.5</v>
      </c>
      <c r="T64" s="114">
        <v>1809</v>
      </c>
      <c r="U64" s="114">
        <f t="shared" si="2"/>
        <v>164</v>
      </c>
      <c r="V64" s="114">
        <v>2137</v>
      </c>
      <c r="W64" s="114">
        <f t="shared" si="3"/>
        <v>-47.5</v>
      </c>
      <c r="X64" s="114">
        <v>2042</v>
      </c>
      <c r="Y64" s="114">
        <f t="shared" si="4"/>
        <v>0</v>
      </c>
      <c r="Z64" s="114">
        <v>2042</v>
      </c>
      <c r="AA64" s="114">
        <f t="shared" si="5"/>
        <v>0</v>
      </c>
      <c r="AB64" s="114">
        <v>2042</v>
      </c>
      <c r="AC64" s="114">
        <f t="shared" si="6"/>
        <v>0</v>
      </c>
      <c r="AD64" s="114">
        <v>2042</v>
      </c>
      <c r="AE64" s="115">
        <f t="shared" si="7"/>
        <v>2042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19" priority="11" operator="lessThan">
      <formula>0</formula>
    </cfRule>
    <cfRule type="cellIs" dxfId="418" priority="12" operator="greaterThan">
      <formula>0</formula>
    </cfRule>
  </conditionalFormatting>
  <conditionalFormatting sqref="R25:AC25">
    <cfRule type="cellIs" dxfId="417" priority="9" operator="lessThan">
      <formula>0</formula>
    </cfRule>
    <cfRule type="cellIs" dxfId="416" priority="10" operator="greaterThan">
      <formula>0</formula>
    </cfRule>
  </conditionalFormatting>
  <conditionalFormatting sqref="R26 T26 V26 X26 Z26 AB26">
    <cfRule type="cellIs" dxfId="415" priority="7" operator="lessThan">
      <formula>0</formula>
    </cfRule>
    <cfRule type="cellIs" dxfId="414" priority="8" operator="greaterThan">
      <formula>0</formula>
    </cfRule>
  </conditionalFormatting>
  <conditionalFormatting sqref="AD24:AE24">
    <cfRule type="cellIs" dxfId="413" priority="5" operator="lessThan">
      <formula>0</formula>
    </cfRule>
    <cfRule type="cellIs" dxfId="412" priority="6" operator="greaterThan">
      <formula>0</formula>
    </cfRule>
  </conditionalFormatting>
  <conditionalFormatting sqref="AD25:AE25">
    <cfRule type="cellIs" dxfId="411" priority="3" operator="lessThan">
      <formula>0</formula>
    </cfRule>
    <cfRule type="cellIs" dxfId="410" priority="4" operator="greaterThan">
      <formula>0</formula>
    </cfRule>
  </conditionalFormatting>
  <conditionalFormatting sqref="AD26">
    <cfRule type="cellIs" dxfId="409" priority="1" operator="lessThan">
      <formula>0</formula>
    </cfRule>
    <cfRule type="cellIs" dxfId="408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>
    <tabColor theme="1"/>
    <pageSetUpPr fitToPage="1"/>
  </sheetPr>
  <dimension ref="B1:AQ64"/>
  <sheetViews>
    <sheetView zoomScale="70" zoomScaleNormal="7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44484</v>
      </c>
    </row>
    <row r="3" spans="2:42" ht="18.75" customHeight="1" thickBot="1" x14ac:dyDescent="0.35">
      <c r="B3" t="s">
        <v>1</v>
      </c>
      <c r="C3" s="3">
        <f>C2+1</f>
        <v>44485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16776</v>
      </c>
      <c r="G6" s="117">
        <v>8442.3097500000003</v>
      </c>
      <c r="H6" s="117">
        <v>739.78043749999995</v>
      </c>
      <c r="I6" s="19">
        <f>G6+H6</f>
        <v>9182.0901875</v>
      </c>
      <c r="J6" s="119"/>
      <c r="K6" s="117"/>
      <c r="L6" s="117"/>
      <c r="M6" s="19">
        <f>K6+L6</f>
        <v>0</v>
      </c>
      <c r="N6" s="85">
        <v>59</v>
      </c>
      <c r="O6" s="85">
        <v>53</v>
      </c>
      <c r="P6" s="92"/>
      <c r="Q6" s="20">
        <f>J6-P6</f>
        <v>0</v>
      </c>
      <c r="R6" s="21">
        <v>4560</v>
      </c>
      <c r="S6" s="20">
        <f>IF(R6&gt;0,(R6-R7-$Q6),"")</f>
        <v>4398</v>
      </c>
      <c r="T6" s="21">
        <v>7614</v>
      </c>
      <c r="U6" s="20">
        <f>IF(T6&gt;0,(T6-T7-$Q6),"")</f>
        <v>7435</v>
      </c>
      <c r="V6" s="21">
        <v>9434</v>
      </c>
      <c r="W6" s="20">
        <f>IF(V6&gt;0,(V6-V7-$Q6),"")</f>
        <v>9242</v>
      </c>
      <c r="X6" s="21">
        <v>13126</v>
      </c>
      <c r="Y6" s="20">
        <f>IF(X6&gt;0,(X6-X7-$Q6),"")</f>
        <v>12932</v>
      </c>
      <c r="Z6" s="21">
        <v>13126</v>
      </c>
      <c r="AA6" s="20">
        <f>IF(Z6&gt;0,(Z6-Z7-$Q6),"")</f>
        <v>12932</v>
      </c>
      <c r="AB6" s="21">
        <v>13126</v>
      </c>
      <c r="AC6" s="22">
        <f>IF(AB6&gt;0,(AB6-AB7-$Q6),"")</f>
        <v>12932</v>
      </c>
      <c r="AD6" s="21">
        <v>13126</v>
      </c>
      <c r="AE6" s="22">
        <f>IF(AD6&gt;0,(AD6-AD7-$Q6),"")</f>
        <v>12932</v>
      </c>
    </row>
    <row r="7" spans="2:42" x14ac:dyDescent="0.3">
      <c r="B7" s="16" t="s">
        <v>23</v>
      </c>
      <c r="C7" s="17"/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6</v>
      </c>
      <c r="P7" s="93" t="s">
        <v>24</v>
      </c>
      <c r="Q7" s="24"/>
      <c r="R7" s="25">
        <v>162</v>
      </c>
      <c r="S7" s="24"/>
      <c r="T7" s="25">
        <v>179</v>
      </c>
      <c r="U7" s="24"/>
      <c r="V7" s="25">
        <v>192</v>
      </c>
      <c r="W7" s="24"/>
      <c r="X7" s="25">
        <v>194</v>
      </c>
      <c r="Y7" s="24"/>
      <c r="Z7" s="25">
        <v>194</v>
      </c>
      <c r="AA7" s="24"/>
      <c r="AB7" s="25">
        <v>194</v>
      </c>
      <c r="AC7" s="26"/>
      <c r="AD7" s="25">
        <v>194</v>
      </c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2421</v>
      </c>
      <c r="E8" s="29" t="s">
        <v>27</v>
      </c>
      <c r="F8" s="119">
        <v>1973</v>
      </c>
      <c r="G8" s="117">
        <v>3635.7755000000002</v>
      </c>
      <c r="H8" s="117">
        <v>9505.3575953799973</v>
      </c>
      <c r="I8" s="19">
        <f>G8+H8</f>
        <v>13141.133095379997</v>
      </c>
      <c r="J8" s="119"/>
      <c r="K8" s="117"/>
      <c r="L8" s="117"/>
      <c r="M8" s="19">
        <f>K8+L8</f>
        <v>0</v>
      </c>
      <c r="N8" s="87">
        <v>18</v>
      </c>
      <c r="O8" s="87">
        <v>14</v>
      </c>
      <c r="P8" s="92"/>
      <c r="Q8" s="20">
        <f>J8-P8</f>
        <v>0</v>
      </c>
      <c r="R8" s="21">
        <v>248</v>
      </c>
      <c r="S8" s="20">
        <f>IF(R8&gt;0,(R8-R9-$Q8),"")</f>
        <v>248</v>
      </c>
      <c r="T8" s="21">
        <v>409</v>
      </c>
      <c r="U8" s="20">
        <f>IF(T8&gt;0,(T8-T9-$Q8),"")</f>
        <v>409</v>
      </c>
      <c r="V8" s="21">
        <v>1779</v>
      </c>
      <c r="W8" s="20">
        <f>IF(V8&gt;0,(V8-V9-$Q8),"")</f>
        <v>1766</v>
      </c>
      <c r="X8" s="21">
        <v>1785</v>
      </c>
      <c r="Y8" s="20">
        <f>IF(X8&gt;0,(X8-X9-$Q8),"")</f>
        <v>1772</v>
      </c>
      <c r="Z8" s="21">
        <v>1785</v>
      </c>
      <c r="AA8" s="20">
        <f>IF(Z8&gt;0,(Z8-Z9-$Q8),"")</f>
        <v>1772</v>
      </c>
      <c r="AB8" s="21">
        <v>1785</v>
      </c>
      <c r="AC8" s="22">
        <f>IF(AB8&gt;0,(AB8-AB9-$Q8),"")</f>
        <v>1772</v>
      </c>
      <c r="AD8" s="21">
        <v>1785</v>
      </c>
      <c r="AE8" s="22">
        <f>IF(AD8&gt;0,(AD8-AD9-$Q8),"")</f>
        <v>1772</v>
      </c>
    </row>
    <row r="9" spans="2:42" x14ac:dyDescent="0.3">
      <c r="B9" s="28" t="s">
        <v>28</v>
      </c>
      <c r="C9" s="17">
        <v>1327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13</v>
      </c>
      <c r="W9" s="24"/>
      <c r="X9" s="30">
        <v>13</v>
      </c>
      <c r="Y9" s="24"/>
      <c r="Z9" s="30">
        <v>13</v>
      </c>
      <c r="AA9" s="24"/>
      <c r="AB9" s="30">
        <v>13</v>
      </c>
      <c r="AC9" s="26"/>
      <c r="AD9" s="30">
        <v>13</v>
      </c>
      <c r="AE9" s="26"/>
    </row>
    <row r="10" spans="2:42" x14ac:dyDescent="0.3">
      <c r="B10" s="16" t="s">
        <v>30</v>
      </c>
      <c r="C10" s="17">
        <v>0</v>
      </c>
      <c r="E10" s="18" t="s">
        <v>31</v>
      </c>
      <c r="F10" s="119">
        <v>18171</v>
      </c>
      <c r="G10" s="117">
        <v>14503.0965</v>
      </c>
      <c r="H10" s="117">
        <v>353.94747899999999</v>
      </c>
      <c r="I10" s="19">
        <f>G10+H10</f>
        <v>14857.043979</v>
      </c>
      <c r="J10" s="119"/>
      <c r="K10" s="117"/>
      <c r="L10" s="117"/>
      <c r="M10" s="19">
        <f>K10+L10</f>
        <v>0</v>
      </c>
      <c r="N10" s="88">
        <v>41</v>
      </c>
      <c r="O10" s="88">
        <v>35</v>
      </c>
      <c r="P10" s="92"/>
      <c r="Q10" s="20">
        <f>J10-P10</f>
        <v>0</v>
      </c>
      <c r="R10" s="21">
        <v>4474</v>
      </c>
      <c r="S10" s="20">
        <f>IF(R10&gt;0,(R10-R11-$Q10),"")</f>
        <v>4471</v>
      </c>
      <c r="T10" s="21">
        <v>6313</v>
      </c>
      <c r="U10" s="20">
        <f>IF(T10&gt;0,(T10-T11-$Q10),"")</f>
        <v>6261</v>
      </c>
      <c r="V10" s="21">
        <v>9302</v>
      </c>
      <c r="W10" s="20">
        <f>IF(V10&gt;0,(V10-V11-$Q10),"")</f>
        <v>9250</v>
      </c>
      <c r="X10" s="21">
        <v>10574</v>
      </c>
      <c r="Y10" s="20">
        <f>IF(X10&gt;0,(X10-X11-$Q10),"")</f>
        <v>10522</v>
      </c>
      <c r="Z10" s="21">
        <v>11186</v>
      </c>
      <c r="AA10" s="20">
        <f>IF(Z10&gt;0,(Z10-Z11-$Q10),"")</f>
        <v>11120</v>
      </c>
      <c r="AB10" s="21">
        <v>11186</v>
      </c>
      <c r="AC10" s="22">
        <f>IF(AB10&gt;0,(AB10-AB11-$Q10),"")</f>
        <v>11120</v>
      </c>
      <c r="AD10" s="21">
        <v>11186</v>
      </c>
      <c r="AE10" s="22">
        <f>IF(AD10&gt;0,(AD10-AD11-$Q10),"")</f>
        <v>11120</v>
      </c>
    </row>
    <row r="11" spans="2:42" x14ac:dyDescent="0.3">
      <c r="B11" s="16" t="s">
        <v>38</v>
      </c>
      <c r="C11" s="17">
        <v>10003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3</v>
      </c>
      <c r="S11" s="24"/>
      <c r="T11" s="30">
        <v>52</v>
      </c>
      <c r="U11" s="24"/>
      <c r="V11" s="30">
        <v>52</v>
      </c>
      <c r="W11" s="24"/>
      <c r="X11" s="30">
        <v>52</v>
      </c>
      <c r="Y11" s="24"/>
      <c r="Z11" s="30">
        <v>66</v>
      </c>
      <c r="AA11" s="24"/>
      <c r="AB11" s="30">
        <v>66</v>
      </c>
      <c r="AC11" s="26"/>
      <c r="AD11" s="30">
        <v>66</v>
      </c>
      <c r="AE11" s="26"/>
    </row>
    <row r="12" spans="2:42" x14ac:dyDescent="0.3">
      <c r="B12" s="16" t="s">
        <v>40</v>
      </c>
      <c r="C12" s="17"/>
      <c r="E12" s="29" t="s">
        <v>35</v>
      </c>
      <c r="F12" s="119">
        <v>13235</v>
      </c>
      <c r="G12" s="117">
        <v>12934.32825</v>
      </c>
      <c r="H12" s="117">
        <v>16015.954100819999</v>
      </c>
      <c r="I12" s="19">
        <f>G12+H12</f>
        <v>28950.282350820002</v>
      </c>
      <c r="J12" s="119"/>
      <c r="K12" s="117"/>
      <c r="L12" s="117"/>
      <c r="M12" s="19">
        <f>K12+L12</f>
        <v>0</v>
      </c>
      <c r="N12" s="88">
        <v>46</v>
      </c>
      <c r="O12" s="88">
        <v>39</v>
      </c>
      <c r="P12" s="92"/>
      <c r="Q12" s="20">
        <f>J12-P12</f>
        <v>0</v>
      </c>
      <c r="R12" s="21">
        <v>5310</v>
      </c>
      <c r="S12" s="20">
        <f>IF(R12&gt;0,(R12-R13-$Q12),"")</f>
        <v>5236</v>
      </c>
      <c r="T12" s="21">
        <v>7171</v>
      </c>
      <c r="U12" s="20">
        <f>IF(T12&gt;0,(T12-T13-$Q12),"")</f>
        <v>7079</v>
      </c>
      <c r="V12" s="21">
        <v>10040</v>
      </c>
      <c r="W12" s="20">
        <f>IF(V12&gt;0,(V12-V13-$Q12),"")</f>
        <v>9893</v>
      </c>
      <c r="X12" s="21">
        <v>11645</v>
      </c>
      <c r="Y12" s="20">
        <f>IF(X12&gt;0,(X12-X13-$Q12),"")</f>
        <v>11472</v>
      </c>
      <c r="Z12" s="21">
        <v>11645</v>
      </c>
      <c r="AA12" s="20">
        <f>IF(Z12&gt;0,(Z12-Z13-$Q12),"")</f>
        <v>11472</v>
      </c>
      <c r="AB12" s="21">
        <v>11645</v>
      </c>
      <c r="AC12" s="22">
        <f>IF(AB12&gt;0,(AB12-AB13-$Q12),"")</f>
        <v>11472</v>
      </c>
      <c r="AD12" s="21">
        <v>11645</v>
      </c>
      <c r="AE12" s="22">
        <f>IF(AD12&gt;0,(AD12-AD13-$Q12),"")</f>
        <v>11472</v>
      </c>
    </row>
    <row r="13" spans="2:42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74</v>
      </c>
      <c r="S13" s="24"/>
      <c r="T13" s="30">
        <v>92</v>
      </c>
      <c r="U13" s="24"/>
      <c r="V13" s="30">
        <v>147</v>
      </c>
      <c r="W13" s="24"/>
      <c r="X13" s="30">
        <v>173</v>
      </c>
      <c r="Y13" s="24"/>
      <c r="Z13" s="30">
        <v>173</v>
      </c>
      <c r="AA13" s="24"/>
      <c r="AB13" s="30">
        <v>173</v>
      </c>
      <c r="AC13" s="26"/>
      <c r="AD13" s="30">
        <v>173</v>
      </c>
      <c r="AE13" s="26"/>
    </row>
    <row r="14" spans="2:42" x14ac:dyDescent="0.3">
      <c r="B14" s="43" t="s">
        <v>47</v>
      </c>
      <c r="C14" s="17"/>
      <c r="E14" s="18" t="s">
        <v>39</v>
      </c>
      <c r="F14" s="119">
        <v>11898</v>
      </c>
      <c r="G14" s="117">
        <v>15425.115</v>
      </c>
      <c r="H14" s="117">
        <v>15604.421158100011</v>
      </c>
      <c r="I14" s="19">
        <f>G14+H14</f>
        <v>31029.536158100011</v>
      </c>
      <c r="J14" s="119"/>
      <c r="K14" s="117"/>
      <c r="L14" s="117"/>
      <c r="M14" s="19">
        <f>K14+L14</f>
        <v>0</v>
      </c>
      <c r="N14" s="88">
        <v>57</v>
      </c>
      <c r="O14" s="88">
        <v>48</v>
      </c>
      <c r="P14" s="92"/>
      <c r="Q14" s="20">
        <f>J14-P14</f>
        <v>0</v>
      </c>
      <c r="R14" s="21">
        <v>7066</v>
      </c>
      <c r="S14" s="20">
        <f>IF(R14&gt;0,(R14-R15-$Q14),"")</f>
        <v>6840</v>
      </c>
      <c r="T14" s="21">
        <v>7540</v>
      </c>
      <c r="U14" s="20">
        <f>IF(T14&gt;0,(T14-T15-$Q14),"")</f>
        <v>7313</v>
      </c>
      <c r="V14" s="21">
        <v>7540</v>
      </c>
      <c r="W14" s="20">
        <f>IF(V14&gt;0,(V14-V15-$Q14),"")</f>
        <v>7313</v>
      </c>
      <c r="X14" s="21">
        <v>7540</v>
      </c>
      <c r="Y14" s="20">
        <f>IF(X14&gt;0,(X14-X15-$Q14),"")</f>
        <v>7313</v>
      </c>
      <c r="Z14" s="21">
        <v>7540</v>
      </c>
      <c r="AA14" s="20">
        <f>IF(Z14&gt;0,(Z14-Z15-$Q14),"")</f>
        <v>7313</v>
      </c>
      <c r="AB14" s="21">
        <v>7540</v>
      </c>
      <c r="AC14" s="22">
        <f>IF(AB14&gt;0,(AB14-AB15-$Q14),"")</f>
        <v>7313</v>
      </c>
      <c r="AD14" s="21">
        <v>7540</v>
      </c>
      <c r="AE14" s="22">
        <f>IF(AD14&gt;0,(AD14-AD15-$Q14),"")</f>
        <v>7313</v>
      </c>
    </row>
    <row r="15" spans="2:42" ht="15" customHeight="1" thickBot="1" x14ac:dyDescent="0.35">
      <c r="B15" s="43" t="s">
        <v>48</v>
      </c>
      <c r="C15" s="50"/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226</v>
      </c>
      <c r="S15" s="24"/>
      <c r="T15" s="25">
        <v>227</v>
      </c>
      <c r="U15" s="24"/>
      <c r="V15" s="25">
        <v>227</v>
      </c>
      <c r="W15" s="24"/>
      <c r="X15" s="25">
        <v>227</v>
      </c>
      <c r="Y15" s="24"/>
      <c r="Z15" s="25">
        <v>227</v>
      </c>
      <c r="AA15" s="24"/>
      <c r="AB15" s="25">
        <v>227</v>
      </c>
      <c r="AC15" s="26"/>
      <c r="AD15" s="25">
        <v>227</v>
      </c>
      <c r="AE15" s="26"/>
    </row>
    <row r="16" spans="2:42" ht="15" customHeight="1" thickBot="1" x14ac:dyDescent="0.35">
      <c r="B16" s="16" t="s">
        <v>50</v>
      </c>
      <c r="C16" s="17"/>
      <c r="E16" s="84"/>
      <c r="F16" s="31">
        <f t="shared" ref="F16:M16" si="0">SUM(F6:F15)</f>
        <v>62053</v>
      </c>
      <c r="G16" s="31">
        <f t="shared" si="0"/>
        <v>54940.625</v>
      </c>
      <c r="H16" s="31">
        <f t="shared" si="0"/>
        <v>42219.460770800011</v>
      </c>
      <c r="I16" s="32">
        <f t="shared" si="0"/>
        <v>97160.085770800011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221</v>
      </c>
      <c r="O16" s="31">
        <f>SUM(O14,O12,O10,O8,O6)</f>
        <v>189</v>
      </c>
      <c r="P16" s="34">
        <f>SUM(P6:P15)</f>
        <v>0</v>
      </c>
      <c r="Q16" s="34">
        <f>SUM(Q6:Q15)</f>
        <v>0</v>
      </c>
      <c r="R16" s="35">
        <f>R6+R8+R10+R12+R14-R7-R9-R11-R13-R15</f>
        <v>21193</v>
      </c>
      <c r="S16" s="36">
        <f>IF(R16&gt;1,(R16-$Q16),"")</f>
        <v>21193</v>
      </c>
      <c r="T16" s="35">
        <f>T6+T8+T10+T12+T14-T7-T9-T11-T13-T15</f>
        <v>28497</v>
      </c>
      <c r="U16" s="36">
        <f>IF(T16&gt;1,(T16-$Q16),"")</f>
        <v>28497</v>
      </c>
      <c r="V16" s="35">
        <f>V6+V8+V10+V12+V14-V7-V9-V11-V13-V15</f>
        <v>37464</v>
      </c>
      <c r="W16" s="36">
        <f>IF(V16&gt;1,(V16-$Q16),"")</f>
        <v>37464</v>
      </c>
      <c r="X16" s="35">
        <f>X6+X8+X10+X12+X14-X7-X9-X11-X13-X15</f>
        <v>44011</v>
      </c>
      <c r="Y16" s="36">
        <f>IF(X16&gt;1,(X16-$Q16),"")</f>
        <v>44011</v>
      </c>
      <c r="Z16" s="35">
        <f>Z6+Z8+Z10+Z12+Z14-Z7-Z9-Z11-Z13-Z15</f>
        <v>44609</v>
      </c>
      <c r="AA16" s="36">
        <f>IF(Z16&gt;1,(Z16-$Q16),"")</f>
        <v>44609</v>
      </c>
      <c r="AB16" s="35">
        <f>AB6+AB8+AB10+AB12+AB14-AB7-AB9-AB11-AB13-AB15</f>
        <v>44609</v>
      </c>
      <c r="AC16" s="37">
        <f>IF(AB16&gt;1,(AB16-$Q16),"")</f>
        <v>44609</v>
      </c>
      <c r="AD16" s="35">
        <f>AD6+AD8+AD10+AD12+AD14-AD7-AD9-AD11-AD13-AD15</f>
        <v>44609</v>
      </c>
      <c r="AE16" s="37">
        <f>IF(AD16&gt;1,(AD16-$Q16),"")</f>
        <v>44609</v>
      </c>
    </row>
    <row r="17" spans="2:43" s="4" customFormat="1" ht="15" customHeight="1" thickBot="1" x14ac:dyDescent="0.3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32</v>
      </c>
      <c r="P17" s="38" t="s">
        <v>44</v>
      </c>
      <c r="Q17" s="39"/>
      <c r="R17" s="40">
        <f>R15+R13+R11+R9+R7</f>
        <v>465</v>
      </c>
      <c r="S17" s="41"/>
      <c r="T17" s="40">
        <f>T15+T13+T11+T9+T7</f>
        <v>550</v>
      </c>
      <c r="U17" s="41"/>
      <c r="V17" s="40">
        <f>V15+V13+V11+V9+V7</f>
        <v>631</v>
      </c>
      <c r="W17" s="41"/>
      <c r="X17" s="40">
        <f>X15+X13+X11+X9+X7</f>
        <v>659</v>
      </c>
      <c r="Y17" s="41"/>
      <c r="Z17" s="40">
        <f>Z15+Z13+Z11+Z9+Z7</f>
        <v>673</v>
      </c>
      <c r="AA17" s="41"/>
      <c r="AB17" s="40">
        <f>AB15+AB13+AB11+AB9+AB7</f>
        <v>673</v>
      </c>
      <c r="AC17" s="42"/>
      <c r="AD17" s="40">
        <f>AD15+AD13+AD11+AD9+AD7</f>
        <v>673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/>
      <c r="O18" s="125">
        <f>O17/N16</f>
        <v>0.14479638009049775</v>
      </c>
      <c r="P18" s="45" t="s">
        <v>46</v>
      </c>
      <c r="Q18" s="46"/>
      <c r="R18" s="47">
        <f>IF(R16&gt;0,(R16)/2,"")</f>
        <v>10596.5</v>
      </c>
      <c r="S18" s="46"/>
      <c r="T18" s="47">
        <f>IF(T16&gt;0,(T16-R16)/2,"")</f>
        <v>3652</v>
      </c>
      <c r="U18" s="46"/>
      <c r="V18" s="47">
        <f>IF(V16&gt;0,(V16-T16)/2,"")</f>
        <v>4483.5</v>
      </c>
      <c r="W18" s="46"/>
      <c r="X18" s="47">
        <f>IF(X16&gt;0,(X16-V16)/2,"")</f>
        <v>3273.5</v>
      </c>
      <c r="Y18" s="46"/>
      <c r="Z18" s="47">
        <f>IF(Z16&gt;0,(Z16-X16)/2,"")</f>
        <v>299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22444</v>
      </c>
      <c r="S20" s="36">
        <v>-59174</v>
      </c>
      <c r="T20" s="35">
        <v>28039</v>
      </c>
      <c r="U20" s="36">
        <v>-53579</v>
      </c>
      <c r="V20" s="35">
        <v>43372</v>
      </c>
      <c r="W20" s="36">
        <v>-38246</v>
      </c>
      <c r="X20" s="35">
        <v>51385</v>
      </c>
      <c r="Y20" s="36">
        <v>-30233</v>
      </c>
      <c r="Z20" s="35">
        <v>54492</v>
      </c>
      <c r="AA20" s="36">
        <v>-27126</v>
      </c>
      <c r="AB20" s="35">
        <v>54492</v>
      </c>
      <c r="AC20" s="37">
        <v>-27126</v>
      </c>
      <c r="AD20" s="35">
        <v>54492</v>
      </c>
      <c r="AE20" s="37">
        <v>-27126</v>
      </c>
    </row>
    <row r="21" spans="2:43" ht="15" customHeight="1" thickBot="1" x14ac:dyDescent="0.35">
      <c r="M21" s="4"/>
      <c r="Q21" s="52"/>
      <c r="R21" s="40">
        <v>791</v>
      </c>
      <c r="S21" s="41"/>
      <c r="T21" s="40">
        <v>869</v>
      </c>
      <c r="U21" s="41"/>
      <c r="V21" s="40">
        <v>2711</v>
      </c>
      <c r="W21" s="41"/>
      <c r="X21" s="40">
        <v>2730</v>
      </c>
      <c r="Y21" s="41"/>
      <c r="Z21" s="40">
        <v>2732</v>
      </c>
      <c r="AA21" s="41"/>
      <c r="AB21" s="40">
        <v>2732</v>
      </c>
      <c r="AC21" s="42"/>
      <c r="AD21" s="40">
        <v>2732</v>
      </c>
      <c r="AE21" s="42"/>
    </row>
    <row r="22" spans="2:43" ht="15" customHeight="1" thickBot="1" x14ac:dyDescent="0.35">
      <c r="M22" s="4"/>
      <c r="Q22" s="54"/>
      <c r="R22" s="47">
        <v>11222</v>
      </c>
      <c r="S22" s="46"/>
      <c r="T22" s="47">
        <v>2797.5</v>
      </c>
      <c r="U22" s="46"/>
      <c r="V22" s="47">
        <v>7666.5</v>
      </c>
      <c r="W22" s="46"/>
      <c r="X22" s="47">
        <v>4006.5</v>
      </c>
      <c r="Y22" s="46"/>
      <c r="Z22" s="47">
        <v>1553.5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-1251</v>
      </c>
      <c r="S24" s="60"/>
      <c r="T24" s="60">
        <f>IF(T16&gt;0,T16-T20,"")</f>
        <v>458</v>
      </c>
      <c r="U24" s="60"/>
      <c r="V24" s="60">
        <f>IF(V16&gt;0,V16-V20,"")</f>
        <v>-5908</v>
      </c>
      <c r="W24" s="60"/>
      <c r="X24" s="60">
        <f>IF(X16&gt;0,X16-X20,"")</f>
        <v>-7374</v>
      </c>
      <c r="Y24" s="60"/>
      <c r="Z24" s="60">
        <f>IF(Z16&gt;0,Z16-Z20,"")</f>
        <v>-9883</v>
      </c>
      <c r="AA24" s="60"/>
      <c r="AB24" s="60">
        <f>IF(AB16&gt;0,AB16-AB20,"")</f>
        <v>-9883</v>
      </c>
      <c r="AC24" s="61"/>
      <c r="AD24" s="60">
        <f>IF(AD16&gt;0,AD16-AD20,"")</f>
        <v>-9883</v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-326</v>
      </c>
      <c r="S25" s="64"/>
      <c r="T25" s="63">
        <f>IF(T17&gt;=0,T17-T21,"")</f>
        <v>-319</v>
      </c>
      <c r="U25" s="64"/>
      <c r="V25" s="63">
        <f>IF(V17&gt;=0,V17-V21,"")</f>
        <v>-2080</v>
      </c>
      <c r="W25" s="64"/>
      <c r="X25" s="63">
        <f>IF(X17&gt;=0,X17-X21,"")</f>
        <v>-2071</v>
      </c>
      <c r="Y25" s="64"/>
      <c r="Z25" s="63">
        <f>IF(Z17&gt;=0,Z17-Z21,"")</f>
        <v>-2059</v>
      </c>
      <c r="AA25" s="64"/>
      <c r="AB25" s="63">
        <f>IF(AB17&gt;=0,AB17-AB21,"")</f>
        <v>-2059</v>
      </c>
      <c r="AC25" s="65"/>
      <c r="AD25" s="63">
        <f>IF(AD17&gt;=0,AD17-AD21,"")</f>
        <v>-2059</v>
      </c>
      <c r="AE25" s="65"/>
    </row>
    <row r="26" spans="2:43" ht="15" customHeight="1" thickBot="1" x14ac:dyDescent="0.35">
      <c r="B26" s="74" t="s">
        <v>55</v>
      </c>
      <c r="C26" s="122">
        <v>10072</v>
      </c>
      <c r="D26" s="76">
        <f>C11</f>
        <v>10003</v>
      </c>
      <c r="E26" s="77">
        <f>D26-C26</f>
        <v>-69</v>
      </c>
      <c r="M26" s="4"/>
      <c r="Q26" s="66"/>
      <c r="R26" s="67">
        <f>IFERROR(IF(R18&gt;0,R18-R22,""),"")</f>
        <v>-625.5</v>
      </c>
      <c r="S26" s="55"/>
      <c r="T26" s="67">
        <f>IFERROR(IF(T18&gt;0,T18-T22,""),"")</f>
        <v>854.5</v>
      </c>
      <c r="U26" s="55"/>
      <c r="V26" s="67">
        <f>IFERROR(IF(V18&gt;0,V18-V22,""),"")</f>
        <v>-3183</v>
      </c>
      <c r="W26" s="55"/>
      <c r="X26" s="67">
        <f>IFERROR(IF(X18&gt;0,X18-X22,""),"")</f>
        <v>-733</v>
      </c>
      <c r="Y26" s="55"/>
      <c r="Z26" s="67">
        <f>IFERROR(IF(Z18&gt;0,Z18-Z22,""),"")</f>
        <v>-1254.5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35273</v>
      </c>
      <c r="D27" s="76">
        <f>C7+C12+C13+C14+C15</f>
        <v>0</v>
      </c>
      <c r="E27" s="77">
        <f>D27-C27</f>
        <v>-35273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0</v>
      </c>
      <c r="D29" s="76">
        <f>C10</f>
        <v>0</v>
      </c>
      <c r="E29" s="77">
        <f>D29-C29</f>
        <v>0</v>
      </c>
      <c r="O29" s="4"/>
    </row>
    <row r="30" spans="2:43" x14ac:dyDescent="0.3">
      <c r="B30" s="74" t="s">
        <v>59</v>
      </c>
      <c r="C30" s="122">
        <v>12645</v>
      </c>
      <c r="D30" s="76">
        <f>C16+C17+C18</f>
        <v>0</v>
      </c>
      <c r="E30" s="77">
        <f>D30-C30</f>
        <v>-12645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3748</v>
      </c>
      <c r="D31" s="80">
        <f>SUM(C8+C9)</f>
        <v>3748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1546</v>
      </c>
      <c r="X35" s="104">
        <v>3092</v>
      </c>
      <c r="Y35" s="104">
        <f t="shared" ref="Y35:Y64" si="4">IF(Z35&gt;0,(Z35-X35)/2,"")</f>
        <v>0</v>
      </c>
      <c r="Z35" s="104">
        <v>3092</v>
      </c>
      <c r="AA35" s="104">
        <f t="shared" ref="AA35:AA64" si="5">IF(AB35&gt;0,(AB35-Z35)/2,"")</f>
        <v>0</v>
      </c>
      <c r="AB35" s="104">
        <v>3092</v>
      </c>
      <c r="AC35" s="104">
        <f t="shared" ref="AC35:AC64" si="6">IF(AD35&gt;0,(AD35-AB35)/2,"")</f>
        <v>0</v>
      </c>
      <c r="AD35" s="104">
        <v>3092</v>
      </c>
      <c r="AE35" s="105">
        <f t="shared" ref="AE35:AE64" si="7">AD35-Q35</f>
        <v>3092</v>
      </c>
    </row>
    <row r="36" spans="11:31" ht="15.6" customHeight="1" x14ac:dyDescent="0.3">
      <c r="N36" s="212"/>
      <c r="O36" s="95" t="s">
        <v>66</v>
      </c>
      <c r="P36" s="106"/>
      <c r="Q36" s="106"/>
      <c r="R36" s="106">
        <v>0</v>
      </c>
      <c r="S36" s="106">
        <f t="shared" si="1"/>
        <v>502.5</v>
      </c>
      <c r="T36" s="106">
        <v>1005</v>
      </c>
      <c r="U36" s="106">
        <f t="shared" si="2"/>
        <v>0</v>
      </c>
      <c r="V36" s="106">
        <v>1005</v>
      </c>
      <c r="W36" s="106">
        <f t="shared" si="3"/>
        <v>62.5</v>
      </c>
      <c r="X36" s="106">
        <v>1130</v>
      </c>
      <c r="Y36" s="106">
        <f t="shared" si="4"/>
        <v>0</v>
      </c>
      <c r="Z36" s="106">
        <v>1130</v>
      </c>
      <c r="AA36" s="106">
        <f t="shared" si="5"/>
        <v>0</v>
      </c>
      <c r="AB36" s="106">
        <v>1130</v>
      </c>
      <c r="AC36" s="106">
        <f t="shared" si="6"/>
        <v>0</v>
      </c>
      <c r="AD36" s="106">
        <v>1130</v>
      </c>
      <c r="AE36" s="107">
        <f t="shared" si="7"/>
        <v>1130</v>
      </c>
    </row>
    <row r="37" spans="11:31" ht="15.6" customHeight="1" x14ac:dyDescent="0.3">
      <c r="N37" s="212"/>
      <c r="O37" s="94" t="s">
        <v>67</v>
      </c>
      <c r="P37" s="108"/>
      <c r="Q37" s="108"/>
      <c r="R37" s="108">
        <v>57</v>
      </c>
      <c r="S37" s="108">
        <f t="shared" si="1"/>
        <v>0</v>
      </c>
      <c r="T37" s="108">
        <v>57</v>
      </c>
      <c r="U37" s="108">
        <f t="shared" si="2"/>
        <v>160</v>
      </c>
      <c r="V37" s="108">
        <v>377</v>
      </c>
      <c r="W37" s="108">
        <f t="shared" si="3"/>
        <v>398.5</v>
      </c>
      <c r="X37" s="108">
        <v>1174</v>
      </c>
      <c r="Y37" s="108">
        <f t="shared" si="4"/>
        <v>0</v>
      </c>
      <c r="Z37" s="108">
        <v>1174</v>
      </c>
      <c r="AA37" s="108">
        <f t="shared" si="5"/>
        <v>0</v>
      </c>
      <c r="AB37" s="108">
        <v>1174</v>
      </c>
      <c r="AC37" s="108">
        <f t="shared" si="6"/>
        <v>0</v>
      </c>
      <c r="AD37" s="108">
        <v>1174</v>
      </c>
      <c r="AE37" s="109">
        <f t="shared" si="7"/>
        <v>1174</v>
      </c>
    </row>
    <row r="38" spans="11:31" ht="15.6" customHeight="1" x14ac:dyDescent="0.3">
      <c r="N38" s="212"/>
      <c r="O38" s="95" t="s">
        <v>68</v>
      </c>
      <c r="P38" s="106"/>
      <c r="Q38" s="106"/>
      <c r="R38" s="106">
        <v>1214</v>
      </c>
      <c r="S38" s="106">
        <f t="shared" si="1"/>
        <v>811.5</v>
      </c>
      <c r="T38" s="106">
        <v>2837</v>
      </c>
      <c r="U38" s="106">
        <f t="shared" si="2"/>
        <v>499</v>
      </c>
      <c r="V38" s="106">
        <v>3835</v>
      </c>
      <c r="W38" s="106">
        <f t="shared" si="3"/>
        <v>-241.5</v>
      </c>
      <c r="X38" s="106">
        <v>3352</v>
      </c>
      <c r="Y38" s="106">
        <f t="shared" si="4"/>
        <v>0</v>
      </c>
      <c r="Z38" s="106">
        <v>3352</v>
      </c>
      <c r="AA38" s="106">
        <f t="shared" si="5"/>
        <v>0</v>
      </c>
      <c r="AB38" s="106">
        <v>3352</v>
      </c>
      <c r="AC38" s="106">
        <f t="shared" si="6"/>
        <v>0</v>
      </c>
      <c r="AD38" s="106">
        <v>3352</v>
      </c>
      <c r="AE38" s="107">
        <f t="shared" si="7"/>
        <v>3352</v>
      </c>
    </row>
    <row r="39" spans="11:31" ht="15.6" customHeight="1" x14ac:dyDescent="0.3">
      <c r="N39" s="212"/>
      <c r="O39" s="94" t="s">
        <v>69</v>
      </c>
      <c r="P39" s="108"/>
      <c r="Q39" s="108"/>
      <c r="R39" s="108">
        <v>1103</v>
      </c>
      <c r="S39" s="108">
        <f t="shared" si="1"/>
        <v>0</v>
      </c>
      <c r="T39" s="108">
        <v>1103</v>
      </c>
      <c r="U39" s="108">
        <f t="shared" si="2"/>
        <v>251</v>
      </c>
      <c r="V39" s="108">
        <v>1605</v>
      </c>
      <c r="W39" s="108">
        <f t="shared" si="3"/>
        <v>69</v>
      </c>
      <c r="X39" s="108">
        <v>1743</v>
      </c>
      <c r="Y39" s="108">
        <f t="shared" si="4"/>
        <v>0</v>
      </c>
      <c r="Z39" s="108">
        <v>1743</v>
      </c>
      <c r="AA39" s="108">
        <f t="shared" si="5"/>
        <v>0</v>
      </c>
      <c r="AB39" s="108">
        <v>1743</v>
      </c>
      <c r="AC39" s="108">
        <f t="shared" si="6"/>
        <v>0</v>
      </c>
      <c r="AD39" s="108">
        <v>1743</v>
      </c>
      <c r="AE39" s="109">
        <f t="shared" si="7"/>
        <v>1743</v>
      </c>
    </row>
    <row r="40" spans="11:31" ht="15.6" customHeight="1" x14ac:dyDescent="0.3">
      <c r="N40" s="212"/>
      <c r="O40" s="95" t="s">
        <v>70</v>
      </c>
      <c r="P40" s="106"/>
      <c r="Q40" s="106"/>
      <c r="R40" s="106">
        <v>881</v>
      </c>
      <c r="S40" s="106">
        <f t="shared" si="1"/>
        <v>0</v>
      </c>
      <c r="T40" s="106">
        <v>881</v>
      </c>
      <c r="U40" s="106">
        <f t="shared" si="2"/>
        <v>0</v>
      </c>
      <c r="V40" s="106">
        <v>881</v>
      </c>
      <c r="W40" s="106">
        <f t="shared" si="3"/>
        <v>11.5</v>
      </c>
      <c r="X40" s="106">
        <v>904</v>
      </c>
      <c r="Y40" s="106">
        <f t="shared" si="4"/>
        <v>0</v>
      </c>
      <c r="Z40" s="106">
        <v>904</v>
      </c>
      <c r="AA40" s="106">
        <f t="shared" si="5"/>
        <v>0</v>
      </c>
      <c r="AB40" s="106">
        <v>904</v>
      </c>
      <c r="AC40" s="106">
        <f t="shared" si="6"/>
        <v>0</v>
      </c>
      <c r="AD40" s="106">
        <v>904</v>
      </c>
      <c r="AE40" s="107">
        <f t="shared" si="7"/>
        <v>904</v>
      </c>
    </row>
    <row r="41" spans="11:31" ht="15.6" customHeight="1" x14ac:dyDescent="0.3">
      <c r="N41" s="212"/>
      <c r="O41" s="94" t="s">
        <v>71</v>
      </c>
      <c r="P41" s="108"/>
      <c r="Q41" s="108"/>
      <c r="R41" s="108">
        <v>1305</v>
      </c>
      <c r="S41" s="108">
        <f t="shared" si="1"/>
        <v>213</v>
      </c>
      <c r="T41" s="108">
        <v>1731</v>
      </c>
      <c r="U41" s="108">
        <f t="shared" si="2"/>
        <v>0</v>
      </c>
      <c r="V41" s="108">
        <v>1731</v>
      </c>
      <c r="W41" s="108">
        <f t="shared" si="3"/>
        <v>0</v>
      </c>
      <c r="X41" s="108">
        <v>1731</v>
      </c>
      <c r="Y41" s="108">
        <f t="shared" si="4"/>
        <v>0</v>
      </c>
      <c r="Z41" s="108">
        <v>1731</v>
      </c>
      <c r="AA41" s="108">
        <f t="shared" si="5"/>
        <v>0</v>
      </c>
      <c r="AB41" s="108">
        <v>1731</v>
      </c>
      <c r="AC41" s="108">
        <f t="shared" si="6"/>
        <v>0</v>
      </c>
      <c r="AD41" s="108">
        <v>1731</v>
      </c>
      <c r="AE41" s="109">
        <f t="shared" si="7"/>
        <v>1731</v>
      </c>
    </row>
    <row r="42" spans="11:31" ht="15.6" customHeight="1" x14ac:dyDescent="0.3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>
        <v>248</v>
      </c>
      <c r="S44" s="112">
        <f t="shared" si="1"/>
        <v>80.5</v>
      </c>
      <c r="T44" s="112">
        <v>409</v>
      </c>
      <c r="U44" s="112">
        <f t="shared" si="2"/>
        <v>149.5</v>
      </c>
      <c r="V44" s="112">
        <v>708</v>
      </c>
      <c r="W44" s="112">
        <f t="shared" si="3"/>
        <v>3</v>
      </c>
      <c r="X44" s="112">
        <v>714</v>
      </c>
      <c r="Y44" s="112">
        <f t="shared" si="4"/>
        <v>0</v>
      </c>
      <c r="Z44" s="112">
        <v>714</v>
      </c>
      <c r="AA44" s="112">
        <f t="shared" si="5"/>
        <v>0</v>
      </c>
      <c r="AB44" s="112">
        <v>714</v>
      </c>
      <c r="AC44" s="112">
        <f t="shared" si="6"/>
        <v>0</v>
      </c>
      <c r="AD44" s="112">
        <v>714</v>
      </c>
      <c r="AE44" s="113">
        <f t="shared" si="7"/>
        <v>714</v>
      </c>
    </row>
    <row r="45" spans="11:31" ht="15.6" customHeight="1" x14ac:dyDescent="0.3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>
        <f t="shared" si="2"/>
        <v>535.5</v>
      </c>
      <c r="V45" s="108">
        <v>1071</v>
      </c>
      <c r="W45" s="108">
        <f t="shared" si="3"/>
        <v>0</v>
      </c>
      <c r="X45" s="108">
        <v>1071</v>
      </c>
      <c r="Y45" s="108">
        <f t="shared" si="4"/>
        <v>0</v>
      </c>
      <c r="Z45" s="108">
        <v>1071</v>
      </c>
      <c r="AA45" s="108">
        <f t="shared" si="5"/>
        <v>0</v>
      </c>
      <c r="AB45" s="108">
        <v>1071</v>
      </c>
      <c r="AC45" s="108">
        <f t="shared" si="6"/>
        <v>0</v>
      </c>
      <c r="AD45" s="108">
        <v>1071</v>
      </c>
      <c r="AE45" s="109">
        <f t="shared" si="7"/>
        <v>1071</v>
      </c>
    </row>
    <row r="46" spans="11:31" ht="15.6" customHeight="1" x14ac:dyDescent="0.3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360</v>
      </c>
      <c r="T48" s="112">
        <v>720</v>
      </c>
      <c r="U48" s="112">
        <f t="shared" si="2"/>
        <v>259</v>
      </c>
      <c r="V48" s="112">
        <v>1238</v>
      </c>
      <c r="W48" s="112">
        <f t="shared" si="3"/>
        <v>65.5</v>
      </c>
      <c r="X48" s="112">
        <v>1369</v>
      </c>
      <c r="Y48" s="112">
        <f t="shared" si="4"/>
        <v>306</v>
      </c>
      <c r="Z48" s="112">
        <v>1981</v>
      </c>
      <c r="AA48" s="112">
        <f t="shared" si="5"/>
        <v>0</v>
      </c>
      <c r="AB48" s="112">
        <v>1981</v>
      </c>
      <c r="AC48" s="112">
        <f t="shared" si="6"/>
        <v>0</v>
      </c>
      <c r="AD48" s="112">
        <v>1981</v>
      </c>
      <c r="AE48" s="113">
        <f t="shared" si="7"/>
        <v>1981</v>
      </c>
    </row>
    <row r="49" spans="14:31" ht="15.6" customHeight="1" x14ac:dyDescent="0.3">
      <c r="N49" s="212"/>
      <c r="O49" s="94" t="s">
        <v>66</v>
      </c>
      <c r="P49" s="108"/>
      <c r="Q49" s="108"/>
      <c r="R49" s="108">
        <v>887</v>
      </c>
      <c r="S49" s="108">
        <f t="shared" si="1"/>
        <v>207</v>
      </c>
      <c r="T49" s="108">
        <v>1301</v>
      </c>
      <c r="U49" s="108">
        <f t="shared" si="2"/>
        <v>116.5</v>
      </c>
      <c r="V49" s="108">
        <v>1534</v>
      </c>
      <c r="W49" s="108">
        <f t="shared" si="3"/>
        <v>206.5</v>
      </c>
      <c r="X49" s="108">
        <v>1947</v>
      </c>
      <c r="Y49" s="108">
        <f t="shared" si="4"/>
        <v>0</v>
      </c>
      <c r="Z49" s="108">
        <v>1947</v>
      </c>
      <c r="AA49" s="108">
        <f t="shared" si="5"/>
        <v>0</v>
      </c>
      <c r="AB49" s="108">
        <v>1947</v>
      </c>
      <c r="AC49" s="108">
        <f t="shared" si="6"/>
        <v>0</v>
      </c>
      <c r="AD49" s="108">
        <v>1947</v>
      </c>
      <c r="AE49" s="109">
        <f t="shared" si="7"/>
        <v>1947</v>
      </c>
    </row>
    <row r="50" spans="14:31" ht="15.6" customHeight="1" x14ac:dyDescent="0.3">
      <c r="N50" s="212"/>
      <c r="O50" s="95" t="s">
        <v>67</v>
      </c>
      <c r="P50" s="106"/>
      <c r="Q50" s="106"/>
      <c r="R50" s="106">
        <v>1057</v>
      </c>
      <c r="S50" s="106">
        <f t="shared" si="1"/>
        <v>0</v>
      </c>
      <c r="T50" s="106">
        <v>1057</v>
      </c>
      <c r="U50" s="106">
        <f t="shared" si="2"/>
        <v>0</v>
      </c>
      <c r="V50" s="106">
        <v>1057</v>
      </c>
      <c r="W50" s="106">
        <f t="shared" si="3"/>
        <v>139</v>
      </c>
      <c r="X50" s="106">
        <v>1335</v>
      </c>
      <c r="Y50" s="106">
        <f t="shared" si="4"/>
        <v>0</v>
      </c>
      <c r="Z50" s="106">
        <v>1335</v>
      </c>
      <c r="AA50" s="106">
        <f t="shared" si="5"/>
        <v>0</v>
      </c>
      <c r="AB50" s="106">
        <v>1335</v>
      </c>
      <c r="AC50" s="106">
        <f t="shared" si="6"/>
        <v>0</v>
      </c>
      <c r="AD50" s="106">
        <v>1335</v>
      </c>
      <c r="AE50" s="107">
        <f t="shared" si="7"/>
        <v>1335</v>
      </c>
    </row>
    <row r="51" spans="14:31" ht="15.6" customHeight="1" x14ac:dyDescent="0.3">
      <c r="N51" s="212"/>
      <c r="O51" s="94" t="s">
        <v>68</v>
      </c>
      <c r="P51" s="108"/>
      <c r="Q51" s="108"/>
      <c r="R51" s="108">
        <v>730</v>
      </c>
      <c r="S51" s="108">
        <f t="shared" si="1"/>
        <v>0</v>
      </c>
      <c r="T51" s="108">
        <v>730</v>
      </c>
      <c r="U51" s="108">
        <f t="shared" si="2"/>
        <v>693</v>
      </c>
      <c r="V51" s="108">
        <v>2116</v>
      </c>
      <c r="W51" s="108">
        <f t="shared" si="3"/>
        <v>0</v>
      </c>
      <c r="X51" s="108">
        <v>2116</v>
      </c>
      <c r="Y51" s="108">
        <f t="shared" si="4"/>
        <v>0</v>
      </c>
      <c r="Z51" s="108">
        <v>2116</v>
      </c>
      <c r="AA51" s="108">
        <f t="shared" si="5"/>
        <v>0</v>
      </c>
      <c r="AB51" s="108">
        <v>2116</v>
      </c>
      <c r="AC51" s="108">
        <f t="shared" si="6"/>
        <v>0</v>
      </c>
      <c r="AD51" s="108">
        <v>2116</v>
      </c>
      <c r="AE51" s="109">
        <f t="shared" si="7"/>
        <v>2116</v>
      </c>
    </row>
    <row r="52" spans="14:31" ht="15.6" customHeight="1" x14ac:dyDescent="0.3">
      <c r="N52" s="212"/>
      <c r="O52" s="95" t="s">
        <v>69</v>
      </c>
      <c r="P52" s="106"/>
      <c r="Q52" s="106"/>
      <c r="R52" s="106">
        <v>840</v>
      </c>
      <c r="S52" s="106">
        <f t="shared" si="1"/>
        <v>352.5</v>
      </c>
      <c r="T52" s="106">
        <v>1545</v>
      </c>
      <c r="U52" s="106">
        <f t="shared" si="2"/>
        <v>426</v>
      </c>
      <c r="V52" s="106">
        <v>2397</v>
      </c>
      <c r="W52" s="106">
        <f t="shared" si="3"/>
        <v>0</v>
      </c>
      <c r="X52" s="106">
        <v>2397</v>
      </c>
      <c r="Y52" s="106">
        <f t="shared" si="4"/>
        <v>0</v>
      </c>
      <c r="Z52" s="106">
        <v>2397</v>
      </c>
      <c r="AA52" s="106">
        <f t="shared" si="5"/>
        <v>0</v>
      </c>
      <c r="AB52" s="106">
        <v>2397</v>
      </c>
      <c r="AC52" s="106">
        <f t="shared" si="6"/>
        <v>0</v>
      </c>
      <c r="AD52" s="106">
        <v>2397</v>
      </c>
      <c r="AE52" s="107">
        <f t="shared" si="7"/>
        <v>2397</v>
      </c>
    </row>
    <row r="53" spans="14:31" ht="15.6" customHeight="1" x14ac:dyDescent="0.3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>
        <f t="shared" si="2"/>
        <v>0</v>
      </c>
      <c r="V53" s="108">
        <v>960</v>
      </c>
      <c r="W53" s="108">
        <f t="shared" si="3"/>
        <v>225</v>
      </c>
      <c r="X53" s="108">
        <v>1410</v>
      </c>
      <c r="Y53" s="108">
        <f t="shared" si="4"/>
        <v>0</v>
      </c>
      <c r="Z53" s="108">
        <v>1410</v>
      </c>
      <c r="AA53" s="108">
        <f t="shared" si="5"/>
        <v>0</v>
      </c>
      <c r="AB53" s="108">
        <v>1410</v>
      </c>
      <c r="AC53" s="108">
        <f t="shared" si="6"/>
        <v>0</v>
      </c>
      <c r="AD53" s="108">
        <v>1410</v>
      </c>
      <c r="AE53" s="109">
        <f t="shared" si="7"/>
        <v>1410</v>
      </c>
    </row>
    <row r="54" spans="14:31" ht="15.6" customHeight="1" x14ac:dyDescent="0.3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>
        <v>1306</v>
      </c>
      <c r="S57" s="104">
        <f t="shared" si="1"/>
        <v>224</v>
      </c>
      <c r="T57" s="104">
        <v>1754</v>
      </c>
      <c r="U57" s="104">
        <f t="shared" si="2"/>
        <v>459</v>
      </c>
      <c r="V57" s="104">
        <v>2672</v>
      </c>
      <c r="W57" s="104">
        <f t="shared" si="3"/>
        <v>343.5</v>
      </c>
      <c r="X57" s="104">
        <v>3359</v>
      </c>
      <c r="Y57" s="104">
        <f t="shared" si="4"/>
        <v>0</v>
      </c>
      <c r="Z57" s="104">
        <v>3359</v>
      </c>
      <c r="AA57" s="104">
        <f t="shared" si="5"/>
        <v>0</v>
      </c>
      <c r="AB57" s="104">
        <v>3359</v>
      </c>
      <c r="AC57" s="104">
        <f t="shared" si="6"/>
        <v>0</v>
      </c>
      <c r="AD57" s="104">
        <v>3359</v>
      </c>
      <c r="AE57" s="105">
        <f t="shared" si="7"/>
        <v>3359</v>
      </c>
    </row>
    <row r="58" spans="14:31" ht="15.6" customHeight="1" x14ac:dyDescent="0.3">
      <c r="N58" s="212"/>
      <c r="O58" s="95" t="s">
        <v>66</v>
      </c>
      <c r="P58" s="106"/>
      <c r="Q58" s="106"/>
      <c r="R58" s="106">
        <v>1649</v>
      </c>
      <c r="S58" s="106">
        <f t="shared" si="1"/>
        <v>241.5</v>
      </c>
      <c r="T58" s="106">
        <v>2132</v>
      </c>
      <c r="U58" s="106">
        <f t="shared" si="2"/>
        <v>579.5</v>
      </c>
      <c r="V58" s="106">
        <v>3291</v>
      </c>
      <c r="W58" s="106">
        <f t="shared" si="3"/>
        <v>44</v>
      </c>
      <c r="X58" s="106">
        <v>3379</v>
      </c>
      <c r="Y58" s="106">
        <f t="shared" si="4"/>
        <v>0</v>
      </c>
      <c r="Z58" s="106">
        <v>3379</v>
      </c>
      <c r="AA58" s="106">
        <f t="shared" si="5"/>
        <v>0</v>
      </c>
      <c r="AB58" s="106">
        <v>3379</v>
      </c>
      <c r="AC58" s="106">
        <f t="shared" si="6"/>
        <v>0</v>
      </c>
      <c r="AD58" s="106">
        <v>3379</v>
      </c>
      <c r="AE58" s="107">
        <f t="shared" si="7"/>
        <v>3379</v>
      </c>
    </row>
    <row r="59" spans="14:31" ht="15.6" customHeight="1" x14ac:dyDescent="0.3">
      <c r="N59" s="212"/>
      <c r="O59" s="94" t="s">
        <v>67</v>
      </c>
      <c r="P59" s="108"/>
      <c r="Q59" s="108"/>
      <c r="R59" s="108">
        <v>1481</v>
      </c>
      <c r="S59" s="108">
        <f t="shared" si="1"/>
        <v>221.5</v>
      </c>
      <c r="T59" s="108">
        <v>1924</v>
      </c>
      <c r="U59" s="108">
        <f t="shared" si="2"/>
        <v>1</v>
      </c>
      <c r="V59" s="108">
        <v>1926</v>
      </c>
      <c r="W59" s="108">
        <f t="shared" si="3"/>
        <v>0</v>
      </c>
      <c r="X59" s="108">
        <v>1926</v>
      </c>
      <c r="Y59" s="108">
        <f t="shared" si="4"/>
        <v>0</v>
      </c>
      <c r="Z59" s="108">
        <v>1926</v>
      </c>
      <c r="AA59" s="108">
        <f t="shared" si="5"/>
        <v>0</v>
      </c>
      <c r="AB59" s="108">
        <v>1926</v>
      </c>
      <c r="AC59" s="108">
        <f t="shared" si="6"/>
        <v>0</v>
      </c>
      <c r="AD59" s="108">
        <v>1926</v>
      </c>
      <c r="AE59" s="109">
        <f t="shared" si="7"/>
        <v>1926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>
        <v>874</v>
      </c>
      <c r="S60" s="114">
        <f t="shared" si="1"/>
        <v>243.5</v>
      </c>
      <c r="T60" s="114">
        <v>1361</v>
      </c>
      <c r="U60" s="114">
        <f t="shared" si="2"/>
        <v>395</v>
      </c>
      <c r="V60" s="114">
        <v>2151</v>
      </c>
      <c r="W60" s="114">
        <f t="shared" si="3"/>
        <v>415</v>
      </c>
      <c r="X60" s="114">
        <v>2981</v>
      </c>
      <c r="Y60" s="114">
        <f t="shared" si="4"/>
        <v>0</v>
      </c>
      <c r="Z60" s="114">
        <v>2981</v>
      </c>
      <c r="AA60" s="114">
        <f t="shared" si="5"/>
        <v>0</v>
      </c>
      <c r="AB60" s="114">
        <v>2981</v>
      </c>
      <c r="AC60" s="114">
        <f t="shared" si="6"/>
        <v>0</v>
      </c>
      <c r="AD60" s="114">
        <v>2981</v>
      </c>
      <c r="AE60" s="115">
        <f t="shared" si="7"/>
        <v>2981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>
        <v>1967</v>
      </c>
      <c r="S61" s="104">
        <f t="shared" si="1"/>
        <v>14.5</v>
      </c>
      <c r="T61" s="104">
        <v>1996</v>
      </c>
      <c r="U61" s="104">
        <f t="shared" si="2"/>
        <v>0</v>
      </c>
      <c r="V61" s="104">
        <v>1996</v>
      </c>
      <c r="W61" s="104">
        <f t="shared" si="3"/>
        <v>0</v>
      </c>
      <c r="X61" s="104">
        <v>1996</v>
      </c>
      <c r="Y61" s="104">
        <f t="shared" si="4"/>
        <v>0</v>
      </c>
      <c r="Z61" s="104">
        <v>1996</v>
      </c>
      <c r="AA61" s="104">
        <f t="shared" si="5"/>
        <v>0</v>
      </c>
      <c r="AB61" s="104">
        <v>1996</v>
      </c>
      <c r="AC61" s="104">
        <f t="shared" si="6"/>
        <v>0</v>
      </c>
      <c r="AD61" s="104">
        <v>1996</v>
      </c>
      <c r="AE61" s="105">
        <f t="shared" si="7"/>
        <v>1996</v>
      </c>
    </row>
    <row r="62" spans="14:31" ht="15.6" customHeight="1" x14ac:dyDescent="0.3">
      <c r="N62" s="212"/>
      <c r="O62" s="95" t="s">
        <v>66</v>
      </c>
      <c r="P62" s="106"/>
      <c r="Q62" s="106"/>
      <c r="R62" s="106">
        <v>1215</v>
      </c>
      <c r="S62" s="106">
        <f t="shared" si="1"/>
        <v>2.5</v>
      </c>
      <c r="T62" s="106">
        <v>1220</v>
      </c>
      <c r="U62" s="106">
        <f t="shared" si="2"/>
        <v>0</v>
      </c>
      <c r="V62" s="106">
        <v>1220</v>
      </c>
      <c r="W62" s="106">
        <f t="shared" si="3"/>
        <v>0</v>
      </c>
      <c r="X62" s="106">
        <v>1220</v>
      </c>
      <c r="Y62" s="106">
        <f t="shared" si="4"/>
        <v>0</v>
      </c>
      <c r="Z62" s="106">
        <v>1220</v>
      </c>
      <c r="AA62" s="106">
        <f t="shared" si="5"/>
        <v>0</v>
      </c>
      <c r="AB62" s="106">
        <v>1220</v>
      </c>
      <c r="AC62" s="106">
        <f t="shared" si="6"/>
        <v>0</v>
      </c>
      <c r="AD62" s="106">
        <v>1220</v>
      </c>
      <c r="AE62" s="107">
        <f t="shared" si="7"/>
        <v>1220</v>
      </c>
    </row>
    <row r="63" spans="14:31" ht="15.6" customHeight="1" x14ac:dyDescent="0.3">
      <c r="N63" s="212"/>
      <c r="O63" s="94" t="s">
        <v>67</v>
      </c>
      <c r="P63" s="108"/>
      <c r="Q63" s="108"/>
      <c r="R63" s="108">
        <v>0</v>
      </c>
      <c r="S63" s="108" t="str">
        <f t="shared" si="1"/>
        <v/>
      </c>
      <c r="T63" s="108">
        <v>0</v>
      </c>
      <c r="U63" s="108" t="str">
        <f t="shared" si="2"/>
        <v/>
      </c>
      <c r="V63" s="108">
        <v>0</v>
      </c>
      <c r="W63" s="108" t="str">
        <f t="shared" si="3"/>
        <v/>
      </c>
      <c r="X63" s="108">
        <v>0</v>
      </c>
      <c r="Y63" s="108" t="str">
        <f t="shared" si="4"/>
        <v/>
      </c>
      <c r="Z63" s="108">
        <v>0</v>
      </c>
      <c r="AA63" s="108" t="str">
        <f t="shared" si="5"/>
        <v/>
      </c>
      <c r="AB63" s="108">
        <v>0</v>
      </c>
      <c r="AC63" s="108" t="str">
        <f t="shared" si="6"/>
        <v/>
      </c>
      <c r="AD63" s="108">
        <v>0</v>
      </c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>
        <v>1864</v>
      </c>
      <c r="S64" s="114">
        <f t="shared" si="1"/>
        <v>101.5</v>
      </c>
      <c r="T64" s="114">
        <v>2067</v>
      </c>
      <c r="U64" s="114">
        <f t="shared" si="2"/>
        <v>0</v>
      </c>
      <c r="V64" s="114">
        <v>2067</v>
      </c>
      <c r="W64" s="114">
        <f t="shared" si="3"/>
        <v>0</v>
      </c>
      <c r="X64" s="114">
        <v>2067</v>
      </c>
      <c r="Y64" s="114">
        <f t="shared" si="4"/>
        <v>0</v>
      </c>
      <c r="Z64" s="114">
        <v>2067</v>
      </c>
      <c r="AA64" s="114">
        <f t="shared" si="5"/>
        <v>0</v>
      </c>
      <c r="AB64" s="114">
        <v>2067</v>
      </c>
      <c r="AC64" s="114">
        <f t="shared" si="6"/>
        <v>0</v>
      </c>
      <c r="AD64" s="114">
        <v>2067</v>
      </c>
      <c r="AE64" s="115">
        <f t="shared" si="7"/>
        <v>2067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07" priority="11" operator="lessThan">
      <formula>0</formula>
    </cfRule>
    <cfRule type="cellIs" dxfId="406" priority="12" operator="greaterThan">
      <formula>0</formula>
    </cfRule>
  </conditionalFormatting>
  <conditionalFormatting sqref="R25:AC25">
    <cfRule type="cellIs" dxfId="405" priority="9" operator="lessThan">
      <formula>0</formula>
    </cfRule>
    <cfRule type="cellIs" dxfId="404" priority="10" operator="greaterThan">
      <formula>0</formula>
    </cfRule>
  </conditionalFormatting>
  <conditionalFormatting sqref="R26 T26 V26 X26 Z26 AB26">
    <cfRule type="cellIs" dxfId="403" priority="7" operator="lessThan">
      <formula>0</formula>
    </cfRule>
    <cfRule type="cellIs" dxfId="402" priority="8" operator="greaterThan">
      <formula>0</formula>
    </cfRule>
  </conditionalFormatting>
  <conditionalFormatting sqref="AD24:AE24">
    <cfRule type="cellIs" dxfId="401" priority="5" operator="lessThan">
      <formula>0</formula>
    </cfRule>
    <cfRule type="cellIs" dxfId="400" priority="6" operator="greaterThan">
      <formula>0</formula>
    </cfRule>
  </conditionalFormatting>
  <conditionalFormatting sqref="AD25:AE25">
    <cfRule type="cellIs" dxfId="399" priority="3" operator="lessThan">
      <formula>0</formula>
    </cfRule>
    <cfRule type="cellIs" dxfId="398" priority="4" operator="greaterThan">
      <formula>0</formula>
    </cfRule>
  </conditionalFormatting>
  <conditionalFormatting sqref="AD26">
    <cfRule type="cellIs" dxfId="397" priority="1" operator="lessThan">
      <formula>0</formula>
    </cfRule>
    <cfRule type="cellIs" dxfId="396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>
    <tabColor theme="1"/>
    <pageSetUpPr fitToPage="1"/>
  </sheetPr>
  <dimension ref="B1:AQ64"/>
  <sheetViews>
    <sheetView zoomScale="70" zoomScaleNormal="7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44485</v>
      </c>
    </row>
    <row r="3" spans="2:42" ht="18.75" customHeight="1" thickBot="1" x14ac:dyDescent="0.35">
      <c r="B3" t="s">
        <v>1</v>
      </c>
      <c r="C3" s="3">
        <f>C2+1</f>
        <v>44486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0</v>
      </c>
      <c r="E6" s="18" t="s">
        <v>22</v>
      </c>
      <c r="F6" s="119">
        <v>18711</v>
      </c>
      <c r="G6" s="117">
        <v>9771.7822499999984</v>
      </c>
      <c r="H6" s="117">
        <v>942.40593749999994</v>
      </c>
      <c r="I6" s="19">
        <f>G6+H6</f>
        <v>10714.188187499998</v>
      </c>
      <c r="J6" s="119">
        <v>17980</v>
      </c>
      <c r="K6" s="117">
        <v>9013.5562500000015</v>
      </c>
      <c r="L6" s="117">
        <v>890.15750500000001</v>
      </c>
      <c r="M6" s="19">
        <f>K6+L6</f>
        <v>9903.7137550000007</v>
      </c>
      <c r="N6" s="85">
        <v>73</v>
      </c>
      <c r="O6" s="85">
        <v>68</v>
      </c>
      <c r="P6" s="92"/>
      <c r="Q6" s="20">
        <f>J6-P6</f>
        <v>17980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1305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2278</v>
      </c>
      <c r="E8" s="29" t="s">
        <v>27</v>
      </c>
      <c r="F8" s="119">
        <v>3824</v>
      </c>
      <c r="G8" s="117">
        <v>5572.2349999999997</v>
      </c>
      <c r="H8" s="117">
        <v>8915.0724342466729</v>
      </c>
      <c r="I8" s="19">
        <f>G8+H8</f>
        <v>14487.307434246672</v>
      </c>
      <c r="J8" s="119">
        <v>3721</v>
      </c>
      <c r="K8" s="117">
        <v>5725.8354999999992</v>
      </c>
      <c r="L8" s="117">
        <v>9078.2742655666734</v>
      </c>
      <c r="M8" s="19">
        <f>K8+L8</f>
        <v>14804.109765566673</v>
      </c>
      <c r="N8" s="87">
        <v>24</v>
      </c>
      <c r="O8" s="87">
        <v>19</v>
      </c>
      <c r="P8" s="92"/>
      <c r="Q8" s="20">
        <f>J8-P8</f>
        <v>3721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1295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2587</v>
      </c>
      <c r="E10" s="18" t="s">
        <v>31</v>
      </c>
      <c r="F10" s="119">
        <v>17276</v>
      </c>
      <c r="G10" s="117">
        <v>13055.61325</v>
      </c>
      <c r="H10" s="117">
        <v>420.80971050000011</v>
      </c>
      <c r="I10" s="19">
        <f>G10+H10</f>
        <v>13476.4229605</v>
      </c>
      <c r="J10" s="119">
        <v>17214</v>
      </c>
      <c r="K10" s="117">
        <v>13330.95025</v>
      </c>
      <c r="L10" s="117">
        <v>413.79629670000003</v>
      </c>
      <c r="M10" s="19">
        <f>K10+L10</f>
        <v>13744.7465467</v>
      </c>
      <c r="N10" s="88">
        <v>49</v>
      </c>
      <c r="O10" s="88">
        <v>40</v>
      </c>
      <c r="P10" s="92"/>
      <c r="Q10" s="20">
        <f>J10-P10</f>
        <v>17214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9088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1770</v>
      </c>
      <c r="E12" s="29" t="s">
        <v>35</v>
      </c>
      <c r="F12" s="119">
        <v>12084</v>
      </c>
      <c r="G12" s="117">
        <v>11716.99625</v>
      </c>
      <c r="H12" s="117">
        <v>14973.322029020001</v>
      </c>
      <c r="I12" s="19">
        <f>G12+H12</f>
        <v>26690.318279020001</v>
      </c>
      <c r="J12" s="119">
        <v>12229</v>
      </c>
      <c r="K12" s="117">
        <v>11748.61175</v>
      </c>
      <c r="L12" s="117">
        <v>14833.3101527</v>
      </c>
      <c r="M12" s="19">
        <f>K12+L12</f>
        <v>26581.9219027</v>
      </c>
      <c r="N12" s="88">
        <v>50</v>
      </c>
      <c r="O12" s="88">
        <v>40</v>
      </c>
      <c r="P12" s="92"/>
      <c r="Q12" s="20">
        <f>J12-P12</f>
        <v>12229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v>27704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1030</v>
      </c>
      <c r="E14" s="18" t="s">
        <v>39</v>
      </c>
      <c r="F14" s="119">
        <v>19946</v>
      </c>
      <c r="G14" s="117">
        <v>18837.453750000001</v>
      </c>
      <c r="H14" s="117">
        <v>25331.278054300001</v>
      </c>
      <c r="I14" s="19">
        <f>G14+H14</f>
        <v>44168.731804299998</v>
      </c>
      <c r="J14" s="119">
        <v>19082</v>
      </c>
      <c r="K14" s="117">
        <v>17468.396499999999</v>
      </c>
      <c r="L14" s="117">
        <v>24059.512103159988</v>
      </c>
      <c r="M14" s="19">
        <f>K14+L14</f>
        <v>41527.908603159987</v>
      </c>
      <c r="N14" s="88">
        <v>67</v>
      </c>
      <c r="O14" s="88">
        <v>56</v>
      </c>
      <c r="P14" s="92"/>
      <c r="Q14" s="20">
        <f>J14-P14</f>
        <v>19082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256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9329</v>
      </c>
      <c r="E16" s="84"/>
      <c r="F16" s="31">
        <f t="shared" ref="F16:M16" si="0">SUM(F6:F15)</f>
        <v>71841</v>
      </c>
      <c r="G16" s="31">
        <f t="shared" si="0"/>
        <v>58954.080499999996</v>
      </c>
      <c r="H16" s="31">
        <f t="shared" si="0"/>
        <v>50582.888165566677</v>
      </c>
      <c r="I16" s="32">
        <f t="shared" si="0"/>
        <v>109536.96866556667</v>
      </c>
      <c r="J16" s="33">
        <f t="shared" si="0"/>
        <v>70226</v>
      </c>
      <c r="K16" s="33">
        <f t="shared" si="0"/>
        <v>57287.350250000003</v>
      </c>
      <c r="L16" s="33">
        <f t="shared" si="0"/>
        <v>49275.050323126663</v>
      </c>
      <c r="M16" s="33">
        <f t="shared" si="0"/>
        <v>106562.40057312665</v>
      </c>
      <c r="N16" s="31">
        <f>SUM(N14,N12,N10,N8,N6)</f>
        <v>263</v>
      </c>
      <c r="O16" s="31">
        <f>SUM(O14,O12,O10,O8,O6)</f>
        <v>223</v>
      </c>
      <c r="P16" s="34">
        <f>SUM(P6:P15)</f>
        <v>0</v>
      </c>
      <c r="Q16" s="34">
        <f>SUM(Q6:Q15)</f>
        <v>70226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2104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4393</v>
      </c>
      <c r="O18" s="125">
        <f>O17/N16</f>
        <v>0.15209125475285171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>
        <v>21193</v>
      </c>
      <c r="S20" s="36">
        <v>21193</v>
      </c>
      <c r="T20" s="35">
        <v>28497</v>
      </c>
      <c r="U20" s="36">
        <v>28497</v>
      </c>
      <c r="V20" s="35">
        <v>37464</v>
      </c>
      <c r="W20" s="36">
        <v>37464</v>
      </c>
      <c r="X20" s="35">
        <v>44011</v>
      </c>
      <c r="Y20" s="36">
        <v>44011</v>
      </c>
      <c r="Z20" s="35">
        <v>44609</v>
      </c>
      <c r="AA20" s="36">
        <v>44609</v>
      </c>
      <c r="AB20" s="35">
        <v>44609</v>
      </c>
      <c r="AC20" s="37">
        <v>44609</v>
      </c>
      <c r="AD20" s="35">
        <v>44609</v>
      </c>
      <c r="AE20" s="37">
        <v>44609</v>
      </c>
    </row>
    <row r="21" spans="2:43" ht="15" customHeight="1" thickBot="1" x14ac:dyDescent="0.35">
      <c r="M21" s="4"/>
      <c r="Q21" s="52"/>
      <c r="R21" s="40">
        <v>465</v>
      </c>
      <c r="S21" s="41"/>
      <c r="T21" s="40">
        <v>550</v>
      </c>
      <c r="U21" s="41"/>
      <c r="V21" s="40">
        <v>631</v>
      </c>
      <c r="W21" s="41"/>
      <c r="X21" s="40">
        <v>659</v>
      </c>
      <c r="Y21" s="41"/>
      <c r="Z21" s="40">
        <v>673</v>
      </c>
      <c r="AA21" s="41"/>
      <c r="AB21" s="40">
        <v>673</v>
      </c>
      <c r="AC21" s="42"/>
      <c r="AD21" s="40">
        <v>673</v>
      </c>
      <c r="AE21" s="42"/>
    </row>
    <row r="22" spans="2:43" ht="15" customHeight="1" thickBot="1" x14ac:dyDescent="0.35">
      <c r="M22" s="4"/>
      <c r="Q22" s="54"/>
      <c r="R22" s="47">
        <v>10596.5</v>
      </c>
      <c r="S22" s="46"/>
      <c r="T22" s="47">
        <v>3652</v>
      </c>
      <c r="U22" s="46"/>
      <c r="V22" s="47">
        <v>4483.5</v>
      </c>
      <c r="W22" s="46"/>
      <c r="X22" s="47">
        <v>3273.5</v>
      </c>
      <c r="Y22" s="46"/>
      <c r="Z22" s="47">
        <v>299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-465</v>
      </c>
      <c r="S25" s="64"/>
      <c r="T25" s="63">
        <f>IF(T17&gt;=0,T17-T21,"")</f>
        <v>-550</v>
      </c>
      <c r="U25" s="64"/>
      <c r="V25" s="63">
        <f>IF(V17&gt;=0,V17-V21,"")</f>
        <v>-631</v>
      </c>
      <c r="W25" s="64"/>
      <c r="X25" s="63">
        <f>IF(X17&gt;=0,X17-X21,"")</f>
        <v>-659</v>
      </c>
      <c r="Y25" s="64"/>
      <c r="Z25" s="63">
        <f>IF(Z17&gt;=0,Z17-Z21,"")</f>
        <v>-673</v>
      </c>
      <c r="AA25" s="64"/>
      <c r="AB25" s="63">
        <f>IF(AB17&gt;=0,AB17-AB21,"")</f>
        <v>-673</v>
      </c>
      <c r="AC25" s="65"/>
      <c r="AD25" s="63">
        <f>IF(AD17&gt;=0,AD17-AD21,"")</f>
        <v>-673</v>
      </c>
      <c r="AE25" s="65"/>
    </row>
    <row r="26" spans="2:43" ht="15" customHeight="1" thickBot="1" x14ac:dyDescent="0.35">
      <c r="B26" s="74" t="s">
        <v>55</v>
      </c>
      <c r="C26" s="122">
        <v>9123</v>
      </c>
      <c r="D26" s="76">
        <f>C11</f>
        <v>9088</v>
      </c>
      <c r="E26" s="77">
        <f>D26-C26</f>
        <v>-35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33335</v>
      </c>
      <c r="D27" s="76">
        <f>C7+C12+C13+C14+C15</f>
        <v>32065</v>
      </c>
      <c r="E27" s="77">
        <f>D27-C27</f>
        <v>-1270</v>
      </c>
      <c r="O27" s="4"/>
      <c r="AF27" s="69"/>
    </row>
    <row r="28" spans="2:43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3">
      <c r="B29" s="74" t="s">
        <v>57</v>
      </c>
      <c r="C29" s="122">
        <v>2587</v>
      </c>
      <c r="D29" s="76">
        <f>C10</f>
        <v>2587</v>
      </c>
      <c r="E29" s="77">
        <f>D29-C29</f>
        <v>0</v>
      </c>
      <c r="O29" s="4"/>
    </row>
    <row r="30" spans="2:43" x14ac:dyDescent="0.3">
      <c r="B30" s="74" t="s">
        <v>59</v>
      </c>
      <c r="C30" s="122">
        <v>16427</v>
      </c>
      <c r="D30" s="76">
        <f>C16+C17+C18</f>
        <v>15826</v>
      </c>
      <c r="E30" s="77">
        <f>D30-C30</f>
        <v>-601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3573</v>
      </c>
      <c r="D31" s="80">
        <f>SUM(C8+C9)</f>
        <v>3573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395" priority="11" operator="lessThan">
      <formula>0</formula>
    </cfRule>
    <cfRule type="cellIs" dxfId="394" priority="12" operator="greaterThan">
      <formula>0</formula>
    </cfRule>
  </conditionalFormatting>
  <conditionalFormatting sqref="R25:AC25">
    <cfRule type="cellIs" dxfId="393" priority="9" operator="lessThan">
      <formula>0</formula>
    </cfRule>
    <cfRule type="cellIs" dxfId="392" priority="10" operator="greaterThan">
      <formula>0</formula>
    </cfRule>
  </conditionalFormatting>
  <conditionalFormatting sqref="R26 T26 V26 X26 Z26 AB26">
    <cfRule type="cellIs" dxfId="391" priority="7" operator="lessThan">
      <formula>0</formula>
    </cfRule>
    <cfRule type="cellIs" dxfId="390" priority="8" operator="greaterThan">
      <formula>0</formula>
    </cfRule>
  </conditionalFormatting>
  <conditionalFormatting sqref="AD24:AE24">
    <cfRule type="cellIs" dxfId="389" priority="5" operator="lessThan">
      <formula>0</formula>
    </cfRule>
    <cfRule type="cellIs" dxfId="388" priority="6" operator="greaterThan">
      <formula>0</formula>
    </cfRule>
  </conditionalFormatting>
  <conditionalFormatting sqref="AD25:AE25">
    <cfRule type="cellIs" dxfId="387" priority="3" operator="lessThan">
      <formula>0</formula>
    </cfRule>
    <cfRule type="cellIs" dxfId="386" priority="4" operator="greaterThan">
      <formula>0</formula>
    </cfRule>
  </conditionalFormatting>
  <conditionalFormatting sqref="AD26">
    <cfRule type="cellIs" dxfId="385" priority="1" operator="lessThan">
      <formula>0</formula>
    </cfRule>
    <cfRule type="cellIs" dxfId="38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>
    <tabColor theme="1"/>
    <pageSetUpPr fitToPage="1"/>
  </sheetPr>
  <dimension ref="B1:AQ64"/>
  <sheetViews>
    <sheetView zoomScale="70" zoomScaleNormal="7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1.44140625" style="1" customWidth="1"/>
    <col min="16" max="16" width="13.88671875" style="1" bestFit="1" customWidth="1"/>
    <col min="17" max="17" width="14.44140625" style="1" customWidth="1"/>
    <col min="18" max="18" width="11.88671875" style="1" customWidth="1"/>
    <col min="19" max="19" width="13.44140625" style="1" bestFit="1" customWidth="1"/>
    <col min="20" max="20" width="11" style="1" customWidth="1"/>
    <col min="21" max="21" width="12.5546875" style="1" bestFit="1" customWidth="1"/>
    <col min="22" max="22" width="11.109375" style="1" customWidth="1"/>
    <col min="23" max="23" width="13.44140625" style="1" bestFit="1" customWidth="1"/>
    <col min="24" max="24" width="11.4414062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546875" style="1" customWidth="1"/>
    <col min="30" max="30" width="11.6640625" style="1" customWidth="1"/>
    <col min="31" max="31" width="12.5546875" style="1" customWidth="1"/>
    <col min="32" max="32" width="15.109375" style="1" bestFit="1" customWidth="1"/>
    <col min="33" max="33" width="13.44140625" style="1" customWidth="1"/>
    <col min="34" max="34" width="0.44140625" style="1" customWidth="1"/>
    <col min="35" max="43" width="4.6640625" style="1" customWidth="1"/>
    <col min="44" max="49" width="9.109375" style="1" customWidth="1"/>
    <col min="50" max="16384" width="9.109375" style="1"/>
  </cols>
  <sheetData>
    <row r="1" spans="2:42" ht="6" customHeight="1" x14ac:dyDescent="0.3"/>
    <row r="2" spans="2:42" ht="22.5" customHeight="1" x14ac:dyDescent="0.3">
      <c r="B2" t="s">
        <v>0</v>
      </c>
      <c r="C2" s="2">
        <v>44486</v>
      </c>
    </row>
    <row r="3" spans="2:42" ht="18.75" customHeight="1" thickBot="1" x14ac:dyDescent="0.35">
      <c r="B3" t="s">
        <v>1</v>
      </c>
      <c r="C3" s="3">
        <f>C2+1</f>
        <v>44487</v>
      </c>
    </row>
    <row r="4" spans="2:42" ht="15.75" customHeight="1" thickBot="1" x14ac:dyDescent="0.3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3">
      <c r="B6" s="16" t="s">
        <v>21</v>
      </c>
      <c r="C6" s="17">
        <v>2660</v>
      </c>
      <c r="E6" s="18" t="s">
        <v>22</v>
      </c>
      <c r="F6" s="119">
        <v>19973</v>
      </c>
      <c r="G6" s="117">
        <v>10608.739750000001</v>
      </c>
      <c r="H6" s="117">
        <v>850.50080000000003</v>
      </c>
      <c r="I6" s="19">
        <f>G6+H6</f>
        <v>11459.24055</v>
      </c>
      <c r="J6" s="119">
        <v>19950</v>
      </c>
      <c r="K6" s="117">
        <v>10385.0705</v>
      </c>
      <c r="L6" s="117">
        <v>867.56607749999989</v>
      </c>
      <c r="M6" s="19">
        <f>K6+L6</f>
        <v>11252.636577499999</v>
      </c>
      <c r="N6" s="85">
        <v>58</v>
      </c>
      <c r="O6" s="85">
        <v>47</v>
      </c>
      <c r="P6" s="92"/>
      <c r="Q6" s="20">
        <f>J6-P6</f>
        <v>19950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3">
      <c r="B7" s="16" t="s">
        <v>23</v>
      </c>
      <c r="C7" s="17">
        <v>342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3">
      <c r="B8" s="28" t="s">
        <v>26</v>
      </c>
      <c r="C8" s="17">
        <v>1909</v>
      </c>
      <c r="E8" s="29" t="s">
        <v>27</v>
      </c>
      <c r="F8" s="119">
        <v>3741</v>
      </c>
      <c r="G8" s="117">
        <v>4108.5070000000014</v>
      </c>
      <c r="H8" s="117">
        <v>24887.910395920029</v>
      </c>
      <c r="I8" s="19">
        <f>G8+H8</f>
        <v>28996.417395920031</v>
      </c>
      <c r="J8" s="119">
        <v>3783</v>
      </c>
      <c r="K8" s="117">
        <v>4279.46</v>
      </c>
      <c r="L8" s="117">
        <v>24222.02739776003</v>
      </c>
      <c r="M8" s="19">
        <f>K8+L8</f>
        <v>28501.487397760029</v>
      </c>
      <c r="N8" s="87">
        <v>22</v>
      </c>
      <c r="O8" s="87">
        <v>14</v>
      </c>
      <c r="P8" s="92"/>
      <c r="Q8" s="20">
        <f>J8-P8</f>
        <v>3783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3">
      <c r="B9" s="28" t="s">
        <v>28</v>
      </c>
      <c r="C9" s="17">
        <v>901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3">
      <c r="B10" s="16" t="s">
        <v>30</v>
      </c>
      <c r="C10" s="17">
        <v>2572</v>
      </c>
      <c r="E10" s="18" t="s">
        <v>31</v>
      </c>
      <c r="F10" s="119">
        <v>11674</v>
      </c>
      <c r="G10" s="117">
        <v>7665.1164999999992</v>
      </c>
      <c r="H10" s="117">
        <v>401.829432</v>
      </c>
      <c r="I10" s="19">
        <f>G10+H10</f>
        <v>8066.9459319999987</v>
      </c>
      <c r="J10" s="119">
        <v>11608</v>
      </c>
      <c r="K10" s="117">
        <v>7631.6049999999987</v>
      </c>
      <c r="L10" s="117">
        <v>415.26116430000002</v>
      </c>
      <c r="M10" s="19">
        <f>K10+L10</f>
        <v>8046.8661642999987</v>
      </c>
      <c r="N10" s="88">
        <v>37</v>
      </c>
      <c r="O10" s="88">
        <v>29</v>
      </c>
      <c r="P10" s="92"/>
      <c r="Q10" s="20">
        <f>J10-P10</f>
        <v>11608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3">
      <c r="B11" s="16" t="s">
        <v>38</v>
      </c>
      <c r="C11" s="17">
        <v>10531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3">
      <c r="B12" s="16" t="s">
        <v>40</v>
      </c>
      <c r="C12" s="17">
        <v>0</v>
      </c>
      <c r="E12" s="29" t="s">
        <v>35</v>
      </c>
      <c r="F12" s="119">
        <v>12478</v>
      </c>
      <c r="G12" s="117">
        <v>11991.65475</v>
      </c>
      <c r="H12" s="117">
        <v>14935.78977388</v>
      </c>
      <c r="I12" s="19">
        <f>G12+H12</f>
        <v>26927.44452388</v>
      </c>
      <c r="J12" s="119">
        <v>12963</v>
      </c>
      <c r="K12" s="117">
        <v>12277.156999999999</v>
      </c>
      <c r="L12" s="117">
        <v>15100.649028430011</v>
      </c>
      <c r="M12" s="19">
        <f>K12+L12</f>
        <v>27377.806028430008</v>
      </c>
      <c r="N12" s="88">
        <v>44</v>
      </c>
      <c r="O12" s="88">
        <v>35</v>
      </c>
      <c r="P12" s="92"/>
      <c r="Q12" s="20">
        <f>J12-P12</f>
        <v>12963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3">
      <c r="B13" s="28" t="s">
        <v>42</v>
      </c>
      <c r="C13" s="17">
        <f>9851+15346</f>
        <v>25197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3">
      <c r="B14" s="43" t="s">
        <v>47</v>
      </c>
      <c r="C14" s="17">
        <v>0</v>
      </c>
      <c r="E14" s="18" t="s">
        <v>39</v>
      </c>
      <c r="F14" s="119">
        <v>19161</v>
      </c>
      <c r="G14" s="117">
        <v>17754.453750000001</v>
      </c>
      <c r="H14" s="117">
        <v>29215.709364560011</v>
      </c>
      <c r="I14" s="19">
        <f>G14+H14</f>
        <v>46970.163114560011</v>
      </c>
      <c r="J14" s="119">
        <v>18976</v>
      </c>
      <c r="K14" s="117">
        <v>17013.066999999999</v>
      </c>
      <c r="L14" s="117">
        <v>28578.963520140009</v>
      </c>
      <c r="M14" s="19">
        <f>K14+L14</f>
        <v>45592.030520140004</v>
      </c>
      <c r="N14" s="88">
        <v>64</v>
      </c>
      <c r="O14" s="88">
        <v>51</v>
      </c>
      <c r="P14" s="92"/>
      <c r="Q14" s="20">
        <f>J14-P14</f>
        <v>18976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35">
      <c r="B16" s="16" t="s">
        <v>50</v>
      </c>
      <c r="C16" s="17">
        <v>9535</v>
      </c>
      <c r="E16" s="84"/>
      <c r="F16" s="31">
        <f t="shared" ref="F16:M16" si="0">SUM(F6:F15)</f>
        <v>67027</v>
      </c>
      <c r="G16" s="31">
        <f t="shared" si="0"/>
        <v>52128.471750000004</v>
      </c>
      <c r="H16" s="31">
        <f t="shared" si="0"/>
        <v>70291.739766360042</v>
      </c>
      <c r="I16" s="32">
        <f t="shared" si="0"/>
        <v>122420.21151636004</v>
      </c>
      <c r="J16" s="33">
        <f t="shared" si="0"/>
        <v>67280</v>
      </c>
      <c r="K16" s="33">
        <f t="shared" si="0"/>
        <v>51586.359499999991</v>
      </c>
      <c r="L16" s="33">
        <f t="shared" si="0"/>
        <v>69184.467188130046</v>
      </c>
      <c r="M16" s="33">
        <f t="shared" si="0"/>
        <v>120770.82668813005</v>
      </c>
      <c r="N16" s="31">
        <f>SUM(N14,N12,N10,N8,N6)</f>
        <v>225</v>
      </c>
      <c r="O16" s="31">
        <f>SUM(O14,O12,O10,O8,O6)</f>
        <v>176</v>
      </c>
      <c r="P16" s="34">
        <f>SUM(P6:P15)</f>
        <v>0</v>
      </c>
      <c r="Q16" s="34">
        <f>SUM(Q6:Q15)</f>
        <v>67280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35">
      <c r="B17" s="16" t="s">
        <v>51</v>
      </c>
      <c r="C17" s="17">
        <v>1351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35">
      <c r="B18" s="57" t="s">
        <v>52</v>
      </c>
      <c r="C18" s="58">
        <v>4307</v>
      </c>
      <c r="O18" s="125">
        <f>O17/N16</f>
        <v>0.21777777777777776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3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3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3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3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3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35">
      <c r="B26" s="74" t="s">
        <v>55</v>
      </c>
      <c r="C26" s="122">
        <v>11246</v>
      </c>
      <c r="D26" s="76">
        <f>C11</f>
        <v>10531</v>
      </c>
      <c r="E26" s="77">
        <f>D26-C26</f>
        <v>-715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3">
      <c r="B27" s="74" t="s">
        <v>56</v>
      </c>
      <c r="C27" s="122">
        <v>26292</v>
      </c>
      <c r="D27" s="76">
        <f>C7+C12+C13+C14+C15</f>
        <v>25539</v>
      </c>
      <c r="E27" s="77">
        <f>D27-C27</f>
        <v>-753</v>
      </c>
      <c r="O27" s="4"/>
      <c r="AF27" s="69"/>
    </row>
    <row r="28" spans="2:43" x14ac:dyDescent="0.3">
      <c r="B28" s="74" t="s">
        <v>21</v>
      </c>
      <c r="C28" s="122">
        <v>2660</v>
      </c>
      <c r="D28" s="76">
        <f>C6</f>
        <v>2660</v>
      </c>
      <c r="E28" s="77">
        <f>D28-C28</f>
        <v>0</v>
      </c>
      <c r="O28" s="4"/>
    </row>
    <row r="29" spans="2:43" x14ac:dyDescent="0.3">
      <c r="B29" s="74" t="s">
        <v>57</v>
      </c>
      <c r="C29" s="122">
        <v>2572</v>
      </c>
      <c r="D29" s="76">
        <f>C10</f>
        <v>2572</v>
      </c>
      <c r="E29" s="77">
        <f>D29-C29</f>
        <v>0</v>
      </c>
      <c r="O29" s="4"/>
    </row>
    <row r="30" spans="2:43" x14ac:dyDescent="0.3">
      <c r="B30" s="74" t="s">
        <v>59</v>
      </c>
      <c r="C30" s="122">
        <v>14525</v>
      </c>
      <c r="D30" s="76">
        <f>C16+C17+C18</f>
        <v>15193</v>
      </c>
      <c r="E30" s="77">
        <f>D30-C30</f>
        <v>668</v>
      </c>
      <c r="F30" s="1" t="s">
        <v>75</v>
      </c>
      <c r="J30" s="53"/>
      <c r="O30" s="4"/>
    </row>
    <row r="31" spans="2:43" ht="15" customHeight="1" thickBot="1" x14ac:dyDescent="0.35">
      <c r="B31" s="78" t="s">
        <v>60</v>
      </c>
      <c r="C31" s="121">
        <v>2810</v>
      </c>
      <c r="D31" s="80">
        <f>SUM(C8+C9)</f>
        <v>2810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3">
      <c r="K32" s="53"/>
      <c r="O32" s="4"/>
      <c r="AJ32" s="1">
        <v>2</v>
      </c>
      <c r="AK32" s="1">
        <v>1</v>
      </c>
    </row>
    <row r="33" spans="11:31" ht="15" customHeight="1" thickBot="1" x14ac:dyDescent="0.35">
      <c r="K33" s="53"/>
      <c r="Q33" s="53"/>
      <c r="U33" s="53"/>
      <c r="V33" s="53"/>
    </row>
    <row r="34" spans="11:31" ht="18" customHeight="1" thickBot="1" x14ac:dyDescent="0.3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6" customHeight="1" x14ac:dyDescent="0.3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6" customHeight="1" x14ac:dyDescent="0.3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6" customHeight="1" x14ac:dyDescent="0.3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6" customHeight="1" x14ac:dyDescent="0.3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6" customHeight="1" x14ac:dyDescent="0.3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6" customHeight="1" x14ac:dyDescent="0.3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6" customHeight="1" x14ac:dyDescent="0.3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6" customHeight="1" x14ac:dyDescent="0.3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6" customHeight="1" thickBot="1" x14ac:dyDescent="0.3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6" customHeight="1" x14ac:dyDescent="0.3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6" customHeight="1" x14ac:dyDescent="0.3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6" customHeight="1" x14ac:dyDescent="0.3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6" customHeight="1" thickBot="1" x14ac:dyDescent="0.3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6" customHeight="1" x14ac:dyDescent="0.3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6" customHeight="1" x14ac:dyDescent="0.3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6" customHeight="1" x14ac:dyDescent="0.3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6" customHeight="1" x14ac:dyDescent="0.3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6" customHeight="1" x14ac:dyDescent="0.3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6" customHeight="1" x14ac:dyDescent="0.3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6" customHeight="1" x14ac:dyDescent="0.3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6" customHeight="1" x14ac:dyDescent="0.3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6" customHeight="1" thickBot="1" x14ac:dyDescent="0.3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6" customHeight="1" x14ac:dyDescent="0.3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6" customHeight="1" x14ac:dyDescent="0.3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6" customHeight="1" x14ac:dyDescent="0.3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6" customHeight="1" thickBot="1" x14ac:dyDescent="0.3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6" customHeight="1" x14ac:dyDescent="0.3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6" customHeight="1" x14ac:dyDescent="0.3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6" customHeight="1" x14ac:dyDescent="0.3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6" customHeight="1" thickBot="1" x14ac:dyDescent="0.3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383" priority="11" operator="lessThan">
      <formula>0</formula>
    </cfRule>
    <cfRule type="cellIs" dxfId="382" priority="12" operator="greaterThan">
      <formula>0</formula>
    </cfRule>
  </conditionalFormatting>
  <conditionalFormatting sqref="R25:AC25">
    <cfRule type="cellIs" dxfId="381" priority="9" operator="lessThan">
      <formula>0</formula>
    </cfRule>
    <cfRule type="cellIs" dxfId="380" priority="10" operator="greaterThan">
      <formula>0</formula>
    </cfRule>
  </conditionalFormatting>
  <conditionalFormatting sqref="R26 T26 V26 X26 Z26 AB26">
    <cfRule type="cellIs" dxfId="379" priority="7" operator="lessThan">
      <formula>0</formula>
    </cfRule>
    <cfRule type="cellIs" dxfId="378" priority="8" operator="greaterThan">
      <formula>0</formula>
    </cfRule>
  </conditionalFormatting>
  <conditionalFormatting sqref="AD24:AE24">
    <cfRule type="cellIs" dxfId="377" priority="5" operator="lessThan">
      <formula>0</formula>
    </cfRule>
    <cfRule type="cellIs" dxfId="376" priority="6" operator="greaterThan">
      <formula>0</formula>
    </cfRule>
  </conditionalFormatting>
  <conditionalFormatting sqref="AD25:AE25">
    <cfRule type="cellIs" dxfId="375" priority="3" operator="lessThan">
      <formula>0</formula>
    </cfRule>
    <cfRule type="cellIs" dxfId="374" priority="4" operator="greaterThan">
      <formula>0</formula>
    </cfRule>
  </conditionalFormatting>
  <conditionalFormatting sqref="AD26">
    <cfRule type="cellIs" dxfId="373" priority="1" operator="lessThan">
      <formula>0</formula>
    </cfRule>
    <cfRule type="cellIs" dxfId="37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>
    <tabColor theme="1"/>
    <pageSetUpPr fitToPage="1"/>
  </sheetPr>
  <dimension ref="B1:AR64"/>
  <sheetViews>
    <sheetView zoomScale="70"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44487</v>
      </c>
    </row>
    <row r="3" spans="2:43" ht="18.75" customHeight="1" thickBot="1" x14ac:dyDescent="0.35">
      <c r="B3" t="s">
        <v>1</v>
      </c>
      <c r="C3" s="3">
        <f>C2+1</f>
        <v>44488</v>
      </c>
    </row>
    <row r="4" spans="2:43" ht="15" customHeight="1" thickBot="1" x14ac:dyDescent="0.35">
      <c r="E4" s="4"/>
      <c r="F4" s="222" t="s">
        <v>2</v>
      </c>
      <c r="G4" s="215"/>
      <c r="H4" s="215"/>
      <c r="I4" s="215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128" t="s">
        <v>5</v>
      </c>
      <c r="K5" s="129" t="s">
        <v>6</v>
      </c>
      <c r="L5" s="129" t="s">
        <v>7</v>
      </c>
      <c r="M5" s="130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1484</v>
      </c>
      <c r="E6" s="18" t="s">
        <v>22</v>
      </c>
      <c r="F6" s="119">
        <v>20150</v>
      </c>
      <c r="G6" s="117">
        <v>9821.6034999999993</v>
      </c>
      <c r="H6" s="117">
        <v>933.39305000000002</v>
      </c>
      <c r="I6" s="19">
        <f>G6+H6</f>
        <v>10754.99655</v>
      </c>
      <c r="J6" s="119">
        <v>19772</v>
      </c>
      <c r="K6" s="117">
        <v>10115.271500000001</v>
      </c>
      <c r="L6" s="117">
        <v>918.21348499999999</v>
      </c>
      <c r="M6" s="19">
        <f>K6+L6</f>
        <v>11033.484985000001</v>
      </c>
      <c r="N6" s="85">
        <v>55</v>
      </c>
      <c r="O6" s="85">
        <v>50</v>
      </c>
      <c r="P6" s="85">
        <v>46</v>
      </c>
      <c r="Q6" s="92"/>
      <c r="R6" s="20">
        <f>J6-Q6</f>
        <v>19772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1957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1879</v>
      </c>
      <c r="E8" s="29" t="s">
        <v>27</v>
      </c>
      <c r="F8" s="119">
        <v>3737</v>
      </c>
      <c r="G8" s="117">
        <v>3400.4254999999989</v>
      </c>
      <c r="H8" s="117">
        <v>8295.3862450999986</v>
      </c>
      <c r="I8" s="19">
        <f>G8+H8</f>
        <v>11695.811745099998</v>
      </c>
      <c r="J8" s="119">
        <v>3683</v>
      </c>
      <c r="K8" s="117">
        <v>3630.0625</v>
      </c>
      <c r="L8" s="117">
        <v>21810.104138740029</v>
      </c>
      <c r="M8" s="19">
        <f>K8+L8</f>
        <v>25440.166638740029</v>
      </c>
      <c r="N8" s="87">
        <v>14</v>
      </c>
      <c r="O8" s="87">
        <v>14</v>
      </c>
      <c r="P8" s="87">
        <v>10</v>
      </c>
      <c r="Q8" s="92"/>
      <c r="R8" s="20">
        <f>J8-Q8</f>
        <v>3683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1093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4040</v>
      </c>
      <c r="E10" s="18" t="s">
        <v>31</v>
      </c>
      <c r="F10" s="119">
        <v>20049</v>
      </c>
      <c r="G10" s="117">
        <v>14480.951499999999</v>
      </c>
      <c r="H10" s="117">
        <v>435.43487149999999</v>
      </c>
      <c r="I10" s="19">
        <f>G10+H10</f>
        <v>14916.386371499999</v>
      </c>
      <c r="J10" s="119">
        <v>19857</v>
      </c>
      <c r="K10" s="117">
        <v>14580.2575</v>
      </c>
      <c r="L10" s="117">
        <v>430.21450180000011</v>
      </c>
      <c r="M10" s="19">
        <f>K10+L10</f>
        <v>15010.472001800001</v>
      </c>
      <c r="N10" s="88">
        <v>38</v>
      </c>
      <c r="O10" s="88">
        <v>40</v>
      </c>
      <c r="P10" s="88">
        <v>33</v>
      </c>
      <c r="Q10" s="92"/>
      <c r="R10" s="20">
        <f>J10-Q10</f>
        <v>19857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10211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2400</v>
      </c>
      <c r="E12" s="29" t="s">
        <v>35</v>
      </c>
      <c r="F12" s="119">
        <v>11408</v>
      </c>
      <c r="G12" s="117">
        <v>10999.893249999999</v>
      </c>
      <c r="H12" s="117">
        <v>14109.676378579999</v>
      </c>
      <c r="I12" s="19">
        <f>G12+H12</f>
        <v>25109.56962858</v>
      </c>
      <c r="J12" s="119">
        <v>11790</v>
      </c>
      <c r="K12" s="117">
        <v>11360.97075</v>
      </c>
      <c r="L12" s="117">
        <v>14839.279553269989</v>
      </c>
      <c r="M12" s="19">
        <f>K12+L12</f>
        <v>26200.25030326999</v>
      </c>
      <c r="N12" s="88">
        <v>44</v>
      </c>
      <c r="O12" s="88">
        <v>43</v>
      </c>
      <c r="P12" s="88">
        <v>39</v>
      </c>
      <c r="Q12" s="92"/>
      <c r="R12" s="20">
        <f>J12-Q12</f>
        <v>11790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9851+14467</f>
        <v>24318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4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1204</v>
      </c>
      <c r="E14" s="18" t="s">
        <v>39</v>
      </c>
      <c r="F14" s="119">
        <v>24190</v>
      </c>
      <c r="G14" s="117">
        <v>20850.44125</v>
      </c>
      <c r="H14" s="117">
        <v>36394.524880999998</v>
      </c>
      <c r="I14" s="19">
        <f>G14+H14</f>
        <v>57244.966130999994</v>
      </c>
      <c r="J14" s="119">
        <v>22990</v>
      </c>
      <c r="K14" s="117">
        <v>18944.227749999998</v>
      </c>
      <c r="L14" s="117">
        <v>34568.565300379989</v>
      </c>
      <c r="M14" s="19">
        <f>K14+L14</f>
        <v>53512.793050379987</v>
      </c>
      <c r="N14" s="88">
        <v>62</v>
      </c>
      <c r="O14" s="88">
        <v>60</v>
      </c>
      <c r="P14" s="88">
        <v>55</v>
      </c>
      <c r="Q14" s="92"/>
      <c r="R14" s="20">
        <f>J14-Q14</f>
        <v>22990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507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5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9859</v>
      </c>
      <c r="E16" s="84"/>
      <c r="F16" s="31">
        <f t="shared" ref="F16:M16" si="0">SUM(F6:F15)</f>
        <v>79534</v>
      </c>
      <c r="G16" s="31">
        <f t="shared" si="0"/>
        <v>59553.315000000002</v>
      </c>
      <c r="H16" s="31">
        <f t="shared" si="0"/>
        <v>60168.415426179999</v>
      </c>
      <c r="I16" s="32">
        <f t="shared" si="0"/>
        <v>119721.73042617999</v>
      </c>
      <c r="J16" s="33">
        <f t="shared" si="0"/>
        <v>78092</v>
      </c>
      <c r="K16" s="33">
        <f t="shared" si="0"/>
        <v>58630.79</v>
      </c>
      <c r="L16" s="33">
        <f t="shared" si="0"/>
        <v>72566.376979190012</v>
      </c>
      <c r="M16" s="33">
        <f t="shared" si="0"/>
        <v>131197.16697919002</v>
      </c>
      <c r="N16" s="31">
        <f>SUM(N14,N12,N10,N8,N6)</f>
        <v>213</v>
      </c>
      <c r="O16" s="31">
        <f>SUM(O14,O12,O10,O8,O6)</f>
        <v>207</v>
      </c>
      <c r="P16" s="31">
        <f>SUM(P14,P12,P10,P8,P6)</f>
        <v>183</v>
      </c>
      <c r="Q16" s="34">
        <f>SUM(Q6:Q15)</f>
        <v>0</v>
      </c>
      <c r="R16" s="34">
        <f>SUM(R6:R15)</f>
        <v>78092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1923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24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4543</v>
      </c>
      <c r="P18" s="125">
        <f>P17/N16</f>
        <v>0.11267605633802817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10241</v>
      </c>
      <c r="D26" s="76">
        <f>C11</f>
        <v>10211</v>
      </c>
      <c r="E26" s="77">
        <f>D26-C26</f>
        <v>-30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33048</v>
      </c>
      <c r="D27" s="76">
        <f>C7+C12+C13+C14+C15</f>
        <v>30386</v>
      </c>
      <c r="E27" s="77">
        <f>D27-C27</f>
        <v>-2662</v>
      </c>
      <c r="P27" s="4"/>
      <c r="AG27" s="69"/>
    </row>
    <row r="28" spans="2:44" x14ac:dyDescent="0.3">
      <c r="B28" s="74" t="s">
        <v>21</v>
      </c>
      <c r="C28" s="122">
        <v>1484</v>
      </c>
      <c r="D28" s="76">
        <f>C6</f>
        <v>1484</v>
      </c>
      <c r="E28" s="77">
        <f>D28-C28</f>
        <v>0</v>
      </c>
      <c r="P28" s="4"/>
    </row>
    <row r="29" spans="2:44" x14ac:dyDescent="0.3">
      <c r="B29" s="74" t="s">
        <v>57</v>
      </c>
      <c r="C29" s="122">
        <v>4040</v>
      </c>
      <c r="D29" s="76">
        <f>C10</f>
        <v>4040</v>
      </c>
      <c r="E29" s="77">
        <f>D29-C29</f>
        <v>0</v>
      </c>
      <c r="P29" s="4"/>
    </row>
    <row r="30" spans="2:44" x14ac:dyDescent="0.3">
      <c r="B30" s="74" t="s">
        <v>59</v>
      </c>
      <c r="C30" s="122">
        <v>16784</v>
      </c>
      <c r="D30" s="76">
        <f>C16+C17+C18</f>
        <v>16325</v>
      </c>
      <c r="E30" s="77">
        <f>D30-C30</f>
        <v>-459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2972</v>
      </c>
      <c r="D31" s="80">
        <f>SUM(C8+C9)</f>
        <v>2972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dxfId="371" priority="11" operator="lessThan">
      <formula>0</formula>
    </cfRule>
    <cfRule type="cellIs" dxfId="370" priority="12" operator="greaterThan">
      <formula>0</formula>
    </cfRule>
  </conditionalFormatting>
  <conditionalFormatting sqref="S25:AD25">
    <cfRule type="cellIs" dxfId="369" priority="9" operator="lessThan">
      <formula>0</formula>
    </cfRule>
    <cfRule type="cellIs" dxfId="368" priority="10" operator="greaterThan">
      <formula>0</formula>
    </cfRule>
  </conditionalFormatting>
  <conditionalFormatting sqref="S26 U26 W26 Y26 AA26 AC26">
    <cfRule type="cellIs" dxfId="367" priority="7" operator="lessThan">
      <formula>0</formula>
    </cfRule>
    <cfRule type="cellIs" dxfId="366" priority="8" operator="greaterThan">
      <formula>0</formula>
    </cfRule>
  </conditionalFormatting>
  <conditionalFormatting sqref="AE24:AF24">
    <cfRule type="cellIs" dxfId="365" priority="5" operator="lessThan">
      <formula>0</formula>
    </cfRule>
    <cfRule type="cellIs" dxfId="364" priority="6" operator="greaterThan">
      <formula>0</formula>
    </cfRule>
  </conditionalFormatting>
  <conditionalFormatting sqref="AE25:AF25">
    <cfRule type="cellIs" dxfId="363" priority="3" operator="lessThan">
      <formula>0</formula>
    </cfRule>
    <cfRule type="cellIs" dxfId="362" priority="4" operator="greaterThan">
      <formula>0</formula>
    </cfRule>
  </conditionalFormatting>
  <conditionalFormatting sqref="AE26">
    <cfRule type="cellIs" dxfId="361" priority="1" operator="lessThan">
      <formula>0</formula>
    </cfRule>
    <cfRule type="cellIs" dxfId="36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>
    <tabColor theme="1"/>
    <pageSetUpPr fitToPage="1"/>
  </sheetPr>
  <dimension ref="B1:AR64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44488</v>
      </c>
    </row>
    <row r="3" spans="2:43" ht="18.75" customHeight="1" thickBot="1" x14ac:dyDescent="0.35">
      <c r="B3" t="s">
        <v>1</v>
      </c>
      <c r="C3" s="3">
        <f>C2+1</f>
        <v>44489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4856</v>
      </c>
      <c r="E6" s="18" t="s">
        <v>22</v>
      </c>
      <c r="F6" s="119">
        <v>20062</v>
      </c>
      <c r="G6" s="117">
        <v>10615.12275</v>
      </c>
      <c r="H6" s="117">
        <v>865.76349999999991</v>
      </c>
      <c r="I6" s="19">
        <f>G6+H6</f>
        <v>11480.88625</v>
      </c>
      <c r="J6" s="119">
        <v>20868</v>
      </c>
      <c r="K6" s="117">
        <v>10644.47925</v>
      </c>
      <c r="L6" s="117">
        <v>902.52555499999983</v>
      </c>
      <c r="M6" s="19">
        <f>K6+L6</f>
        <v>11547.004805</v>
      </c>
      <c r="N6" s="85">
        <v>60</v>
      </c>
      <c r="O6" s="85">
        <v>54</v>
      </c>
      <c r="P6" s="85">
        <v>53</v>
      </c>
      <c r="Q6" s="92"/>
      <c r="R6" s="20">
        <f>J6-Q6</f>
        <v>20868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3474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1835</v>
      </c>
      <c r="E8" s="29" t="s">
        <v>27</v>
      </c>
      <c r="F8" s="119">
        <v>3764</v>
      </c>
      <c r="G8" s="117">
        <v>3610.4074999999989</v>
      </c>
      <c r="H8" s="117">
        <v>36279.287045320001</v>
      </c>
      <c r="I8" s="19">
        <f>G8+H8</f>
        <v>39889.694545320002</v>
      </c>
      <c r="J8" s="119">
        <v>3732</v>
      </c>
      <c r="K8" s="117">
        <v>3859.634</v>
      </c>
      <c r="L8" s="117">
        <v>36914.976526359998</v>
      </c>
      <c r="M8" s="19">
        <f>K8+L8</f>
        <v>40774.610526359997</v>
      </c>
      <c r="N8" s="87">
        <v>21</v>
      </c>
      <c r="O8" s="87">
        <v>19</v>
      </c>
      <c r="P8" s="87">
        <v>17</v>
      </c>
      <c r="Q8" s="92"/>
      <c r="R8" s="20">
        <f>J8-Q8</f>
        <v>3732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931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2261</v>
      </c>
      <c r="E10" s="18" t="s">
        <v>31</v>
      </c>
      <c r="F10" s="119">
        <v>18283</v>
      </c>
      <c r="G10" s="117">
        <v>13026.806500000001</v>
      </c>
      <c r="H10" s="117">
        <v>420.56418250000002</v>
      </c>
      <c r="I10" s="19">
        <f>G10+H10</f>
        <v>13447.370682500001</v>
      </c>
      <c r="J10" s="119">
        <v>18721</v>
      </c>
      <c r="K10" s="117">
        <v>13306.96</v>
      </c>
      <c r="L10" s="117">
        <v>427.99909070000001</v>
      </c>
      <c r="M10" s="19">
        <f>K10+L10</f>
        <v>13734.959090699998</v>
      </c>
      <c r="N10" s="88">
        <v>40</v>
      </c>
      <c r="O10" s="88">
        <v>41</v>
      </c>
      <c r="P10" s="88">
        <v>36</v>
      </c>
      <c r="Q10" s="92"/>
      <c r="R10" s="20">
        <f>J10-Q10</f>
        <v>18721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10713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3948</v>
      </c>
      <c r="E12" s="29" t="s">
        <v>35</v>
      </c>
      <c r="F12" s="119">
        <v>11514</v>
      </c>
      <c r="G12" s="117">
        <v>10761.03325</v>
      </c>
      <c r="H12" s="117">
        <v>14839.567707419999</v>
      </c>
      <c r="I12" s="19">
        <f>G12+H12</f>
        <v>25600.60095742</v>
      </c>
      <c r="J12" s="119">
        <v>11898</v>
      </c>
      <c r="K12" s="117">
        <v>11063.11</v>
      </c>
      <c r="L12" s="117">
        <v>15234.16070953001</v>
      </c>
      <c r="M12" s="19">
        <f>K12+L12</f>
        <v>26297.27070953001</v>
      </c>
      <c r="N12" s="88">
        <v>49</v>
      </c>
      <c r="O12" s="88">
        <v>45</v>
      </c>
      <c r="P12" s="88">
        <v>41</v>
      </c>
      <c r="Q12" s="92"/>
      <c r="R12" s="20">
        <f>J12-Q12</f>
        <v>11898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15753+15323</f>
        <v>31076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4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1989</v>
      </c>
      <c r="E14" s="18" t="s">
        <v>39</v>
      </c>
      <c r="F14" s="119">
        <v>18819</v>
      </c>
      <c r="G14" s="117">
        <v>16689.662499999999</v>
      </c>
      <c r="H14" s="117">
        <v>32508.206484200029</v>
      </c>
      <c r="I14" s="19">
        <f>G14+H14</f>
        <v>49197.868984200031</v>
      </c>
      <c r="J14" s="119">
        <v>18696</v>
      </c>
      <c r="K14" s="117">
        <v>16377.303749999999</v>
      </c>
      <c r="L14" s="117">
        <v>32168.486480320029</v>
      </c>
      <c r="M14" s="19">
        <f>K14+L14</f>
        <v>48545.790230320024</v>
      </c>
      <c r="N14" s="88">
        <v>62</v>
      </c>
      <c r="O14" s="88">
        <v>56</v>
      </c>
      <c r="P14" s="88">
        <v>55</v>
      </c>
      <c r="Q14" s="92"/>
      <c r="R14" s="20">
        <f>J14-Q14</f>
        <v>18696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745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9960</v>
      </c>
      <c r="E16" s="84"/>
      <c r="F16" s="31">
        <f t="shared" ref="F16:M16" si="0">SUM(F6:F15)</f>
        <v>72442</v>
      </c>
      <c r="G16" s="31">
        <f t="shared" si="0"/>
        <v>54703.032500000001</v>
      </c>
      <c r="H16" s="31">
        <f t="shared" si="0"/>
        <v>84913.388919440025</v>
      </c>
      <c r="I16" s="32">
        <f t="shared" si="0"/>
        <v>139616.42141944001</v>
      </c>
      <c r="J16" s="33">
        <f t="shared" si="0"/>
        <v>73915</v>
      </c>
      <c r="K16" s="33">
        <f t="shared" si="0"/>
        <v>55251.487000000001</v>
      </c>
      <c r="L16" s="33">
        <f t="shared" si="0"/>
        <v>85648.148361910047</v>
      </c>
      <c r="M16" s="33">
        <f t="shared" si="0"/>
        <v>140899.63536191004</v>
      </c>
      <c r="N16" s="31">
        <f>SUM(N14,N12,N10,N8,N6)</f>
        <v>232</v>
      </c>
      <c r="O16" s="31">
        <f>SUM(O14,O12,O10,O8,O6)</f>
        <v>215</v>
      </c>
      <c r="P16" s="31">
        <f>SUM(P14,P12,P10,P8,P6)</f>
        <v>202</v>
      </c>
      <c r="Q16" s="34">
        <f>SUM(Q6:Q15)</f>
        <v>0</v>
      </c>
      <c r="R16" s="34">
        <f>SUM(R6:R15)</f>
        <v>73915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1485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13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4621</v>
      </c>
      <c r="P18" s="125">
        <f>P17/N16</f>
        <v>5.6034482758620691E-2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9903</v>
      </c>
      <c r="D26" s="76">
        <f>C11</f>
        <v>10713</v>
      </c>
      <c r="E26" s="77">
        <f>D26-C26</f>
        <v>810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30922</v>
      </c>
      <c r="D27" s="76">
        <f>C7+C12+C13+C14+C15</f>
        <v>41232</v>
      </c>
      <c r="E27" s="77">
        <f>D27-C27</f>
        <v>10310</v>
      </c>
      <c r="P27" s="4"/>
      <c r="AG27" s="69"/>
    </row>
    <row r="28" spans="2:44" x14ac:dyDescent="0.3">
      <c r="B28" s="74" t="s">
        <v>21</v>
      </c>
      <c r="C28" s="122">
        <v>4856</v>
      </c>
      <c r="D28" s="76">
        <f>C6</f>
        <v>4856</v>
      </c>
      <c r="E28" s="77">
        <f>D28-C28</f>
        <v>0</v>
      </c>
      <c r="P28" s="4"/>
    </row>
    <row r="29" spans="2:44" x14ac:dyDescent="0.3">
      <c r="B29" s="74" t="s">
        <v>57</v>
      </c>
      <c r="C29" s="122">
        <v>2261</v>
      </c>
      <c r="D29" s="76">
        <f>C10</f>
        <v>2261</v>
      </c>
      <c r="E29" s="77">
        <f>D29-C29</f>
        <v>0</v>
      </c>
      <c r="P29" s="4"/>
    </row>
    <row r="30" spans="2:44" x14ac:dyDescent="0.3">
      <c r="B30" s="74" t="s">
        <v>59</v>
      </c>
      <c r="C30" s="122">
        <v>15448</v>
      </c>
      <c r="D30" s="76">
        <f>C16+C17+C18</f>
        <v>16066</v>
      </c>
      <c r="E30" s="77">
        <f>D30-C30</f>
        <v>618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2766</v>
      </c>
      <c r="D31" s="80">
        <f>SUM(C8+C9)</f>
        <v>2766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dxfId="359" priority="11" operator="lessThan">
      <formula>0</formula>
    </cfRule>
    <cfRule type="cellIs" dxfId="358" priority="12" operator="greaterThan">
      <formula>0</formula>
    </cfRule>
  </conditionalFormatting>
  <conditionalFormatting sqref="S25:AD25">
    <cfRule type="cellIs" dxfId="357" priority="9" operator="lessThan">
      <formula>0</formula>
    </cfRule>
    <cfRule type="cellIs" dxfId="356" priority="10" operator="greaterThan">
      <formula>0</formula>
    </cfRule>
  </conditionalFormatting>
  <conditionalFormatting sqref="S26 U26 W26 Y26 AA26 AC26">
    <cfRule type="cellIs" dxfId="355" priority="7" operator="lessThan">
      <formula>0</formula>
    </cfRule>
    <cfRule type="cellIs" dxfId="354" priority="8" operator="greaterThan">
      <formula>0</formula>
    </cfRule>
  </conditionalFormatting>
  <conditionalFormatting sqref="AE24:AF24">
    <cfRule type="cellIs" dxfId="353" priority="5" operator="lessThan">
      <formula>0</formula>
    </cfRule>
    <cfRule type="cellIs" dxfId="352" priority="6" operator="greaterThan">
      <formula>0</formula>
    </cfRule>
  </conditionalFormatting>
  <conditionalFormatting sqref="AE25:AF25">
    <cfRule type="cellIs" dxfId="351" priority="3" operator="lessThan">
      <formula>0</formula>
    </cfRule>
    <cfRule type="cellIs" dxfId="350" priority="4" operator="greaterThan">
      <formula>0</formula>
    </cfRule>
  </conditionalFormatting>
  <conditionalFormatting sqref="AE26">
    <cfRule type="cellIs" dxfId="349" priority="1" operator="lessThan">
      <formula>0</formula>
    </cfRule>
    <cfRule type="cellIs" dxfId="348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>
    <tabColor theme="1"/>
    <pageSetUpPr fitToPage="1"/>
  </sheetPr>
  <dimension ref="B1:AR64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44489</v>
      </c>
    </row>
    <row r="3" spans="2:43" ht="18.75" customHeight="1" thickBot="1" x14ac:dyDescent="0.35">
      <c r="B3" t="s">
        <v>1</v>
      </c>
      <c r="C3" s="3">
        <f>C2+1</f>
        <v>44490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21521.349999999991</v>
      </c>
      <c r="G6" s="117">
        <v>9099.7722500000018</v>
      </c>
      <c r="H6" s="117">
        <v>1036.2715424999999</v>
      </c>
      <c r="I6" s="19">
        <f>G6+H6</f>
        <v>10136.043792500002</v>
      </c>
      <c r="J6" s="119">
        <v>22319</v>
      </c>
      <c r="K6" s="117">
        <v>11393.8686875</v>
      </c>
      <c r="L6" s="117">
        <v>1560.224704705</v>
      </c>
      <c r="M6" s="19">
        <f>K6+L6</f>
        <v>12954.093392205001</v>
      </c>
      <c r="N6" s="85">
        <v>56</v>
      </c>
      <c r="O6" s="85">
        <v>56</v>
      </c>
      <c r="P6" s="85">
        <v>50</v>
      </c>
      <c r="Q6" s="92"/>
      <c r="R6" s="20">
        <f>J6-Q6</f>
        <v>22319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2025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6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1864</v>
      </c>
      <c r="E8" s="29" t="s">
        <v>27</v>
      </c>
      <c r="F8" s="119">
        <v>3478.15</v>
      </c>
      <c r="G8" s="117">
        <v>4162.5924999999997</v>
      </c>
      <c r="H8" s="117">
        <v>12035.65008442601</v>
      </c>
      <c r="I8" s="19">
        <f>G8+H8</f>
        <v>16198.242584426011</v>
      </c>
      <c r="J8" s="119">
        <v>3416</v>
      </c>
      <c r="K8" s="117">
        <v>5946.7719999999999</v>
      </c>
      <c r="L8" s="117">
        <v>12165.35180349001</v>
      </c>
      <c r="M8" s="19">
        <f>K8+L8</f>
        <v>18112.123803490009</v>
      </c>
      <c r="N8" s="87">
        <v>27</v>
      </c>
      <c r="O8" s="87">
        <v>26</v>
      </c>
      <c r="P8" s="87">
        <v>22</v>
      </c>
      <c r="Q8" s="92"/>
      <c r="R8" s="20">
        <f>J8-Q8</f>
        <v>3416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1204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2298</v>
      </c>
      <c r="E10" s="18" t="s">
        <v>31</v>
      </c>
      <c r="F10" s="119">
        <v>20930.8</v>
      </c>
      <c r="G10" s="117">
        <v>14921.226500000001</v>
      </c>
      <c r="H10" s="117">
        <v>478.99572562499998</v>
      </c>
      <c r="I10" s="19">
        <f>G10+H10</f>
        <v>15400.222225625001</v>
      </c>
      <c r="J10" s="119">
        <v>20509.75</v>
      </c>
      <c r="K10" s="117">
        <v>15796.615125</v>
      </c>
      <c r="L10" s="117">
        <v>425.81134792500001</v>
      </c>
      <c r="M10" s="19">
        <f>K10+L10</f>
        <v>16222.426472925001</v>
      </c>
      <c r="N10" s="88">
        <v>42</v>
      </c>
      <c r="O10" s="88">
        <v>44</v>
      </c>
      <c r="P10" s="88">
        <v>38</v>
      </c>
      <c r="Q10" s="92"/>
      <c r="R10" s="20">
        <f>J10-Q10</f>
        <v>20509.75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11318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6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2536</v>
      </c>
      <c r="E12" s="29" t="s">
        <v>35</v>
      </c>
      <c r="F12" s="119">
        <v>15544.29999999999</v>
      </c>
      <c r="G12" s="117">
        <v>12000.965</v>
      </c>
      <c r="H12" s="117">
        <v>18149.041949508999</v>
      </c>
      <c r="I12" s="19">
        <f>G12+H12</f>
        <v>30150.006949508999</v>
      </c>
      <c r="J12" s="119">
        <v>13222</v>
      </c>
      <c r="K12" s="117">
        <v>12788.3331875</v>
      </c>
      <c r="L12" s="117">
        <v>16342.6077042575</v>
      </c>
      <c r="M12" s="19">
        <f>K12+L12</f>
        <v>29130.940891757498</v>
      </c>
      <c r="N12" s="88">
        <v>48</v>
      </c>
      <c r="O12" s="88">
        <v>47</v>
      </c>
      <c r="P12" s="88">
        <v>41</v>
      </c>
      <c r="Q12" s="92"/>
      <c r="R12" s="20">
        <f>J12-Q12</f>
        <v>13222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12901+9489</f>
        <v>22390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6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1174</v>
      </c>
      <c r="E14" s="18" t="s">
        <v>39</v>
      </c>
      <c r="F14" s="119">
        <v>20259.8</v>
      </c>
      <c r="G14" s="117">
        <v>16862.786250000001</v>
      </c>
      <c r="H14" s="117">
        <v>24467.90695795801</v>
      </c>
      <c r="I14" s="19">
        <f>G14+H14</f>
        <v>41330.693207958015</v>
      </c>
      <c r="J14" s="119">
        <v>20032.25</v>
      </c>
      <c r="K14" s="117">
        <v>18851.22625</v>
      </c>
      <c r="L14" s="117">
        <v>25015.792911919991</v>
      </c>
      <c r="M14" s="19">
        <f>K14+L14</f>
        <v>43867.01916191999</v>
      </c>
      <c r="N14" s="88">
        <v>63</v>
      </c>
      <c r="O14" s="88">
        <v>57</v>
      </c>
      <c r="P14" s="88">
        <v>54</v>
      </c>
      <c r="Q14" s="92"/>
      <c r="R14" s="20">
        <f>J14-Q14</f>
        <v>20032.25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490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 t="s">
        <v>10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9289</v>
      </c>
      <c r="E16" s="84"/>
      <c r="F16" s="31">
        <f t="shared" ref="F16:M16" si="0">SUM(F6:F15)</f>
        <v>81734.39999999998</v>
      </c>
      <c r="G16" s="31">
        <f t="shared" si="0"/>
        <v>57047.342499999999</v>
      </c>
      <c r="H16" s="31">
        <f t="shared" si="0"/>
        <v>56167.866260018018</v>
      </c>
      <c r="I16" s="32">
        <f t="shared" si="0"/>
        <v>113215.20876001802</v>
      </c>
      <c r="J16" s="33">
        <f t="shared" si="0"/>
        <v>79499</v>
      </c>
      <c r="K16" s="33">
        <f t="shared" si="0"/>
        <v>64776.81525</v>
      </c>
      <c r="L16" s="33">
        <f t="shared" si="0"/>
        <v>55509.7884722975</v>
      </c>
      <c r="M16" s="33">
        <f t="shared" si="0"/>
        <v>120286.6037222975</v>
      </c>
      <c r="N16" s="31">
        <f>SUM(N14,N12,N10,N8,N6)</f>
        <v>236</v>
      </c>
      <c r="O16" s="31">
        <f>SUM(O14,O12,O10,O8,O6)</f>
        <v>230</v>
      </c>
      <c r="P16" s="31">
        <f>SUM(P14,P12,P10,P8,P6)</f>
        <v>205</v>
      </c>
      <c r="Q16" s="34">
        <f>SUM(Q6:Q15)</f>
        <v>0</v>
      </c>
      <c r="R16" s="34">
        <f>SUM(R6:R15)</f>
        <v>79499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2842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4894</v>
      </c>
      <c r="P18" s="125">
        <f>P17/N16</f>
        <v>9.3220338983050849E-2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12433</v>
      </c>
      <c r="D26" s="76">
        <f>C11</f>
        <v>11318</v>
      </c>
      <c r="E26" s="77">
        <f>D26-C26</f>
        <v>-1115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39413.000000000007</v>
      </c>
      <c r="D27" s="76">
        <f>C7+C12+C13+C14+C15</f>
        <v>28615</v>
      </c>
      <c r="E27" s="77">
        <f>D27-C27</f>
        <v>-10798.000000000007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3">
      <c r="B29" s="74" t="s">
        <v>57</v>
      </c>
      <c r="C29" s="122">
        <v>2298</v>
      </c>
      <c r="D29" s="76">
        <f>C10</f>
        <v>2298</v>
      </c>
      <c r="E29" s="77">
        <f>D29-C29</f>
        <v>0</v>
      </c>
      <c r="P29" s="4"/>
    </row>
    <row r="30" spans="2:44" x14ac:dyDescent="0.3">
      <c r="B30" s="74" t="s">
        <v>59</v>
      </c>
      <c r="C30" s="122">
        <v>17515</v>
      </c>
      <c r="D30" s="76">
        <f>C16+C17+C18</f>
        <v>17025</v>
      </c>
      <c r="E30" s="77">
        <f>D30-C30</f>
        <v>-490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3928.5</v>
      </c>
      <c r="D31" s="80">
        <f>SUM(C8+C9)</f>
        <v>3068</v>
      </c>
      <c r="E31" s="81">
        <f>C31-D31</f>
        <v>860.5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dxfId="347" priority="11" operator="lessThan">
      <formula>0</formula>
    </cfRule>
    <cfRule type="cellIs" dxfId="346" priority="12" operator="greaterThan">
      <formula>0</formula>
    </cfRule>
  </conditionalFormatting>
  <conditionalFormatting sqref="S25:AD25">
    <cfRule type="cellIs" dxfId="345" priority="9" operator="lessThan">
      <formula>0</formula>
    </cfRule>
    <cfRule type="cellIs" dxfId="344" priority="10" operator="greaterThan">
      <formula>0</formula>
    </cfRule>
  </conditionalFormatting>
  <conditionalFormatting sqref="S26 U26 W26 Y26 AA26 AC26">
    <cfRule type="cellIs" dxfId="343" priority="7" operator="lessThan">
      <formula>0</formula>
    </cfRule>
    <cfRule type="cellIs" dxfId="342" priority="8" operator="greaterThan">
      <formula>0</formula>
    </cfRule>
  </conditionalFormatting>
  <conditionalFormatting sqref="AE24:AF24">
    <cfRule type="cellIs" dxfId="341" priority="5" operator="lessThan">
      <formula>0</formula>
    </cfRule>
    <cfRule type="cellIs" dxfId="340" priority="6" operator="greaterThan">
      <formula>0</formula>
    </cfRule>
  </conditionalFormatting>
  <conditionalFormatting sqref="AE25:AF25">
    <cfRule type="cellIs" dxfId="339" priority="3" operator="lessThan">
      <formula>0</formula>
    </cfRule>
    <cfRule type="cellIs" dxfId="338" priority="4" operator="greaterThan">
      <formula>0</formula>
    </cfRule>
  </conditionalFormatting>
  <conditionalFormatting sqref="AE26">
    <cfRule type="cellIs" dxfId="337" priority="1" operator="lessThan">
      <formula>0</formula>
    </cfRule>
    <cfRule type="cellIs" dxfId="336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>
    <tabColor theme="1"/>
    <pageSetUpPr fitToPage="1"/>
  </sheetPr>
  <dimension ref="B1:AR64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44490</v>
      </c>
    </row>
    <row r="3" spans="2:43" ht="18.75" customHeight="1" thickBot="1" x14ac:dyDescent="0.35">
      <c r="B3" t="s">
        <v>1</v>
      </c>
      <c r="C3" s="3">
        <f>C2+1</f>
        <v>44491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5930</v>
      </c>
      <c r="E6" s="18" t="s">
        <v>22</v>
      </c>
      <c r="F6" s="119">
        <v>20991.15</v>
      </c>
      <c r="G6" s="117">
        <v>8623.186499999998</v>
      </c>
      <c r="H6" s="117">
        <v>1358.901337</v>
      </c>
      <c r="I6" s="19">
        <f>G6+H6</f>
        <v>9982.0878369999973</v>
      </c>
      <c r="J6" s="119"/>
      <c r="K6" s="117"/>
      <c r="L6" s="117"/>
      <c r="M6" s="19">
        <f>K6+L6</f>
        <v>0</v>
      </c>
      <c r="N6" s="85">
        <v>55</v>
      </c>
      <c r="O6" s="85">
        <v>56</v>
      </c>
      <c r="P6" s="85">
        <v>45</v>
      </c>
      <c r="Q6" s="92"/>
      <c r="R6" s="20">
        <f>J6-Q6</f>
        <v>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1174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1956</v>
      </c>
      <c r="E8" s="29" t="s">
        <v>27</v>
      </c>
      <c r="F8" s="119">
        <v>3413.9</v>
      </c>
      <c r="G8" s="117">
        <v>3751.079233333332</v>
      </c>
      <c r="H8" s="117">
        <v>12862.797545882</v>
      </c>
      <c r="I8" s="19">
        <f>G8+H8</f>
        <v>16613.87677921533</v>
      </c>
      <c r="J8" s="119"/>
      <c r="K8" s="117"/>
      <c r="L8" s="117"/>
      <c r="M8" s="19">
        <f>K8+L8</f>
        <v>0</v>
      </c>
      <c r="N8" s="87">
        <v>25</v>
      </c>
      <c r="O8" s="87">
        <v>25</v>
      </c>
      <c r="P8" s="87">
        <v>21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1317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2515</v>
      </c>
      <c r="E10" s="18" t="s">
        <v>31</v>
      </c>
      <c r="F10" s="119">
        <v>18468.2</v>
      </c>
      <c r="G10" s="117">
        <v>12876.36875</v>
      </c>
      <c r="H10" s="117">
        <v>390.51109117499999</v>
      </c>
      <c r="I10" s="19">
        <f>G10+H10</f>
        <v>13266.879841174999</v>
      </c>
      <c r="J10" s="119"/>
      <c r="K10" s="117"/>
      <c r="L10" s="117"/>
      <c r="M10" s="19">
        <f>K10+L10</f>
        <v>0</v>
      </c>
      <c r="N10" s="88">
        <v>46</v>
      </c>
      <c r="O10" s="88">
        <v>54</v>
      </c>
      <c r="P10" s="88">
        <v>43</v>
      </c>
      <c r="Q10" s="92"/>
      <c r="R10" s="20">
        <f>J10-Q10</f>
        <v>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11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1570</v>
      </c>
      <c r="E12" s="29" t="s">
        <v>35</v>
      </c>
      <c r="F12" s="119">
        <v>22223.15</v>
      </c>
      <c r="G12" s="117">
        <v>10682.49625</v>
      </c>
      <c r="H12" s="117">
        <v>25023.483708046009</v>
      </c>
      <c r="I12" s="19">
        <f>G12+H12</f>
        <v>35705.979958046009</v>
      </c>
      <c r="J12" s="119"/>
      <c r="K12" s="117"/>
      <c r="L12" s="117"/>
      <c r="M12" s="19">
        <f>K12+L12</f>
        <v>0</v>
      </c>
      <c r="N12" s="88">
        <v>48</v>
      </c>
      <c r="O12" s="88">
        <v>56</v>
      </c>
      <c r="P12" s="88">
        <v>42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14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795</v>
      </c>
      <c r="E14" s="18" t="s">
        <v>39</v>
      </c>
      <c r="F14" s="119">
        <v>14509.75</v>
      </c>
      <c r="G14" s="117">
        <v>14935.703750000001</v>
      </c>
      <c r="H14" s="117">
        <v>20148.457843895001</v>
      </c>
      <c r="I14" s="19">
        <f>G14+H14</f>
        <v>35084.161593894998</v>
      </c>
      <c r="J14" s="119"/>
      <c r="K14" s="117"/>
      <c r="L14" s="117"/>
      <c r="M14" s="19">
        <f>K14+L14</f>
        <v>0</v>
      </c>
      <c r="N14" s="88">
        <v>64</v>
      </c>
      <c r="O14" s="88">
        <v>57</v>
      </c>
      <c r="P14" s="88">
        <v>55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230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/>
      <c r="E16" s="84"/>
      <c r="F16" s="31">
        <f t="shared" ref="F16:M16" si="0">SUM(F6:F15)</f>
        <v>79606.149999999994</v>
      </c>
      <c r="G16" s="31">
        <f t="shared" si="0"/>
        <v>50868.834483333325</v>
      </c>
      <c r="H16" s="31">
        <f t="shared" si="0"/>
        <v>59784.151525998008</v>
      </c>
      <c r="I16" s="32">
        <f t="shared" si="0"/>
        <v>110652.98600933133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238</v>
      </c>
      <c r="O16" s="31">
        <f>SUM(O14,O12,O10,O8,O6)</f>
        <v>248</v>
      </c>
      <c r="P16" s="31">
        <f>SUM(P14,P12,P10,P8,P6)</f>
        <v>206</v>
      </c>
      <c r="Q16" s="34">
        <f>SUM(Q6:Q15)</f>
        <v>0</v>
      </c>
      <c r="R16" s="34">
        <f>SUM(R6:R15)</f>
        <v>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42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/>
      <c r="P18" s="125">
        <f>P17/N16</f>
        <v>0.17647058823529413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12270.75</v>
      </c>
      <c r="D26" s="76">
        <f>C11</f>
        <v>0</v>
      </c>
      <c r="E26" s="77">
        <f>D26-C26</f>
        <v>-12270.75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37789.950000000012</v>
      </c>
      <c r="D27" s="76">
        <f>C7+C12+C13+C14+C15</f>
        <v>3769</v>
      </c>
      <c r="E27" s="77">
        <f>D27-C27</f>
        <v>-34020.950000000012</v>
      </c>
      <c r="P27" s="4"/>
      <c r="AG27" s="69"/>
    </row>
    <row r="28" spans="2:44" x14ac:dyDescent="0.3">
      <c r="B28" s="74" t="s">
        <v>21</v>
      </c>
      <c r="C28" s="122">
        <v>168</v>
      </c>
      <c r="D28" s="76">
        <f>C6</f>
        <v>5930</v>
      </c>
      <c r="E28" s="77">
        <f>D28-C28</f>
        <v>5762</v>
      </c>
      <c r="P28" s="4"/>
    </row>
    <row r="29" spans="2:44" x14ac:dyDescent="0.3">
      <c r="B29" s="74" t="s">
        <v>57</v>
      </c>
      <c r="C29" s="122">
        <v>2515</v>
      </c>
      <c r="D29" s="76">
        <f>C10</f>
        <v>2515</v>
      </c>
      <c r="E29" s="77">
        <f>D29-C29</f>
        <v>0</v>
      </c>
      <c r="P29" s="4"/>
    </row>
    <row r="30" spans="2:44" x14ac:dyDescent="0.3">
      <c r="B30" s="74" t="s">
        <v>59</v>
      </c>
      <c r="C30" s="122">
        <v>15823</v>
      </c>
      <c r="D30" s="76">
        <f>C16+C17+C18</f>
        <v>0</v>
      </c>
      <c r="E30" s="77">
        <f>D30-C30</f>
        <v>-15823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4183.5</v>
      </c>
      <c r="D31" s="80">
        <f>SUM(C8+C9)</f>
        <v>3273</v>
      </c>
      <c r="E31" s="81">
        <f>C31-D31</f>
        <v>910.5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335" priority="11" operator="lessThan">
      <formula>0</formula>
    </cfRule>
    <cfRule type="cellIs" dxfId="334" priority="12" operator="greaterThan">
      <formula>0</formula>
    </cfRule>
  </conditionalFormatting>
  <conditionalFormatting sqref="S25:AD25">
    <cfRule type="cellIs" dxfId="333" priority="9" operator="lessThan">
      <formula>0</formula>
    </cfRule>
    <cfRule type="cellIs" dxfId="332" priority="10" operator="greaterThan">
      <formula>0</formula>
    </cfRule>
  </conditionalFormatting>
  <conditionalFormatting sqref="S26 U26 W26 Y26 AA26 AC26">
    <cfRule type="cellIs" dxfId="331" priority="7" operator="lessThan">
      <formula>0</formula>
    </cfRule>
    <cfRule type="cellIs" dxfId="330" priority="8" operator="greaterThan">
      <formula>0</formula>
    </cfRule>
  </conditionalFormatting>
  <conditionalFormatting sqref="AE24:AF24">
    <cfRule type="cellIs" dxfId="329" priority="5" operator="lessThan">
      <formula>0</formula>
    </cfRule>
    <cfRule type="cellIs" dxfId="328" priority="6" operator="greaterThan">
      <formula>0</formula>
    </cfRule>
  </conditionalFormatting>
  <conditionalFormatting sqref="AE25:AF25">
    <cfRule type="cellIs" dxfId="327" priority="3" operator="lessThan">
      <formula>0</formula>
    </cfRule>
    <cfRule type="cellIs" dxfId="326" priority="4" operator="greaterThan">
      <formula>0</formula>
    </cfRule>
  </conditionalFormatting>
  <conditionalFormatting sqref="AE26">
    <cfRule type="cellIs" dxfId="325" priority="1" operator="lessThan">
      <formula>0</formula>
    </cfRule>
    <cfRule type="cellIs" dxfId="324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44491</v>
      </c>
    </row>
    <row r="3" spans="2:43" ht="18.75" customHeight="1" thickBot="1" x14ac:dyDescent="0.35">
      <c r="B3" t="s">
        <v>1</v>
      </c>
      <c r="C3" s="3">
        <f>C2+1</f>
        <v>44492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17741.5</v>
      </c>
      <c r="G6" s="117">
        <v>8241.9747499999976</v>
      </c>
      <c r="H6" s="117">
        <v>1616.718863285</v>
      </c>
      <c r="I6" s="19">
        <f>G6+H6</f>
        <v>9858.6936132849969</v>
      </c>
      <c r="J6" s="119">
        <v>18722</v>
      </c>
      <c r="K6" s="117">
        <v>10120.54925</v>
      </c>
      <c r="L6" s="117">
        <v>1337.3731407600001</v>
      </c>
      <c r="M6" s="19">
        <f>K6+L6</f>
        <v>11457.922390760001</v>
      </c>
      <c r="N6" s="85">
        <v>56</v>
      </c>
      <c r="O6" s="85">
        <v>52</v>
      </c>
      <c r="P6" s="85">
        <v>43</v>
      </c>
      <c r="Q6" s="92"/>
      <c r="R6" s="20">
        <f>J6-Q6</f>
        <v>18722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2210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1770</v>
      </c>
      <c r="E8" s="29" t="s">
        <v>27</v>
      </c>
      <c r="F8" s="119">
        <v>2423</v>
      </c>
      <c r="G8" s="117">
        <v>4154.825499999999</v>
      </c>
      <c r="H8" s="117">
        <v>9829.0578131700022</v>
      </c>
      <c r="I8" s="19">
        <f>G8+H8</f>
        <v>13983.883313170001</v>
      </c>
      <c r="J8" s="119">
        <v>4084</v>
      </c>
      <c r="K8" s="117">
        <v>5845.834499999999</v>
      </c>
      <c r="L8" s="117">
        <v>9977.9527980200073</v>
      </c>
      <c r="M8" s="19">
        <f>K8+L8</f>
        <v>15823.787298020006</v>
      </c>
      <c r="N8" s="87">
        <v>22</v>
      </c>
      <c r="O8" s="87">
        <v>20</v>
      </c>
      <c r="P8" s="87">
        <v>17</v>
      </c>
      <c r="Q8" s="92"/>
      <c r="R8" s="20">
        <f>J8-Q8</f>
        <v>4084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1014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3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5010</v>
      </c>
      <c r="E10" s="18" t="s">
        <v>31</v>
      </c>
      <c r="F10" s="119">
        <v>19495.5</v>
      </c>
      <c r="G10" s="117">
        <v>14734.125749999999</v>
      </c>
      <c r="H10" s="117">
        <v>319.51719157500003</v>
      </c>
      <c r="I10" s="19">
        <f>G10+H10</f>
        <v>15053.642941574999</v>
      </c>
      <c r="J10" s="119">
        <v>19641</v>
      </c>
      <c r="K10" s="117">
        <v>15584.787249999999</v>
      </c>
      <c r="L10" s="117">
        <v>315.80723130000001</v>
      </c>
      <c r="M10" s="19">
        <f>K10+L10</f>
        <v>15900.594481299999</v>
      </c>
      <c r="N10" s="88">
        <v>40</v>
      </c>
      <c r="O10" s="88">
        <v>41</v>
      </c>
      <c r="P10" s="88">
        <v>34</v>
      </c>
      <c r="Q10" s="92"/>
      <c r="R10" s="20">
        <f>J10-Q10</f>
        <v>19641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11310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2536</v>
      </c>
      <c r="E12" s="29" t="s">
        <v>35</v>
      </c>
      <c r="F12" s="119">
        <v>14070</v>
      </c>
      <c r="G12" s="117">
        <v>12389.63725</v>
      </c>
      <c r="H12" s="117">
        <v>17097.108361809998</v>
      </c>
      <c r="I12" s="19">
        <f>G12+H12</f>
        <v>29486.745611809998</v>
      </c>
      <c r="J12" s="119">
        <v>13495</v>
      </c>
      <c r="K12" s="117">
        <v>13068.501249999999</v>
      </c>
      <c r="L12" s="117">
        <v>16968.590595499991</v>
      </c>
      <c r="M12" s="19">
        <f>K12+L12</f>
        <v>30037.091845499992</v>
      </c>
      <c r="N12" s="88">
        <v>48</v>
      </c>
      <c r="O12" s="88">
        <v>45</v>
      </c>
      <c r="P12" s="88">
        <v>43</v>
      </c>
      <c r="Q12" s="92"/>
      <c r="R12" s="20">
        <f>J12-Q12</f>
        <v>13495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30512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1502</v>
      </c>
      <c r="E14" s="18" t="s">
        <v>39</v>
      </c>
      <c r="F14" s="119">
        <v>29816.5</v>
      </c>
      <c r="G14" s="117">
        <v>19258.404999999999</v>
      </c>
      <c r="H14" s="117">
        <v>33474.710817485007</v>
      </c>
      <c r="I14" s="19">
        <f>G14+H14</f>
        <v>52733.115817485006</v>
      </c>
      <c r="J14" s="119">
        <v>29546</v>
      </c>
      <c r="K14" s="117">
        <v>22456.968000000001</v>
      </c>
      <c r="L14" s="117">
        <v>33141.785191880022</v>
      </c>
      <c r="M14" s="19">
        <f>K14+L14</f>
        <v>55598.753191880023</v>
      </c>
      <c r="N14" s="88">
        <v>62</v>
      </c>
      <c r="O14" s="88">
        <v>58</v>
      </c>
      <c r="P14" s="88">
        <v>51</v>
      </c>
      <c r="Q14" s="92"/>
      <c r="R14" s="20">
        <f>J14-Q14</f>
        <v>29546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490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7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7623</v>
      </c>
      <c r="E16" s="84"/>
      <c r="F16" s="31">
        <f t="shared" ref="F16:M16" si="0">SUM(F6:F15)</f>
        <v>83546.5</v>
      </c>
      <c r="G16" s="31">
        <f t="shared" si="0"/>
        <v>58778.968249999991</v>
      </c>
      <c r="H16" s="31">
        <f t="shared" si="0"/>
        <v>62337.113047325009</v>
      </c>
      <c r="I16" s="32">
        <f t="shared" si="0"/>
        <v>121116.081297325</v>
      </c>
      <c r="J16" s="33">
        <f t="shared" si="0"/>
        <v>85488</v>
      </c>
      <c r="K16" s="33">
        <f t="shared" si="0"/>
        <v>67076.640249999997</v>
      </c>
      <c r="L16" s="33">
        <f t="shared" si="0"/>
        <v>61741.508957460021</v>
      </c>
      <c r="M16" s="33">
        <f t="shared" si="0"/>
        <v>128818.14920746002</v>
      </c>
      <c r="N16" s="31">
        <f>SUM(N14,N12,N10,N8,N6)</f>
        <v>228</v>
      </c>
      <c r="O16" s="31">
        <f>SUM(O14,O12,O10,O8,O6)</f>
        <v>216</v>
      </c>
      <c r="P16" s="31">
        <f>SUM(P14,P12,P10,P8,P6)</f>
        <v>188</v>
      </c>
      <c r="Q16" s="34">
        <f>SUM(Q6:Q15)</f>
        <v>0</v>
      </c>
      <c r="R16" s="34">
        <f>SUM(R6:R15)</f>
        <v>85488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1027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4047</v>
      </c>
      <c r="P18" s="125">
        <f>P17/N16</f>
        <v>0.12280701754385964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10775.75</v>
      </c>
      <c r="D26" s="76">
        <f>C11</f>
        <v>11310</v>
      </c>
      <c r="E26" s="77">
        <f>D26-C26</f>
        <v>534.25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38404</v>
      </c>
      <c r="D27" s="76">
        <f>C7+C12+C13+C14+C15</f>
        <v>37250</v>
      </c>
      <c r="E27" s="77">
        <f>D27-C27</f>
        <v>-1154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3">
      <c r="B29" s="74" t="s">
        <v>57</v>
      </c>
      <c r="C29" s="122">
        <v>5010</v>
      </c>
      <c r="D29" s="76">
        <f>C10</f>
        <v>5010</v>
      </c>
      <c r="E29" s="77">
        <f>D29-C29</f>
        <v>0</v>
      </c>
      <c r="P29" s="4"/>
    </row>
    <row r="30" spans="2:44" x14ac:dyDescent="0.3">
      <c r="B30" s="74" t="s">
        <v>59</v>
      </c>
      <c r="C30" s="122">
        <v>13269</v>
      </c>
      <c r="D30" s="76">
        <f>C16+C17+C18</f>
        <v>12697</v>
      </c>
      <c r="E30" s="77">
        <f>D30-C30</f>
        <v>-572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4386.75</v>
      </c>
      <c r="D31" s="80">
        <f>SUM(C8+C9)</f>
        <v>2784</v>
      </c>
      <c r="E31" s="81">
        <f>C31-D31</f>
        <v>1602.75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323" priority="11" operator="lessThan">
      <formula>0</formula>
    </cfRule>
    <cfRule type="cellIs" dxfId="322" priority="12" operator="greaterThan">
      <formula>0</formula>
    </cfRule>
  </conditionalFormatting>
  <conditionalFormatting sqref="S25:AD25">
    <cfRule type="cellIs" dxfId="321" priority="9" operator="lessThan">
      <formula>0</formula>
    </cfRule>
    <cfRule type="cellIs" dxfId="320" priority="10" operator="greaterThan">
      <formula>0</formula>
    </cfRule>
  </conditionalFormatting>
  <conditionalFormatting sqref="S26 U26 W26 Y26 AA26 AC26">
    <cfRule type="cellIs" dxfId="319" priority="7" operator="lessThan">
      <formula>0</formula>
    </cfRule>
    <cfRule type="cellIs" dxfId="318" priority="8" operator="greaterThan">
      <formula>0</formula>
    </cfRule>
  </conditionalFormatting>
  <conditionalFormatting sqref="AE24:AF24">
    <cfRule type="cellIs" dxfId="317" priority="5" operator="lessThan">
      <formula>0</formula>
    </cfRule>
    <cfRule type="cellIs" dxfId="316" priority="6" operator="greaterThan">
      <formula>0</formula>
    </cfRule>
  </conditionalFormatting>
  <conditionalFormatting sqref="AE25:AF25">
    <cfRule type="cellIs" dxfId="315" priority="3" operator="lessThan">
      <formula>0</formula>
    </cfRule>
    <cfRule type="cellIs" dxfId="314" priority="4" operator="greaterThan">
      <formula>0</formula>
    </cfRule>
  </conditionalFormatting>
  <conditionalFormatting sqref="AE26">
    <cfRule type="cellIs" dxfId="313" priority="1" operator="lessThan">
      <formula>0</formula>
    </cfRule>
    <cfRule type="cellIs" dxfId="312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44492</v>
      </c>
    </row>
    <row r="3" spans="2:43" ht="18.75" customHeight="1" thickBot="1" x14ac:dyDescent="0.35">
      <c r="B3" t="s">
        <v>1</v>
      </c>
      <c r="C3" s="3">
        <f>C2+1</f>
        <v>44493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2548</v>
      </c>
      <c r="E6" s="18" t="s">
        <v>22</v>
      </c>
      <c r="F6" s="119">
        <v>21172</v>
      </c>
      <c r="G6" s="117">
        <v>8929.2832500000004</v>
      </c>
      <c r="H6" s="117">
        <v>1920.27971198</v>
      </c>
      <c r="I6" s="19">
        <f>G6+H6</f>
        <v>10849.56296198</v>
      </c>
      <c r="J6" s="119">
        <v>22800</v>
      </c>
      <c r="K6" s="117">
        <v>11452.69925</v>
      </c>
      <c r="L6" s="117">
        <v>1768.4696811599999</v>
      </c>
      <c r="M6" s="19">
        <f>K6+L6</f>
        <v>13221.16893116</v>
      </c>
      <c r="N6" s="85">
        <v>72</v>
      </c>
      <c r="O6" s="85">
        <v>65</v>
      </c>
      <c r="P6" s="85">
        <v>56</v>
      </c>
      <c r="Q6" s="92"/>
      <c r="R6" s="20">
        <f>J6-Q6</f>
        <v>22800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961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2159</v>
      </c>
      <c r="E8" s="29" t="s">
        <v>27</v>
      </c>
      <c r="F8" s="119">
        <v>3418</v>
      </c>
      <c r="G8" s="117">
        <v>3852.6729333333342</v>
      </c>
      <c r="H8" s="117">
        <v>9759.9715263199978</v>
      </c>
      <c r="I8" s="19">
        <f>G8+H8</f>
        <v>13612.644459653333</v>
      </c>
      <c r="J8" s="119">
        <v>4153</v>
      </c>
      <c r="K8" s="117">
        <v>4847.8609333333316</v>
      </c>
      <c r="L8" s="117">
        <v>9612.8666169599946</v>
      </c>
      <c r="M8" s="19">
        <f>K8+L8</f>
        <v>14460.727550293326</v>
      </c>
      <c r="N8" s="87">
        <v>29</v>
      </c>
      <c r="O8" s="87">
        <v>29</v>
      </c>
      <c r="P8" s="87">
        <v>25</v>
      </c>
      <c r="Q8" s="92"/>
      <c r="R8" s="20">
        <f>J8-Q8</f>
        <v>4153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3944</v>
      </c>
      <c r="E10" s="18" t="s">
        <v>31</v>
      </c>
      <c r="F10" s="119">
        <v>16755</v>
      </c>
      <c r="G10" s="117">
        <v>11712.152</v>
      </c>
      <c r="H10" s="117">
        <v>393.65498580000002</v>
      </c>
      <c r="I10" s="19">
        <f>G10+H10</f>
        <v>12105.8069858</v>
      </c>
      <c r="J10" s="119">
        <v>17834</v>
      </c>
      <c r="K10" s="117">
        <v>12921.69225</v>
      </c>
      <c r="L10" s="117">
        <v>408.0113672</v>
      </c>
      <c r="M10" s="19">
        <f>K10+L10</f>
        <v>13329.703617200001</v>
      </c>
      <c r="N10" s="88">
        <v>50</v>
      </c>
      <c r="O10" s="88">
        <v>50</v>
      </c>
      <c r="P10" s="88">
        <v>38</v>
      </c>
      <c r="Q10" s="92"/>
      <c r="R10" s="20">
        <f>J10-Q10</f>
        <v>17834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8193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1348</v>
      </c>
      <c r="E12" s="29" t="s">
        <v>35</v>
      </c>
      <c r="F12" s="119">
        <v>14081</v>
      </c>
      <c r="G12" s="117">
        <v>12364.57475</v>
      </c>
      <c r="H12" s="117">
        <v>17090.47458197</v>
      </c>
      <c r="I12" s="19">
        <f>G12+H12</f>
        <v>29455.04933197</v>
      </c>
      <c r="J12" s="119">
        <v>13921</v>
      </c>
      <c r="K12" s="117">
        <v>13509.21825</v>
      </c>
      <c r="L12" s="117">
        <v>17070.804529649999</v>
      </c>
      <c r="M12" s="19">
        <f>K12+L12</f>
        <v>30580.022779649997</v>
      </c>
      <c r="N12" s="88">
        <v>54</v>
      </c>
      <c r="O12" s="88">
        <v>51</v>
      </c>
      <c r="P12" s="88">
        <v>49</v>
      </c>
      <c r="Q12" s="92"/>
      <c r="R12" s="20">
        <f>J12-Q12</f>
        <v>13921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35462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662</v>
      </c>
      <c r="E14" s="18" t="s">
        <v>39</v>
      </c>
      <c r="F14" s="119">
        <v>21408</v>
      </c>
      <c r="G14" s="117">
        <v>17129.678749999999</v>
      </c>
      <c r="H14" s="117">
        <v>25687.559664859989</v>
      </c>
      <c r="I14" s="19">
        <f>G14+H14</f>
        <v>42817.238414859989</v>
      </c>
      <c r="J14" s="119">
        <v>25756</v>
      </c>
      <c r="K14" s="117">
        <v>20843.128250000002</v>
      </c>
      <c r="L14" s="117">
        <v>30160.68079192</v>
      </c>
      <c r="M14" s="19">
        <f>K14+L14</f>
        <v>51003.809041920002</v>
      </c>
      <c r="N14" s="88">
        <v>72</v>
      </c>
      <c r="O14" s="88">
        <v>66</v>
      </c>
      <c r="P14" s="88">
        <v>60</v>
      </c>
      <c r="Q14" s="92"/>
      <c r="R14" s="20">
        <f>J14-Q14</f>
        <v>25756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212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6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10190</v>
      </c>
      <c r="E16" s="84"/>
      <c r="F16" s="31">
        <f t="shared" ref="F16:M16" si="0">SUM(F6:F15)</f>
        <v>76834</v>
      </c>
      <c r="G16" s="31">
        <f t="shared" si="0"/>
        <v>53988.361683333336</v>
      </c>
      <c r="H16" s="31">
        <f t="shared" si="0"/>
        <v>54851.940470929985</v>
      </c>
      <c r="I16" s="32">
        <f t="shared" si="0"/>
        <v>108840.30215426334</v>
      </c>
      <c r="J16" s="33">
        <f t="shared" si="0"/>
        <v>84464</v>
      </c>
      <c r="K16" s="33">
        <f t="shared" si="0"/>
        <v>63574.598933333335</v>
      </c>
      <c r="L16" s="33">
        <f t="shared" si="0"/>
        <v>59020.832986889996</v>
      </c>
      <c r="M16" s="33">
        <f t="shared" si="0"/>
        <v>122595.43192022332</v>
      </c>
      <c r="N16" s="31">
        <f>SUM(N14,N12,N10,N8,N6)</f>
        <v>277</v>
      </c>
      <c r="O16" s="31">
        <f>SUM(O14,O12,O10,O8,O6)</f>
        <v>261</v>
      </c>
      <c r="P16" s="31">
        <f>SUM(P14,P12,P10,P8,P6)</f>
        <v>228</v>
      </c>
      <c r="Q16" s="34">
        <f>SUM(Q6:Q15)</f>
        <v>0</v>
      </c>
      <c r="R16" s="34">
        <f>SUM(R6:R15)</f>
        <v>84464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2007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33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4719</v>
      </c>
      <c r="P18" s="125">
        <f>P17/N16</f>
        <v>0.11913357400722022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8639</v>
      </c>
      <c r="D26" s="76">
        <f>C11</f>
        <v>8193</v>
      </c>
      <c r="E26" s="77">
        <f>D26-C26</f>
        <v>-446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37022</v>
      </c>
      <c r="D27" s="76">
        <f>C7+C12+C13+C14+C15</f>
        <v>38645</v>
      </c>
      <c r="E27" s="77">
        <f>D27-C27</f>
        <v>1623</v>
      </c>
      <c r="P27" s="4"/>
      <c r="AG27" s="69"/>
    </row>
    <row r="28" spans="2:44" x14ac:dyDescent="0.3">
      <c r="B28" s="74" t="s">
        <v>21</v>
      </c>
      <c r="C28" s="122">
        <v>72</v>
      </c>
      <c r="D28" s="76">
        <f>C6</f>
        <v>2548</v>
      </c>
      <c r="E28" s="77">
        <f>D28-C28</f>
        <v>2476</v>
      </c>
      <c r="P28" s="4"/>
    </row>
    <row r="29" spans="2:44" x14ac:dyDescent="0.3">
      <c r="B29" s="74" t="s">
        <v>57</v>
      </c>
      <c r="C29" s="122">
        <v>3944</v>
      </c>
      <c r="D29" s="76">
        <f>C10</f>
        <v>3944</v>
      </c>
      <c r="E29" s="77">
        <f>D29-C29</f>
        <v>0</v>
      </c>
      <c r="P29" s="4"/>
    </row>
    <row r="30" spans="2:44" x14ac:dyDescent="0.3">
      <c r="B30" s="74" t="s">
        <v>59</v>
      </c>
      <c r="C30" s="122">
        <v>15869</v>
      </c>
      <c r="D30" s="76">
        <f>C16+C17+C18</f>
        <v>16916</v>
      </c>
      <c r="E30" s="77">
        <f>D30-C30</f>
        <v>1047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3929</v>
      </c>
      <c r="D31" s="80">
        <f>SUM(C8+C9)</f>
        <v>3312</v>
      </c>
      <c r="E31" s="81">
        <f>C31-D31</f>
        <v>617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311" priority="11" operator="lessThan">
      <formula>0</formula>
    </cfRule>
    <cfRule type="cellIs" dxfId="310" priority="12" operator="greaterThan">
      <formula>0</formula>
    </cfRule>
  </conditionalFormatting>
  <conditionalFormatting sqref="S25:AD25">
    <cfRule type="cellIs" dxfId="309" priority="9" operator="lessThan">
      <formula>0</formula>
    </cfRule>
    <cfRule type="cellIs" dxfId="308" priority="10" operator="greaterThan">
      <formula>0</formula>
    </cfRule>
  </conditionalFormatting>
  <conditionalFormatting sqref="S26 U26 W26 Y26 AA26 AC26">
    <cfRule type="cellIs" dxfId="307" priority="7" operator="lessThan">
      <formula>0</formula>
    </cfRule>
    <cfRule type="cellIs" dxfId="306" priority="8" operator="greaterThan">
      <formula>0</formula>
    </cfRule>
  </conditionalFormatting>
  <conditionalFormatting sqref="AE24:AF24">
    <cfRule type="cellIs" dxfId="305" priority="5" operator="lessThan">
      <formula>0</formula>
    </cfRule>
    <cfRule type="cellIs" dxfId="304" priority="6" operator="greaterThan">
      <formula>0</formula>
    </cfRule>
  </conditionalFormatting>
  <conditionalFormatting sqref="AE25:AF25">
    <cfRule type="cellIs" dxfId="303" priority="3" operator="lessThan">
      <formula>0</formula>
    </cfRule>
    <cfRule type="cellIs" dxfId="302" priority="4" operator="greaterThan">
      <formula>0</formula>
    </cfRule>
  </conditionalFormatting>
  <conditionalFormatting sqref="AE26">
    <cfRule type="cellIs" dxfId="301" priority="1" operator="lessThan">
      <formula>0</formula>
    </cfRule>
    <cfRule type="cellIs" dxfId="300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44493</v>
      </c>
    </row>
    <row r="3" spans="2:43" ht="18.75" customHeight="1" thickBot="1" x14ac:dyDescent="0.35">
      <c r="B3" t="s">
        <v>1</v>
      </c>
      <c r="C3" s="3">
        <f>C2+1</f>
        <v>44494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2548</v>
      </c>
      <c r="E6" s="18" t="s">
        <v>22</v>
      </c>
      <c r="F6" s="119">
        <v>8700</v>
      </c>
      <c r="G6" s="117">
        <v>9312.398000000001</v>
      </c>
      <c r="H6" s="117">
        <v>739.78043750000006</v>
      </c>
      <c r="I6" s="19">
        <f>G6+H6</f>
        <v>10052.178437500001</v>
      </c>
      <c r="J6" s="119">
        <v>2205</v>
      </c>
      <c r="K6" s="117">
        <v>673.57949999999994</v>
      </c>
      <c r="L6" s="117">
        <v>36.812053499999998</v>
      </c>
      <c r="M6" s="19">
        <f>K6+L6</f>
        <v>710.39155349999999</v>
      </c>
      <c r="N6" s="85">
        <v>56</v>
      </c>
      <c r="O6" s="85">
        <v>64</v>
      </c>
      <c r="P6" s="85">
        <v>39</v>
      </c>
      <c r="Q6" s="92"/>
      <c r="R6" s="20">
        <f>J6-Q6</f>
        <v>2205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484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25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/>
      <c r="E8" s="29" t="s">
        <v>27</v>
      </c>
      <c r="F8" s="119">
        <v>1096</v>
      </c>
      <c r="G8" s="117">
        <v>3918.513433333334</v>
      </c>
      <c r="H8" s="117">
        <v>763.90076650000003</v>
      </c>
      <c r="I8" s="19">
        <f>G8+H8</f>
        <v>4682.4141998333344</v>
      </c>
      <c r="J8" s="119">
        <v>1689</v>
      </c>
      <c r="K8" s="117">
        <v>537.33293333333336</v>
      </c>
      <c r="L8" s="117">
        <v>1199.5840413200001</v>
      </c>
      <c r="M8" s="19">
        <f>K8+L8</f>
        <v>1736.9169746533335</v>
      </c>
      <c r="N8" s="87">
        <v>0</v>
      </c>
      <c r="O8" s="87">
        <v>37</v>
      </c>
      <c r="P8" s="87">
        <v>0</v>
      </c>
      <c r="Q8" s="92"/>
      <c r="R8" s="20">
        <f>J8-Q8</f>
        <v>1689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/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37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3893</v>
      </c>
      <c r="E10" s="18" t="s">
        <v>31</v>
      </c>
      <c r="F10" s="119">
        <v>5675</v>
      </c>
      <c r="G10" s="117">
        <v>7229.9252499999984</v>
      </c>
      <c r="H10" s="117">
        <v>350.91052500000001</v>
      </c>
      <c r="I10" s="19">
        <f>G10+H10</f>
        <v>7580.8357749999986</v>
      </c>
      <c r="J10" s="119">
        <v>1487</v>
      </c>
      <c r="K10" s="117">
        <v>454.49974999999989</v>
      </c>
      <c r="L10" s="117">
        <v>4.6182824999999994</v>
      </c>
      <c r="M10" s="19">
        <f>K10+L10</f>
        <v>459.11803249999991</v>
      </c>
      <c r="N10" s="88">
        <v>0</v>
      </c>
      <c r="O10" s="88">
        <v>52</v>
      </c>
      <c r="P10" s="88">
        <v>0</v>
      </c>
      <c r="Q10" s="92"/>
      <c r="R10" s="20">
        <f>J10-Q10</f>
        <v>1487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0</v>
      </c>
      <c r="G12" s="117">
        <v>11564.423000000001</v>
      </c>
      <c r="H12" s="117">
        <v>137.811655</v>
      </c>
      <c r="I12" s="19">
        <f>G12+H12</f>
        <v>11702.234655</v>
      </c>
      <c r="J12" s="119">
        <v>2148</v>
      </c>
      <c r="K12" s="117">
        <v>1352.8587500000001</v>
      </c>
      <c r="L12" s="117">
        <v>1396.7154250999999</v>
      </c>
      <c r="M12" s="19">
        <f>K12+L12</f>
        <v>2749.5741751</v>
      </c>
      <c r="N12" s="88">
        <v>1</v>
      </c>
      <c r="O12" s="88">
        <v>63</v>
      </c>
      <c r="P12" s="88">
        <v>0</v>
      </c>
      <c r="Q12" s="92"/>
      <c r="R12" s="20">
        <f>J12-Q12</f>
        <v>2148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63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0</v>
      </c>
      <c r="G14" s="117">
        <v>18286.208750000002</v>
      </c>
      <c r="H14" s="117">
        <v>0</v>
      </c>
      <c r="I14" s="19">
        <f>G14+H14</f>
        <v>18286.208750000002</v>
      </c>
      <c r="J14" s="119">
        <v>13560</v>
      </c>
      <c r="K14" s="117">
        <v>5102.4404999999997</v>
      </c>
      <c r="L14" s="117">
        <v>14082.934535279999</v>
      </c>
      <c r="M14" s="19">
        <f>K14+L14</f>
        <v>19185.375035279998</v>
      </c>
      <c r="N14" s="88">
        <v>3</v>
      </c>
      <c r="O14" s="88">
        <v>75</v>
      </c>
      <c r="P14" s="88">
        <v>0</v>
      </c>
      <c r="Q14" s="92"/>
      <c r="R14" s="20">
        <f>J14-Q14</f>
        <v>13560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75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/>
      <c r="E16" s="84"/>
      <c r="F16" s="31">
        <f t="shared" ref="F16:M16" si="0">SUM(F6:F15)</f>
        <v>15471</v>
      </c>
      <c r="G16" s="31">
        <f t="shared" si="0"/>
        <v>50311.468433333343</v>
      </c>
      <c r="H16" s="31">
        <f t="shared" si="0"/>
        <v>1992.403384</v>
      </c>
      <c r="I16" s="32">
        <f t="shared" si="0"/>
        <v>52303.871817333333</v>
      </c>
      <c r="J16" s="33">
        <f t="shared" si="0"/>
        <v>21089</v>
      </c>
      <c r="K16" s="33">
        <f t="shared" si="0"/>
        <v>8120.7114333333329</v>
      </c>
      <c r="L16" s="33">
        <f t="shared" si="0"/>
        <v>16720.6643377</v>
      </c>
      <c r="M16" s="33">
        <f t="shared" si="0"/>
        <v>24841.37577103333</v>
      </c>
      <c r="N16" s="31">
        <f>SUM(N14,N12,N10,N8,N6)</f>
        <v>60</v>
      </c>
      <c r="O16" s="31">
        <f>SUM(O14,O12,O10,O8,O6)</f>
        <v>291</v>
      </c>
      <c r="P16" s="31">
        <f>SUM(P14,P12,P10,P8,P6)</f>
        <v>39</v>
      </c>
      <c r="Q16" s="34">
        <f>SUM(Q6:Q15)</f>
        <v>0</v>
      </c>
      <c r="R16" s="34">
        <f>SUM(R6:R15)</f>
        <v>21089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252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/>
      <c r="P18" s="125">
        <f>P17/N16</f>
        <v>4.2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0</v>
      </c>
      <c r="D26" s="76">
        <f>C11</f>
        <v>0</v>
      </c>
      <c r="E26" s="77">
        <f>D26-C26</f>
        <v>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0</v>
      </c>
      <c r="D27" s="76">
        <f>C7+C12+C13+C14+C15</f>
        <v>484</v>
      </c>
      <c r="E27" s="77">
        <f>D27-C27</f>
        <v>484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2548</v>
      </c>
      <c r="E28" s="77">
        <f>D28-C28</f>
        <v>2548</v>
      </c>
      <c r="P28" s="4"/>
    </row>
    <row r="29" spans="2:44" x14ac:dyDescent="0.3">
      <c r="B29" s="74" t="s">
        <v>57</v>
      </c>
      <c r="C29" s="122">
        <v>0</v>
      </c>
      <c r="D29" s="76">
        <f>C10</f>
        <v>3893</v>
      </c>
      <c r="E29" s="77">
        <f>D29-C29</f>
        <v>3893</v>
      </c>
      <c r="P29" s="4"/>
    </row>
    <row r="30" spans="2:44" x14ac:dyDescent="0.3">
      <c r="B30" s="74" t="s">
        <v>59</v>
      </c>
      <c r="C30" s="122">
        <v>15066</v>
      </c>
      <c r="D30" s="76">
        <f>C16+C17+C18</f>
        <v>0</v>
      </c>
      <c r="E30" s="77">
        <f>D30-C30</f>
        <v>-15066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99" priority="11" operator="lessThan">
      <formula>0</formula>
    </cfRule>
    <cfRule type="cellIs" dxfId="298" priority="12" operator="greaterThan">
      <formula>0</formula>
    </cfRule>
  </conditionalFormatting>
  <conditionalFormatting sqref="S25:AD25">
    <cfRule type="cellIs" dxfId="297" priority="9" operator="lessThan">
      <formula>0</formula>
    </cfRule>
    <cfRule type="cellIs" dxfId="296" priority="10" operator="greaterThan">
      <formula>0</formula>
    </cfRule>
  </conditionalFormatting>
  <conditionalFormatting sqref="S26 U26 W26 Y26 AA26 AC26">
    <cfRule type="cellIs" dxfId="295" priority="7" operator="lessThan">
      <formula>0</formula>
    </cfRule>
    <cfRule type="cellIs" dxfId="294" priority="8" operator="greaterThan">
      <formula>0</formula>
    </cfRule>
  </conditionalFormatting>
  <conditionalFormatting sqref="AE24:AF24">
    <cfRule type="cellIs" dxfId="293" priority="5" operator="lessThan">
      <formula>0</formula>
    </cfRule>
    <cfRule type="cellIs" dxfId="292" priority="6" operator="greaterThan">
      <formula>0</formula>
    </cfRule>
  </conditionalFormatting>
  <conditionalFormatting sqref="AE25:AF25">
    <cfRule type="cellIs" dxfId="291" priority="3" operator="lessThan">
      <formula>0</formula>
    </cfRule>
    <cfRule type="cellIs" dxfId="290" priority="4" operator="greaterThan">
      <formula>0</formula>
    </cfRule>
  </conditionalFormatting>
  <conditionalFormatting sqref="AE26">
    <cfRule type="cellIs" dxfId="289" priority="1" operator="lessThan">
      <formula>0</formula>
    </cfRule>
    <cfRule type="cellIs" dxfId="288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44494</v>
      </c>
    </row>
    <row r="3" spans="2:43" ht="18.75" customHeight="1" thickBot="1" x14ac:dyDescent="0.35">
      <c r="B3" t="s">
        <v>1</v>
      </c>
      <c r="C3" s="3">
        <f>C2+1</f>
        <v>44495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2448</v>
      </c>
      <c r="E6" s="18" t="s">
        <v>22</v>
      </c>
      <c r="F6" s="119">
        <v>18597</v>
      </c>
      <c r="G6" s="117">
        <v>9453.4604999999992</v>
      </c>
      <c r="H6" s="117">
        <v>1441.5488574999999</v>
      </c>
      <c r="I6" s="19">
        <f>G6+H6</f>
        <v>10895.009357499999</v>
      </c>
      <c r="J6" s="119">
        <v>20536</v>
      </c>
      <c r="K6" s="117">
        <v>9696.5602499999968</v>
      </c>
      <c r="L6" s="117">
        <v>1479.1161311000001</v>
      </c>
      <c r="M6" s="19">
        <f>K6+L6</f>
        <v>11175.676381099996</v>
      </c>
      <c r="N6" s="85">
        <v>52</v>
      </c>
      <c r="O6" s="85">
        <v>50</v>
      </c>
      <c r="P6" s="85">
        <v>41</v>
      </c>
      <c r="Q6" s="92"/>
      <c r="R6" s="20">
        <f>J6-Q6</f>
        <v>20536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1767</v>
      </c>
      <c r="E8" s="29" t="s">
        <v>27</v>
      </c>
      <c r="F8" s="119">
        <v>2266</v>
      </c>
      <c r="G8" s="117">
        <v>3755.743633333333</v>
      </c>
      <c r="H8" s="117">
        <v>9039.4506837399967</v>
      </c>
      <c r="I8" s="19">
        <f>G8+H8</f>
        <v>12795.19431707333</v>
      </c>
      <c r="J8" s="119">
        <v>2746</v>
      </c>
      <c r="K8" s="117">
        <v>3977.5326333333328</v>
      </c>
      <c r="L8" s="117">
        <v>9285.8580423599997</v>
      </c>
      <c r="M8" s="19">
        <f>K8+L8</f>
        <v>13263.390675693332</v>
      </c>
      <c r="N8" s="87">
        <v>27</v>
      </c>
      <c r="O8" s="87">
        <v>29</v>
      </c>
      <c r="P8" s="87">
        <v>21</v>
      </c>
      <c r="Q8" s="92"/>
      <c r="R8" s="20">
        <f>J8-Q8</f>
        <v>2746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1094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8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2386</v>
      </c>
      <c r="E10" s="18" t="s">
        <v>31</v>
      </c>
      <c r="F10" s="119">
        <v>18919</v>
      </c>
      <c r="G10" s="117">
        <v>14489.7785</v>
      </c>
      <c r="H10" s="117">
        <v>406.18560250000002</v>
      </c>
      <c r="I10" s="19">
        <f>G10+H10</f>
        <v>14895.9641025</v>
      </c>
      <c r="J10" s="119">
        <v>20382</v>
      </c>
      <c r="K10" s="117">
        <v>14733.145500000001</v>
      </c>
      <c r="L10" s="117">
        <v>421.68937790000001</v>
      </c>
      <c r="M10" s="19">
        <f>K10+L10</f>
        <v>15154.834877900001</v>
      </c>
      <c r="N10" s="88">
        <v>42</v>
      </c>
      <c r="O10" s="88">
        <v>42</v>
      </c>
      <c r="P10" s="88">
        <v>38</v>
      </c>
      <c r="Q10" s="92"/>
      <c r="R10" s="20">
        <f>J10-Q10</f>
        <v>20382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11238</v>
      </c>
      <c r="G12" s="117">
        <v>10824.9295</v>
      </c>
      <c r="H12" s="117">
        <v>13889.021085050001</v>
      </c>
      <c r="I12" s="19">
        <f>G12+H12</f>
        <v>24713.950585049999</v>
      </c>
      <c r="J12" s="119">
        <v>11723</v>
      </c>
      <c r="K12" s="117">
        <v>10961.69325</v>
      </c>
      <c r="L12" s="117">
        <v>14224.349057470001</v>
      </c>
      <c r="M12" s="19">
        <f>K12+L12</f>
        <v>25186.042307470001</v>
      </c>
      <c r="N12" s="88">
        <v>57</v>
      </c>
      <c r="O12" s="88">
        <v>57</v>
      </c>
      <c r="P12" s="88">
        <v>46</v>
      </c>
      <c r="Q12" s="92"/>
      <c r="R12" s="20">
        <f>J12-Q12</f>
        <v>11723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9193+14366</f>
        <v>23559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11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19475</v>
      </c>
      <c r="G14" s="117">
        <v>16363.728999999999</v>
      </c>
      <c r="H14" s="117">
        <v>24481.226770860008</v>
      </c>
      <c r="I14" s="19">
        <f>G14+H14</f>
        <v>40844.955770860004</v>
      </c>
      <c r="J14" s="119">
        <v>18775</v>
      </c>
      <c r="K14" s="117">
        <v>16305.05825</v>
      </c>
      <c r="L14" s="117">
        <v>23502.13807018003</v>
      </c>
      <c r="M14" s="19">
        <f>K14+L14</f>
        <v>39807.196320180032</v>
      </c>
      <c r="N14" s="88">
        <v>75</v>
      </c>
      <c r="O14" s="88">
        <v>74</v>
      </c>
      <c r="P14" s="88">
        <v>60</v>
      </c>
      <c r="Q14" s="92"/>
      <c r="R14" s="20">
        <f>J14-Q14</f>
        <v>18775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10911</v>
      </c>
      <c r="E16" s="84"/>
      <c r="F16" s="31">
        <f t="shared" ref="F16:M16" si="0">SUM(F6:F15)</f>
        <v>70495</v>
      </c>
      <c r="G16" s="31">
        <f t="shared" si="0"/>
        <v>54887.641133333331</v>
      </c>
      <c r="H16" s="31">
        <f t="shared" si="0"/>
        <v>49257.432999650002</v>
      </c>
      <c r="I16" s="32">
        <f t="shared" si="0"/>
        <v>104145.07413298334</v>
      </c>
      <c r="J16" s="33">
        <f t="shared" si="0"/>
        <v>74162</v>
      </c>
      <c r="K16" s="33">
        <f t="shared" si="0"/>
        <v>55673.989883333328</v>
      </c>
      <c r="L16" s="33">
        <f t="shared" si="0"/>
        <v>48913.150679010032</v>
      </c>
      <c r="M16" s="33">
        <f t="shared" si="0"/>
        <v>104587.14056234335</v>
      </c>
      <c r="N16" s="31">
        <f>SUM(N14,N12,N10,N8,N6)</f>
        <v>253</v>
      </c>
      <c r="O16" s="31">
        <f>SUM(O14,O12,O10,O8,O6)</f>
        <v>252</v>
      </c>
      <c r="P16" s="31">
        <f>SUM(P14,P12,P10,P8,P6)</f>
        <v>206</v>
      </c>
      <c r="Q16" s="34">
        <f>SUM(Q6:Q15)</f>
        <v>0</v>
      </c>
      <c r="R16" s="34">
        <f>SUM(R6:R15)</f>
        <v>74162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1956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46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4717</v>
      </c>
      <c r="P18" s="125">
        <f>P17/N16</f>
        <v>0.18181818181818182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9873</v>
      </c>
      <c r="D26" s="76">
        <f>C11</f>
        <v>0</v>
      </c>
      <c r="E26" s="77">
        <f>D26-C26</f>
        <v>-9873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32498</v>
      </c>
      <c r="D27" s="76">
        <f>C7+C12+C13+C14+C15</f>
        <v>23559</v>
      </c>
      <c r="E27" s="77">
        <f>D27-C27</f>
        <v>-8939</v>
      </c>
      <c r="P27" s="4"/>
      <c r="AG27" s="69"/>
    </row>
    <row r="28" spans="2:44" x14ac:dyDescent="0.3">
      <c r="B28" s="74" t="s">
        <v>21</v>
      </c>
      <c r="C28" s="122">
        <v>68</v>
      </c>
      <c r="D28" s="76">
        <f>C6</f>
        <v>2448</v>
      </c>
      <c r="E28" s="77">
        <f>D28-C28</f>
        <v>2380</v>
      </c>
      <c r="P28" s="4"/>
    </row>
    <row r="29" spans="2:44" x14ac:dyDescent="0.3">
      <c r="B29" s="74" t="s">
        <v>57</v>
      </c>
      <c r="C29" s="122">
        <v>2386</v>
      </c>
      <c r="D29" s="76">
        <f>C10</f>
        <v>2386</v>
      </c>
      <c r="E29" s="77">
        <f>D29-C29</f>
        <v>0</v>
      </c>
      <c r="P29" s="4"/>
    </row>
    <row r="30" spans="2:44" x14ac:dyDescent="0.3">
      <c r="B30" s="74" t="s">
        <v>59</v>
      </c>
      <c r="C30" s="122">
        <v>16457</v>
      </c>
      <c r="D30" s="76">
        <f>C16+C17+C18</f>
        <v>17584</v>
      </c>
      <c r="E30" s="77">
        <f>D30-C30</f>
        <v>1127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2861</v>
      </c>
      <c r="D31" s="80">
        <f>SUM(C8+C9)</f>
        <v>2861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87" priority="11" operator="lessThan">
      <formula>0</formula>
    </cfRule>
    <cfRule type="cellIs" dxfId="286" priority="12" operator="greaterThan">
      <formula>0</formula>
    </cfRule>
  </conditionalFormatting>
  <conditionalFormatting sqref="S25:AD25">
    <cfRule type="cellIs" dxfId="285" priority="9" operator="lessThan">
      <formula>0</formula>
    </cfRule>
    <cfRule type="cellIs" dxfId="284" priority="10" operator="greaterThan">
      <formula>0</formula>
    </cfRule>
  </conditionalFormatting>
  <conditionalFormatting sqref="S26 U26 W26 Y26 AA26 AC26">
    <cfRule type="cellIs" dxfId="283" priority="7" operator="lessThan">
      <formula>0</formula>
    </cfRule>
    <cfRule type="cellIs" dxfId="282" priority="8" operator="greaterThan">
      <formula>0</formula>
    </cfRule>
  </conditionalFormatting>
  <conditionalFormatting sqref="AE24:AF24">
    <cfRule type="cellIs" dxfId="281" priority="5" operator="lessThan">
      <formula>0</formula>
    </cfRule>
    <cfRule type="cellIs" dxfId="280" priority="6" operator="greaterThan">
      <formula>0</formula>
    </cfRule>
  </conditionalFormatting>
  <conditionalFormatting sqref="AE25:AF25">
    <cfRule type="cellIs" dxfId="279" priority="3" operator="lessThan">
      <formula>0</formula>
    </cfRule>
    <cfRule type="cellIs" dxfId="278" priority="4" operator="greaterThan">
      <formula>0</formula>
    </cfRule>
  </conditionalFormatting>
  <conditionalFormatting sqref="AE26">
    <cfRule type="cellIs" dxfId="277" priority="1" operator="lessThan">
      <formula>0</formula>
    </cfRule>
    <cfRule type="cellIs" dxfId="276" priority="2" operator="greaterThan">
      <formula>0</formula>
    </cfRule>
  </conditionalFormatting>
  <printOptions horizontalCentered="1"/>
  <pageMargins left="0.7" right="0.7" top="0.75" bottom="0.75" header="0.3" footer="0.3"/>
  <pageSetup scale="31" orientation="landscape"/>
  <rowBreaks count="1" manualBreakCount="1">
    <brk id="1" min="1" max="30" man="1"/>
  </rowBreaks>
  <legacy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44495</v>
      </c>
    </row>
    <row r="3" spans="2:43" ht="18.75" customHeight="1" thickBot="1" x14ac:dyDescent="0.35">
      <c r="B3" t="s">
        <v>1</v>
      </c>
      <c r="C3" s="3">
        <f>C2+1</f>
        <v>44496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4440</v>
      </c>
      <c r="E6" s="18" t="s">
        <v>22</v>
      </c>
      <c r="F6" s="119">
        <v>18200</v>
      </c>
      <c r="G6" s="117">
        <v>9024.5437499999989</v>
      </c>
      <c r="H6" s="117">
        <v>1328.3486746599999</v>
      </c>
      <c r="I6" s="19">
        <f>G6+H6</f>
        <v>10352.892424659998</v>
      </c>
      <c r="J6" s="119">
        <v>20163</v>
      </c>
      <c r="K6" s="117">
        <v>9283.0884999999998</v>
      </c>
      <c r="L6" s="117">
        <v>1361.60062444</v>
      </c>
      <c r="M6" s="19">
        <f>K6+L6</f>
        <v>10644.689124439999</v>
      </c>
      <c r="N6" s="85">
        <v>58</v>
      </c>
      <c r="O6" s="85">
        <v>48</v>
      </c>
      <c r="P6" s="85">
        <v>51</v>
      </c>
      <c r="Q6" s="92"/>
      <c r="R6" s="20">
        <f>J6-Q6</f>
        <v>20163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3507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-3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1844</v>
      </c>
      <c r="E8" s="29" t="s">
        <v>27</v>
      </c>
      <c r="F8" s="119">
        <v>2136</v>
      </c>
      <c r="G8" s="117">
        <v>3946.4247333333319</v>
      </c>
      <c r="H8" s="117">
        <v>8903.6608988999942</v>
      </c>
      <c r="I8" s="19">
        <f>G8+H8</f>
        <v>12850.085632233326</v>
      </c>
      <c r="J8" s="119">
        <v>2855</v>
      </c>
      <c r="K8" s="117">
        <v>3737.1572333333329</v>
      </c>
      <c r="L8" s="117">
        <v>8979.075007459991</v>
      </c>
      <c r="M8" s="19">
        <f>K8+L8</f>
        <v>12716.232240793324</v>
      </c>
      <c r="N8" s="87">
        <v>29</v>
      </c>
      <c r="O8" s="87">
        <v>31</v>
      </c>
      <c r="P8" s="87">
        <v>26</v>
      </c>
      <c r="Q8" s="92"/>
      <c r="R8" s="20">
        <f>J8-Q8</f>
        <v>2855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1051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5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3516</v>
      </c>
      <c r="E10" s="18" t="s">
        <v>31</v>
      </c>
      <c r="F10" s="119">
        <v>16782</v>
      </c>
      <c r="G10" s="117">
        <v>12549.245500000001</v>
      </c>
      <c r="H10" s="117">
        <v>394.77805000000001</v>
      </c>
      <c r="I10" s="19">
        <f>G10+H10</f>
        <v>12944.023550000002</v>
      </c>
      <c r="J10" s="119">
        <v>18296</v>
      </c>
      <c r="K10" s="117">
        <v>12115.5525</v>
      </c>
      <c r="L10" s="117">
        <v>388.85509980000012</v>
      </c>
      <c r="M10" s="19">
        <f>K10+L10</f>
        <v>12504.407599800001</v>
      </c>
      <c r="N10" s="88">
        <v>48</v>
      </c>
      <c r="O10" s="88">
        <v>49</v>
      </c>
      <c r="P10" s="88">
        <v>42</v>
      </c>
      <c r="Q10" s="92"/>
      <c r="R10" s="20">
        <f>J10-Q10</f>
        <v>18296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10469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4106</v>
      </c>
      <c r="E12" s="29" t="s">
        <v>35</v>
      </c>
      <c r="F12" s="119">
        <v>10109</v>
      </c>
      <c r="G12" s="117">
        <v>10930.45175</v>
      </c>
      <c r="H12" s="117">
        <v>11849.476911960001</v>
      </c>
      <c r="I12" s="19">
        <f>G12+H12</f>
        <v>22779.928661960003</v>
      </c>
      <c r="J12" s="119">
        <v>9483</v>
      </c>
      <c r="K12" s="117">
        <v>8406.755250000002</v>
      </c>
      <c r="L12" s="117">
        <v>11509.43047033</v>
      </c>
      <c r="M12" s="19">
        <f>K12+L12</f>
        <v>19916.185720330002</v>
      </c>
      <c r="N12" s="88">
        <v>53</v>
      </c>
      <c r="O12" s="88">
        <v>53</v>
      </c>
      <c r="P12" s="88">
        <v>43</v>
      </c>
      <c r="Q12" s="92"/>
      <c r="R12" s="20">
        <f>J12-Q12</f>
        <v>9483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14524+13256</f>
        <v>27780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1999</v>
      </c>
      <c r="E14" s="18" t="s">
        <v>39</v>
      </c>
      <c r="F14" s="119">
        <v>23560</v>
      </c>
      <c r="G14" s="117">
        <v>18529.473750000001</v>
      </c>
      <c r="H14" s="117">
        <v>29633.95579607999</v>
      </c>
      <c r="I14" s="19">
        <f>G14+H14</f>
        <v>48163.429546079991</v>
      </c>
      <c r="J14" s="119">
        <v>21926</v>
      </c>
      <c r="K14" s="117">
        <v>17620.062999999998</v>
      </c>
      <c r="L14" s="117">
        <v>26950.012257839979</v>
      </c>
      <c r="M14" s="19">
        <f>K14+L14</f>
        <v>44570.075257839977</v>
      </c>
      <c r="N14" s="88">
        <v>72</v>
      </c>
      <c r="O14" s="88">
        <v>70</v>
      </c>
      <c r="P14" s="88">
        <v>61</v>
      </c>
      <c r="Q14" s="92"/>
      <c r="R14" s="20">
        <f>J14-Q14</f>
        <v>21926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720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9292</v>
      </c>
      <c r="E16" s="84"/>
      <c r="F16" s="31">
        <f t="shared" ref="F16:M16" si="0">SUM(F6:F15)</f>
        <v>70787</v>
      </c>
      <c r="G16" s="31">
        <f t="shared" si="0"/>
        <v>54980.139483333332</v>
      </c>
      <c r="H16" s="31">
        <f t="shared" si="0"/>
        <v>52110.22033159998</v>
      </c>
      <c r="I16" s="32">
        <f t="shared" si="0"/>
        <v>107090.35981493333</v>
      </c>
      <c r="J16" s="33">
        <f t="shared" si="0"/>
        <v>72723</v>
      </c>
      <c r="K16" s="33">
        <f t="shared" si="0"/>
        <v>51162.616483333331</v>
      </c>
      <c r="L16" s="33">
        <f t="shared" si="0"/>
        <v>49188.973459869972</v>
      </c>
      <c r="M16" s="33">
        <f t="shared" si="0"/>
        <v>100351.5899432033</v>
      </c>
      <c r="N16" s="31">
        <f>SUM(N14,N12,N10,N8,N6)</f>
        <v>260</v>
      </c>
      <c r="O16" s="31">
        <f>SUM(O14,O12,O10,O8,O6)</f>
        <v>251</v>
      </c>
      <c r="P16" s="31">
        <f>SUM(P14,P12,P10,P8,P6)</f>
        <v>223</v>
      </c>
      <c r="Q16" s="34">
        <f>SUM(Q6:Q15)</f>
        <v>0</v>
      </c>
      <c r="R16" s="34">
        <f>SUM(R6:R15)</f>
        <v>72723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960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4914</v>
      </c>
      <c r="P18" s="125">
        <f>P17/N16</f>
        <v>0.1076923076923077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9939</v>
      </c>
      <c r="D26" s="76">
        <f>C11</f>
        <v>10469</v>
      </c>
      <c r="E26" s="77">
        <f>D26-C26</f>
        <v>530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31398</v>
      </c>
      <c r="D27" s="76">
        <f>C7+C12+C13+C14+C15</f>
        <v>38112</v>
      </c>
      <c r="E27" s="77">
        <f>D27-C27</f>
        <v>6714</v>
      </c>
      <c r="P27" s="4"/>
      <c r="AG27" s="69"/>
    </row>
    <row r="28" spans="2:44" x14ac:dyDescent="0.3">
      <c r="B28" s="74" t="s">
        <v>21</v>
      </c>
      <c r="C28" s="122">
        <v>124</v>
      </c>
      <c r="D28" s="76">
        <f>C6</f>
        <v>4440</v>
      </c>
      <c r="E28" s="77">
        <f>D28-C28</f>
        <v>4316</v>
      </c>
      <c r="P28" s="4"/>
    </row>
    <row r="29" spans="2:44" x14ac:dyDescent="0.3">
      <c r="B29" s="74" t="s">
        <v>57</v>
      </c>
      <c r="C29" s="122">
        <v>3516</v>
      </c>
      <c r="D29" s="76">
        <f>C10</f>
        <v>3516</v>
      </c>
      <c r="E29" s="77">
        <f>D29-C29</f>
        <v>0</v>
      </c>
      <c r="P29" s="4"/>
    </row>
    <row r="30" spans="2:44" x14ac:dyDescent="0.3">
      <c r="B30" s="74" t="s">
        <v>59</v>
      </c>
      <c r="C30" s="122">
        <v>16430</v>
      </c>
      <c r="D30" s="76">
        <f>C16+C17+C18</f>
        <v>15166</v>
      </c>
      <c r="E30" s="77">
        <f>D30-C30</f>
        <v>-1264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2895</v>
      </c>
      <c r="D31" s="80">
        <f>SUM(C8+C9)</f>
        <v>2895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75" priority="11" operator="lessThan">
      <formula>0</formula>
    </cfRule>
    <cfRule type="cellIs" dxfId="274" priority="12" operator="greaterThan">
      <formula>0</formula>
    </cfRule>
  </conditionalFormatting>
  <conditionalFormatting sqref="S25:AD25">
    <cfRule type="cellIs" dxfId="273" priority="9" operator="lessThan">
      <formula>0</formula>
    </cfRule>
    <cfRule type="cellIs" dxfId="272" priority="10" operator="greaterThan">
      <formula>0</formula>
    </cfRule>
  </conditionalFormatting>
  <conditionalFormatting sqref="S26 U26 W26 Y26 AA26 AC26">
    <cfRule type="cellIs" dxfId="271" priority="7" operator="lessThan">
      <formula>0</formula>
    </cfRule>
    <cfRule type="cellIs" dxfId="270" priority="8" operator="greaterThan">
      <formula>0</formula>
    </cfRule>
  </conditionalFormatting>
  <conditionalFormatting sqref="AE24:AF24">
    <cfRule type="cellIs" dxfId="269" priority="5" operator="lessThan">
      <formula>0</formula>
    </cfRule>
    <cfRule type="cellIs" dxfId="268" priority="6" operator="greaterThan">
      <formula>0</formula>
    </cfRule>
  </conditionalFormatting>
  <conditionalFormatting sqref="AE25:AF25">
    <cfRule type="cellIs" dxfId="267" priority="3" operator="lessThan">
      <formula>0</formula>
    </cfRule>
    <cfRule type="cellIs" dxfId="266" priority="4" operator="greaterThan">
      <formula>0</formula>
    </cfRule>
  </conditionalFormatting>
  <conditionalFormatting sqref="AE26">
    <cfRule type="cellIs" dxfId="265" priority="1" operator="lessThan">
      <formula>0</formula>
    </cfRule>
    <cfRule type="cellIs" dxfId="264" priority="2" operator="greaterThan">
      <formula>0</formula>
    </cfRule>
  </conditionalFormatting>
  <printOptions horizontalCentered="1"/>
  <pageMargins left="0.7" right="0.7" top="0.75" bottom="0.75" header="0.3" footer="0.3"/>
  <pageSetup scale="31" orientation="landscape"/>
  <rowBreaks count="1" manualBreakCount="1">
    <brk id="1" min="1" max="30" man="1"/>
  </rowBreaks>
  <legacy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44496</v>
      </c>
    </row>
    <row r="3" spans="2:43" ht="18.75" customHeight="1" thickBot="1" x14ac:dyDescent="0.35">
      <c r="B3" t="s">
        <v>1</v>
      </c>
      <c r="C3" s="3">
        <f>C2+1</f>
        <v>44497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20656.25</v>
      </c>
      <c r="G6" s="117">
        <v>8941.6187500000033</v>
      </c>
      <c r="H6" s="117">
        <v>2416.1137920050001</v>
      </c>
      <c r="I6" s="19">
        <f>G6+H6</f>
        <v>11357.732542005004</v>
      </c>
      <c r="J6" s="119">
        <v>21909.25</v>
      </c>
      <c r="K6" s="117">
        <v>11070.8548125</v>
      </c>
      <c r="L6" s="117">
        <v>2219.4576547050001</v>
      </c>
      <c r="M6" s="19">
        <f>K6+L6</f>
        <v>13290.312467205</v>
      </c>
      <c r="N6" s="85">
        <v>56</v>
      </c>
      <c r="O6" s="85">
        <v>52</v>
      </c>
      <c r="P6" s="85">
        <v>53</v>
      </c>
      <c r="Q6" s="92"/>
      <c r="R6" s="20">
        <f>J6-Q6</f>
        <v>21909.25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-1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1781</v>
      </c>
      <c r="E8" s="29" t="s">
        <v>27</v>
      </c>
      <c r="F8" s="119">
        <v>3639</v>
      </c>
      <c r="G8" s="117">
        <v>5654.0056000000004</v>
      </c>
      <c r="H8" s="117">
        <v>13015.02894184001</v>
      </c>
      <c r="I8" s="19">
        <f>G8+H8</f>
        <v>18669.03454184001</v>
      </c>
      <c r="J8" s="119">
        <v>3629</v>
      </c>
      <c r="K8" s="117">
        <v>8128.4129999999996</v>
      </c>
      <c r="L8" s="117">
        <v>11461.982565400011</v>
      </c>
      <c r="M8" s="19">
        <f>K8+L8</f>
        <v>19590.395565400009</v>
      </c>
      <c r="N8" s="87">
        <v>25</v>
      </c>
      <c r="O8" s="87">
        <v>28</v>
      </c>
      <c r="P8" s="87">
        <v>24</v>
      </c>
      <c r="Q8" s="92"/>
      <c r="R8" s="20">
        <f>J8-Q8</f>
        <v>3629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1139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2393</v>
      </c>
      <c r="E10" s="18" t="s">
        <v>31</v>
      </c>
      <c r="F10" s="119">
        <v>20470</v>
      </c>
      <c r="G10" s="117">
        <v>14816.396500000001</v>
      </c>
      <c r="H10" s="117">
        <v>424.08797857500002</v>
      </c>
      <c r="I10" s="19">
        <f>G10+H10</f>
        <v>15240.484478575001</v>
      </c>
      <c r="J10" s="119">
        <v>20631</v>
      </c>
      <c r="K10" s="117">
        <v>16060.03075</v>
      </c>
      <c r="L10" s="117">
        <v>425.67102897500001</v>
      </c>
      <c r="M10" s="19">
        <f>K10+L10</f>
        <v>16485.701778974999</v>
      </c>
      <c r="N10" s="88">
        <v>43</v>
      </c>
      <c r="O10" s="88">
        <v>43</v>
      </c>
      <c r="P10" s="88">
        <v>41</v>
      </c>
      <c r="Q10" s="92"/>
      <c r="R10" s="20">
        <f>J10-Q10</f>
        <v>20631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11083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13422.75</v>
      </c>
      <c r="G12" s="117">
        <v>10783.869500000001</v>
      </c>
      <c r="H12" s="117">
        <v>16808.9004026275</v>
      </c>
      <c r="I12" s="19">
        <f>G12+H12</f>
        <v>27592.7699026275</v>
      </c>
      <c r="J12" s="119">
        <v>13798.75</v>
      </c>
      <c r="K12" s="117">
        <v>13271.769937499999</v>
      </c>
      <c r="L12" s="117">
        <v>17113.1999640875</v>
      </c>
      <c r="M12" s="19">
        <f>K12+L12</f>
        <v>30384.969901587501</v>
      </c>
      <c r="N12" s="88">
        <v>57</v>
      </c>
      <c r="O12" s="88">
        <v>57</v>
      </c>
      <c r="P12" s="88">
        <v>44</v>
      </c>
      <c r="Q12" s="92"/>
      <c r="R12" s="20">
        <f>J12-Q12</f>
        <v>13798.75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13458+11520</f>
        <v>24978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13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19356.5</v>
      </c>
      <c r="G14" s="117">
        <v>14761.344999999999</v>
      </c>
      <c r="H14" s="117">
        <v>23191.577590565019</v>
      </c>
      <c r="I14" s="19">
        <f>G14+H14</f>
        <v>37952.922590565016</v>
      </c>
      <c r="J14" s="119">
        <v>19353.5</v>
      </c>
      <c r="K14" s="117">
        <v>16840.563249999999</v>
      </c>
      <c r="L14" s="117">
        <v>23200.833726465029</v>
      </c>
      <c r="M14" s="19">
        <f>K14+L14</f>
        <v>40041.396976465025</v>
      </c>
      <c r="N14" s="88">
        <v>70</v>
      </c>
      <c r="O14" s="88">
        <v>68</v>
      </c>
      <c r="P14" s="88">
        <v>60</v>
      </c>
      <c r="Q14" s="92"/>
      <c r="R14" s="20">
        <f>J14-Q14</f>
        <v>19353.5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10817</v>
      </c>
      <c r="E16" s="84"/>
      <c r="F16" s="31">
        <f t="shared" ref="F16:M16" si="0">SUM(F6:F15)</f>
        <v>77544.5</v>
      </c>
      <c r="G16" s="31">
        <f t="shared" si="0"/>
        <v>54957.235350000003</v>
      </c>
      <c r="H16" s="31">
        <f t="shared" si="0"/>
        <v>55855.708705612531</v>
      </c>
      <c r="I16" s="32">
        <f t="shared" si="0"/>
        <v>110812.94405561255</v>
      </c>
      <c r="J16" s="33">
        <f t="shared" si="0"/>
        <v>79321.5</v>
      </c>
      <c r="K16" s="33">
        <f t="shared" si="0"/>
        <v>65371.63175</v>
      </c>
      <c r="L16" s="33">
        <f t="shared" si="0"/>
        <v>54421.144939632541</v>
      </c>
      <c r="M16" s="33">
        <f t="shared" si="0"/>
        <v>119792.77668963252</v>
      </c>
      <c r="N16" s="31">
        <f>SUM(N14,N12,N10,N8,N6)</f>
        <v>251</v>
      </c>
      <c r="O16" s="31">
        <f>SUM(O14,O12,O10,O8,O6)</f>
        <v>248</v>
      </c>
      <c r="P16" s="31">
        <f>SUM(P14,P12,P10,P8,P6)</f>
        <v>222</v>
      </c>
      <c r="Q16" s="34">
        <f>SUM(Q6:Q15)</f>
        <v>0</v>
      </c>
      <c r="R16" s="34">
        <f>SUM(R6:R15)</f>
        <v>79321.5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2184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26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5111</v>
      </c>
      <c r="P18" s="125">
        <f>P17/N16</f>
        <v>0.10358565737051793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12371</v>
      </c>
      <c r="D26" s="76">
        <f>C11</f>
        <v>11083</v>
      </c>
      <c r="E26" s="77">
        <f>D26-C26</f>
        <v>-1288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35211</v>
      </c>
      <c r="D27" s="76">
        <f>C7+C12+C13+C14+C15</f>
        <v>24978</v>
      </c>
      <c r="E27" s="77">
        <f>D27-C27</f>
        <v>-10233</v>
      </c>
      <c r="P27" s="4"/>
      <c r="AG27" s="69"/>
    </row>
    <row r="28" spans="2:44" x14ac:dyDescent="0.3">
      <c r="B28" s="74" t="s">
        <v>21</v>
      </c>
      <c r="C28" s="122">
        <v>165</v>
      </c>
      <c r="D28" s="76">
        <f>C6</f>
        <v>0</v>
      </c>
      <c r="E28" s="77">
        <f>D28-C28</f>
        <v>-165</v>
      </c>
      <c r="P28" s="4"/>
    </row>
    <row r="29" spans="2:44" x14ac:dyDescent="0.3">
      <c r="B29" s="74" t="s">
        <v>57</v>
      </c>
      <c r="C29" s="122">
        <v>2393</v>
      </c>
      <c r="D29" s="76">
        <f>C10</f>
        <v>2393</v>
      </c>
      <c r="E29" s="77">
        <f>D29-C29</f>
        <v>0</v>
      </c>
      <c r="P29" s="4"/>
    </row>
    <row r="30" spans="2:44" x14ac:dyDescent="0.3">
      <c r="B30" s="74" t="s">
        <v>59</v>
      </c>
      <c r="C30" s="122">
        <v>17432</v>
      </c>
      <c r="D30" s="76">
        <f>C16+C17+C18</f>
        <v>18112</v>
      </c>
      <c r="E30" s="77">
        <f>D30-C30</f>
        <v>680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3510.5</v>
      </c>
      <c r="D31" s="80">
        <f>SUM(C8+C9)</f>
        <v>2920</v>
      </c>
      <c r="E31" s="81">
        <f>C31-D31</f>
        <v>590.5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63" priority="11" operator="lessThan">
      <formula>0</formula>
    </cfRule>
    <cfRule type="cellIs" dxfId="262" priority="12" operator="greaterThan">
      <formula>0</formula>
    </cfRule>
  </conditionalFormatting>
  <conditionalFormatting sqref="S25:AD25">
    <cfRule type="cellIs" dxfId="261" priority="9" operator="lessThan">
      <formula>0</formula>
    </cfRule>
    <cfRule type="cellIs" dxfId="260" priority="10" operator="greaterThan">
      <formula>0</formula>
    </cfRule>
  </conditionalFormatting>
  <conditionalFormatting sqref="S26 U26 W26 Y26 AA26 AC26">
    <cfRule type="cellIs" dxfId="259" priority="7" operator="lessThan">
      <formula>0</formula>
    </cfRule>
    <cfRule type="cellIs" dxfId="258" priority="8" operator="greaterThan">
      <formula>0</formula>
    </cfRule>
  </conditionalFormatting>
  <conditionalFormatting sqref="AE24:AF24">
    <cfRule type="cellIs" dxfId="257" priority="5" operator="lessThan">
      <formula>0</formula>
    </cfRule>
    <cfRule type="cellIs" dxfId="256" priority="6" operator="greaterThan">
      <formula>0</formula>
    </cfRule>
  </conditionalFormatting>
  <conditionalFormatting sqref="AE25:AF25">
    <cfRule type="cellIs" dxfId="255" priority="3" operator="lessThan">
      <formula>0</formula>
    </cfRule>
    <cfRule type="cellIs" dxfId="254" priority="4" operator="greaterThan">
      <formula>0</formula>
    </cfRule>
  </conditionalFormatting>
  <conditionalFormatting sqref="AE26">
    <cfRule type="cellIs" dxfId="253" priority="1" operator="lessThan">
      <formula>0</formula>
    </cfRule>
    <cfRule type="cellIs" dxfId="252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44497</v>
      </c>
    </row>
    <row r="3" spans="2:43" ht="18.75" customHeight="1" thickBot="1" x14ac:dyDescent="0.35">
      <c r="B3" t="s">
        <v>1</v>
      </c>
      <c r="C3" s="3">
        <f>C2+1</f>
        <v>44498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5868</v>
      </c>
      <c r="E6" s="18" t="s">
        <v>22</v>
      </c>
      <c r="F6" s="119">
        <v>21700</v>
      </c>
      <c r="G6" s="117">
        <v>9010.3590000000004</v>
      </c>
      <c r="H6" s="117">
        <v>2233.3297786600001</v>
      </c>
      <c r="I6" s="19">
        <f>G6+H6</f>
        <v>11243.68877866</v>
      </c>
      <c r="J6" s="119">
        <v>25040</v>
      </c>
      <c r="K6" s="117">
        <v>12012.59175</v>
      </c>
      <c r="L6" s="117">
        <v>2460.45103948</v>
      </c>
      <c r="M6" s="19">
        <f>K6+L6</f>
        <v>14473.04278948</v>
      </c>
      <c r="N6" s="85">
        <v>54</v>
      </c>
      <c r="O6" s="85">
        <v>50</v>
      </c>
      <c r="P6" s="85">
        <v>45</v>
      </c>
      <c r="Q6" s="92"/>
      <c r="R6" s="20">
        <f>J6-Q6</f>
        <v>25040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3327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1731</v>
      </c>
      <c r="E8" s="29" t="s">
        <v>27</v>
      </c>
      <c r="F8" s="119">
        <v>4098</v>
      </c>
      <c r="G8" s="117">
        <v>6112.6525999999994</v>
      </c>
      <c r="H8" s="117">
        <v>12208.298324740001</v>
      </c>
      <c r="I8" s="19">
        <f>G8+H8</f>
        <v>18320.950924739998</v>
      </c>
      <c r="J8" s="119">
        <v>5338</v>
      </c>
      <c r="K8" s="117">
        <v>7740.1660999999986</v>
      </c>
      <c r="L8" s="117">
        <v>12116.771430639999</v>
      </c>
      <c r="M8" s="19">
        <f>K8+L8</f>
        <v>19856.937530639996</v>
      </c>
      <c r="N8" s="87">
        <v>26</v>
      </c>
      <c r="O8" s="87">
        <v>27</v>
      </c>
      <c r="P8" s="87">
        <v>23</v>
      </c>
      <c r="Q8" s="92"/>
      <c r="R8" s="20">
        <f>J8-Q8</f>
        <v>5338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1259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2290</v>
      </c>
      <c r="E10" s="18" t="s">
        <v>31</v>
      </c>
      <c r="F10" s="119">
        <v>18873</v>
      </c>
      <c r="G10" s="117">
        <v>12992.6685</v>
      </c>
      <c r="H10" s="117">
        <v>397.2239161</v>
      </c>
      <c r="I10" s="19">
        <f>G10+H10</f>
        <v>13389.8924161</v>
      </c>
      <c r="J10" s="119">
        <v>20796</v>
      </c>
      <c r="K10" s="117">
        <v>15321.934499999999</v>
      </c>
      <c r="L10" s="117">
        <v>382.25693669999998</v>
      </c>
      <c r="M10" s="19">
        <f>K10+L10</f>
        <v>15704.191436699999</v>
      </c>
      <c r="N10" s="88">
        <v>54</v>
      </c>
      <c r="O10" s="88">
        <v>52</v>
      </c>
      <c r="P10" s="88">
        <v>50</v>
      </c>
      <c r="Q10" s="92"/>
      <c r="R10" s="20">
        <f>J10-Q10</f>
        <v>20796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4096</v>
      </c>
      <c r="E12" s="29" t="s">
        <v>35</v>
      </c>
      <c r="F12" s="119">
        <v>16225</v>
      </c>
      <c r="G12" s="117">
        <v>12249.426750000001</v>
      </c>
      <c r="H12" s="117">
        <v>19445.1940842</v>
      </c>
      <c r="I12" s="19">
        <f>G12+H12</f>
        <v>31694.620834200003</v>
      </c>
      <c r="J12" s="119">
        <v>16178</v>
      </c>
      <c r="K12" s="117">
        <v>15571.0605</v>
      </c>
      <c r="L12" s="117">
        <v>19409.391871420001</v>
      </c>
      <c r="M12" s="19">
        <f>K12+L12</f>
        <v>34980.452371420004</v>
      </c>
      <c r="N12" s="88">
        <v>52</v>
      </c>
      <c r="O12" s="88">
        <v>52</v>
      </c>
      <c r="P12" s="88">
        <v>43</v>
      </c>
      <c r="Q12" s="92"/>
      <c r="R12" s="20">
        <f>J12-Q12</f>
        <v>16178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1982</v>
      </c>
      <c r="E14" s="18" t="s">
        <v>39</v>
      </c>
      <c r="F14" s="119">
        <v>19786</v>
      </c>
      <c r="G14" s="117">
        <v>14486.828750000001</v>
      </c>
      <c r="H14" s="117">
        <v>23988.931917340022</v>
      </c>
      <c r="I14" s="19">
        <f>G14+H14</f>
        <v>38475.760667340022</v>
      </c>
      <c r="J14" s="119">
        <v>20278</v>
      </c>
      <c r="K14" s="117">
        <v>18928.126250000001</v>
      </c>
      <c r="L14" s="117">
        <v>24856.212393420021</v>
      </c>
      <c r="M14" s="19">
        <f>K14+L14</f>
        <v>43784.338643420022</v>
      </c>
      <c r="N14" s="88">
        <v>68</v>
      </c>
      <c r="O14" s="88">
        <v>68</v>
      </c>
      <c r="P14" s="88">
        <v>57</v>
      </c>
      <c r="Q14" s="92"/>
      <c r="R14" s="20">
        <f>J14-Q14</f>
        <v>20278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747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8430</v>
      </c>
      <c r="E16" s="84"/>
      <c r="F16" s="31">
        <f t="shared" ref="F16:M16" si="0">SUM(F6:F15)</f>
        <v>80682</v>
      </c>
      <c r="G16" s="31">
        <f t="shared" si="0"/>
        <v>54851.935599999997</v>
      </c>
      <c r="H16" s="31">
        <f t="shared" si="0"/>
        <v>58272.97802104002</v>
      </c>
      <c r="I16" s="32">
        <f t="shared" si="0"/>
        <v>113124.91362104003</v>
      </c>
      <c r="J16" s="33">
        <f t="shared" si="0"/>
        <v>87630</v>
      </c>
      <c r="K16" s="33">
        <f t="shared" si="0"/>
        <v>69573.879099999991</v>
      </c>
      <c r="L16" s="33">
        <f t="shared" si="0"/>
        <v>59225.083671660017</v>
      </c>
      <c r="M16" s="33">
        <f t="shared" si="0"/>
        <v>128798.96277166002</v>
      </c>
      <c r="N16" s="31">
        <f>SUM(N14,N12,N10,N8,N6)</f>
        <v>254</v>
      </c>
      <c r="O16" s="31">
        <f>SUM(O14,O12,O10,O8,O6)</f>
        <v>249</v>
      </c>
      <c r="P16" s="31">
        <f>SUM(P14,P12,P10,P8,P6)</f>
        <v>218</v>
      </c>
      <c r="Q16" s="34">
        <f>SUM(Q6:Q15)</f>
        <v>0</v>
      </c>
      <c r="R16" s="34">
        <f>SUM(R6:R15)</f>
        <v>87630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2520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31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4669</v>
      </c>
      <c r="P18" s="125">
        <f>P17/N16</f>
        <v>0.12204724409448819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16205</v>
      </c>
      <c r="D26" s="76">
        <f>C11</f>
        <v>0</v>
      </c>
      <c r="E26" s="77">
        <f>D26-C26</f>
        <v>-16205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44863.5</v>
      </c>
      <c r="D27" s="76">
        <f>C7+C12+C13+C14+C15</f>
        <v>10152</v>
      </c>
      <c r="E27" s="77">
        <f>D27-C27</f>
        <v>-34711.5</v>
      </c>
      <c r="P27" s="4"/>
      <c r="AG27" s="69"/>
    </row>
    <row r="28" spans="2:44" x14ac:dyDescent="0.3">
      <c r="B28" s="74" t="s">
        <v>21</v>
      </c>
      <c r="C28" s="122">
        <v>165</v>
      </c>
      <c r="D28" s="76">
        <f>C6</f>
        <v>5868</v>
      </c>
      <c r="E28" s="77">
        <f>D28-C28</f>
        <v>5703</v>
      </c>
      <c r="P28" s="4"/>
    </row>
    <row r="29" spans="2:44" x14ac:dyDescent="0.3">
      <c r="B29" s="74" t="s">
        <v>57</v>
      </c>
      <c r="C29" s="122">
        <v>2290</v>
      </c>
      <c r="D29" s="76">
        <f>C10</f>
        <v>2290</v>
      </c>
      <c r="E29" s="77">
        <f>D29-C29</f>
        <v>0</v>
      </c>
      <c r="P29" s="4"/>
    </row>
    <row r="30" spans="2:44" x14ac:dyDescent="0.3">
      <c r="B30" s="74" t="s">
        <v>59</v>
      </c>
      <c r="C30" s="122">
        <v>16419</v>
      </c>
      <c r="D30" s="76">
        <f>C16+C17+C18</f>
        <v>15619</v>
      </c>
      <c r="E30" s="77">
        <f>D30-C30</f>
        <v>-800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4603</v>
      </c>
      <c r="D31" s="80">
        <f>SUM(C8+C9)</f>
        <v>2990</v>
      </c>
      <c r="E31" s="81">
        <f>C31-D31</f>
        <v>1613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51" priority="11" operator="lessThan">
      <formula>0</formula>
    </cfRule>
    <cfRule type="cellIs" dxfId="250" priority="12" operator="greaterThan">
      <formula>0</formula>
    </cfRule>
  </conditionalFormatting>
  <conditionalFormatting sqref="S25:AD25">
    <cfRule type="cellIs" dxfId="249" priority="9" operator="lessThan">
      <formula>0</formula>
    </cfRule>
    <cfRule type="cellIs" dxfId="248" priority="10" operator="greaterThan">
      <formula>0</formula>
    </cfRule>
  </conditionalFormatting>
  <conditionalFormatting sqref="S26 U26 W26 Y26 AA26 AC26">
    <cfRule type="cellIs" dxfId="247" priority="7" operator="lessThan">
      <formula>0</formula>
    </cfRule>
    <cfRule type="cellIs" dxfId="246" priority="8" operator="greaterThan">
      <formula>0</formula>
    </cfRule>
  </conditionalFormatting>
  <conditionalFormatting sqref="AE24:AF24">
    <cfRule type="cellIs" dxfId="245" priority="5" operator="lessThan">
      <formula>0</formula>
    </cfRule>
    <cfRule type="cellIs" dxfId="244" priority="6" operator="greaterThan">
      <formula>0</formula>
    </cfRule>
  </conditionalFormatting>
  <conditionalFormatting sqref="AE25:AF25">
    <cfRule type="cellIs" dxfId="243" priority="3" operator="lessThan">
      <formula>0</formula>
    </cfRule>
    <cfRule type="cellIs" dxfId="242" priority="4" operator="greaterThan">
      <formula>0</formula>
    </cfRule>
  </conditionalFormatting>
  <conditionalFormatting sqref="AE26">
    <cfRule type="cellIs" dxfId="241" priority="1" operator="lessThan">
      <formula>0</formula>
    </cfRule>
    <cfRule type="cellIs" dxfId="24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44498</v>
      </c>
    </row>
    <row r="3" spans="2:43" ht="18.75" customHeight="1" thickBot="1" x14ac:dyDescent="0.35">
      <c r="B3" t="s">
        <v>1</v>
      </c>
      <c r="C3" s="3">
        <f>C2+1</f>
        <v>44499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19116</v>
      </c>
      <c r="G6" s="117">
        <v>9378.889000000001</v>
      </c>
      <c r="H6" s="117">
        <v>2291.2166708200002</v>
      </c>
      <c r="I6" s="19">
        <f>G6+H6</f>
        <v>11670.105670820001</v>
      </c>
      <c r="J6" s="119">
        <v>20918</v>
      </c>
      <c r="K6" s="117">
        <v>11225.231750000001</v>
      </c>
      <c r="L6" s="117">
        <v>2356.4316227200002</v>
      </c>
      <c r="M6" s="19">
        <f>K6+L6</f>
        <v>13581.663372720001</v>
      </c>
      <c r="N6" s="85">
        <v>51</v>
      </c>
      <c r="O6" s="85">
        <v>49</v>
      </c>
      <c r="P6" s="85">
        <v>39</v>
      </c>
      <c r="Q6" s="92"/>
      <c r="R6" s="20">
        <f>J6-Q6</f>
        <v>20918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2392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10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1774</v>
      </c>
      <c r="E8" s="29" t="s">
        <v>27</v>
      </c>
      <c r="F8" s="119">
        <v>4936</v>
      </c>
      <c r="G8" s="117">
        <v>7105.464500000001</v>
      </c>
      <c r="H8" s="117">
        <v>11851.79298753999</v>
      </c>
      <c r="I8" s="19">
        <f>G8+H8</f>
        <v>18957.257487539991</v>
      </c>
      <c r="J8" s="119">
        <v>4757</v>
      </c>
      <c r="K8" s="117">
        <v>9239.6815000000006</v>
      </c>
      <c r="L8" s="117">
        <v>12381.329936759979</v>
      </c>
      <c r="M8" s="19">
        <f>K8+L8</f>
        <v>21621.011436759982</v>
      </c>
      <c r="N8" s="87">
        <v>24</v>
      </c>
      <c r="O8" s="87">
        <v>28</v>
      </c>
      <c r="P8" s="87">
        <v>21</v>
      </c>
      <c r="Q8" s="92"/>
      <c r="R8" s="20">
        <f>J8-Q8</f>
        <v>4757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1205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7241</v>
      </c>
      <c r="E10" s="18" t="s">
        <v>31</v>
      </c>
      <c r="F10" s="119">
        <v>19704</v>
      </c>
      <c r="G10" s="117">
        <v>15098.2415</v>
      </c>
      <c r="H10" s="117">
        <v>320.58829050000003</v>
      </c>
      <c r="I10" s="19">
        <f>G10+H10</f>
        <v>15418.8297905</v>
      </c>
      <c r="J10" s="119">
        <v>20167</v>
      </c>
      <c r="K10" s="117">
        <v>15958.626</v>
      </c>
      <c r="L10" s="117">
        <v>334.01844390000002</v>
      </c>
      <c r="M10" s="19">
        <f>K10+L10</f>
        <v>16292.644443900001</v>
      </c>
      <c r="N10" s="88">
        <v>46</v>
      </c>
      <c r="O10" s="88">
        <v>46</v>
      </c>
      <c r="P10" s="88">
        <v>43</v>
      </c>
      <c r="Q10" s="92"/>
      <c r="R10" s="20">
        <f>J10-Q10</f>
        <v>20167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12898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2524</v>
      </c>
      <c r="E12" s="29" t="s">
        <v>35</v>
      </c>
      <c r="F12" s="119">
        <v>15311</v>
      </c>
      <c r="G12" s="117">
        <v>13293.191999999999</v>
      </c>
      <c r="H12" s="117">
        <v>19935.538120910001</v>
      </c>
      <c r="I12" s="19">
        <f>G12+H12</f>
        <v>33228.730120909997</v>
      </c>
      <c r="J12" s="119">
        <v>15301</v>
      </c>
      <c r="K12" s="117">
        <v>15909.847250000001</v>
      </c>
      <c r="L12" s="117">
        <v>19956.362535629989</v>
      </c>
      <c r="M12" s="19">
        <f>K12+L12</f>
        <v>35866.209785629988</v>
      </c>
      <c r="N12" s="88">
        <v>53</v>
      </c>
      <c r="O12" s="88">
        <v>53</v>
      </c>
      <c r="P12" s="88">
        <v>48</v>
      </c>
      <c r="Q12" s="92"/>
      <c r="R12" s="20">
        <f>J12-Q12</f>
        <v>15301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31246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1631</v>
      </c>
      <c r="E14" s="18" t="s">
        <v>39</v>
      </c>
      <c r="F14" s="119">
        <v>36962</v>
      </c>
      <c r="G14" s="117">
        <v>22414.640749999999</v>
      </c>
      <c r="H14" s="117">
        <v>40920.02235401998</v>
      </c>
      <c r="I14" s="19">
        <f>G14+H14</f>
        <v>63334.663104019979</v>
      </c>
      <c r="J14" s="119">
        <v>31280</v>
      </c>
      <c r="K14" s="117">
        <v>22673.47825</v>
      </c>
      <c r="L14" s="117">
        <v>33732.976165059998</v>
      </c>
      <c r="M14" s="19">
        <f>K14+L14</f>
        <v>56406.454415059998</v>
      </c>
      <c r="N14" s="88">
        <v>71</v>
      </c>
      <c r="O14" s="88">
        <v>70</v>
      </c>
      <c r="P14" s="88">
        <v>64</v>
      </c>
      <c r="Q14" s="92"/>
      <c r="R14" s="20">
        <f>J14-Q14</f>
        <v>31280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512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6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8916</v>
      </c>
      <c r="E16" s="84"/>
      <c r="F16" s="31">
        <f t="shared" ref="F16:M16" si="0">SUM(F6:F15)</f>
        <v>96029</v>
      </c>
      <c r="G16" s="31">
        <f t="shared" si="0"/>
        <v>67290.427750000003</v>
      </c>
      <c r="H16" s="31">
        <f t="shared" si="0"/>
        <v>75319.158423789981</v>
      </c>
      <c r="I16" s="32">
        <f t="shared" si="0"/>
        <v>142609.58617378995</v>
      </c>
      <c r="J16" s="33">
        <f t="shared" si="0"/>
        <v>92423</v>
      </c>
      <c r="K16" s="33">
        <f t="shared" si="0"/>
        <v>75006.864750000008</v>
      </c>
      <c r="L16" s="33">
        <f t="shared" si="0"/>
        <v>68761.118704069959</v>
      </c>
      <c r="M16" s="33">
        <f t="shared" si="0"/>
        <v>143767.98345406997</v>
      </c>
      <c r="N16" s="31">
        <f>SUM(N14,N12,N10,N8,N6)</f>
        <v>245</v>
      </c>
      <c r="O16" s="31">
        <f>SUM(O14,O12,O10,O8,O6)</f>
        <v>246</v>
      </c>
      <c r="P16" s="31">
        <f>SUM(P14,P12,P10,P8,P6)</f>
        <v>215</v>
      </c>
      <c r="Q16" s="34">
        <f>SUM(Q6:Q15)</f>
        <v>0</v>
      </c>
      <c r="R16" s="34">
        <f>SUM(R6:R15)</f>
        <v>92423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562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31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4300</v>
      </c>
      <c r="P18" s="125">
        <f>P17/N16</f>
        <v>0.12653061224489795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12514</v>
      </c>
      <c r="D26" s="76">
        <f>C11</f>
        <v>12898</v>
      </c>
      <c r="E26" s="77">
        <f>D26-C26</f>
        <v>384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40728</v>
      </c>
      <c r="D27" s="76">
        <f>C7+C12+C13+C14+C15</f>
        <v>38305</v>
      </c>
      <c r="E27" s="77">
        <f>D27-C27</f>
        <v>-2423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3">
      <c r="B29" s="74" t="s">
        <v>57</v>
      </c>
      <c r="C29" s="122">
        <v>7241</v>
      </c>
      <c r="D29" s="76">
        <f>C10</f>
        <v>7241</v>
      </c>
      <c r="E29" s="77">
        <f>D29-C29</f>
        <v>0</v>
      </c>
      <c r="P29" s="4"/>
    </row>
    <row r="30" spans="2:44" x14ac:dyDescent="0.3">
      <c r="B30" s="74" t="s">
        <v>59</v>
      </c>
      <c r="C30" s="122">
        <v>12770</v>
      </c>
      <c r="D30" s="76">
        <f>C16+C17+C18</f>
        <v>13778</v>
      </c>
      <c r="E30" s="77">
        <f>D30-C30</f>
        <v>1008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3749</v>
      </c>
      <c r="D31" s="80">
        <f>SUM(C8+C9)</f>
        <v>2979</v>
      </c>
      <c r="E31" s="81">
        <f>C31-D31</f>
        <v>770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39" priority="11" operator="lessThan">
      <formula>0</formula>
    </cfRule>
    <cfRule type="cellIs" dxfId="238" priority="12" operator="greaterThan">
      <formula>0</formula>
    </cfRule>
  </conditionalFormatting>
  <conditionalFormatting sqref="S25:AD25">
    <cfRule type="cellIs" dxfId="237" priority="9" operator="lessThan">
      <formula>0</formula>
    </cfRule>
    <cfRule type="cellIs" dxfId="236" priority="10" operator="greaterThan">
      <formula>0</formula>
    </cfRule>
  </conditionalFormatting>
  <conditionalFormatting sqref="S26 U26 W26 Y26 AA26 AC26">
    <cfRule type="cellIs" dxfId="235" priority="7" operator="lessThan">
      <formula>0</formula>
    </cfRule>
    <cfRule type="cellIs" dxfId="234" priority="8" operator="greaterThan">
      <formula>0</formula>
    </cfRule>
  </conditionalFormatting>
  <conditionalFormatting sqref="AE24:AF24">
    <cfRule type="cellIs" dxfId="233" priority="5" operator="lessThan">
      <formula>0</formula>
    </cfRule>
    <cfRule type="cellIs" dxfId="232" priority="6" operator="greaterThan">
      <formula>0</formula>
    </cfRule>
  </conditionalFormatting>
  <conditionalFormatting sqref="AE25:AF25">
    <cfRule type="cellIs" dxfId="231" priority="3" operator="lessThan">
      <formula>0</formula>
    </cfRule>
    <cfRule type="cellIs" dxfId="230" priority="4" operator="greaterThan">
      <formula>0</formula>
    </cfRule>
  </conditionalFormatting>
  <conditionalFormatting sqref="AE26">
    <cfRule type="cellIs" dxfId="229" priority="1" operator="lessThan">
      <formula>0</formula>
    </cfRule>
    <cfRule type="cellIs" dxfId="228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44499</v>
      </c>
    </row>
    <row r="3" spans="2:43" ht="18.75" customHeight="1" thickBot="1" x14ac:dyDescent="0.35">
      <c r="B3" t="s">
        <v>1</v>
      </c>
      <c r="C3" s="3">
        <f>C2+1</f>
        <v>44500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2594</v>
      </c>
      <c r="E6" s="18" t="s">
        <v>22</v>
      </c>
      <c r="F6" s="119">
        <v>21526</v>
      </c>
      <c r="G6" s="117">
        <v>8953.053249999999</v>
      </c>
      <c r="H6" s="117">
        <v>2177.1125368399998</v>
      </c>
      <c r="I6" s="19">
        <f>G6+H6</f>
        <v>11130.16578684</v>
      </c>
      <c r="J6" s="119">
        <v>22479</v>
      </c>
      <c r="K6" s="117">
        <v>11155.08675</v>
      </c>
      <c r="L6" s="117">
        <v>2110.0193825199999</v>
      </c>
      <c r="M6" s="19">
        <f>K6+L6</f>
        <v>13265.106132520001</v>
      </c>
      <c r="N6" s="85">
        <v>66</v>
      </c>
      <c r="O6" s="85">
        <v>62</v>
      </c>
      <c r="P6" s="85">
        <v>59</v>
      </c>
      <c r="Q6" s="92"/>
      <c r="R6" s="20">
        <f>J6-Q6</f>
        <v>22479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969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3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2198</v>
      </c>
      <c r="E8" s="29" t="s">
        <v>27</v>
      </c>
      <c r="F8" s="119">
        <v>4222</v>
      </c>
      <c r="G8" s="117">
        <v>5666.7950000000001</v>
      </c>
      <c r="H8" s="117">
        <v>10639.44810304</v>
      </c>
      <c r="I8" s="19">
        <f>G8+H8</f>
        <v>16306.24310304</v>
      </c>
      <c r="J8" s="119">
        <v>4237</v>
      </c>
      <c r="K8" s="117">
        <v>7548.6050666666661</v>
      </c>
      <c r="L8" s="117">
        <v>11638.67028094001</v>
      </c>
      <c r="M8" s="19">
        <f>K8+L8</f>
        <v>19187.275347606675</v>
      </c>
      <c r="N8" s="87">
        <v>31</v>
      </c>
      <c r="O8" s="87">
        <v>33</v>
      </c>
      <c r="P8" s="87">
        <v>26</v>
      </c>
      <c r="Q8" s="92"/>
      <c r="R8" s="20">
        <f>J8-Q8</f>
        <v>4237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949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3863</v>
      </c>
      <c r="E10" s="18" t="s">
        <v>31</v>
      </c>
      <c r="F10" s="119">
        <v>17650</v>
      </c>
      <c r="G10" s="117">
        <v>11812.628500000001</v>
      </c>
      <c r="H10" s="117">
        <v>411.9802555</v>
      </c>
      <c r="I10" s="19">
        <f>G10+H10</f>
        <v>12224.608755500001</v>
      </c>
      <c r="J10" s="119">
        <v>18445</v>
      </c>
      <c r="K10" s="117">
        <v>13522.936250000001</v>
      </c>
      <c r="L10" s="117">
        <v>397.17751170000003</v>
      </c>
      <c r="M10" s="19">
        <f>K10+L10</f>
        <v>13920.1137617</v>
      </c>
      <c r="N10" s="88">
        <v>49</v>
      </c>
      <c r="O10" s="88">
        <v>48</v>
      </c>
      <c r="P10" s="88">
        <v>47</v>
      </c>
      <c r="Q10" s="92"/>
      <c r="R10" s="20">
        <f>J10-Q10</f>
        <v>18445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8751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1350</v>
      </c>
      <c r="E12" s="29" t="s">
        <v>35</v>
      </c>
      <c r="F12" s="119">
        <v>14066</v>
      </c>
      <c r="G12" s="117">
        <v>12081.246499999999</v>
      </c>
      <c r="H12" s="117">
        <v>18093.035109460001</v>
      </c>
      <c r="I12" s="19">
        <f>G12+H12</f>
        <v>30174.281609459998</v>
      </c>
      <c r="J12" s="119">
        <v>14996</v>
      </c>
      <c r="K12" s="117">
        <v>15454.871499999999</v>
      </c>
      <c r="L12" s="117">
        <v>19165.89907303001</v>
      </c>
      <c r="M12" s="19">
        <f>K12+L12</f>
        <v>34620.770573030008</v>
      </c>
      <c r="N12" s="88">
        <v>61</v>
      </c>
      <c r="O12" s="88">
        <v>60</v>
      </c>
      <c r="P12" s="88">
        <v>48</v>
      </c>
      <c r="Q12" s="92"/>
      <c r="R12" s="20">
        <f>J12-Q12</f>
        <v>14996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25881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690</v>
      </c>
      <c r="E14" s="18" t="s">
        <v>39</v>
      </c>
      <c r="F14" s="119">
        <v>20708</v>
      </c>
      <c r="G14" s="117">
        <v>16571.723750000001</v>
      </c>
      <c r="H14" s="117">
        <v>25689.761723480009</v>
      </c>
      <c r="I14" s="19">
        <f>G14+H14</f>
        <v>42261.48547348001</v>
      </c>
      <c r="J14" s="119">
        <v>25625</v>
      </c>
      <c r="K14" s="117">
        <v>21637.574000000001</v>
      </c>
      <c r="L14" s="117">
        <v>31964.199966259988</v>
      </c>
      <c r="M14" s="19">
        <f>K14+L14</f>
        <v>53601.773966259992</v>
      </c>
      <c r="N14" s="88">
        <v>72</v>
      </c>
      <c r="O14" s="88">
        <v>71</v>
      </c>
      <c r="P14" s="88">
        <v>59</v>
      </c>
      <c r="Q14" s="92"/>
      <c r="R14" s="20">
        <f>J14-Q14</f>
        <v>25625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217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12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9636</v>
      </c>
      <c r="E16" s="84"/>
      <c r="F16" s="31">
        <f t="shared" ref="F16:M16" si="0">SUM(F6:F15)</f>
        <v>78172</v>
      </c>
      <c r="G16" s="31">
        <f t="shared" si="0"/>
        <v>55085.447</v>
      </c>
      <c r="H16" s="31">
        <f t="shared" si="0"/>
        <v>57011.33772832001</v>
      </c>
      <c r="I16" s="32">
        <f t="shared" si="0"/>
        <v>112096.78472832002</v>
      </c>
      <c r="J16" s="33">
        <f t="shared" si="0"/>
        <v>85782</v>
      </c>
      <c r="K16" s="33">
        <f t="shared" si="0"/>
        <v>69319.073566666659</v>
      </c>
      <c r="L16" s="33">
        <f t="shared" si="0"/>
        <v>65275.966214450003</v>
      </c>
      <c r="M16" s="33">
        <f t="shared" si="0"/>
        <v>134595.03978111668</v>
      </c>
      <c r="N16" s="31">
        <f>SUM(N14,N12,N10,N8,N6)</f>
        <v>279</v>
      </c>
      <c r="O16" s="31">
        <f>SUM(O14,O12,O10,O8,O6)</f>
        <v>274</v>
      </c>
      <c r="P16" s="31">
        <f>SUM(P14,P12,P10,P8,P6)</f>
        <v>239</v>
      </c>
      <c r="Q16" s="34">
        <f>SUM(Q6:Q15)</f>
        <v>0</v>
      </c>
      <c r="R16" s="34">
        <f>SUM(R6:R15)</f>
        <v>85782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2135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35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4431</v>
      </c>
      <c r="P18" s="125">
        <f>P17/N16</f>
        <v>0.12544802867383512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13009</v>
      </c>
      <c r="D26" s="76">
        <f>C11</f>
        <v>8751</v>
      </c>
      <c r="E26" s="77">
        <f>D26-C26</f>
        <v>-4258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35982</v>
      </c>
      <c r="D27" s="76">
        <f>C7+C12+C13+C14+C15</f>
        <v>29107</v>
      </c>
      <c r="E27" s="77">
        <f>D27-C27</f>
        <v>-6875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2594</v>
      </c>
      <c r="E28" s="77">
        <f>D28-C28</f>
        <v>2594</v>
      </c>
      <c r="P28" s="4"/>
    </row>
    <row r="29" spans="2:44" x14ac:dyDescent="0.3">
      <c r="B29" s="74" t="s">
        <v>57</v>
      </c>
      <c r="C29" s="122">
        <v>2570</v>
      </c>
      <c r="D29" s="76">
        <f>C10</f>
        <v>3863</v>
      </c>
      <c r="E29" s="77">
        <f>D29-C29</f>
        <v>1293</v>
      </c>
      <c r="P29" s="4"/>
    </row>
    <row r="30" spans="2:44" x14ac:dyDescent="0.3">
      <c r="B30" s="74" t="s">
        <v>59</v>
      </c>
      <c r="C30" s="122">
        <v>16813</v>
      </c>
      <c r="D30" s="76">
        <f>C16+C17+C18</f>
        <v>16202</v>
      </c>
      <c r="E30" s="77">
        <f>D30-C30</f>
        <v>-611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2786</v>
      </c>
      <c r="D31" s="80">
        <f>SUM(C8+C9)</f>
        <v>3147</v>
      </c>
      <c r="E31" s="81">
        <f>C31-D31</f>
        <v>-361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27" priority="11" operator="lessThan">
      <formula>0</formula>
    </cfRule>
    <cfRule type="cellIs" dxfId="226" priority="12" operator="greaterThan">
      <formula>0</formula>
    </cfRule>
  </conditionalFormatting>
  <conditionalFormatting sqref="S25:AD25">
    <cfRule type="cellIs" dxfId="225" priority="9" operator="lessThan">
      <formula>0</formula>
    </cfRule>
    <cfRule type="cellIs" dxfId="224" priority="10" operator="greaterThan">
      <formula>0</formula>
    </cfRule>
  </conditionalFormatting>
  <conditionalFormatting sqref="S26 U26 W26 Y26 AA26 AC26">
    <cfRule type="cellIs" dxfId="223" priority="7" operator="lessThan">
      <formula>0</formula>
    </cfRule>
    <cfRule type="cellIs" dxfId="222" priority="8" operator="greaterThan">
      <formula>0</formula>
    </cfRule>
  </conditionalFormatting>
  <conditionalFormatting sqref="AE24:AF24">
    <cfRule type="cellIs" dxfId="221" priority="5" operator="lessThan">
      <formula>0</formula>
    </cfRule>
    <cfRule type="cellIs" dxfId="220" priority="6" operator="greaterThan">
      <formula>0</formula>
    </cfRule>
  </conditionalFormatting>
  <conditionalFormatting sqref="AE25:AF25">
    <cfRule type="cellIs" dxfId="219" priority="3" operator="lessThan">
      <formula>0</formula>
    </cfRule>
    <cfRule type="cellIs" dxfId="218" priority="4" operator="greaterThan">
      <formula>0</formula>
    </cfRule>
  </conditionalFormatting>
  <conditionalFormatting sqref="AE26">
    <cfRule type="cellIs" dxfId="217" priority="1" operator="lessThan">
      <formula>0</formula>
    </cfRule>
    <cfRule type="cellIs" dxfId="216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44500</v>
      </c>
    </row>
    <row r="3" spans="2:43" ht="18.75" customHeight="1" thickBot="1" x14ac:dyDescent="0.35">
      <c r="B3" t="s">
        <v>1</v>
      </c>
      <c r="C3" s="3">
        <f>C2+1</f>
        <v>44501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/>
      <c r="E6" s="18" t="s">
        <v>22</v>
      </c>
      <c r="F6" s="119">
        <v>10877</v>
      </c>
      <c r="G6" s="117">
        <v>9292.2102500000001</v>
      </c>
      <c r="H6" s="117">
        <v>1130.2472625</v>
      </c>
      <c r="I6" s="19">
        <f>G6+H6</f>
        <v>10422.457512500001</v>
      </c>
      <c r="J6" s="119">
        <v>12800</v>
      </c>
      <c r="K6" s="117">
        <v>4917.8582500000002</v>
      </c>
      <c r="L6" s="117">
        <v>1138.8883675</v>
      </c>
      <c r="M6" s="19"/>
      <c r="N6" s="85">
        <v>50</v>
      </c>
      <c r="O6" s="85">
        <v>48</v>
      </c>
      <c r="P6" s="85">
        <v>41</v>
      </c>
      <c r="Q6" s="92"/>
      <c r="R6" s="20">
        <f>J6-Q6</f>
        <v>12800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/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7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/>
      <c r="E8" s="29" t="s">
        <v>27</v>
      </c>
      <c r="F8" s="119">
        <v>1403</v>
      </c>
      <c r="G8" s="117">
        <v>5239.5860666666667</v>
      </c>
      <c r="H8" s="117">
        <v>3130.7575947799992</v>
      </c>
      <c r="I8" s="19">
        <f>G8+H8</f>
        <v>8370.3436614466664</v>
      </c>
      <c r="J8" s="119">
        <v>2134</v>
      </c>
      <c r="K8" s="117">
        <v>1771.6255666666671</v>
      </c>
      <c r="L8" s="117">
        <v>3523.0926572199992</v>
      </c>
      <c r="M8" s="19"/>
      <c r="N8" s="87"/>
      <c r="O8" s="87"/>
      <c r="P8" s="87"/>
      <c r="Q8" s="92"/>
      <c r="R8" s="20">
        <f>J8-Q8</f>
        <v>2134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/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/>
      <c r="E10" s="18" t="s">
        <v>31</v>
      </c>
      <c r="F10" s="119">
        <v>6126</v>
      </c>
      <c r="G10" s="117">
        <v>7379.7307500000006</v>
      </c>
      <c r="H10" s="117">
        <v>340.79503899999997</v>
      </c>
      <c r="I10" s="19">
        <f>G10+H10</f>
        <v>7720.5257890000003</v>
      </c>
      <c r="J10" s="119">
        <v>7323</v>
      </c>
      <c r="K10" s="117">
        <v>3670.779500000001</v>
      </c>
      <c r="L10" s="117">
        <v>357.48348570000002</v>
      </c>
      <c r="M10" s="19"/>
      <c r="N10" s="88"/>
      <c r="O10" s="88"/>
      <c r="P10" s="88"/>
      <c r="Q10" s="92"/>
      <c r="R10" s="20">
        <f>J10-Q10</f>
        <v>7323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/>
      <c r="E12" s="29" t="s">
        <v>35</v>
      </c>
      <c r="F12" s="119">
        <v>1177</v>
      </c>
      <c r="G12" s="117">
        <v>10642.31675</v>
      </c>
      <c r="H12" s="117">
        <v>1917.7616994</v>
      </c>
      <c r="I12" s="19">
        <f>G12+H12</f>
        <v>12560.0784494</v>
      </c>
      <c r="J12" s="119">
        <v>1516</v>
      </c>
      <c r="K12" s="117">
        <v>2065.4099999999989</v>
      </c>
      <c r="L12" s="117">
        <v>2559.1753003099998</v>
      </c>
      <c r="M12" s="19"/>
      <c r="N12" s="88"/>
      <c r="O12" s="88"/>
      <c r="P12" s="88"/>
      <c r="Q12" s="92"/>
      <c r="R12" s="20">
        <f>J12-Q12</f>
        <v>1516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/>
      <c r="E14" s="18" t="s">
        <v>39</v>
      </c>
      <c r="F14" s="119">
        <v>1100</v>
      </c>
      <c r="G14" s="117">
        <v>16245.63625</v>
      </c>
      <c r="H14" s="117">
        <v>1777.3697999999999</v>
      </c>
      <c r="I14" s="19">
        <f>G14+H14</f>
        <v>18023.00605</v>
      </c>
      <c r="J14" s="119">
        <v>957</v>
      </c>
      <c r="K14" s="117">
        <v>1085.6922500000001</v>
      </c>
      <c r="L14" s="117">
        <v>1597.8881325</v>
      </c>
      <c r="M14" s="19"/>
      <c r="N14" s="88">
        <v>3</v>
      </c>
      <c r="O14" s="88">
        <v>0</v>
      </c>
      <c r="P14" s="88">
        <v>3</v>
      </c>
      <c r="Q14" s="92"/>
      <c r="R14" s="20">
        <f>J14-Q14</f>
        <v>957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/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-3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9871</v>
      </c>
      <c r="E16" s="84"/>
      <c r="F16" s="31">
        <f t="shared" ref="F16:M16" si="0">SUM(F6:F15)</f>
        <v>20683</v>
      </c>
      <c r="G16" s="31">
        <f t="shared" si="0"/>
        <v>48799.480066666671</v>
      </c>
      <c r="H16" s="31">
        <f t="shared" si="0"/>
        <v>8296.9313956799979</v>
      </c>
      <c r="I16" s="32">
        <f t="shared" si="0"/>
        <v>57096.411462346659</v>
      </c>
      <c r="J16" s="33">
        <f t="shared" si="0"/>
        <v>24730</v>
      </c>
      <c r="K16" s="33">
        <f t="shared" si="0"/>
        <v>13511.365566666667</v>
      </c>
      <c r="L16" s="33">
        <f t="shared" si="0"/>
        <v>9176.5279432299994</v>
      </c>
      <c r="M16" s="33">
        <f t="shared" si="0"/>
        <v>0</v>
      </c>
      <c r="N16" s="31">
        <f>SUM(N14,N12,N10,N8,N6)</f>
        <v>53</v>
      </c>
      <c r="O16" s="31">
        <f>SUM(O14,O12,O10,O8,O6)</f>
        <v>48</v>
      </c>
      <c r="P16" s="31">
        <f>SUM(P14,P12,P10,P8,P6)</f>
        <v>44</v>
      </c>
      <c r="Q16" s="34">
        <f>SUM(Q6:Q15)</f>
        <v>0</v>
      </c>
      <c r="R16" s="34">
        <f>SUM(R6:R15)</f>
        <v>24730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1192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4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4716</v>
      </c>
      <c r="P18" s="125">
        <f>P17/N16</f>
        <v>7.5471698113207544E-2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2723</v>
      </c>
      <c r="D26" s="76">
        <f>C11</f>
        <v>0</v>
      </c>
      <c r="E26" s="77">
        <f>D26-C26</f>
        <v>-2723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2959</v>
      </c>
      <c r="D27" s="76">
        <f>C7+C12+C13+C14+C15</f>
        <v>0</v>
      </c>
      <c r="E27" s="77">
        <f>D27-C27</f>
        <v>-2959</v>
      </c>
      <c r="P27" s="4"/>
      <c r="AG27" s="69"/>
    </row>
    <row r="28" spans="2:44" x14ac:dyDescent="0.3">
      <c r="B28" s="74" t="s">
        <v>21</v>
      </c>
      <c r="C28" s="122">
        <v>74</v>
      </c>
      <c r="D28" s="76">
        <f>C6</f>
        <v>0</v>
      </c>
      <c r="E28" s="77">
        <f>D28-C28</f>
        <v>-74</v>
      </c>
      <c r="P28" s="4"/>
    </row>
    <row r="29" spans="2:44" x14ac:dyDescent="0.3">
      <c r="B29" s="74" t="s">
        <v>57</v>
      </c>
      <c r="C29" s="122">
        <v>131</v>
      </c>
      <c r="D29" s="76">
        <f>C10</f>
        <v>0</v>
      </c>
      <c r="E29" s="77">
        <f>D29-C29</f>
        <v>-131</v>
      </c>
      <c r="P29" s="4"/>
    </row>
    <row r="30" spans="2:44" x14ac:dyDescent="0.3">
      <c r="B30" s="74" t="s">
        <v>59</v>
      </c>
      <c r="C30" s="122">
        <v>14235</v>
      </c>
      <c r="D30" s="76">
        <f>C16+C17+C18</f>
        <v>15779</v>
      </c>
      <c r="E30" s="77">
        <f>D30-C30</f>
        <v>1544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45</v>
      </c>
      <c r="D31" s="80">
        <f>SUM(C8+C9)</f>
        <v>0</v>
      </c>
      <c r="E31" s="81">
        <f>C31-D31</f>
        <v>45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15" priority="11" operator="lessThan">
      <formula>0</formula>
    </cfRule>
    <cfRule type="cellIs" dxfId="214" priority="12" operator="greaterThan">
      <formula>0</formula>
    </cfRule>
  </conditionalFormatting>
  <conditionalFormatting sqref="S25:AD25">
    <cfRule type="cellIs" dxfId="213" priority="9" operator="lessThan">
      <formula>0</formula>
    </cfRule>
    <cfRule type="cellIs" dxfId="212" priority="10" operator="greaterThan">
      <formula>0</formula>
    </cfRule>
  </conditionalFormatting>
  <conditionalFormatting sqref="S26 U26 W26 Y26 AA26 AC26">
    <cfRule type="cellIs" dxfId="211" priority="7" operator="lessThan">
      <formula>0</formula>
    </cfRule>
    <cfRule type="cellIs" dxfId="210" priority="8" operator="greaterThan">
      <formula>0</formula>
    </cfRule>
  </conditionalFormatting>
  <conditionalFormatting sqref="AE24:AF24">
    <cfRule type="cellIs" dxfId="209" priority="5" operator="lessThan">
      <formula>0</formula>
    </cfRule>
    <cfRule type="cellIs" dxfId="208" priority="6" operator="greaterThan">
      <formula>0</formula>
    </cfRule>
  </conditionalFormatting>
  <conditionalFormatting sqref="AE25:AF25">
    <cfRule type="cellIs" dxfId="207" priority="3" operator="lessThan">
      <formula>0</formula>
    </cfRule>
    <cfRule type="cellIs" dxfId="206" priority="4" operator="greaterThan">
      <formula>0</formula>
    </cfRule>
  </conditionalFormatting>
  <conditionalFormatting sqref="AE26">
    <cfRule type="cellIs" dxfId="205" priority="1" operator="lessThan">
      <formula>0</formula>
    </cfRule>
    <cfRule type="cellIs" dxfId="204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44501</v>
      </c>
    </row>
    <row r="3" spans="2:43" ht="18.75" customHeight="1" thickBot="1" x14ac:dyDescent="0.35">
      <c r="B3" t="s">
        <v>1</v>
      </c>
      <c r="C3" s="3">
        <f>C2+1</f>
        <v>44502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69</v>
      </c>
      <c r="E6" s="18" t="s">
        <v>22</v>
      </c>
      <c r="F6" s="119">
        <v>19259</v>
      </c>
      <c r="G6" s="117">
        <v>9667.8962499999998</v>
      </c>
      <c r="H6" s="117">
        <v>1762.58492338</v>
      </c>
      <c r="I6" s="19">
        <f>G6+H6</f>
        <v>11430.48117338</v>
      </c>
      <c r="J6" s="119">
        <v>20399</v>
      </c>
      <c r="K6" s="117">
        <v>9848.0370000000003</v>
      </c>
      <c r="L6" s="117">
        <v>1440.28689536</v>
      </c>
      <c r="M6" s="19">
        <f>K6+L6</f>
        <v>11288.323895360001</v>
      </c>
      <c r="N6" s="85">
        <v>50</v>
      </c>
      <c r="O6" s="85">
        <v>47</v>
      </c>
      <c r="P6" s="85">
        <v>43</v>
      </c>
      <c r="Q6" s="92"/>
      <c r="R6" s="20">
        <f>J6-Q6</f>
        <v>20399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2094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1779</v>
      </c>
      <c r="E8" s="29" t="s">
        <v>27</v>
      </c>
      <c r="F8" s="119">
        <v>3219</v>
      </c>
      <c r="G8" s="117">
        <v>5105.1894000000002</v>
      </c>
      <c r="H8" s="117">
        <v>9659.6951323000012</v>
      </c>
      <c r="I8" s="19">
        <f>G8+H8</f>
        <v>14764.884532300002</v>
      </c>
      <c r="J8" s="119">
        <v>3470</v>
      </c>
      <c r="K8" s="117">
        <v>4099.5358999999999</v>
      </c>
      <c r="L8" s="117">
        <v>9951.346425679998</v>
      </c>
      <c r="M8" s="19">
        <f>K8+L8</f>
        <v>14050.882325679999</v>
      </c>
      <c r="N8" s="87">
        <v>24</v>
      </c>
      <c r="O8" s="87">
        <v>26</v>
      </c>
      <c r="P8" s="87">
        <v>19</v>
      </c>
      <c r="Q8" s="92"/>
      <c r="R8" s="20">
        <f>J8-Q8</f>
        <v>3470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1114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2103</v>
      </c>
      <c r="E10" s="18" t="s">
        <v>31</v>
      </c>
      <c r="F10" s="119">
        <v>19662</v>
      </c>
      <c r="G10" s="117">
        <v>14802.946250000001</v>
      </c>
      <c r="H10" s="117">
        <v>408.40135550000002</v>
      </c>
      <c r="I10" s="19">
        <f>G10+H10</f>
        <v>15211.347605500001</v>
      </c>
      <c r="J10" s="119">
        <v>20965</v>
      </c>
      <c r="K10" s="117">
        <v>15522.206249999999</v>
      </c>
      <c r="L10" s="117">
        <v>396.39697880000011</v>
      </c>
      <c r="M10" s="19">
        <f>K10+L10</f>
        <v>15918.603228799999</v>
      </c>
      <c r="N10" s="88">
        <v>39</v>
      </c>
      <c r="O10" s="88">
        <v>38</v>
      </c>
      <c r="P10" s="88">
        <v>35</v>
      </c>
      <c r="Q10" s="92"/>
      <c r="R10" s="20">
        <f>J10-Q10</f>
        <v>20965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11349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2524</v>
      </c>
      <c r="E12" s="29" t="s">
        <v>35</v>
      </c>
      <c r="F12" s="119">
        <v>11818</v>
      </c>
      <c r="G12" s="117">
        <v>11379.70125</v>
      </c>
      <c r="H12" s="117">
        <v>14671.38155763</v>
      </c>
      <c r="I12" s="19">
        <f>G12+H12</f>
        <v>26051.082807630002</v>
      </c>
      <c r="J12" s="119">
        <v>12501</v>
      </c>
      <c r="K12" s="117">
        <v>11886.7345</v>
      </c>
      <c r="L12" s="117">
        <v>15259.43523276001</v>
      </c>
      <c r="M12" s="19">
        <f>K12+L12</f>
        <v>27146.169732760012</v>
      </c>
      <c r="N12" s="88">
        <v>54</v>
      </c>
      <c r="O12" s="88">
        <v>53</v>
      </c>
      <c r="P12" s="88">
        <v>42</v>
      </c>
      <c r="Q12" s="92"/>
      <c r="R12" s="20">
        <f>J12-Q12</f>
        <v>12501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24607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11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1208</v>
      </c>
      <c r="E14" s="18" t="s">
        <v>39</v>
      </c>
      <c r="F14" s="119">
        <v>17325</v>
      </c>
      <c r="G14" s="117">
        <v>15578.666499999999</v>
      </c>
      <c r="H14" s="117">
        <v>21723.3130982</v>
      </c>
      <c r="I14" s="19">
        <f>G14+H14</f>
        <v>37301.9795982</v>
      </c>
      <c r="J14" s="119">
        <v>16617</v>
      </c>
      <c r="K14" s="117">
        <v>15669.51225</v>
      </c>
      <c r="L14" s="117">
        <v>20851.188404320001</v>
      </c>
      <c r="M14" s="19">
        <f>K14+L14</f>
        <v>36520.700654319997</v>
      </c>
      <c r="N14" s="88">
        <v>72</v>
      </c>
      <c r="O14" s="88">
        <v>71</v>
      </c>
      <c r="P14" s="88">
        <v>61</v>
      </c>
      <c r="Q14" s="92"/>
      <c r="R14" s="20">
        <f>J14-Q14</f>
        <v>16617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512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9871</v>
      </c>
      <c r="E16" s="84"/>
      <c r="F16" s="31">
        <f t="shared" ref="F16:M16" si="0">SUM(F6:F15)</f>
        <v>71283</v>
      </c>
      <c r="G16" s="31">
        <f t="shared" si="0"/>
        <v>56534.399649999999</v>
      </c>
      <c r="H16" s="31">
        <f t="shared" si="0"/>
        <v>48225.376067010002</v>
      </c>
      <c r="I16" s="32">
        <f t="shared" si="0"/>
        <v>104759.77571700999</v>
      </c>
      <c r="J16" s="33">
        <f t="shared" si="0"/>
        <v>73952</v>
      </c>
      <c r="K16" s="33">
        <f t="shared" si="0"/>
        <v>57026.025900000001</v>
      </c>
      <c r="L16" s="33">
        <f t="shared" si="0"/>
        <v>47898.653936920004</v>
      </c>
      <c r="M16" s="33">
        <f t="shared" si="0"/>
        <v>104924.67983692001</v>
      </c>
      <c r="N16" s="31">
        <f>SUM(N14,N12,N10,N8,N6)</f>
        <v>239</v>
      </c>
      <c r="O16" s="31">
        <f>SUM(O14,O12,O10,O8,O6)</f>
        <v>235</v>
      </c>
      <c r="P16" s="31">
        <f>SUM(P14,P12,P10,P8,P6)</f>
        <v>200</v>
      </c>
      <c r="Q16" s="34">
        <f>SUM(Q6:Q15)</f>
        <v>0</v>
      </c>
      <c r="R16" s="34">
        <f>SUM(R6:R15)</f>
        <v>73952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1192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35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4716</v>
      </c>
      <c r="P18" s="125">
        <f>P17/N16</f>
        <v>0.14644351464435146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10730</v>
      </c>
      <c r="D26" s="76">
        <f>C11</f>
        <v>11349</v>
      </c>
      <c r="E26" s="77">
        <f>D26-C26</f>
        <v>619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33128</v>
      </c>
      <c r="D27" s="76">
        <f>C7+C12+C13+C14+C15</f>
        <v>30945</v>
      </c>
      <c r="E27" s="77">
        <f>D27-C27</f>
        <v>-2183</v>
      </c>
      <c r="P27" s="4"/>
      <c r="AG27" s="69"/>
    </row>
    <row r="28" spans="2:44" x14ac:dyDescent="0.3">
      <c r="B28" s="74" t="s">
        <v>21</v>
      </c>
      <c r="C28" s="122">
        <v>69</v>
      </c>
      <c r="D28" s="76">
        <f>C6</f>
        <v>69</v>
      </c>
      <c r="E28" s="77">
        <f>D28-C28</f>
        <v>0</v>
      </c>
      <c r="P28" s="4"/>
    </row>
    <row r="29" spans="2:44" x14ac:dyDescent="0.3">
      <c r="B29" s="74" t="s">
        <v>57</v>
      </c>
      <c r="C29" s="122">
        <v>2103</v>
      </c>
      <c r="D29" s="76">
        <f>C10</f>
        <v>2103</v>
      </c>
      <c r="E29" s="77">
        <f>D29-C29</f>
        <v>0</v>
      </c>
      <c r="P29" s="4"/>
    </row>
    <row r="30" spans="2:44" x14ac:dyDescent="0.3">
      <c r="B30" s="74" t="s">
        <v>59</v>
      </c>
      <c r="C30" s="122">
        <v>16865</v>
      </c>
      <c r="D30" s="76">
        <f>C16+C17+C18</f>
        <v>15779</v>
      </c>
      <c r="E30" s="77">
        <f>D30-C30</f>
        <v>-1086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2893</v>
      </c>
      <c r="D31" s="80">
        <f>SUM(C8+C9)</f>
        <v>2893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03" priority="11" operator="lessThan">
      <formula>0</formula>
    </cfRule>
    <cfRule type="cellIs" dxfId="202" priority="12" operator="greaterThan">
      <formula>0</formula>
    </cfRule>
  </conditionalFormatting>
  <conditionalFormatting sqref="S25:AD25">
    <cfRule type="cellIs" dxfId="201" priority="9" operator="lessThan">
      <formula>0</formula>
    </cfRule>
    <cfRule type="cellIs" dxfId="200" priority="10" operator="greaterThan">
      <formula>0</formula>
    </cfRule>
  </conditionalFormatting>
  <conditionalFormatting sqref="S26 U26 W26 Y26 AA26 AC26">
    <cfRule type="cellIs" dxfId="199" priority="7" operator="lessThan">
      <formula>0</formula>
    </cfRule>
    <cfRule type="cellIs" dxfId="198" priority="8" operator="greaterThan">
      <formula>0</formula>
    </cfRule>
  </conditionalFormatting>
  <conditionalFormatting sqref="AE24:AF24">
    <cfRule type="cellIs" dxfId="197" priority="5" operator="lessThan">
      <formula>0</formula>
    </cfRule>
    <cfRule type="cellIs" dxfId="196" priority="6" operator="greaterThan">
      <formula>0</formula>
    </cfRule>
  </conditionalFormatting>
  <conditionalFormatting sqref="AE25:AF25">
    <cfRule type="cellIs" dxfId="195" priority="3" operator="lessThan">
      <formula>0</formula>
    </cfRule>
    <cfRule type="cellIs" dxfId="194" priority="4" operator="greaterThan">
      <formula>0</formula>
    </cfRule>
  </conditionalFormatting>
  <conditionalFormatting sqref="AE26">
    <cfRule type="cellIs" dxfId="193" priority="1" operator="lessThan">
      <formula>0</formula>
    </cfRule>
    <cfRule type="cellIs" dxfId="192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44502</v>
      </c>
    </row>
    <row r="3" spans="2:43" ht="18.75" customHeight="1" thickBot="1" x14ac:dyDescent="0.35">
      <c r="B3" t="s">
        <v>1</v>
      </c>
      <c r="C3" s="3">
        <f>C2+1</f>
        <v>44503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110</v>
      </c>
      <c r="E6" s="18" t="s">
        <v>22</v>
      </c>
      <c r="F6" s="119">
        <v>18860</v>
      </c>
      <c r="G6" s="117">
        <v>9741.5324999999993</v>
      </c>
      <c r="H6" s="117">
        <v>1719.19456642</v>
      </c>
      <c r="I6" s="19">
        <f>G6+H6</f>
        <v>11460.727066419999</v>
      </c>
      <c r="J6" s="119">
        <v>21768</v>
      </c>
      <c r="K6" s="117">
        <v>9884.5162500000024</v>
      </c>
      <c r="L6" s="117">
        <v>1714.81950592</v>
      </c>
      <c r="M6" s="19">
        <f>K6+L6</f>
        <v>11599.335755920003</v>
      </c>
      <c r="N6" s="85">
        <v>56</v>
      </c>
      <c r="O6" s="85">
        <v>52</v>
      </c>
      <c r="P6" s="85">
        <v>47</v>
      </c>
      <c r="Q6" s="92"/>
      <c r="R6" s="20">
        <f>J6-Q6</f>
        <v>21768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1338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1792</v>
      </c>
      <c r="E8" s="29" t="s">
        <v>27</v>
      </c>
      <c r="F8" s="119">
        <v>4118</v>
      </c>
      <c r="G8" s="117">
        <v>6768.2974333333341</v>
      </c>
      <c r="H8" s="117">
        <v>11004.24140854</v>
      </c>
      <c r="I8" s="19">
        <f>G8+H8</f>
        <v>17772.538841873335</v>
      </c>
      <c r="J8" s="119">
        <v>4949</v>
      </c>
      <c r="K8" s="117">
        <v>6833.9209333333338</v>
      </c>
      <c r="L8" s="117">
        <v>11412.6436056</v>
      </c>
      <c r="M8" s="19">
        <f>K8+L8</f>
        <v>18246.564538933333</v>
      </c>
      <c r="N8" s="87">
        <v>25</v>
      </c>
      <c r="O8" s="87">
        <v>27</v>
      </c>
      <c r="P8" s="87">
        <v>22</v>
      </c>
      <c r="Q8" s="92"/>
      <c r="R8" s="20">
        <f>J8-Q8</f>
        <v>4949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848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5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2437</v>
      </c>
      <c r="E10" s="18" t="s">
        <v>31</v>
      </c>
      <c r="F10" s="119">
        <v>17132</v>
      </c>
      <c r="G10" s="117">
        <v>12934.442999999999</v>
      </c>
      <c r="H10" s="117">
        <v>394.43072200000012</v>
      </c>
      <c r="I10" s="19">
        <f>G10+H10</f>
        <v>13328.873722</v>
      </c>
      <c r="J10" s="119">
        <v>27247</v>
      </c>
      <c r="K10" s="117">
        <v>20026.839</v>
      </c>
      <c r="L10" s="117">
        <v>414.06326089999999</v>
      </c>
      <c r="M10" s="19">
        <f>K10+L10</f>
        <v>20440.902260899999</v>
      </c>
      <c r="N10" s="88">
        <v>45</v>
      </c>
      <c r="O10" s="88">
        <v>45</v>
      </c>
      <c r="P10" s="88">
        <v>41</v>
      </c>
      <c r="Q10" s="92"/>
      <c r="R10" s="20">
        <f>J10-Q10</f>
        <v>27247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10422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1572</v>
      </c>
      <c r="E12" s="29" t="s">
        <v>35</v>
      </c>
      <c r="F12" s="119">
        <v>12154</v>
      </c>
      <c r="G12" s="117">
        <v>12180.772999999999</v>
      </c>
      <c r="H12" s="117">
        <v>15633.360082939989</v>
      </c>
      <c r="I12" s="19">
        <f>G12+H12</f>
        <v>27814.133082939989</v>
      </c>
      <c r="J12" s="119">
        <v>13312</v>
      </c>
      <c r="K12" s="117">
        <v>12740.369000000001</v>
      </c>
      <c r="L12" s="117">
        <v>17512.07941482</v>
      </c>
      <c r="M12" s="19">
        <f>K12+L12</f>
        <v>30252.448414819999</v>
      </c>
      <c r="N12" s="88">
        <v>53</v>
      </c>
      <c r="O12" s="88">
        <v>53</v>
      </c>
      <c r="P12" s="88">
        <v>43</v>
      </c>
      <c r="Q12" s="92"/>
      <c r="R12" s="20">
        <f>J12-Q12</f>
        <v>13312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27003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792</v>
      </c>
      <c r="E14" s="18" t="s">
        <v>39</v>
      </c>
      <c r="F14" s="119">
        <v>17045</v>
      </c>
      <c r="G14" s="117">
        <v>15291.60975</v>
      </c>
      <c r="H14" s="117">
        <v>23161.467525680011</v>
      </c>
      <c r="I14" s="19">
        <f>G14+H14</f>
        <v>38453.077275680014</v>
      </c>
      <c r="J14" s="119">
        <v>17761</v>
      </c>
      <c r="K14" s="117">
        <v>17200.676749999999</v>
      </c>
      <c r="L14" s="117">
        <v>24131.846651360011</v>
      </c>
      <c r="M14" s="19">
        <f>K14+L14</f>
        <v>41332.523401360013</v>
      </c>
      <c r="N14" s="88">
        <v>73</v>
      </c>
      <c r="O14" s="88">
        <v>68</v>
      </c>
      <c r="P14" s="88">
        <v>60</v>
      </c>
      <c r="Q14" s="92"/>
      <c r="R14" s="20">
        <f>J14-Q14</f>
        <v>17761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235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10545</v>
      </c>
      <c r="E16" s="84"/>
      <c r="F16" s="31">
        <f t="shared" ref="F16:M16" si="0">SUM(F6:F15)</f>
        <v>69309</v>
      </c>
      <c r="G16" s="31">
        <f t="shared" si="0"/>
        <v>56916.655683333331</v>
      </c>
      <c r="H16" s="31">
        <f t="shared" si="0"/>
        <v>51912.69430558</v>
      </c>
      <c r="I16" s="32">
        <f t="shared" si="0"/>
        <v>108829.34998891332</v>
      </c>
      <c r="J16" s="33">
        <f t="shared" si="0"/>
        <v>85037</v>
      </c>
      <c r="K16" s="33">
        <f t="shared" si="0"/>
        <v>66686.321933333325</v>
      </c>
      <c r="L16" s="33">
        <f t="shared" si="0"/>
        <v>55185.452438600012</v>
      </c>
      <c r="M16" s="33">
        <f t="shared" si="0"/>
        <v>121871.77437193335</v>
      </c>
      <c r="N16" s="31">
        <f>SUM(N14,N12,N10,N8,N6)</f>
        <v>252</v>
      </c>
      <c r="O16" s="31">
        <f>SUM(O14,O12,O10,O8,O6)</f>
        <v>245</v>
      </c>
      <c r="P16" s="31">
        <f>SUM(P14,P12,P10,P8,P6)</f>
        <v>213</v>
      </c>
      <c r="Q16" s="34">
        <f>SUM(Q6:Q15)</f>
        <v>0</v>
      </c>
      <c r="R16" s="34">
        <f>SUM(R6:R15)</f>
        <v>85037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1492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5380</v>
      </c>
      <c r="P18" s="125">
        <f>P17/N16</f>
        <v>0.12698412698412698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10688</v>
      </c>
      <c r="D26" s="76">
        <f>C11</f>
        <v>10422</v>
      </c>
      <c r="E26" s="77">
        <f>D26-C26</f>
        <v>-266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31717</v>
      </c>
      <c r="D27" s="76">
        <f>C7+C12+C13+C14+C15</f>
        <v>30940</v>
      </c>
      <c r="E27" s="77">
        <f>D27-C27</f>
        <v>-777</v>
      </c>
      <c r="P27" s="4"/>
      <c r="AG27" s="69"/>
    </row>
    <row r="28" spans="2:44" x14ac:dyDescent="0.3">
      <c r="B28" s="74" t="s">
        <v>21</v>
      </c>
      <c r="C28" s="122">
        <v>110</v>
      </c>
      <c r="D28" s="76">
        <f>C6</f>
        <v>110</v>
      </c>
      <c r="E28" s="77">
        <f>D28-C28</f>
        <v>0</v>
      </c>
      <c r="P28" s="4"/>
    </row>
    <row r="29" spans="2:44" x14ac:dyDescent="0.3">
      <c r="B29" s="74" t="s">
        <v>57</v>
      </c>
      <c r="C29" s="122">
        <v>2437</v>
      </c>
      <c r="D29" s="76">
        <f>C10</f>
        <v>2437</v>
      </c>
      <c r="E29" s="77">
        <f>D29-C29</f>
        <v>0</v>
      </c>
      <c r="P29" s="4"/>
    </row>
    <row r="30" spans="2:44" x14ac:dyDescent="0.3">
      <c r="B30" s="74" t="s">
        <v>59</v>
      </c>
      <c r="C30" s="122">
        <v>15665</v>
      </c>
      <c r="D30" s="76">
        <f>C16+C17+C18</f>
        <v>17417</v>
      </c>
      <c r="E30" s="77">
        <f>D30-C30</f>
        <v>1752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2640</v>
      </c>
      <c r="D31" s="80">
        <f>SUM(C8+C9)</f>
        <v>2640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91" priority="11" operator="lessThan">
      <formula>0</formula>
    </cfRule>
    <cfRule type="cellIs" dxfId="190" priority="12" operator="greaterThan">
      <formula>0</formula>
    </cfRule>
  </conditionalFormatting>
  <conditionalFormatting sqref="S25:AD25">
    <cfRule type="cellIs" dxfId="189" priority="9" operator="lessThan">
      <formula>0</formula>
    </cfRule>
    <cfRule type="cellIs" dxfId="188" priority="10" operator="greaterThan">
      <formula>0</formula>
    </cfRule>
  </conditionalFormatting>
  <conditionalFormatting sqref="S26 U26 W26 Y26 AA26 AC26">
    <cfRule type="cellIs" dxfId="187" priority="7" operator="lessThan">
      <formula>0</formula>
    </cfRule>
    <cfRule type="cellIs" dxfId="186" priority="8" operator="greaterThan">
      <formula>0</formula>
    </cfRule>
  </conditionalFormatting>
  <conditionalFormatting sqref="AE24:AF24">
    <cfRule type="cellIs" dxfId="185" priority="5" operator="lessThan">
      <formula>0</formula>
    </cfRule>
    <cfRule type="cellIs" dxfId="184" priority="6" operator="greaterThan">
      <formula>0</formula>
    </cfRule>
  </conditionalFormatting>
  <conditionalFormatting sqref="AE25:AF25">
    <cfRule type="cellIs" dxfId="183" priority="3" operator="lessThan">
      <formula>0</formula>
    </cfRule>
    <cfRule type="cellIs" dxfId="182" priority="4" operator="greaterThan">
      <formula>0</formula>
    </cfRule>
  </conditionalFormatting>
  <conditionalFormatting sqref="AE26">
    <cfRule type="cellIs" dxfId="181" priority="1" operator="lessThan">
      <formula>0</formula>
    </cfRule>
    <cfRule type="cellIs" dxfId="18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44503</v>
      </c>
    </row>
    <row r="3" spans="2:43" ht="18.75" customHeight="1" thickBot="1" x14ac:dyDescent="0.35">
      <c r="B3" t="s">
        <v>1</v>
      </c>
      <c r="C3" s="3">
        <f>C2+1</f>
        <v>44504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23151</v>
      </c>
      <c r="G6" s="117">
        <v>10566.085499999999</v>
      </c>
      <c r="H6" s="117">
        <v>1689.40567616</v>
      </c>
      <c r="I6" s="19">
        <f>G6+H6</f>
        <v>12255.49117616</v>
      </c>
      <c r="J6" s="119">
        <v>25337</v>
      </c>
      <c r="K6" s="117">
        <v>12352.22</v>
      </c>
      <c r="L6" s="117">
        <v>1700.4406490599999</v>
      </c>
      <c r="M6" s="19">
        <f>K6+L6</f>
        <v>14052.660649059999</v>
      </c>
      <c r="N6" s="85">
        <v>56</v>
      </c>
      <c r="O6" s="85">
        <v>51</v>
      </c>
      <c r="P6" s="85">
        <v>44</v>
      </c>
      <c r="Q6" s="92"/>
      <c r="R6" s="20">
        <f>J6-Q6</f>
        <v>25337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2080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7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11770</v>
      </c>
      <c r="E8" s="29" t="s">
        <v>27</v>
      </c>
      <c r="F8" s="119">
        <v>3580</v>
      </c>
      <c r="G8" s="117">
        <v>4598.3040000000001</v>
      </c>
      <c r="H8" s="117">
        <v>11387.869705079989</v>
      </c>
      <c r="I8" s="19">
        <f>G8+H8</f>
        <v>15986.173705079989</v>
      </c>
      <c r="J8" s="119">
        <v>3417</v>
      </c>
      <c r="K8" s="117">
        <v>5061.7455</v>
      </c>
      <c r="L8" s="117">
        <v>11581.078706660001</v>
      </c>
      <c r="M8" s="19">
        <f>K8+L8</f>
        <v>16642.82420666</v>
      </c>
      <c r="N8" s="87">
        <v>23</v>
      </c>
      <c r="O8" s="87">
        <v>25</v>
      </c>
      <c r="P8" s="87">
        <v>17</v>
      </c>
      <c r="Q8" s="92"/>
      <c r="R8" s="20">
        <f>J8-Q8</f>
        <v>3417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1204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8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2376</v>
      </c>
      <c r="E10" s="18" t="s">
        <v>31</v>
      </c>
      <c r="F10" s="119">
        <v>20886</v>
      </c>
      <c r="G10" s="117">
        <v>15202.0195</v>
      </c>
      <c r="H10" s="117">
        <v>417.20632450000011</v>
      </c>
      <c r="I10" s="19">
        <f>G10+H10</f>
        <v>15619.225824500001</v>
      </c>
      <c r="J10" s="119">
        <v>20808</v>
      </c>
      <c r="K10" s="117">
        <v>16444.087</v>
      </c>
      <c r="L10" s="117">
        <v>412.42070860000001</v>
      </c>
      <c r="M10" s="19">
        <f>K10+L10</f>
        <v>16856.507708599998</v>
      </c>
      <c r="N10" s="88">
        <v>45</v>
      </c>
      <c r="O10" s="88">
        <v>43</v>
      </c>
      <c r="P10" s="88">
        <v>39</v>
      </c>
      <c r="Q10" s="92"/>
      <c r="R10" s="20">
        <f>J10-Q10</f>
        <v>20808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11336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2577</v>
      </c>
      <c r="E12" s="29" t="s">
        <v>35</v>
      </c>
      <c r="F12" s="119">
        <v>15933</v>
      </c>
      <c r="G12" s="117">
        <v>12556.674999999999</v>
      </c>
      <c r="H12" s="117">
        <v>19037.138681410001</v>
      </c>
      <c r="I12" s="19">
        <f>G12+H12</f>
        <v>31593.81368141</v>
      </c>
      <c r="J12" s="119">
        <v>15875</v>
      </c>
      <c r="K12" s="117">
        <v>15182.257250000001</v>
      </c>
      <c r="L12" s="117">
        <v>18982.06136313999</v>
      </c>
      <c r="M12" s="19">
        <f>K12+L12</f>
        <v>34164.318613139993</v>
      </c>
      <c r="N12" s="88">
        <v>55</v>
      </c>
      <c r="O12" s="88">
        <v>55</v>
      </c>
      <c r="P12" s="88">
        <v>45</v>
      </c>
      <c r="Q12" s="92"/>
      <c r="R12" s="20">
        <f>J12-Q12</f>
        <v>15875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f>10735+13732</f>
        <v>24467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1193</v>
      </c>
      <c r="E14" s="18" t="s">
        <v>39</v>
      </c>
      <c r="F14" s="119">
        <v>19641</v>
      </c>
      <c r="G14" s="117">
        <v>15240.986999999999</v>
      </c>
      <c r="H14" s="117">
        <v>24642.80805230001</v>
      </c>
      <c r="I14" s="19">
        <f>G14+H14</f>
        <v>39883.795052300011</v>
      </c>
      <c r="J14" s="119">
        <v>19632</v>
      </c>
      <c r="K14" s="117">
        <v>18145.4915</v>
      </c>
      <c r="L14" s="117">
        <v>24622.950135440009</v>
      </c>
      <c r="M14" s="19">
        <f>K14+L14</f>
        <v>42768.441635440009</v>
      </c>
      <c r="N14" s="88">
        <v>69</v>
      </c>
      <c r="O14" s="88">
        <v>68</v>
      </c>
      <c r="P14" s="88">
        <v>59</v>
      </c>
      <c r="Q14" s="92"/>
      <c r="R14" s="20">
        <f>J14-Q14</f>
        <v>19632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493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9793</v>
      </c>
      <c r="E16" s="84"/>
      <c r="F16" s="31">
        <f>SUM(F6:F15)</f>
        <v>83191</v>
      </c>
      <c r="G16" s="31">
        <f>SUM(G6:G15)</f>
        <v>58164.071000000004</v>
      </c>
      <c r="H16" s="31">
        <f>SUM(H6:H15)</f>
        <v>57174.428439449999</v>
      </c>
      <c r="I16" s="32">
        <f>SUM(I6:I15)</f>
        <v>115338.49943945001</v>
      </c>
      <c r="J16" s="33">
        <v>85069</v>
      </c>
      <c r="K16" s="33">
        <v>67185.801250000004</v>
      </c>
      <c r="L16" s="33">
        <v>57298.951562899987</v>
      </c>
      <c r="M16" s="33">
        <f>SUM(M6:M15)</f>
        <v>124484.7528129</v>
      </c>
      <c r="N16" s="31">
        <f>SUM(N14,N12,N10,N8,N6)</f>
        <v>248</v>
      </c>
      <c r="O16" s="31">
        <f>SUM(O14,O12,O10,O8,O6)</f>
        <v>242</v>
      </c>
      <c r="P16" s="31">
        <f>SUM(P14,P12,P10,P8,P6)</f>
        <v>204</v>
      </c>
      <c r="Q16" s="34">
        <f>SUM(Q6:Q15)</f>
        <v>0</v>
      </c>
      <c r="R16" s="34">
        <f>SUM(R6:R15)</f>
        <v>85069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2489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5233</v>
      </c>
      <c r="P18" s="125">
        <f>P17/N16</f>
        <v>0.15322580645161291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13839</v>
      </c>
      <c r="D26" s="76">
        <f>C11</f>
        <v>11336</v>
      </c>
      <c r="E26" s="77">
        <f>D26-C26</f>
        <v>-2503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39253</v>
      </c>
      <c r="D27" s="76">
        <f>C7+C12+C13+C14+C15</f>
        <v>30810</v>
      </c>
      <c r="E27" s="77">
        <f>D27-C27</f>
        <v>-8443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3">
      <c r="B29" s="74" t="s">
        <v>57</v>
      </c>
      <c r="C29" s="122">
        <v>2376</v>
      </c>
      <c r="D29" s="76">
        <f>C10</f>
        <v>2376</v>
      </c>
      <c r="E29" s="77">
        <f>D29-C29</f>
        <v>0</v>
      </c>
      <c r="P29" s="4"/>
    </row>
    <row r="30" spans="2:44" x14ac:dyDescent="0.3">
      <c r="B30" s="74" t="s">
        <v>59</v>
      </c>
      <c r="C30" s="122">
        <v>17654</v>
      </c>
      <c r="D30" s="76">
        <f>C16+C17+C18</f>
        <v>17515</v>
      </c>
      <c r="E30" s="77">
        <f>D30-C30</f>
        <v>-139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3759</v>
      </c>
      <c r="D31" s="80">
        <f>SUM(C8+C9)</f>
        <v>12974</v>
      </c>
      <c r="E31" s="81">
        <f>C31-D31</f>
        <v>-9215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0">IF(U35&gt;0,(U35-S35)/2,"")</f>
        <v/>
      </c>
      <c r="U35" s="104"/>
      <c r="V35" s="104" t="str">
        <f t="shared" ref="V35:V64" si="1">IF(W35&gt;0,(W35-U35)/2,"")</f>
        <v/>
      </c>
      <c r="W35" s="104"/>
      <c r="X35" s="104" t="str">
        <f t="shared" ref="X35:X64" si="2">IF(Y35&gt;0,(Y35-W35)/2,"")</f>
        <v/>
      </c>
      <c r="Y35" s="104"/>
      <c r="Z35" s="104" t="str">
        <f t="shared" ref="Z35:Z64" si="3">IF(AA35&gt;0,(AA35-Y35)/2,"")</f>
        <v/>
      </c>
      <c r="AA35" s="104"/>
      <c r="AB35" s="104" t="str">
        <f t="shared" ref="AB35:AB64" si="4">IF(AC35&gt;0,(AC35-AA35)/2,"")</f>
        <v/>
      </c>
      <c r="AC35" s="104"/>
      <c r="AD35" s="104" t="str">
        <f t="shared" ref="AD35:AD64" si="5">IF(AE35&gt;0,(AE35-AC35)/2,"")</f>
        <v/>
      </c>
      <c r="AE35" s="104"/>
      <c r="AF35" s="105">
        <f t="shared" ref="AF35:AF64" si="6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0"/>
        <v/>
      </c>
      <c r="U36" s="106"/>
      <c r="V36" s="106" t="str">
        <f t="shared" si="1"/>
        <v/>
      </c>
      <c r="W36" s="106"/>
      <c r="X36" s="106" t="str">
        <f t="shared" si="2"/>
        <v/>
      </c>
      <c r="Y36" s="106"/>
      <c r="Z36" s="106" t="str">
        <f t="shared" si="3"/>
        <v/>
      </c>
      <c r="AA36" s="106"/>
      <c r="AB36" s="106" t="str">
        <f t="shared" si="4"/>
        <v/>
      </c>
      <c r="AC36" s="106"/>
      <c r="AD36" s="106" t="str">
        <f t="shared" si="5"/>
        <v/>
      </c>
      <c r="AE36" s="106"/>
      <c r="AF36" s="107">
        <f t="shared" si="6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0"/>
        <v/>
      </c>
      <c r="U37" s="108"/>
      <c r="V37" s="108" t="str">
        <f t="shared" si="1"/>
        <v/>
      </c>
      <c r="W37" s="108"/>
      <c r="X37" s="108" t="str">
        <f t="shared" si="2"/>
        <v/>
      </c>
      <c r="Y37" s="108"/>
      <c r="Z37" s="108" t="str">
        <f t="shared" si="3"/>
        <v/>
      </c>
      <c r="AA37" s="108"/>
      <c r="AB37" s="108" t="str">
        <f t="shared" si="4"/>
        <v/>
      </c>
      <c r="AC37" s="108"/>
      <c r="AD37" s="108" t="str">
        <f t="shared" si="5"/>
        <v/>
      </c>
      <c r="AE37" s="108"/>
      <c r="AF37" s="109">
        <f t="shared" si="6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0"/>
        <v/>
      </c>
      <c r="U38" s="106"/>
      <c r="V38" s="106" t="str">
        <f t="shared" si="1"/>
        <v/>
      </c>
      <c r="W38" s="106"/>
      <c r="X38" s="106" t="str">
        <f t="shared" si="2"/>
        <v/>
      </c>
      <c r="Y38" s="106"/>
      <c r="Z38" s="106" t="str">
        <f t="shared" si="3"/>
        <v/>
      </c>
      <c r="AA38" s="106"/>
      <c r="AB38" s="106" t="str">
        <f t="shared" si="4"/>
        <v/>
      </c>
      <c r="AC38" s="106"/>
      <c r="AD38" s="106" t="str">
        <f t="shared" si="5"/>
        <v/>
      </c>
      <c r="AE38" s="106"/>
      <c r="AF38" s="107">
        <f t="shared" si="6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0"/>
        <v/>
      </c>
      <c r="U39" s="108"/>
      <c r="V39" s="108" t="str">
        <f t="shared" si="1"/>
        <v/>
      </c>
      <c r="W39" s="108"/>
      <c r="X39" s="108" t="str">
        <f t="shared" si="2"/>
        <v/>
      </c>
      <c r="Y39" s="108"/>
      <c r="Z39" s="108" t="str">
        <f t="shared" si="3"/>
        <v/>
      </c>
      <c r="AA39" s="108"/>
      <c r="AB39" s="108" t="str">
        <f t="shared" si="4"/>
        <v/>
      </c>
      <c r="AC39" s="108"/>
      <c r="AD39" s="108" t="str">
        <f t="shared" si="5"/>
        <v/>
      </c>
      <c r="AE39" s="108"/>
      <c r="AF39" s="109">
        <f t="shared" si="6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0"/>
        <v/>
      </c>
      <c r="U40" s="106"/>
      <c r="V40" s="106" t="str">
        <f t="shared" si="1"/>
        <v/>
      </c>
      <c r="W40" s="106"/>
      <c r="X40" s="106" t="str">
        <f t="shared" si="2"/>
        <v/>
      </c>
      <c r="Y40" s="106"/>
      <c r="Z40" s="106" t="str">
        <f t="shared" si="3"/>
        <v/>
      </c>
      <c r="AA40" s="106"/>
      <c r="AB40" s="106" t="str">
        <f t="shared" si="4"/>
        <v/>
      </c>
      <c r="AC40" s="106"/>
      <c r="AD40" s="106" t="str">
        <f t="shared" si="5"/>
        <v/>
      </c>
      <c r="AE40" s="106"/>
      <c r="AF40" s="107">
        <f t="shared" si="6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0"/>
        <v/>
      </c>
      <c r="U41" s="108"/>
      <c r="V41" s="108" t="str">
        <f t="shared" si="1"/>
        <v/>
      </c>
      <c r="W41" s="108"/>
      <c r="X41" s="108" t="str">
        <f t="shared" si="2"/>
        <v/>
      </c>
      <c r="Y41" s="108"/>
      <c r="Z41" s="108" t="str">
        <f t="shared" si="3"/>
        <v/>
      </c>
      <c r="AA41" s="108"/>
      <c r="AB41" s="108" t="str">
        <f t="shared" si="4"/>
        <v/>
      </c>
      <c r="AC41" s="108"/>
      <c r="AD41" s="108" t="str">
        <f t="shared" si="5"/>
        <v/>
      </c>
      <c r="AE41" s="108"/>
      <c r="AF41" s="109">
        <f t="shared" si="6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0"/>
        <v/>
      </c>
      <c r="U42" s="106"/>
      <c r="V42" s="106" t="str">
        <f t="shared" si="1"/>
        <v/>
      </c>
      <c r="W42" s="106"/>
      <c r="X42" s="106" t="str">
        <f t="shared" si="2"/>
        <v/>
      </c>
      <c r="Y42" s="106"/>
      <c r="Z42" s="106" t="str">
        <f t="shared" si="3"/>
        <v/>
      </c>
      <c r="AA42" s="106"/>
      <c r="AB42" s="106" t="str">
        <f t="shared" si="4"/>
        <v/>
      </c>
      <c r="AC42" s="106"/>
      <c r="AD42" s="106" t="str">
        <f t="shared" si="5"/>
        <v/>
      </c>
      <c r="AE42" s="106"/>
      <c r="AF42" s="107">
        <f t="shared" si="6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0"/>
        <v/>
      </c>
      <c r="U43" s="110"/>
      <c r="V43" s="110" t="str">
        <f t="shared" si="1"/>
        <v/>
      </c>
      <c r="W43" s="110"/>
      <c r="X43" s="110" t="str">
        <f t="shared" si="2"/>
        <v/>
      </c>
      <c r="Y43" s="110"/>
      <c r="Z43" s="110" t="str">
        <f t="shared" si="3"/>
        <v/>
      </c>
      <c r="AA43" s="110"/>
      <c r="AB43" s="110" t="str">
        <f t="shared" si="4"/>
        <v/>
      </c>
      <c r="AC43" s="110"/>
      <c r="AD43" s="110" t="str">
        <f t="shared" si="5"/>
        <v/>
      </c>
      <c r="AE43" s="110"/>
      <c r="AF43" s="111">
        <f t="shared" si="6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0"/>
        <v/>
      </c>
      <c r="U44" s="112"/>
      <c r="V44" s="112" t="str">
        <f t="shared" si="1"/>
        <v/>
      </c>
      <c r="W44" s="112"/>
      <c r="X44" s="112" t="str">
        <f t="shared" si="2"/>
        <v/>
      </c>
      <c r="Y44" s="112"/>
      <c r="Z44" s="112" t="str">
        <f t="shared" si="3"/>
        <v/>
      </c>
      <c r="AA44" s="112"/>
      <c r="AB44" s="112" t="str">
        <f t="shared" si="4"/>
        <v/>
      </c>
      <c r="AC44" s="112"/>
      <c r="AD44" s="112" t="str">
        <f t="shared" si="5"/>
        <v/>
      </c>
      <c r="AE44" s="112"/>
      <c r="AF44" s="113">
        <f t="shared" si="6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0"/>
        <v/>
      </c>
      <c r="U45" s="108"/>
      <c r="V45" s="108" t="str">
        <f t="shared" si="1"/>
        <v/>
      </c>
      <c r="W45" s="108"/>
      <c r="X45" s="108" t="str">
        <f t="shared" si="2"/>
        <v/>
      </c>
      <c r="Y45" s="108"/>
      <c r="Z45" s="108" t="str">
        <f t="shared" si="3"/>
        <v/>
      </c>
      <c r="AA45" s="108"/>
      <c r="AB45" s="108" t="str">
        <f t="shared" si="4"/>
        <v/>
      </c>
      <c r="AC45" s="108"/>
      <c r="AD45" s="108" t="str">
        <f t="shared" si="5"/>
        <v/>
      </c>
      <c r="AE45" s="108"/>
      <c r="AF45" s="109">
        <f t="shared" si="6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0"/>
        <v/>
      </c>
      <c r="U46" s="106"/>
      <c r="V46" s="106" t="str">
        <f t="shared" si="1"/>
        <v/>
      </c>
      <c r="W46" s="106"/>
      <c r="X46" s="106" t="str">
        <f t="shared" si="2"/>
        <v/>
      </c>
      <c r="Y46" s="106"/>
      <c r="Z46" s="106" t="str">
        <f t="shared" si="3"/>
        <v/>
      </c>
      <c r="AA46" s="106"/>
      <c r="AB46" s="106" t="str">
        <f t="shared" si="4"/>
        <v/>
      </c>
      <c r="AC46" s="106"/>
      <c r="AD46" s="106" t="str">
        <f t="shared" si="5"/>
        <v/>
      </c>
      <c r="AE46" s="106"/>
      <c r="AF46" s="107">
        <f t="shared" si="6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0"/>
        <v/>
      </c>
      <c r="U47" s="110"/>
      <c r="V47" s="110" t="str">
        <f t="shared" si="1"/>
        <v/>
      </c>
      <c r="W47" s="110"/>
      <c r="X47" s="110" t="str">
        <f t="shared" si="2"/>
        <v/>
      </c>
      <c r="Y47" s="110"/>
      <c r="Z47" s="110" t="str">
        <f t="shared" si="3"/>
        <v/>
      </c>
      <c r="AA47" s="110"/>
      <c r="AB47" s="110" t="str">
        <f t="shared" si="4"/>
        <v/>
      </c>
      <c r="AC47" s="110"/>
      <c r="AD47" s="110" t="str">
        <f t="shared" si="5"/>
        <v/>
      </c>
      <c r="AE47" s="110"/>
      <c r="AF47" s="111">
        <f t="shared" si="6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0"/>
        <v/>
      </c>
      <c r="U48" s="112"/>
      <c r="V48" s="112" t="str">
        <f t="shared" si="1"/>
        <v/>
      </c>
      <c r="W48" s="112"/>
      <c r="X48" s="112" t="str">
        <f t="shared" si="2"/>
        <v/>
      </c>
      <c r="Y48" s="112"/>
      <c r="Z48" s="112" t="str">
        <f t="shared" si="3"/>
        <v/>
      </c>
      <c r="AA48" s="112"/>
      <c r="AB48" s="112" t="str">
        <f t="shared" si="4"/>
        <v/>
      </c>
      <c r="AC48" s="112"/>
      <c r="AD48" s="112" t="str">
        <f t="shared" si="5"/>
        <v/>
      </c>
      <c r="AE48" s="112"/>
      <c r="AF48" s="113">
        <f t="shared" si="6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0"/>
        <v/>
      </c>
      <c r="U49" s="108"/>
      <c r="V49" s="108" t="str">
        <f t="shared" si="1"/>
        <v/>
      </c>
      <c r="W49" s="108"/>
      <c r="X49" s="108" t="str">
        <f t="shared" si="2"/>
        <v/>
      </c>
      <c r="Y49" s="108"/>
      <c r="Z49" s="108" t="str">
        <f t="shared" si="3"/>
        <v/>
      </c>
      <c r="AA49" s="108"/>
      <c r="AB49" s="108" t="str">
        <f t="shared" si="4"/>
        <v/>
      </c>
      <c r="AC49" s="108"/>
      <c r="AD49" s="108" t="str">
        <f t="shared" si="5"/>
        <v/>
      </c>
      <c r="AE49" s="108"/>
      <c r="AF49" s="109">
        <f t="shared" si="6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0"/>
        <v/>
      </c>
      <c r="U50" s="106"/>
      <c r="V50" s="106" t="str">
        <f t="shared" si="1"/>
        <v/>
      </c>
      <c r="W50" s="106"/>
      <c r="X50" s="106" t="str">
        <f t="shared" si="2"/>
        <v/>
      </c>
      <c r="Y50" s="106"/>
      <c r="Z50" s="106" t="str">
        <f t="shared" si="3"/>
        <v/>
      </c>
      <c r="AA50" s="106"/>
      <c r="AB50" s="106" t="str">
        <f t="shared" si="4"/>
        <v/>
      </c>
      <c r="AC50" s="106"/>
      <c r="AD50" s="106" t="str">
        <f t="shared" si="5"/>
        <v/>
      </c>
      <c r="AE50" s="106"/>
      <c r="AF50" s="107">
        <f t="shared" si="6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0"/>
        <v/>
      </c>
      <c r="U51" s="108"/>
      <c r="V51" s="108" t="str">
        <f t="shared" si="1"/>
        <v/>
      </c>
      <c r="W51" s="108"/>
      <c r="X51" s="108" t="str">
        <f t="shared" si="2"/>
        <v/>
      </c>
      <c r="Y51" s="108"/>
      <c r="Z51" s="108" t="str">
        <f t="shared" si="3"/>
        <v/>
      </c>
      <c r="AA51" s="108"/>
      <c r="AB51" s="108" t="str">
        <f t="shared" si="4"/>
        <v/>
      </c>
      <c r="AC51" s="108"/>
      <c r="AD51" s="108" t="str">
        <f t="shared" si="5"/>
        <v/>
      </c>
      <c r="AE51" s="108"/>
      <c r="AF51" s="109">
        <f t="shared" si="6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0"/>
        <v/>
      </c>
      <c r="U52" s="106"/>
      <c r="V52" s="106" t="str">
        <f t="shared" si="1"/>
        <v/>
      </c>
      <c r="W52" s="106"/>
      <c r="X52" s="106" t="str">
        <f t="shared" si="2"/>
        <v/>
      </c>
      <c r="Y52" s="106"/>
      <c r="Z52" s="106" t="str">
        <f t="shared" si="3"/>
        <v/>
      </c>
      <c r="AA52" s="106"/>
      <c r="AB52" s="106" t="str">
        <f t="shared" si="4"/>
        <v/>
      </c>
      <c r="AC52" s="106"/>
      <c r="AD52" s="106" t="str">
        <f t="shared" si="5"/>
        <v/>
      </c>
      <c r="AE52" s="106"/>
      <c r="AF52" s="107">
        <f t="shared" si="6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0"/>
        <v/>
      </c>
      <c r="U53" s="108"/>
      <c r="V53" s="108" t="str">
        <f t="shared" si="1"/>
        <v/>
      </c>
      <c r="W53" s="108"/>
      <c r="X53" s="108" t="str">
        <f t="shared" si="2"/>
        <v/>
      </c>
      <c r="Y53" s="108"/>
      <c r="Z53" s="108" t="str">
        <f t="shared" si="3"/>
        <v/>
      </c>
      <c r="AA53" s="108"/>
      <c r="AB53" s="108" t="str">
        <f t="shared" si="4"/>
        <v/>
      </c>
      <c r="AC53" s="108"/>
      <c r="AD53" s="108" t="str">
        <f t="shared" si="5"/>
        <v/>
      </c>
      <c r="AE53" s="108"/>
      <c r="AF53" s="109">
        <f t="shared" si="6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0"/>
        <v/>
      </c>
      <c r="U54" s="106"/>
      <c r="V54" s="106" t="str">
        <f t="shared" si="1"/>
        <v/>
      </c>
      <c r="W54" s="106"/>
      <c r="X54" s="106" t="str">
        <f t="shared" si="2"/>
        <v/>
      </c>
      <c r="Y54" s="106"/>
      <c r="Z54" s="106" t="str">
        <f t="shared" si="3"/>
        <v/>
      </c>
      <c r="AA54" s="106"/>
      <c r="AB54" s="106" t="str">
        <f t="shared" si="4"/>
        <v/>
      </c>
      <c r="AC54" s="106"/>
      <c r="AD54" s="106" t="str">
        <f t="shared" si="5"/>
        <v/>
      </c>
      <c r="AE54" s="106"/>
      <c r="AF54" s="107">
        <f t="shared" si="6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0"/>
        <v/>
      </c>
      <c r="U55" s="108"/>
      <c r="V55" s="108" t="str">
        <f t="shared" si="1"/>
        <v/>
      </c>
      <c r="W55" s="108"/>
      <c r="X55" s="108" t="str">
        <f t="shared" si="2"/>
        <v/>
      </c>
      <c r="Y55" s="108"/>
      <c r="Z55" s="108" t="str">
        <f t="shared" si="3"/>
        <v/>
      </c>
      <c r="AA55" s="108"/>
      <c r="AB55" s="108" t="str">
        <f t="shared" si="4"/>
        <v/>
      </c>
      <c r="AC55" s="108"/>
      <c r="AD55" s="108" t="str">
        <f t="shared" si="5"/>
        <v/>
      </c>
      <c r="AE55" s="108"/>
      <c r="AF55" s="109">
        <f t="shared" si="6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0"/>
        <v/>
      </c>
      <c r="U56" s="114"/>
      <c r="V56" s="114" t="str">
        <f t="shared" si="1"/>
        <v/>
      </c>
      <c r="W56" s="114"/>
      <c r="X56" s="114" t="str">
        <f t="shared" si="2"/>
        <v/>
      </c>
      <c r="Y56" s="114"/>
      <c r="Z56" s="114" t="str">
        <f t="shared" si="3"/>
        <v/>
      </c>
      <c r="AA56" s="114"/>
      <c r="AB56" s="114" t="str">
        <f t="shared" si="4"/>
        <v/>
      </c>
      <c r="AC56" s="114"/>
      <c r="AD56" s="114" t="str">
        <f t="shared" si="5"/>
        <v/>
      </c>
      <c r="AE56" s="114"/>
      <c r="AF56" s="115">
        <f t="shared" si="6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0"/>
        <v/>
      </c>
      <c r="U57" s="104"/>
      <c r="V57" s="104" t="str">
        <f t="shared" si="1"/>
        <v/>
      </c>
      <c r="W57" s="104"/>
      <c r="X57" s="104" t="str">
        <f t="shared" si="2"/>
        <v/>
      </c>
      <c r="Y57" s="104"/>
      <c r="Z57" s="104" t="str">
        <f t="shared" si="3"/>
        <v/>
      </c>
      <c r="AA57" s="104"/>
      <c r="AB57" s="104" t="str">
        <f t="shared" si="4"/>
        <v/>
      </c>
      <c r="AC57" s="104"/>
      <c r="AD57" s="104" t="str">
        <f t="shared" si="5"/>
        <v/>
      </c>
      <c r="AE57" s="104"/>
      <c r="AF57" s="105">
        <f t="shared" si="6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0"/>
        <v/>
      </c>
      <c r="U58" s="106"/>
      <c r="V58" s="106" t="str">
        <f t="shared" si="1"/>
        <v/>
      </c>
      <c r="W58" s="106"/>
      <c r="X58" s="106" t="str">
        <f t="shared" si="2"/>
        <v/>
      </c>
      <c r="Y58" s="106"/>
      <c r="Z58" s="106" t="str">
        <f t="shared" si="3"/>
        <v/>
      </c>
      <c r="AA58" s="106"/>
      <c r="AB58" s="106" t="str">
        <f t="shared" si="4"/>
        <v/>
      </c>
      <c r="AC58" s="106"/>
      <c r="AD58" s="106" t="str">
        <f t="shared" si="5"/>
        <v/>
      </c>
      <c r="AE58" s="106"/>
      <c r="AF58" s="107">
        <f t="shared" si="6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0"/>
        <v/>
      </c>
      <c r="U59" s="108"/>
      <c r="V59" s="108" t="str">
        <f t="shared" si="1"/>
        <v/>
      </c>
      <c r="W59" s="108"/>
      <c r="X59" s="108" t="str">
        <f t="shared" si="2"/>
        <v/>
      </c>
      <c r="Y59" s="108"/>
      <c r="Z59" s="108" t="str">
        <f t="shared" si="3"/>
        <v/>
      </c>
      <c r="AA59" s="108"/>
      <c r="AB59" s="108" t="str">
        <f t="shared" si="4"/>
        <v/>
      </c>
      <c r="AC59" s="108"/>
      <c r="AD59" s="108" t="str">
        <f t="shared" si="5"/>
        <v/>
      </c>
      <c r="AE59" s="108"/>
      <c r="AF59" s="109">
        <f t="shared" si="6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0"/>
        <v/>
      </c>
      <c r="U60" s="114"/>
      <c r="V60" s="114" t="str">
        <f t="shared" si="1"/>
        <v/>
      </c>
      <c r="W60" s="114"/>
      <c r="X60" s="114" t="str">
        <f t="shared" si="2"/>
        <v/>
      </c>
      <c r="Y60" s="114"/>
      <c r="Z60" s="114" t="str">
        <f t="shared" si="3"/>
        <v/>
      </c>
      <c r="AA60" s="114"/>
      <c r="AB60" s="114" t="str">
        <f t="shared" si="4"/>
        <v/>
      </c>
      <c r="AC60" s="114"/>
      <c r="AD60" s="114" t="str">
        <f t="shared" si="5"/>
        <v/>
      </c>
      <c r="AE60" s="114"/>
      <c r="AF60" s="115">
        <f t="shared" si="6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0"/>
        <v/>
      </c>
      <c r="U61" s="104"/>
      <c r="V61" s="104" t="str">
        <f t="shared" si="1"/>
        <v/>
      </c>
      <c r="W61" s="104"/>
      <c r="X61" s="104" t="str">
        <f t="shared" si="2"/>
        <v/>
      </c>
      <c r="Y61" s="104"/>
      <c r="Z61" s="104" t="str">
        <f t="shared" si="3"/>
        <v/>
      </c>
      <c r="AA61" s="104"/>
      <c r="AB61" s="104" t="str">
        <f t="shared" si="4"/>
        <v/>
      </c>
      <c r="AC61" s="104"/>
      <c r="AD61" s="104" t="str">
        <f t="shared" si="5"/>
        <v/>
      </c>
      <c r="AE61" s="104"/>
      <c r="AF61" s="105">
        <f t="shared" si="6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0"/>
        <v/>
      </c>
      <c r="U62" s="106"/>
      <c r="V62" s="106" t="str">
        <f t="shared" si="1"/>
        <v/>
      </c>
      <c r="W62" s="106"/>
      <c r="X62" s="106" t="str">
        <f t="shared" si="2"/>
        <v/>
      </c>
      <c r="Y62" s="106"/>
      <c r="Z62" s="106" t="str">
        <f t="shared" si="3"/>
        <v/>
      </c>
      <c r="AA62" s="106"/>
      <c r="AB62" s="106" t="str">
        <f t="shared" si="4"/>
        <v/>
      </c>
      <c r="AC62" s="106"/>
      <c r="AD62" s="106" t="str">
        <f t="shared" si="5"/>
        <v/>
      </c>
      <c r="AE62" s="106"/>
      <c r="AF62" s="107">
        <f t="shared" si="6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0"/>
        <v/>
      </c>
      <c r="U63" s="108"/>
      <c r="V63" s="108" t="str">
        <f t="shared" si="1"/>
        <v/>
      </c>
      <c r="W63" s="108"/>
      <c r="X63" s="108" t="str">
        <f t="shared" si="2"/>
        <v/>
      </c>
      <c r="Y63" s="108"/>
      <c r="Z63" s="108" t="str">
        <f t="shared" si="3"/>
        <v/>
      </c>
      <c r="AA63" s="108"/>
      <c r="AB63" s="108" t="str">
        <f t="shared" si="4"/>
        <v/>
      </c>
      <c r="AC63" s="108"/>
      <c r="AD63" s="108" t="str">
        <f t="shared" si="5"/>
        <v/>
      </c>
      <c r="AE63" s="108"/>
      <c r="AF63" s="109">
        <f t="shared" si="6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0"/>
        <v/>
      </c>
      <c r="U64" s="114"/>
      <c r="V64" s="114" t="str">
        <f t="shared" si="1"/>
        <v/>
      </c>
      <c r="W64" s="114"/>
      <c r="X64" s="114" t="str">
        <f t="shared" si="2"/>
        <v/>
      </c>
      <c r="Y64" s="114"/>
      <c r="Z64" s="114" t="str">
        <f t="shared" si="3"/>
        <v/>
      </c>
      <c r="AA64" s="114"/>
      <c r="AB64" s="114" t="str">
        <f t="shared" si="4"/>
        <v/>
      </c>
      <c r="AC64" s="114"/>
      <c r="AD64" s="114" t="str">
        <f t="shared" si="5"/>
        <v/>
      </c>
      <c r="AE64" s="114"/>
      <c r="AF64" s="115">
        <f t="shared" si="6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79" priority="11" operator="lessThan">
      <formula>0</formula>
    </cfRule>
    <cfRule type="cellIs" dxfId="178" priority="12" operator="greaterThan">
      <formula>0</formula>
    </cfRule>
  </conditionalFormatting>
  <conditionalFormatting sqref="S25:AD25">
    <cfRule type="cellIs" dxfId="177" priority="9" operator="lessThan">
      <formula>0</formula>
    </cfRule>
    <cfRule type="cellIs" dxfId="176" priority="10" operator="greaterThan">
      <formula>0</formula>
    </cfRule>
  </conditionalFormatting>
  <conditionalFormatting sqref="S26 U26 W26 Y26 AA26 AC26">
    <cfRule type="cellIs" dxfId="175" priority="7" operator="lessThan">
      <formula>0</formula>
    </cfRule>
    <cfRule type="cellIs" dxfId="174" priority="8" operator="greaterThan">
      <formula>0</formula>
    </cfRule>
  </conditionalFormatting>
  <conditionalFormatting sqref="AE24:AF24">
    <cfRule type="cellIs" dxfId="173" priority="5" operator="lessThan">
      <formula>0</formula>
    </cfRule>
    <cfRule type="cellIs" dxfId="172" priority="6" operator="greaterThan">
      <formula>0</formula>
    </cfRule>
  </conditionalFormatting>
  <conditionalFormatting sqref="AE25:AF25">
    <cfRule type="cellIs" dxfId="171" priority="3" operator="lessThan">
      <formula>0</formula>
    </cfRule>
    <cfRule type="cellIs" dxfId="170" priority="4" operator="greaterThan">
      <formula>0</formula>
    </cfRule>
  </conditionalFormatting>
  <conditionalFormatting sqref="AE26">
    <cfRule type="cellIs" dxfId="169" priority="1" operator="lessThan">
      <formula>0</formula>
    </cfRule>
    <cfRule type="cellIs" dxfId="168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>
    <tabColor theme="1"/>
    <pageSetUpPr fitToPage="1"/>
  </sheetPr>
  <dimension ref="B1:AR64"/>
  <sheetViews>
    <sheetView topLeftCell="A3" zoomScale="123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44504</v>
      </c>
    </row>
    <row r="3" spans="2:43" ht="18.75" customHeight="1" thickBot="1" x14ac:dyDescent="0.35">
      <c r="B3" t="s">
        <v>1</v>
      </c>
      <c r="C3" s="3">
        <f>C2+1</f>
        <v>44505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164</v>
      </c>
      <c r="E6" s="18" t="s">
        <v>22</v>
      </c>
      <c r="F6" s="119">
        <v>23537</v>
      </c>
      <c r="G6" s="117">
        <v>10476.489</v>
      </c>
      <c r="H6" s="117">
        <v>1684.6580648199999</v>
      </c>
      <c r="I6" s="19">
        <f>G6+H6</f>
        <v>12161.147064819999</v>
      </c>
      <c r="J6" s="119">
        <v>23874</v>
      </c>
      <c r="K6" s="117">
        <v>12365.057000000001</v>
      </c>
      <c r="L6" s="117">
        <v>1657.5623115200001</v>
      </c>
      <c r="M6" s="19">
        <f>K6+L6</f>
        <v>14022.61931152</v>
      </c>
      <c r="N6" s="85">
        <v>50</v>
      </c>
      <c r="O6" s="85">
        <v>52</v>
      </c>
      <c r="P6" s="85">
        <v>42</v>
      </c>
      <c r="Q6" s="92"/>
      <c r="R6" s="20">
        <f>J6-Q6</f>
        <v>23874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1978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10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1820</v>
      </c>
      <c r="E8" s="29" t="s">
        <v>27</v>
      </c>
      <c r="F8" s="119">
        <v>5431</v>
      </c>
      <c r="G8" s="117">
        <v>6372.1536000000006</v>
      </c>
      <c r="H8" s="117">
        <v>14617.331169400009</v>
      </c>
      <c r="I8" s="19">
        <f>G8+H8</f>
        <v>20989.484769400009</v>
      </c>
      <c r="J8" s="119">
        <v>5541</v>
      </c>
      <c r="K8" s="117">
        <v>7911.9510999999993</v>
      </c>
      <c r="L8" s="117">
        <v>14938.14162076</v>
      </c>
      <c r="M8" s="19">
        <f>K8+L8</f>
        <v>22850.09272076</v>
      </c>
      <c r="N8" s="87">
        <v>30</v>
      </c>
      <c r="O8" s="87">
        <v>29</v>
      </c>
      <c r="P8" s="87">
        <v>23</v>
      </c>
      <c r="Q8" s="92"/>
      <c r="R8" s="20">
        <f>J8-Q8</f>
        <v>5541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1176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6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4208</v>
      </c>
      <c r="E10" s="18" t="s">
        <v>31</v>
      </c>
      <c r="F10" s="119">
        <v>20921</v>
      </c>
      <c r="G10" s="117">
        <v>12992.027249999999</v>
      </c>
      <c r="H10" s="117">
        <v>390.68244340000001</v>
      </c>
      <c r="I10" s="19">
        <f>G10+H10</f>
        <v>13382.7096934</v>
      </c>
      <c r="J10" s="119">
        <v>24446</v>
      </c>
      <c r="K10" s="117">
        <v>17754.064249999999</v>
      </c>
      <c r="L10" s="117">
        <v>397.41750450000012</v>
      </c>
      <c r="M10" s="19">
        <f>K10+L10</f>
        <v>18151.481754500001</v>
      </c>
      <c r="N10" s="88">
        <v>58</v>
      </c>
      <c r="O10" s="88">
        <v>55</v>
      </c>
      <c r="P10" s="88">
        <v>50</v>
      </c>
      <c r="Q10" s="92"/>
      <c r="R10" s="20">
        <f>J10-Q10</f>
        <v>24446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11290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2466</v>
      </c>
      <c r="E12" s="29" t="s">
        <v>35</v>
      </c>
      <c r="F12" s="119">
        <v>14786</v>
      </c>
      <c r="G12" s="117">
        <v>11423.143</v>
      </c>
      <c r="H12" s="117">
        <v>19548.49166892</v>
      </c>
      <c r="I12" s="19">
        <f>G12+H12</f>
        <v>30971.63466892</v>
      </c>
      <c r="J12" s="119">
        <v>15142</v>
      </c>
      <c r="K12" s="117">
        <v>15062.920249999999</v>
      </c>
      <c r="L12" s="117">
        <v>19782.401602580001</v>
      </c>
      <c r="M12" s="19">
        <f>K12+L12</f>
        <v>34845.321852580004</v>
      </c>
      <c r="N12" s="88">
        <v>49</v>
      </c>
      <c r="O12" s="88">
        <v>50</v>
      </c>
      <c r="P12" s="88">
        <v>41</v>
      </c>
      <c r="Q12" s="92"/>
      <c r="R12" s="20">
        <f>J12-Q12</f>
        <v>15142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24687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1290</v>
      </c>
      <c r="E14" s="18" t="s">
        <v>39</v>
      </c>
      <c r="F14" s="119">
        <v>25654</v>
      </c>
      <c r="G14" s="117">
        <v>17181.544999999998</v>
      </c>
      <c r="H14" s="117">
        <v>30980.801953959999</v>
      </c>
      <c r="I14" s="19">
        <f>G14+H14</f>
        <v>48162.346953959997</v>
      </c>
      <c r="J14" s="119">
        <v>25830</v>
      </c>
      <c r="K14" s="117">
        <v>20153.666249999998</v>
      </c>
      <c r="L14" s="117">
        <v>31121.30358826002</v>
      </c>
      <c r="M14" s="19">
        <f>K14+L14</f>
        <v>51274.969838260018</v>
      </c>
      <c r="N14" s="88">
        <v>67</v>
      </c>
      <c r="O14" s="88">
        <v>65</v>
      </c>
      <c r="P14" s="88">
        <v>57</v>
      </c>
      <c r="Q14" s="92"/>
      <c r="R14" s="20">
        <f>J14-Q14</f>
        <v>25830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404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9530</v>
      </c>
      <c r="E16" s="84"/>
      <c r="F16" s="31">
        <f t="shared" ref="F16:M16" si="0">SUM(F6:F15)</f>
        <v>90329</v>
      </c>
      <c r="G16" s="31">
        <f t="shared" si="0"/>
        <v>58445.35785</v>
      </c>
      <c r="H16" s="31">
        <f t="shared" si="0"/>
        <v>67221.965300500015</v>
      </c>
      <c r="I16" s="32">
        <f t="shared" si="0"/>
        <v>125667.32315050001</v>
      </c>
      <c r="J16" s="33">
        <f t="shared" si="0"/>
        <v>94833</v>
      </c>
      <c r="K16" s="33">
        <f t="shared" si="0"/>
        <v>73247.658849999993</v>
      </c>
      <c r="L16" s="33">
        <f t="shared" si="0"/>
        <v>67896.82662762003</v>
      </c>
      <c r="M16" s="33">
        <f t="shared" si="0"/>
        <v>141144.48547762004</v>
      </c>
      <c r="N16" s="31">
        <f>SUM(N14,N12,N10,N8,N6)</f>
        <v>254</v>
      </c>
      <c r="O16" s="31">
        <f>SUM(O14,O12,O10,O8,O6)</f>
        <v>251</v>
      </c>
      <c r="P16" s="31">
        <f>SUM(P14,P12,P10,P8,P6)</f>
        <v>213</v>
      </c>
      <c r="Q16" s="34">
        <f>SUM(Q6:Q15)</f>
        <v>0</v>
      </c>
      <c r="R16" s="34">
        <f>SUM(R6:R15)</f>
        <v>94833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2800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4708</v>
      </c>
      <c r="P18" s="125">
        <f>P17/N16</f>
        <v>0.14960629921259844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14650</v>
      </c>
      <c r="D26" s="76">
        <f>C11</f>
        <v>11290</v>
      </c>
      <c r="E26" s="77">
        <f>D26-C26</f>
        <v>-3360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36439</v>
      </c>
      <c r="D27" s="76">
        <f>C7+C12+C13+C14+C15</f>
        <v>30825</v>
      </c>
      <c r="E27" s="77">
        <f>D27-C27</f>
        <v>-5614</v>
      </c>
      <c r="P27" s="4"/>
      <c r="AG27" s="69"/>
    </row>
    <row r="28" spans="2:44" x14ac:dyDescent="0.3">
      <c r="B28" s="74" t="s">
        <v>21</v>
      </c>
      <c r="C28" s="122">
        <v>164</v>
      </c>
      <c r="D28" s="76">
        <f>C6</f>
        <v>164</v>
      </c>
      <c r="E28" s="77">
        <f>D28-C28</f>
        <v>0</v>
      </c>
      <c r="P28" s="4"/>
    </row>
    <row r="29" spans="2:44" x14ac:dyDescent="0.3">
      <c r="B29" s="74" t="s">
        <v>57</v>
      </c>
      <c r="C29" s="122">
        <v>4208</v>
      </c>
      <c r="D29" s="76">
        <f>C10</f>
        <v>4208</v>
      </c>
      <c r="E29" s="77">
        <f>D29-C29</f>
        <v>0</v>
      </c>
      <c r="P29" s="4"/>
    </row>
    <row r="30" spans="2:44" x14ac:dyDescent="0.3">
      <c r="B30" s="74" t="s">
        <v>59</v>
      </c>
      <c r="C30" s="122">
        <v>16021</v>
      </c>
      <c r="D30" s="76">
        <f>C16+C17+C18</f>
        <v>17038</v>
      </c>
      <c r="E30" s="77">
        <f>D30-C30</f>
        <v>1017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3700</v>
      </c>
      <c r="D31" s="80">
        <f>SUM(C8+C9)</f>
        <v>2996</v>
      </c>
      <c r="E31" s="81">
        <f>C31-D31</f>
        <v>704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67" priority="11" operator="lessThan">
      <formula>0</formula>
    </cfRule>
    <cfRule type="cellIs" dxfId="166" priority="12" operator="greaterThan">
      <formula>0</formula>
    </cfRule>
  </conditionalFormatting>
  <conditionalFormatting sqref="S25:AD25">
    <cfRule type="cellIs" dxfId="165" priority="9" operator="lessThan">
      <formula>0</formula>
    </cfRule>
    <cfRule type="cellIs" dxfId="164" priority="10" operator="greaterThan">
      <formula>0</formula>
    </cfRule>
  </conditionalFormatting>
  <conditionalFormatting sqref="S26 U26 W26 Y26 AA26 AC26">
    <cfRule type="cellIs" dxfId="163" priority="7" operator="lessThan">
      <formula>0</formula>
    </cfRule>
    <cfRule type="cellIs" dxfId="162" priority="8" operator="greaterThan">
      <formula>0</formula>
    </cfRule>
  </conditionalFormatting>
  <conditionalFormatting sqref="AE24:AF24">
    <cfRule type="cellIs" dxfId="161" priority="5" operator="lessThan">
      <formula>0</formula>
    </cfRule>
    <cfRule type="cellIs" dxfId="160" priority="6" operator="greaterThan">
      <formula>0</formula>
    </cfRule>
  </conditionalFormatting>
  <conditionalFormatting sqref="AE25:AF25">
    <cfRule type="cellIs" dxfId="159" priority="3" operator="lessThan">
      <formula>0</formula>
    </cfRule>
    <cfRule type="cellIs" dxfId="158" priority="4" operator="greaterThan">
      <formula>0</formula>
    </cfRule>
  </conditionalFormatting>
  <conditionalFormatting sqref="AE26">
    <cfRule type="cellIs" dxfId="157" priority="1" operator="lessThan">
      <formula>0</formula>
    </cfRule>
    <cfRule type="cellIs" dxfId="156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44505</v>
      </c>
    </row>
    <row r="3" spans="2:43" ht="18.75" customHeight="1" thickBot="1" x14ac:dyDescent="0.35">
      <c r="B3" t="s">
        <v>1</v>
      </c>
      <c r="C3" s="3">
        <f>C2+1</f>
        <v>44506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20213</v>
      </c>
      <c r="G6" s="117">
        <v>10405.439</v>
      </c>
      <c r="H6" s="117">
        <v>1541.1337441999999</v>
      </c>
      <c r="I6" s="19">
        <f>G6+H6</f>
        <v>11946.572744200001</v>
      </c>
      <c r="J6" s="119">
        <v>19204</v>
      </c>
      <c r="K6" s="117">
        <v>10272.60975</v>
      </c>
      <c r="L6" s="117">
        <v>1440.3418308800001</v>
      </c>
      <c r="M6" s="19">
        <f>K6+L6</f>
        <v>11712.951580879999</v>
      </c>
      <c r="N6" s="85">
        <v>50</v>
      </c>
      <c r="O6" s="85">
        <v>49</v>
      </c>
      <c r="P6" s="85">
        <v>45</v>
      </c>
      <c r="Q6" s="92"/>
      <c r="R6" s="20">
        <f>J6-Q6</f>
        <v>19204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2358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1937</v>
      </c>
      <c r="E8" s="29" t="s">
        <v>27</v>
      </c>
      <c r="F8" s="119">
        <v>3007</v>
      </c>
      <c r="G8" s="117">
        <v>6196.4684999999999</v>
      </c>
      <c r="H8" s="117">
        <v>13124.6671413</v>
      </c>
      <c r="I8" s="19">
        <f>G8+H8</f>
        <v>19321.135641299999</v>
      </c>
      <c r="J8" s="119">
        <v>3074</v>
      </c>
      <c r="K8" s="117">
        <v>6848.5774999999994</v>
      </c>
      <c r="L8" s="117">
        <v>12606.880228880011</v>
      </c>
      <c r="M8" s="19">
        <f>K8+L8</f>
        <v>19455.45772888001</v>
      </c>
      <c r="N8" s="87">
        <v>29</v>
      </c>
      <c r="O8" s="87">
        <v>30</v>
      </c>
      <c r="P8" s="87">
        <v>22</v>
      </c>
      <c r="Q8" s="92"/>
      <c r="R8" s="20">
        <f>J8-Q8</f>
        <v>3074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1108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8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2415</v>
      </c>
      <c r="E10" s="18" t="s">
        <v>31</v>
      </c>
      <c r="F10" s="119">
        <v>10971</v>
      </c>
      <c r="G10" s="117">
        <v>15428.261</v>
      </c>
      <c r="H10" s="117">
        <v>329.769564</v>
      </c>
      <c r="I10" s="19">
        <f>G10+H10</f>
        <v>15758.030564000001</v>
      </c>
      <c r="J10" s="119">
        <v>11015</v>
      </c>
      <c r="K10" s="117">
        <v>8458.7945</v>
      </c>
      <c r="L10" s="117">
        <v>323.63714640000001</v>
      </c>
      <c r="M10" s="19">
        <f>K10+L10</f>
        <v>8782.4316464000003</v>
      </c>
      <c r="N10" s="88">
        <v>53</v>
      </c>
      <c r="O10" s="88">
        <v>49</v>
      </c>
      <c r="P10" s="88">
        <v>44</v>
      </c>
      <c r="Q10" s="92"/>
      <c r="R10" s="20">
        <f>J10-Q10</f>
        <v>11015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11151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2577</v>
      </c>
      <c r="E12" s="29" t="s">
        <v>35</v>
      </c>
      <c r="F12" s="119">
        <v>14714</v>
      </c>
      <c r="G12" s="117">
        <v>12491.499</v>
      </c>
      <c r="H12" s="117">
        <v>19375.584210929999</v>
      </c>
      <c r="I12" s="19">
        <f>G12+H12</f>
        <v>31867.083210929999</v>
      </c>
      <c r="J12" s="119">
        <v>16656</v>
      </c>
      <c r="K12" s="117">
        <v>16422.1325</v>
      </c>
      <c r="L12" s="117">
        <v>19593.319416359998</v>
      </c>
      <c r="M12" s="19">
        <f>K12+L12</f>
        <v>36015.451916359998</v>
      </c>
      <c r="N12" s="88">
        <v>51</v>
      </c>
      <c r="O12" s="88">
        <v>50</v>
      </c>
      <c r="P12" s="88">
        <v>45</v>
      </c>
      <c r="Q12" s="92"/>
      <c r="R12" s="20">
        <f>J12-Q12</f>
        <v>16656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30484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1609</v>
      </c>
      <c r="E14" s="18" t="s">
        <v>39</v>
      </c>
      <c r="F14" s="119">
        <v>20452</v>
      </c>
      <c r="G14" s="117">
        <v>17060.415249999998</v>
      </c>
      <c r="H14" s="117">
        <v>25909.334487519991</v>
      </c>
      <c r="I14" s="19">
        <f>G14+H14</f>
        <v>42969.749737519989</v>
      </c>
      <c r="J14" s="119">
        <v>28490</v>
      </c>
      <c r="K14" s="117">
        <v>22404.993750000001</v>
      </c>
      <c r="L14" s="117">
        <v>31611.925527259998</v>
      </c>
      <c r="M14" s="19">
        <f>K14+L14</f>
        <v>54016.91927726</v>
      </c>
      <c r="N14" s="88">
        <v>74</v>
      </c>
      <c r="O14" s="88">
        <v>72</v>
      </c>
      <c r="P14" s="88">
        <v>64</v>
      </c>
      <c r="Q14" s="92"/>
      <c r="R14" s="20">
        <f>J14-Q14</f>
        <v>28490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493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8040</v>
      </c>
      <c r="E16" s="84"/>
      <c r="F16" s="31">
        <f t="shared" ref="F16:M16" si="0">SUM(F6:F15)</f>
        <v>69357</v>
      </c>
      <c r="G16" s="31">
        <f t="shared" si="0"/>
        <v>61582.082749999994</v>
      </c>
      <c r="H16" s="31">
        <f t="shared" si="0"/>
        <v>60280.489147949993</v>
      </c>
      <c r="I16" s="32">
        <f t="shared" si="0"/>
        <v>121862.57189794999</v>
      </c>
      <c r="J16" s="33">
        <f t="shared" si="0"/>
        <v>78439</v>
      </c>
      <c r="K16" s="33">
        <f t="shared" si="0"/>
        <v>64407.108</v>
      </c>
      <c r="L16" s="33">
        <f t="shared" si="0"/>
        <v>65576.104149780003</v>
      </c>
      <c r="M16" s="33">
        <f t="shared" si="0"/>
        <v>129983.21214978001</v>
      </c>
      <c r="N16" s="31">
        <f>SUM(N14,N12,N10,N8,N6)</f>
        <v>257</v>
      </c>
      <c r="O16" s="31">
        <f>SUM(O14,O12,O10,O8,O6)</f>
        <v>250</v>
      </c>
      <c r="P16" s="31">
        <f>SUM(P14,P12,P10,P8,P6)</f>
        <v>220</v>
      </c>
      <c r="Q16" s="34">
        <f>SUM(Q6:Q15)</f>
        <v>0</v>
      </c>
      <c r="R16" s="34">
        <f>SUM(R6:R15)</f>
        <v>78439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617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30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4289</v>
      </c>
      <c r="P18" s="125">
        <f>P17/N16</f>
        <v>0.11673151750972763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12398</v>
      </c>
      <c r="D26" s="76">
        <f>C11</f>
        <v>11151</v>
      </c>
      <c r="E26" s="77">
        <f>D26-C26</f>
        <v>-1247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39843</v>
      </c>
      <c r="D27" s="76">
        <f>C7+C12+C13+C14+C15</f>
        <v>37521</v>
      </c>
      <c r="E27" s="77">
        <f>D27-C27</f>
        <v>-2322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3">
      <c r="B29" s="74" t="s">
        <v>57</v>
      </c>
      <c r="C29" s="122">
        <v>2415</v>
      </c>
      <c r="D29" s="76">
        <f>C10</f>
        <v>2415</v>
      </c>
      <c r="E29" s="77">
        <f>D29-C29</f>
        <v>0</v>
      </c>
      <c r="P29" s="4"/>
    </row>
    <row r="30" spans="2:44" x14ac:dyDescent="0.3">
      <c r="B30" s="74" t="s">
        <v>59</v>
      </c>
      <c r="C30" s="122">
        <v>13453</v>
      </c>
      <c r="D30" s="76">
        <f>C16+C17+C18</f>
        <v>12946</v>
      </c>
      <c r="E30" s="77">
        <f>D30-C30</f>
        <v>-507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4086</v>
      </c>
      <c r="D31" s="80">
        <f>SUM(C8+C9)</f>
        <v>3045</v>
      </c>
      <c r="E31" s="81">
        <f>C31-D31</f>
        <v>1041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55" priority="11" operator="lessThan">
      <formula>0</formula>
    </cfRule>
    <cfRule type="cellIs" dxfId="154" priority="12" operator="greaterThan">
      <formula>0</formula>
    </cfRule>
  </conditionalFormatting>
  <conditionalFormatting sqref="S25:AD25">
    <cfRule type="cellIs" dxfId="153" priority="9" operator="lessThan">
      <formula>0</formula>
    </cfRule>
    <cfRule type="cellIs" dxfId="152" priority="10" operator="greaterThan">
      <formula>0</formula>
    </cfRule>
  </conditionalFormatting>
  <conditionalFormatting sqref="S26 U26 W26 Y26 AA26 AC26">
    <cfRule type="cellIs" dxfId="151" priority="7" operator="lessThan">
      <formula>0</formula>
    </cfRule>
    <cfRule type="cellIs" dxfId="150" priority="8" operator="greaterThan">
      <formula>0</formula>
    </cfRule>
  </conditionalFormatting>
  <conditionalFormatting sqref="AE24:AF24">
    <cfRule type="cellIs" dxfId="149" priority="5" operator="lessThan">
      <formula>0</formula>
    </cfRule>
    <cfRule type="cellIs" dxfId="148" priority="6" operator="greaterThan">
      <formula>0</formula>
    </cfRule>
  </conditionalFormatting>
  <conditionalFormatting sqref="AE25:AF25">
    <cfRule type="cellIs" dxfId="147" priority="3" operator="lessThan">
      <formula>0</formula>
    </cfRule>
    <cfRule type="cellIs" dxfId="146" priority="4" operator="greaterThan">
      <formula>0</formula>
    </cfRule>
  </conditionalFormatting>
  <conditionalFormatting sqref="AE26">
    <cfRule type="cellIs" dxfId="145" priority="1" operator="lessThan">
      <formula>0</formula>
    </cfRule>
    <cfRule type="cellIs" dxfId="144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44506</v>
      </c>
    </row>
    <row r="3" spans="2:43" ht="18.75" customHeight="1" thickBot="1" x14ac:dyDescent="0.35">
      <c r="B3" t="s">
        <v>1</v>
      </c>
      <c r="C3" s="3">
        <f>C2+1</f>
        <v>44507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2538</v>
      </c>
      <c r="E6" s="18" t="s">
        <v>22</v>
      </c>
      <c r="F6" s="119">
        <v>21312</v>
      </c>
      <c r="G6" s="117">
        <v>9332.6330000000016</v>
      </c>
      <c r="H6" s="117">
        <v>1554.4049199000001</v>
      </c>
      <c r="I6" s="19">
        <f>G6+H6</f>
        <v>10887.037919900002</v>
      </c>
      <c r="J6" s="119">
        <v>24161</v>
      </c>
      <c r="K6" s="117">
        <v>11639.849249999999</v>
      </c>
      <c r="L6" s="117">
        <v>1633.7836810599999</v>
      </c>
      <c r="M6" s="19">
        <f>K6+L6</f>
        <v>13273.632931059999</v>
      </c>
      <c r="N6" s="85">
        <v>64</v>
      </c>
      <c r="O6" s="85">
        <v>50</v>
      </c>
      <c r="P6" s="85">
        <v>58</v>
      </c>
      <c r="Q6" s="92"/>
      <c r="R6" s="20">
        <f>J6-Q6</f>
        <v>24161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3038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-8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2257</v>
      </c>
      <c r="E8" s="29" t="s">
        <v>27</v>
      </c>
      <c r="F8" s="119">
        <v>3162</v>
      </c>
      <c r="G8" s="117">
        <v>4307.2099999999991</v>
      </c>
      <c r="H8" s="117">
        <v>11752.483703679991</v>
      </c>
      <c r="I8" s="19">
        <f>G8+H8</f>
        <v>16059.69370367999</v>
      </c>
      <c r="J8" s="119">
        <v>3750</v>
      </c>
      <c r="K8" s="117">
        <v>5337.9605333333338</v>
      </c>
      <c r="L8" s="117">
        <v>12182.129280779989</v>
      </c>
      <c r="M8" s="19">
        <f>K8+L8</f>
        <v>17520.089814113322</v>
      </c>
      <c r="N8" s="87">
        <v>35</v>
      </c>
      <c r="O8" s="87">
        <v>33</v>
      </c>
      <c r="P8" s="87">
        <v>26</v>
      </c>
      <c r="Q8" s="92"/>
      <c r="R8" s="20">
        <f>J8-Q8</f>
        <v>3750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1109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1430</v>
      </c>
      <c r="E10" s="18" t="s">
        <v>31</v>
      </c>
      <c r="F10" s="119">
        <v>17716</v>
      </c>
      <c r="G10" s="117">
        <v>11715.0805</v>
      </c>
      <c r="H10" s="117">
        <v>393.38604650000008</v>
      </c>
      <c r="I10" s="19">
        <f>G10+H10</f>
        <v>12108.4665465</v>
      </c>
      <c r="J10" s="119">
        <v>18893</v>
      </c>
      <c r="K10" s="117">
        <v>14003.153249999999</v>
      </c>
      <c r="L10" s="117">
        <v>420.65262689999997</v>
      </c>
      <c r="M10" s="19">
        <f>K10+L10</f>
        <v>14423.8058769</v>
      </c>
      <c r="N10" s="88">
        <v>53</v>
      </c>
      <c r="O10" s="88">
        <v>48</v>
      </c>
      <c r="P10" s="88">
        <v>46</v>
      </c>
      <c r="Q10" s="92"/>
      <c r="R10" s="20">
        <f>J10-Q10</f>
        <v>18893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9032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3937</v>
      </c>
      <c r="E12" s="29" t="s">
        <v>35</v>
      </c>
      <c r="F12" s="119">
        <v>16082</v>
      </c>
      <c r="G12" s="117">
        <v>12781.965249999999</v>
      </c>
      <c r="H12" s="117">
        <v>19819.77974795999</v>
      </c>
      <c r="I12" s="19">
        <f>G12+H12</f>
        <v>32601.744997959991</v>
      </c>
      <c r="J12" s="119">
        <v>15629</v>
      </c>
      <c r="K12" s="117">
        <v>16391.28025</v>
      </c>
      <c r="L12" s="117">
        <v>20390.958444110009</v>
      </c>
      <c r="M12" s="19">
        <f>K12+L12</f>
        <v>36782.238694110012</v>
      </c>
      <c r="N12" s="88">
        <v>55</v>
      </c>
      <c r="O12" s="88">
        <v>60</v>
      </c>
      <c r="P12" s="88">
        <v>47</v>
      </c>
      <c r="Q12" s="92"/>
      <c r="R12" s="20">
        <f>J12-Q12</f>
        <v>15629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29719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13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2310</v>
      </c>
      <c r="E14" s="18" t="s">
        <v>39</v>
      </c>
      <c r="F14" s="119">
        <v>17438</v>
      </c>
      <c r="G14" s="117">
        <v>15584.60475</v>
      </c>
      <c r="H14" s="117">
        <v>21019.630518339982</v>
      </c>
      <c r="I14" s="19">
        <f>G14+H14</f>
        <v>36604.23526833998</v>
      </c>
      <c r="J14" s="119">
        <v>17567</v>
      </c>
      <c r="K14" s="117">
        <v>18192.577000000001</v>
      </c>
      <c r="L14" s="117">
        <v>21799.35095399999</v>
      </c>
      <c r="M14" s="19">
        <f>K14+L14</f>
        <v>39991.927953999992</v>
      </c>
      <c r="N14" s="88">
        <v>68</v>
      </c>
      <c r="O14" s="88">
        <v>70</v>
      </c>
      <c r="P14" s="88">
        <v>50</v>
      </c>
      <c r="Q14" s="92"/>
      <c r="R14" s="20">
        <f>J14-Q14</f>
        <v>17567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707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10784</v>
      </c>
      <c r="E16" s="84"/>
      <c r="F16" s="31">
        <f t="shared" ref="F16:M16" si="0">SUM(F6:F15)</f>
        <v>75710</v>
      </c>
      <c r="G16" s="31">
        <f t="shared" si="0"/>
        <v>53721.493499999997</v>
      </c>
      <c r="H16" s="31">
        <f t="shared" si="0"/>
        <v>54539.684936379963</v>
      </c>
      <c r="I16" s="32">
        <f t="shared" si="0"/>
        <v>108261.17843637997</v>
      </c>
      <c r="J16" s="33">
        <f t="shared" si="0"/>
        <v>80000</v>
      </c>
      <c r="K16" s="33">
        <f t="shared" si="0"/>
        <v>65564.820283333334</v>
      </c>
      <c r="L16" s="33">
        <f t="shared" si="0"/>
        <v>56426.874986849987</v>
      </c>
      <c r="M16" s="33">
        <f t="shared" si="0"/>
        <v>121991.69527018332</v>
      </c>
      <c r="N16" s="31">
        <f>SUM(N14,N12,N10,N8,N6)</f>
        <v>275</v>
      </c>
      <c r="O16" s="31">
        <f>SUM(O14,O12,O10,O8,O6)</f>
        <v>261</v>
      </c>
      <c r="P16" s="31">
        <f>SUM(P14,P12,P10,P8,P6)</f>
        <v>227</v>
      </c>
      <c r="Q16" s="34">
        <f>SUM(Q6:Q15)</f>
        <v>0</v>
      </c>
      <c r="R16" s="34">
        <f>SUM(R6:R15)</f>
        <v>80000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2378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34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4597</v>
      </c>
      <c r="P18" s="125">
        <f>P17/N16</f>
        <v>0.12363636363636364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12948</v>
      </c>
      <c r="D26" s="76">
        <f>C11</f>
        <v>9032</v>
      </c>
      <c r="E26" s="77">
        <f>D26-C26</f>
        <v>-3916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37279</v>
      </c>
      <c r="D27" s="76">
        <f>C7+C12+C13+C14+C15</f>
        <v>39711</v>
      </c>
      <c r="E27" s="77">
        <f>D27-C27</f>
        <v>2432</v>
      </c>
      <c r="P27" s="4"/>
      <c r="AG27" s="69"/>
    </row>
    <row r="28" spans="2:44" x14ac:dyDescent="0.3">
      <c r="B28" s="74" t="s">
        <v>21</v>
      </c>
      <c r="C28" s="122">
        <v>0</v>
      </c>
      <c r="D28" s="76">
        <f>C6</f>
        <v>2538</v>
      </c>
      <c r="E28" s="77">
        <f>D28-C28</f>
        <v>2538</v>
      </c>
      <c r="P28" s="4"/>
    </row>
    <row r="29" spans="2:44" x14ac:dyDescent="0.3">
      <c r="B29" s="74" t="s">
        <v>57</v>
      </c>
      <c r="C29" s="122">
        <v>1430</v>
      </c>
      <c r="D29" s="76">
        <f>C10</f>
        <v>1430</v>
      </c>
      <c r="E29" s="77">
        <f>D29-C29</f>
        <v>0</v>
      </c>
      <c r="P29" s="4"/>
    </row>
    <row r="30" spans="2:44" x14ac:dyDescent="0.3">
      <c r="B30" s="74" t="s">
        <v>59</v>
      </c>
      <c r="C30" s="122">
        <v>16174</v>
      </c>
      <c r="D30" s="76">
        <f>C16+C17+C18</f>
        <v>17759</v>
      </c>
      <c r="E30" s="77">
        <f>D30-C30</f>
        <v>1585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3595</v>
      </c>
      <c r="D31" s="80">
        <f>SUM(C8+C9)</f>
        <v>3366</v>
      </c>
      <c r="E31" s="81">
        <f>C31-D31</f>
        <v>229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43" priority="11" operator="lessThan">
      <formula>0</formula>
    </cfRule>
    <cfRule type="cellIs" dxfId="142" priority="12" operator="greaterThan">
      <formula>0</formula>
    </cfRule>
  </conditionalFormatting>
  <conditionalFormatting sqref="S25:AD25">
    <cfRule type="cellIs" dxfId="141" priority="9" operator="lessThan">
      <formula>0</formula>
    </cfRule>
    <cfRule type="cellIs" dxfId="140" priority="10" operator="greaterThan">
      <formula>0</formula>
    </cfRule>
  </conditionalFormatting>
  <conditionalFormatting sqref="S26 U26 W26 Y26 AA26 AC26">
    <cfRule type="cellIs" dxfId="139" priority="7" operator="lessThan">
      <formula>0</formula>
    </cfRule>
    <cfRule type="cellIs" dxfId="138" priority="8" operator="greaterThan">
      <formula>0</formula>
    </cfRule>
  </conditionalFormatting>
  <conditionalFormatting sqref="AE24:AF24">
    <cfRule type="cellIs" dxfId="137" priority="5" operator="lessThan">
      <formula>0</formula>
    </cfRule>
    <cfRule type="cellIs" dxfId="136" priority="6" operator="greaterThan">
      <formula>0</formula>
    </cfRule>
  </conditionalFormatting>
  <conditionalFormatting sqref="AE25:AF25">
    <cfRule type="cellIs" dxfId="135" priority="3" operator="lessThan">
      <formula>0</formula>
    </cfRule>
    <cfRule type="cellIs" dxfId="134" priority="4" operator="greaterThan">
      <formula>0</formula>
    </cfRule>
  </conditionalFormatting>
  <conditionalFormatting sqref="AE26">
    <cfRule type="cellIs" dxfId="133" priority="1" operator="lessThan">
      <formula>0</formula>
    </cfRule>
    <cfRule type="cellIs" dxfId="132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44507</v>
      </c>
    </row>
    <row r="3" spans="2:43" ht="18.75" customHeight="1" thickBot="1" x14ac:dyDescent="0.35">
      <c r="B3" t="s">
        <v>1</v>
      </c>
      <c r="C3" s="3">
        <f>C2+1</f>
        <v>44508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8748</v>
      </c>
      <c r="G6" s="117">
        <v>9201.5264999999963</v>
      </c>
      <c r="H6" s="117">
        <v>754.05632500000002</v>
      </c>
      <c r="I6" s="19">
        <f>G6+H6</f>
        <v>9955.5828249999959</v>
      </c>
      <c r="J6" s="119">
        <v>8296</v>
      </c>
      <c r="K6" s="117">
        <v>3098.59</v>
      </c>
      <c r="L6" s="117">
        <v>703.50521000000003</v>
      </c>
      <c r="M6" s="19">
        <f>K6+L6</f>
        <v>3802.0952100000004</v>
      </c>
      <c r="N6" s="85">
        <v>47</v>
      </c>
      <c r="O6" s="85">
        <v>47</v>
      </c>
      <c r="P6" s="85">
        <v>41</v>
      </c>
      <c r="Q6" s="92"/>
      <c r="R6" s="20">
        <f>J6-Q6</f>
        <v>8296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6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0</v>
      </c>
      <c r="E8" s="29" t="s">
        <v>27</v>
      </c>
      <c r="F8" s="119">
        <v>1129</v>
      </c>
      <c r="G8" s="117">
        <v>3991.248083333332</v>
      </c>
      <c r="H8" s="117">
        <v>815.77005248</v>
      </c>
      <c r="I8" s="19">
        <f>G8+H8</f>
        <v>4807.0181358133323</v>
      </c>
      <c r="J8" s="119">
        <v>1034</v>
      </c>
      <c r="K8" s="117">
        <v>488.41849999999999</v>
      </c>
      <c r="L8" s="117">
        <v>809.71286578000002</v>
      </c>
      <c r="M8" s="19">
        <f>K8+L8</f>
        <v>1298.1313657800001</v>
      </c>
      <c r="N8" s="87">
        <v>1</v>
      </c>
      <c r="O8" s="87">
        <v>0</v>
      </c>
      <c r="P8" s="87">
        <v>1</v>
      </c>
      <c r="Q8" s="92"/>
      <c r="R8" s="20">
        <f>J8-Q8</f>
        <v>1034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-1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0</v>
      </c>
      <c r="E10" s="18" t="s">
        <v>31</v>
      </c>
      <c r="F10" s="119">
        <v>5645</v>
      </c>
      <c r="G10" s="117">
        <v>7758.5607500000006</v>
      </c>
      <c r="H10" s="117">
        <v>346.71065099999998</v>
      </c>
      <c r="I10" s="19">
        <f>G10+H10</f>
        <v>8105.2714010000009</v>
      </c>
      <c r="J10" s="119">
        <v>5408</v>
      </c>
      <c r="K10" s="117">
        <v>2806.5059999999999</v>
      </c>
      <c r="L10" s="117">
        <v>332.04688040000002</v>
      </c>
      <c r="M10" s="19">
        <f>K10+L10</f>
        <v>3138.5528804</v>
      </c>
      <c r="N10" s="88">
        <v>0</v>
      </c>
      <c r="O10" s="88">
        <v>0</v>
      </c>
      <c r="P10" s="88">
        <v>0</v>
      </c>
      <c r="Q10" s="92"/>
      <c r="R10" s="20">
        <f>J10-Q10</f>
        <v>5408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0</v>
      </c>
      <c r="G12" s="117">
        <v>11612.391</v>
      </c>
      <c r="H12" s="117">
        <v>140.17158420000001</v>
      </c>
      <c r="I12" s="19">
        <f>G12+H12</f>
        <v>11752.562584199999</v>
      </c>
      <c r="J12" s="119">
        <v>0</v>
      </c>
      <c r="K12" s="117">
        <v>0</v>
      </c>
      <c r="L12" s="117">
        <v>130.55818840000001</v>
      </c>
      <c r="M12" s="19">
        <f>K12+L12</f>
        <v>130.55818840000001</v>
      </c>
      <c r="N12" s="88">
        <v>0</v>
      </c>
      <c r="O12" s="88">
        <v>1</v>
      </c>
      <c r="P12" s="88">
        <v>0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0</v>
      </c>
      <c r="G14" s="117">
        <v>16199.076999999999</v>
      </c>
      <c r="H14" s="117">
        <v>0</v>
      </c>
      <c r="I14" s="19">
        <f>G14+H14</f>
        <v>16199.076999999999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8934</v>
      </c>
      <c r="E16" s="84"/>
      <c r="F16" s="31">
        <f>SUM(F6:F15)</f>
        <v>15522</v>
      </c>
      <c r="G16" s="31">
        <f>SUM(G6:G15)</f>
        <v>48762.80333333333</v>
      </c>
      <c r="H16" s="31">
        <f>SUM(H6:H15)</f>
        <v>2056.70861268</v>
      </c>
      <c r="I16" s="32">
        <f>SUM(I6:I15)</f>
        <v>50819.511946013328</v>
      </c>
      <c r="J16" s="33">
        <v>14738</v>
      </c>
      <c r="K16" s="33">
        <v>6393.5144999999993</v>
      </c>
      <c r="L16" s="33">
        <v>1975.82314458</v>
      </c>
      <c r="M16" s="33">
        <f>SUM(M6:M15)</f>
        <v>8369.3376445800004</v>
      </c>
      <c r="N16" s="31">
        <f>SUM(N14,N12,N10,N8,N6)</f>
        <v>49</v>
      </c>
      <c r="O16" s="31">
        <f>SUM(O14,O12,O10,O8,O6)</f>
        <v>48</v>
      </c>
      <c r="P16" s="31">
        <f>SUM(P14,P12,P10,P8,P6)</f>
        <v>42</v>
      </c>
      <c r="Q16" s="34">
        <f>SUM(Q6:Q15)</f>
        <v>0</v>
      </c>
      <c r="R16" s="34">
        <f>SUM(R6:R15)</f>
        <v>14738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756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6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4731</v>
      </c>
      <c r="P18" s="125">
        <f>P17/N16</f>
        <v>0.12244897959183673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/>
      <c r="D26" s="76">
        <f>C11</f>
        <v>0</v>
      </c>
      <c r="E26" s="77">
        <f>D26-C26</f>
        <v>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/>
      <c r="D27" s="76">
        <f>C7+C12+C13+C14+C15</f>
        <v>0</v>
      </c>
      <c r="E27" s="77">
        <f>D27-C27</f>
        <v>0</v>
      </c>
      <c r="P27" s="4"/>
      <c r="AG27" s="69"/>
    </row>
    <row r="28" spans="2:44" x14ac:dyDescent="0.3">
      <c r="B28" s="74" t="s">
        <v>21</v>
      </c>
      <c r="C28" s="122"/>
      <c r="D28" s="76">
        <f>C6</f>
        <v>0</v>
      </c>
      <c r="E28" s="77">
        <f>D28-C28</f>
        <v>0</v>
      </c>
      <c r="P28" s="4"/>
    </row>
    <row r="29" spans="2:44" x14ac:dyDescent="0.3">
      <c r="B29" s="74" t="s">
        <v>57</v>
      </c>
      <c r="C29" s="122"/>
      <c r="D29" s="76">
        <f>C10</f>
        <v>0</v>
      </c>
      <c r="E29" s="77">
        <f>D29-C29</f>
        <v>0</v>
      </c>
      <c r="P29" s="4"/>
    </row>
    <row r="30" spans="2:44" x14ac:dyDescent="0.3">
      <c r="B30" s="74" t="s">
        <v>59</v>
      </c>
      <c r="C30" s="122">
        <v>15522</v>
      </c>
      <c r="D30" s="76">
        <f>C16+C17+C18</f>
        <v>14421</v>
      </c>
      <c r="E30" s="77">
        <f>D30-C30</f>
        <v>-1101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/>
      <c r="D31" s="80">
        <f>SUM(C8+C9)</f>
        <v>0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0">IF(U35&gt;0,(U35-S35)/2,"")</f>
        <v/>
      </c>
      <c r="U35" s="104"/>
      <c r="V35" s="104" t="str">
        <f t="shared" ref="V35:V64" si="1">IF(W35&gt;0,(W35-U35)/2,"")</f>
        <v/>
      </c>
      <c r="W35" s="104"/>
      <c r="X35" s="104" t="str">
        <f t="shared" ref="X35:X64" si="2">IF(Y35&gt;0,(Y35-W35)/2,"")</f>
        <v/>
      </c>
      <c r="Y35" s="104"/>
      <c r="Z35" s="104" t="str">
        <f t="shared" ref="Z35:Z64" si="3">IF(AA35&gt;0,(AA35-Y35)/2,"")</f>
        <v/>
      </c>
      <c r="AA35" s="104"/>
      <c r="AB35" s="104" t="str">
        <f t="shared" ref="AB35:AB64" si="4">IF(AC35&gt;0,(AC35-AA35)/2,"")</f>
        <v/>
      </c>
      <c r="AC35" s="104"/>
      <c r="AD35" s="104" t="str">
        <f t="shared" ref="AD35:AD64" si="5">IF(AE35&gt;0,(AE35-AC35)/2,"")</f>
        <v/>
      </c>
      <c r="AE35" s="104"/>
      <c r="AF35" s="105">
        <f t="shared" ref="AF35:AF64" si="6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0"/>
        <v/>
      </c>
      <c r="U36" s="106"/>
      <c r="V36" s="106" t="str">
        <f t="shared" si="1"/>
        <v/>
      </c>
      <c r="W36" s="106"/>
      <c r="X36" s="106" t="str">
        <f t="shared" si="2"/>
        <v/>
      </c>
      <c r="Y36" s="106"/>
      <c r="Z36" s="106" t="str">
        <f t="shared" si="3"/>
        <v/>
      </c>
      <c r="AA36" s="106"/>
      <c r="AB36" s="106" t="str">
        <f t="shared" si="4"/>
        <v/>
      </c>
      <c r="AC36" s="106"/>
      <c r="AD36" s="106" t="str">
        <f t="shared" si="5"/>
        <v/>
      </c>
      <c r="AE36" s="106"/>
      <c r="AF36" s="107">
        <f t="shared" si="6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0"/>
        <v/>
      </c>
      <c r="U37" s="108"/>
      <c r="V37" s="108" t="str">
        <f t="shared" si="1"/>
        <v/>
      </c>
      <c r="W37" s="108"/>
      <c r="X37" s="108" t="str">
        <f t="shared" si="2"/>
        <v/>
      </c>
      <c r="Y37" s="108"/>
      <c r="Z37" s="108" t="str">
        <f t="shared" si="3"/>
        <v/>
      </c>
      <c r="AA37" s="108"/>
      <c r="AB37" s="108" t="str">
        <f t="shared" si="4"/>
        <v/>
      </c>
      <c r="AC37" s="108"/>
      <c r="AD37" s="108" t="str">
        <f t="shared" si="5"/>
        <v/>
      </c>
      <c r="AE37" s="108"/>
      <c r="AF37" s="109">
        <f t="shared" si="6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0"/>
        <v/>
      </c>
      <c r="U38" s="106"/>
      <c r="V38" s="106" t="str">
        <f t="shared" si="1"/>
        <v/>
      </c>
      <c r="W38" s="106"/>
      <c r="X38" s="106" t="str">
        <f t="shared" si="2"/>
        <v/>
      </c>
      <c r="Y38" s="106"/>
      <c r="Z38" s="106" t="str">
        <f t="shared" si="3"/>
        <v/>
      </c>
      <c r="AA38" s="106"/>
      <c r="AB38" s="106" t="str">
        <f t="shared" si="4"/>
        <v/>
      </c>
      <c r="AC38" s="106"/>
      <c r="AD38" s="106" t="str">
        <f t="shared" si="5"/>
        <v/>
      </c>
      <c r="AE38" s="106"/>
      <c r="AF38" s="107">
        <f t="shared" si="6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0"/>
        <v/>
      </c>
      <c r="U39" s="108"/>
      <c r="V39" s="108" t="str">
        <f t="shared" si="1"/>
        <v/>
      </c>
      <c r="W39" s="108"/>
      <c r="X39" s="108" t="str">
        <f t="shared" si="2"/>
        <v/>
      </c>
      <c r="Y39" s="108"/>
      <c r="Z39" s="108" t="str">
        <f t="shared" si="3"/>
        <v/>
      </c>
      <c r="AA39" s="108"/>
      <c r="AB39" s="108" t="str">
        <f t="shared" si="4"/>
        <v/>
      </c>
      <c r="AC39" s="108"/>
      <c r="AD39" s="108" t="str">
        <f t="shared" si="5"/>
        <v/>
      </c>
      <c r="AE39" s="108"/>
      <c r="AF39" s="109">
        <f t="shared" si="6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0"/>
        <v/>
      </c>
      <c r="U40" s="106"/>
      <c r="V40" s="106" t="str">
        <f t="shared" si="1"/>
        <v/>
      </c>
      <c r="W40" s="106"/>
      <c r="X40" s="106" t="str">
        <f t="shared" si="2"/>
        <v/>
      </c>
      <c r="Y40" s="106"/>
      <c r="Z40" s="106" t="str">
        <f t="shared" si="3"/>
        <v/>
      </c>
      <c r="AA40" s="106"/>
      <c r="AB40" s="106" t="str">
        <f t="shared" si="4"/>
        <v/>
      </c>
      <c r="AC40" s="106"/>
      <c r="AD40" s="106" t="str">
        <f t="shared" si="5"/>
        <v/>
      </c>
      <c r="AE40" s="106"/>
      <c r="AF40" s="107">
        <f t="shared" si="6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0"/>
        <v/>
      </c>
      <c r="U41" s="108"/>
      <c r="V41" s="108" t="str">
        <f t="shared" si="1"/>
        <v/>
      </c>
      <c r="W41" s="108"/>
      <c r="X41" s="108" t="str">
        <f t="shared" si="2"/>
        <v/>
      </c>
      <c r="Y41" s="108"/>
      <c r="Z41" s="108" t="str">
        <f t="shared" si="3"/>
        <v/>
      </c>
      <c r="AA41" s="108"/>
      <c r="AB41" s="108" t="str">
        <f t="shared" si="4"/>
        <v/>
      </c>
      <c r="AC41" s="108"/>
      <c r="AD41" s="108" t="str">
        <f t="shared" si="5"/>
        <v/>
      </c>
      <c r="AE41" s="108"/>
      <c r="AF41" s="109">
        <f t="shared" si="6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0"/>
        <v/>
      </c>
      <c r="U42" s="106"/>
      <c r="V42" s="106" t="str">
        <f t="shared" si="1"/>
        <v/>
      </c>
      <c r="W42" s="106"/>
      <c r="X42" s="106" t="str">
        <f t="shared" si="2"/>
        <v/>
      </c>
      <c r="Y42" s="106"/>
      <c r="Z42" s="106" t="str">
        <f t="shared" si="3"/>
        <v/>
      </c>
      <c r="AA42" s="106"/>
      <c r="AB42" s="106" t="str">
        <f t="shared" si="4"/>
        <v/>
      </c>
      <c r="AC42" s="106"/>
      <c r="AD42" s="106" t="str">
        <f t="shared" si="5"/>
        <v/>
      </c>
      <c r="AE42" s="106"/>
      <c r="AF42" s="107">
        <f t="shared" si="6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0"/>
        <v/>
      </c>
      <c r="U43" s="110"/>
      <c r="V43" s="110" t="str">
        <f t="shared" si="1"/>
        <v/>
      </c>
      <c r="W43" s="110"/>
      <c r="X43" s="110" t="str">
        <f t="shared" si="2"/>
        <v/>
      </c>
      <c r="Y43" s="110"/>
      <c r="Z43" s="110" t="str">
        <f t="shared" si="3"/>
        <v/>
      </c>
      <c r="AA43" s="110"/>
      <c r="AB43" s="110" t="str">
        <f t="shared" si="4"/>
        <v/>
      </c>
      <c r="AC43" s="110"/>
      <c r="AD43" s="110" t="str">
        <f t="shared" si="5"/>
        <v/>
      </c>
      <c r="AE43" s="110"/>
      <c r="AF43" s="111">
        <f t="shared" si="6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0"/>
        <v/>
      </c>
      <c r="U44" s="112"/>
      <c r="V44" s="112" t="str">
        <f t="shared" si="1"/>
        <v/>
      </c>
      <c r="W44" s="112"/>
      <c r="X44" s="112" t="str">
        <f t="shared" si="2"/>
        <v/>
      </c>
      <c r="Y44" s="112"/>
      <c r="Z44" s="112" t="str">
        <f t="shared" si="3"/>
        <v/>
      </c>
      <c r="AA44" s="112"/>
      <c r="AB44" s="112" t="str">
        <f t="shared" si="4"/>
        <v/>
      </c>
      <c r="AC44" s="112"/>
      <c r="AD44" s="112" t="str">
        <f t="shared" si="5"/>
        <v/>
      </c>
      <c r="AE44" s="112"/>
      <c r="AF44" s="113">
        <f t="shared" si="6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0"/>
        <v/>
      </c>
      <c r="U45" s="108"/>
      <c r="V45" s="108" t="str">
        <f t="shared" si="1"/>
        <v/>
      </c>
      <c r="W45" s="108"/>
      <c r="X45" s="108" t="str">
        <f t="shared" si="2"/>
        <v/>
      </c>
      <c r="Y45" s="108"/>
      <c r="Z45" s="108" t="str">
        <f t="shared" si="3"/>
        <v/>
      </c>
      <c r="AA45" s="108"/>
      <c r="AB45" s="108" t="str">
        <f t="shared" si="4"/>
        <v/>
      </c>
      <c r="AC45" s="108"/>
      <c r="AD45" s="108" t="str">
        <f t="shared" si="5"/>
        <v/>
      </c>
      <c r="AE45" s="108"/>
      <c r="AF45" s="109">
        <f t="shared" si="6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0"/>
        <v/>
      </c>
      <c r="U46" s="106"/>
      <c r="V46" s="106" t="str">
        <f t="shared" si="1"/>
        <v/>
      </c>
      <c r="W46" s="106"/>
      <c r="X46" s="106" t="str">
        <f t="shared" si="2"/>
        <v/>
      </c>
      <c r="Y46" s="106"/>
      <c r="Z46" s="106" t="str">
        <f t="shared" si="3"/>
        <v/>
      </c>
      <c r="AA46" s="106"/>
      <c r="AB46" s="106" t="str">
        <f t="shared" si="4"/>
        <v/>
      </c>
      <c r="AC46" s="106"/>
      <c r="AD46" s="106" t="str">
        <f t="shared" si="5"/>
        <v/>
      </c>
      <c r="AE46" s="106"/>
      <c r="AF46" s="107">
        <f t="shared" si="6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0"/>
        <v/>
      </c>
      <c r="U47" s="110"/>
      <c r="V47" s="110" t="str">
        <f t="shared" si="1"/>
        <v/>
      </c>
      <c r="W47" s="110"/>
      <c r="X47" s="110" t="str">
        <f t="shared" si="2"/>
        <v/>
      </c>
      <c r="Y47" s="110"/>
      <c r="Z47" s="110" t="str">
        <f t="shared" si="3"/>
        <v/>
      </c>
      <c r="AA47" s="110"/>
      <c r="AB47" s="110" t="str">
        <f t="shared" si="4"/>
        <v/>
      </c>
      <c r="AC47" s="110"/>
      <c r="AD47" s="110" t="str">
        <f t="shared" si="5"/>
        <v/>
      </c>
      <c r="AE47" s="110"/>
      <c r="AF47" s="111">
        <f t="shared" si="6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0"/>
        <v/>
      </c>
      <c r="U48" s="112"/>
      <c r="V48" s="112" t="str">
        <f t="shared" si="1"/>
        <v/>
      </c>
      <c r="W48" s="112"/>
      <c r="X48" s="112" t="str">
        <f t="shared" si="2"/>
        <v/>
      </c>
      <c r="Y48" s="112"/>
      <c r="Z48" s="112" t="str">
        <f t="shared" si="3"/>
        <v/>
      </c>
      <c r="AA48" s="112"/>
      <c r="AB48" s="112" t="str">
        <f t="shared" si="4"/>
        <v/>
      </c>
      <c r="AC48" s="112"/>
      <c r="AD48" s="112" t="str">
        <f t="shared" si="5"/>
        <v/>
      </c>
      <c r="AE48" s="112"/>
      <c r="AF48" s="113">
        <f t="shared" si="6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0"/>
        <v/>
      </c>
      <c r="U49" s="108"/>
      <c r="V49" s="108" t="str">
        <f t="shared" si="1"/>
        <v/>
      </c>
      <c r="W49" s="108"/>
      <c r="X49" s="108" t="str">
        <f t="shared" si="2"/>
        <v/>
      </c>
      <c r="Y49" s="108"/>
      <c r="Z49" s="108" t="str">
        <f t="shared" si="3"/>
        <v/>
      </c>
      <c r="AA49" s="108"/>
      <c r="AB49" s="108" t="str">
        <f t="shared" si="4"/>
        <v/>
      </c>
      <c r="AC49" s="108"/>
      <c r="AD49" s="108" t="str">
        <f t="shared" si="5"/>
        <v/>
      </c>
      <c r="AE49" s="108"/>
      <c r="AF49" s="109">
        <f t="shared" si="6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0"/>
        <v/>
      </c>
      <c r="U50" s="106"/>
      <c r="V50" s="106" t="str">
        <f t="shared" si="1"/>
        <v/>
      </c>
      <c r="W50" s="106"/>
      <c r="X50" s="106" t="str">
        <f t="shared" si="2"/>
        <v/>
      </c>
      <c r="Y50" s="106"/>
      <c r="Z50" s="106" t="str">
        <f t="shared" si="3"/>
        <v/>
      </c>
      <c r="AA50" s="106"/>
      <c r="AB50" s="106" t="str">
        <f t="shared" si="4"/>
        <v/>
      </c>
      <c r="AC50" s="106"/>
      <c r="AD50" s="106" t="str">
        <f t="shared" si="5"/>
        <v/>
      </c>
      <c r="AE50" s="106"/>
      <c r="AF50" s="107">
        <f t="shared" si="6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0"/>
        <v/>
      </c>
      <c r="U51" s="108"/>
      <c r="V51" s="108" t="str">
        <f t="shared" si="1"/>
        <v/>
      </c>
      <c r="W51" s="108"/>
      <c r="X51" s="108" t="str">
        <f t="shared" si="2"/>
        <v/>
      </c>
      <c r="Y51" s="108"/>
      <c r="Z51" s="108" t="str">
        <f t="shared" si="3"/>
        <v/>
      </c>
      <c r="AA51" s="108"/>
      <c r="AB51" s="108" t="str">
        <f t="shared" si="4"/>
        <v/>
      </c>
      <c r="AC51" s="108"/>
      <c r="AD51" s="108" t="str">
        <f t="shared" si="5"/>
        <v/>
      </c>
      <c r="AE51" s="108"/>
      <c r="AF51" s="109">
        <f t="shared" si="6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0"/>
        <v/>
      </c>
      <c r="U52" s="106"/>
      <c r="V52" s="106" t="str">
        <f t="shared" si="1"/>
        <v/>
      </c>
      <c r="W52" s="106"/>
      <c r="X52" s="106" t="str">
        <f t="shared" si="2"/>
        <v/>
      </c>
      <c r="Y52" s="106"/>
      <c r="Z52" s="106" t="str">
        <f t="shared" si="3"/>
        <v/>
      </c>
      <c r="AA52" s="106"/>
      <c r="AB52" s="106" t="str">
        <f t="shared" si="4"/>
        <v/>
      </c>
      <c r="AC52" s="106"/>
      <c r="AD52" s="106" t="str">
        <f t="shared" si="5"/>
        <v/>
      </c>
      <c r="AE52" s="106"/>
      <c r="AF52" s="107">
        <f t="shared" si="6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0"/>
        <v/>
      </c>
      <c r="U53" s="108"/>
      <c r="V53" s="108" t="str">
        <f t="shared" si="1"/>
        <v/>
      </c>
      <c r="W53" s="108"/>
      <c r="X53" s="108" t="str">
        <f t="shared" si="2"/>
        <v/>
      </c>
      <c r="Y53" s="108"/>
      <c r="Z53" s="108" t="str">
        <f t="shared" si="3"/>
        <v/>
      </c>
      <c r="AA53" s="108"/>
      <c r="AB53" s="108" t="str">
        <f t="shared" si="4"/>
        <v/>
      </c>
      <c r="AC53" s="108"/>
      <c r="AD53" s="108" t="str">
        <f t="shared" si="5"/>
        <v/>
      </c>
      <c r="AE53" s="108"/>
      <c r="AF53" s="109">
        <f t="shared" si="6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0"/>
        <v/>
      </c>
      <c r="U54" s="106"/>
      <c r="V54" s="106" t="str">
        <f t="shared" si="1"/>
        <v/>
      </c>
      <c r="W54" s="106"/>
      <c r="X54" s="106" t="str">
        <f t="shared" si="2"/>
        <v/>
      </c>
      <c r="Y54" s="106"/>
      <c r="Z54" s="106" t="str">
        <f t="shared" si="3"/>
        <v/>
      </c>
      <c r="AA54" s="106"/>
      <c r="AB54" s="106" t="str">
        <f t="shared" si="4"/>
        <v/>
      </c>
      <c r="AC54" s="106"/>
      <c r="AD54" s="106" t="str">
        <f t="shared" si="5"/>
        <v/>
      </c>
      <c r="AE54" s="106"/>
      <c r="AF54" s="107">
        <f t="shared" si="6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0"/>
        <v/>
      </c>
      <c r="U55" s="108"/>
      <c r="V55" s="108" t="str">
        <f t="shared" si="1"/>
        <v/>
      </c>
      <c r="W55" s="108"/>
      <c r="X55" s="108" t="str">
        <f t="shared" si="2"/>
        <v/>
      </c>
      <c r="Y55" s="108"/>
      <c r="Z55" s="108" t="str">
        <f t="shared" si="3"/>
        <v/>
      </c>
      <c r="AA55" s="108"/>
      <c r="AB55" s="108" t="str">
        <f t="shared" si="4"/>
        <v/>
      </c>
      <c r="AC55" s="108"/>
      <c r="AD55" s="108" t="str">
        <f t="shared" si="5"/>
        <v/>
      </c>
      <c r="AE55" s="108"/>
      <c r="AF55" s="109">
        <f t="shared" si="6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0"/>
        <v/>
      </c>
      <c r="U56" s="114"/>
      <c r="V56" s="114" t="str">
        <f t="shared" si="1"/>
        <v/>
      </c>
      <c r="W56" s="114"/>
      <c r="X56" s="114" t="str">
        <f t="shared" si="2"/>
        <v/>
      </c>
      <c r="Y56" s="114"/>
      <c r="Z56" s="114" t="str">
        <f t="shared" si="3"/>
        <v/>
      </c>
      <c r="AA56" s="114"/>
      <c r="AB56" s="114" t="str">
        <f t="shared" si="4"/>
        <v/>
      </c>
      <c r="AC56" s="114"/>
      <c r="AD56" s="114" t="str">
        <f t="shared" si="5"/>
        <v/>
      </c>
      <c r="AE56" s="114"/>
      <c r="AF56" s="115">
        <f t="shared" si="6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0"/>
        <v/>
      </c>
      <c r="U57" s="104"/>
      <c r="V57" s="104" t="str">
        <f t="shared" si="1"/>
        <v/>
      </c>
      <c r="W57" s="104"/>
      <c r="X57" s="104" t="str">
        <f t="shared" si="2"/>
        <v/>
      </c>
      <c r="Y57" s="104"/>
      <c r="Z57" s="104" t="str">
        <f t="shared" si="3"/>
        <v/>
      </c>
      <c r="AA57" s="104"/>
      <c r="AB57" s="104" t="str">
        <f t="shared" si="4"/>
        <v/>
      </c>
      <c r="AC57" s="104"/>
      <c r="AD57" s="104" t="str">
        <f t="shared" si="5"/>
        <v/>
      </c>
      <c r="AE57" s="104"/>
      <c r="AF57" s="105">
        <f t="shared" si="6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0"/>
        <v/>
      </c>
      <c r="U58" s="106"/>
      <c r="V58" s="106" t="str">
        <f t="shared" si="1"/>
        <v/>
      </c>
      <c r="W58" s="106"/>
      <c r="X58" s="106" t="str">
        <f t="shared" si="2"/>
        <v/>
      </c>
      <c r="Y58" s="106"/>
      <c r="Z58" s="106" t="str">
        <f t="shared" si="3"/>
        <v/>
      </c>
      <c r="AA58" s="106"/>
      <c r="AB58" s="106" t="str">
        <f t="shared" si="4"/>
        <v/>
      </c>
      <c r="AC58" s="106"/>
      <c r="AD58" s="106" t="str">
        <f t="shared" si="5"/>
        <v/>
      </c>
      <c r="AE58" s="106"/>
      <c r="AF58" s="107">
        <f t="shared" si="6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0"/>
        <v/>
      </c>
      <c r="U59" s="108"/>
      <c r="V59" s="108" t="str">
        <f t="shared" si="1"/>
        <v/>
      </c>
      <c r="W59" s="108"/>
      <c r="X59" s="108" t="str">
        <f t="shared" si="2"/>
        <v/>
      </c>
      <c r="Y59" s="108"/>
      <c r="Z59" s="108" t="str">
        <f t="shared" si="3"/>
        <v/>
      </c>
      <c r="AA59" s="108"/>
      <c r="AB59" s="108" t="str">
        <f t="shared" si="4"/>
        <v/>
      </c>
      <c r="AC59" s="108"/>
      <c r="AD59" s="108" t="str">
        <f t="shared" si="5"/>
        <v/>
      </c>
      <c r="AE59" s="108"/>
      <c r="AF59" s="109">
        <f t="shared" si="6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0"/>
        <v/>
      </c>
      <c r="U60" s="114"/>
      <c r="V60" s="114" t="str">
        <f t="shared" si="1"/>
        <v/>
      </c>
      <c r="W60" s="114"/>
      <c r="X60" s="114" t="str">
        <f t="shared" si="2"/>
        <v/>
      </c>
      <c r="Y60" s="114"/>
      <c r="Z60" s="114" t="str">
        <f t="shared" si="3"/>
        <v/>
      </c>
      <c r="AA60" s="114"/>
      <c r="AB60" s="114" t="str">
        <f t="shared" si="4"/>
        <v/>
      </c>
      <c r="AC60" s="114"/>
      <c r="AD60" s="114" t="str">
        <f t="shared" si="5"/>
        <v/>
      </c>
      <c r="AE60" s="114"/>
      <c r="AF60" s="115">
        <f t="shared" si="6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0"/>
        <v/>
      </c>
      <c r="U61" s="104"/>
      <c r="V61" s="104" t="str">
        <f t="shared" si="1"/>
        <v/>
      </c>
      <c r="W61" s="104"/>
      <c r="X61" s="104" t="str">
        <f t="shared" si="2"/>
        <v/>
      </c>
      <c r="Y61" s="104"/>
      <c r="Z61" s="104" t="str">
        <f t="shared" si="3"/>
        <v/>
      </c>
      <c r="AA61" s="104"/>
      <c r="AB61" s="104" t="str">
        <f t="shared" si="4"/>
        <v/>
      </c>
      <c r="AC61" s="104"/>
      <c r="AD61" s="104" t="str">
        <f t="shared" si="5"/>
        <v/>
      </c>
      <c r="AE61" s="104"/>
      <c r="AF61" s="105">
        <f t="shared" si="6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0"/>
        <v/>
      </c>
      <c r="U62" s="106"/>
      <c r="V62" s="106" t="str">
        <f t="shared" si="1"/>
        <v/>
      </c>
      <c r="W62" s="106"/>
      <c r="X62" s="106" t="str">
        <f t="shared" si="2"/>
        <v/>
      </c>
      <c r="Y62" s="106"/>
      <c r="Z62" s="106" t="str">
        <f t="shared" si="3"/>
        <v/>
      </c>
      <c r="AA62" s="106"/>
      <c r="AB62" s="106" t="str">
        <f t="shared" si="4"/>
        <v/>
      </c>
      <c r="AC62" s="106"/>
      <c r="AD62" s="106" t="str">
        <f t="shared" si="5"/>
        <v/>
      </c>
      <c r="AE62" s="106"/>
      <c r="AF62" s="107">
        <f t="shared" si="6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0"/>
        <v/>
      </c>
      <c r="U63" s="108"/>
      <c r="V63" s="108" t="str">
        <f t="shared" si="1"/>
        <v/>
      </c>
      <c r="W63" s="108"/>
      <c r="X63" s="108" t="str">
        <f t="shared" si="2"/>
        <v/>
      </c>
      <c r="Y63" s="108"/>
      <c r="Z63" s="108" t="str">
        <f t="shared" si="3"/>
        <v/>
      </c>
      <c r="AA63" s="108"/>
      <c r="AB63" s="108" t="str">
        <f t="shared" si="4"/>
        <v/>
      </c>
      <c r="AC63" s="108"/>
      <c r="AD63" s="108" t="str">
        <f t="shared" si="5"/>
        <v/>
      </c>
      <c r="AE63" s="108"/>
      <c r="AF63" s="109">
        <f t="shared" si="6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0"/>
        <v/>
      </c>
      <c r="U64" s="114"/>
      <c r="V64" s="114" t="str">
        <f t="shared" si="1"/>
        <v/>
      </c>
      <c r="W64" s="114"/>
      <c r="X64" s="114" t="str">
        <f t="shared" si="2"/>
        <v/>
      </c>
      <c r="Y64" s="114"/>
      <c r="Z64" s="114" t="str">
        <f t="shared" si="3"/>
        <v/>
      </c>
      <c r="AA64" s="114"/>
      <c r="AB64" s="114" t="str">
        <f t="shared" si="4"/>
        <v/>
      </c>
      <c r="AC64" s="114"/>
      <c r="AD64" s="114" t="str">
        <f t="shared" si="5"/>
        <v/>
      </c>
      <c r="AE64" s="114"/>
      <c r="AF64" s="115">
        <f t="shared" si="6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31" priority="11" operator="lessThan">
      <formula>0</formula>
    </cfRule>
    <cfRule type="cellIs" dxfId="130" priority="12" operator="greaterThan">
      <formula>0</formula>
    </cfRule>
  </conditionalFormatting>
  <conditionalFormatting sqref="S25:AD25">
    <cfRule type="cellIs" dxfId="129" priority="9" operator="lessThan">
      <formula>0</formula>
    </cfRule>
    <cfRule type="cellIs" dxfId="128" priority="10" operator="greaterThan">
      <formula>0</formula>
    </cfRule>
  </conditionalFormatting>
  <conditionalFormatting sqref="S26 U26 W26 Y26 AA26 AC26">
    <cfRule type="cellIs" dxfId="127" priority="7" operator="lessThan">
      <formula>0</formula>
    </cfRule>
    <cfRule type="cellIs" dxfId="126" priority="8" operator="greaterThan">
      <formula>0</formula>
    </cfRule>
  </conditionalFormatting>
  <conditionalFormatting sqref="AE24:AF24">
    <cfRule type="cellIs" dxfId="125" priority="5" operator="lessThan">
      <formula>0</formula>
    </cfRule>
    <cfRule type="cellIs" dxfId="124" priority="6" operator="greaterThan">
      <formula>0</formula>
    </cfRule>
  </conditionalFormatting>
  <conditionalFormatting sqref="AE25:AF25">
    <cfRule type="cellIs" dxfId="123" priority="3" operator="lessThan">
      <formula>0</formula>
    </cfRule>
    <cfRule type="cellIs" dxfId="122" priority="4" operator="greaterThan">
      <formula>0</formula>
    </cfRule>
  </conditionalFormatting>
  <conditionalFormatting sqref="AE26">
    <cfRule type="cellIs" dxfId="121" priority="1" operator="lessThan">
      <formula>0</formula>
    </cfRule>
    <cfRule type="cellIs" dxfId="120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>
    <tabColor theme="1"/>
    <pageSetUpPr fitToPage="1"/>
  </sheetPr>
  <dimension ref="B1:AR64"/>
  <sheetViews>
    <sheetView zoomScale="123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44508</v>
      </c>
    </row>
    <row r="3" spans="2:43" ht="18.75" customHeight="1" thickBot="1" x14ac:dyDescent="0.35">
      <c r="B3" t="s">
        <v>1</v>
      </c>
      <c r="C3" s="3">
        <f>C2+1</f>
        <v>44509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2416</v>
      </c>
      <c r="E6" s="18" t="s">
        <v>22</v>
      </c>
      <c r="F6" s="119">
        <v>23497</v>
      </c>
      <c r="G6" s="117">
        <v>13565.810133333331</v>
      </c>
      <c r="H6" s="117">
        <v>7437.3823867999909</v>
      </c>
      <c r="I6" s="19">
        <f>G6+H6</f>
        <v>21003.192520133322</v>
      </c>
      <c r="J6" s="119">
        <v>23453</v>
      </c>
      <c r="K6" s="117">
        <v>13404.25088333333</v>
      </c>
      <c r="L6" s="117">
        <v>7111.6790002999933</v>
      </c>
      <c r="M6" s="19">
        <f>K6+L6</f>
        <v>20515.929883633326</v>
      </c>
      <c r="N6" s="85">
        <v>50</v>
      </c>
      <c r="O6" s="85">
        <v>46</v>
      </c>
      <c r="P6" s="85">
        <v>41</v>
      </c>
      <c r="Q6" s="92"/>
      <c r="R6" s="20">
        <f>J6-Q6</f>
        <v>23453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1949</v>
      </c>
      <c r="E8" s="29" t="s">
        <v>27</v>
      </c>
      <c r="F8" s="119">
        <v>37</v>
      </c>
      <c r="G8" s="117">
        <v>203</v>
      </c>
      <c r="H8" s="117">
        <v>4052.2439192399988</v>
      </c>
      <c r="I8" s="19">
        <f>G8+H8</f>
        <v>4255.2439192399988</v>
      </c>
      <c r="J8" s="119">
        <v>37</v>
      </c>
      <c r="K8" s="117">
        <v>203</v>
      </c>
      <c r="L8" s="117">
        <v>3883.896130319999</v>
      </c>
      <c r="M8" s="19">
        <f>K8+L8</f>
        <v>4086.896130319999</v>
      </c>
      <c r="N8" s="87">
        <v>24</v>
      </c>
      <c r="O8" s="87">
        <v>28</v>
      </c>
      <c r="P8" s="87">
        <v>21</v>
      </c>
      <c r="Q8" s="92"/>
      <c r="R8" s="20">
        <f>J8-Q8</f>
        <v>37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996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8368</v>
      </c>
      <c r="E10" s="18" t="s">
        <v>31</v>
      </c>
      <c r="F10" s="119">
        <v>20568</v>
      </c>
      <c r="G10" s="117">
        <v>15168.920249999999</v>
      </c>
      <c r="H10" s="117">
        <v>413.06697500000013</v>
      </c>
      <c r="I10" s="19">
        <f>G10+H10</f>
        <v>15581.987224999999</v>
      </c>
      <c r="J10" s="119">
        <v>20570</v>
      </c>
      <c r="K10" s="117">
        <v>15152.10375</v>
      </c>
      <c r="L10" s="117">
        <v>423.19614480000001</v>
      </c>
      <c r="M10" s="19">
        <f>K10+L10</f>
        <v>15575.2998948</v>
      </c>
      <c r="N10" s="88">
        <v>44</v>
      </c>
      <c r="O10" s="88">
        <v>42</v>
      </c>
      <c r="P10" s="88">
        <v>36</v>
      </c>
      <c r="Q10" s="92"/>
      <c r="R10" s="20">
        <f>J10-Q10</f>
        <v>20570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6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12296</v>
      </c>
      <c r="G12" s="117">
        <v>12084.561250000001</v>
      </c>
      <c r="H12" s="117">
        <v>15536.76289699</v>
      </c>
      <c r="I12" s="19">
        <f>G12+H12</f>
        <v>27621.324146990002</v>
      </c>
      <c r="J12" s="119">
        <v>11850</v>
      </c>
      <c r="K12" s="117">
        <v>11801.0725</v>
      </c>
      <c r="L12" s="117">
        <v>15392.461993819999</v>
      </c>
      <c r="M12" s="19">
        <f>K12+L12</f>
        <v>27193.53449382</v>
      </c>
      <c r="N12" s="88">
        <v>48</v>
      </c>
      <c r="O12" s="88">
        <v>49</v>
      </c>
      <c r="P12" s="88">
        <v>41</v>
      </c>
      <c r="Q12" s="92"/>
      <c r="R12" s="20">
        <f>J12-Q12</f>
        <v>11850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24773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8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18656</v>
      </c>
      <c r="G14" s="117">
        <v>15883.751249999999</v>
      </c>
      <c r="H14" s="117">
        <v>23167.329205360002</v>
      </c>
      <c r="I14" s="19">
        <f>G14+H14</f>
        <v>39051.080455360003</v>
      </c>
      <c r="J14" s="119">
        <v>19073</v>
      </c>
      <c r="K14" s="117">
        <v>17198.163499999999</v>
      </c>
      <c r="L14" s="117">
        <v>23582.750846040009</v>
      </c>
      <c r="M14" s="19">
        <f>K14+L14</f>
        <v>40780.914346040008</v>
      </c>
      <c r="N14" s="88">
        <v>71</v>
      </c>
      <c r="O14" s="88">
        <v>67</v>
      </c>
      <c r="P14" s="88">
        <v>63</v>
      </c>
      <c r="Q14" s="92"/>
      <c r="R14" s="20">
        <f>J14-Q14</f>
        <v>19073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10941</v>
      </c>
      <c r="E16" s="84"/>
      <c r="F16" s="31">
        <f t="shared" ref="F16:M16" si="0">SUM(F6:F15)</f>
        <v>75054</v>
      </c>
      <c r="G16" s="31">
        <f t="shared" si="0"/>
        <v>56906.042883333328</v>
      </c>
      <c r="H16" s="31">
        <f t="shared" si="0"/>
        <v>50606.785383389994</v>
      </c>
      <c r="I16" s="32">
        <f t="shared" si="0"/>
        <v>107512.82826672331</v>
      </c>
      <c r="J16" s="31">
        <f t="shared" si="0"/>
        <v>74983</v>
      </c>
      <c r="K16" s="31">
        <f t="shared" si="0"/>
        <v>57758.590633333326</v>
      </c>
      <c r="L16" s="31">
        <f t="shared" si="0"/>
        <v>50393.984115280007</v>
      </c>
      <c r="M16" s="33">
        <f t="shared" si="0"/>
        <v>108152.57474861333</v>
      </c>
      <c r="N16" s="31">
        <f>SUM(N14,N12,N10,N8,N6)</f>
        <v>237</v>
      </c>
      <c r="O16" s="31">
        <f>SUM(O14,O12,O10,O8,O6)</f>
        <v>232</v>
      </c>
      <c r="P16" s="31">
        <f>SUM(P14,P12,P10,P8,P6)</f>
        <v>202</v>
      </c>
      <c r="Q16" s="34">
        <f>SUM(Q6:Q15)</f>
        <v>0</v>
      </c>
      <c r="R16" s="34">
        <f>SUM(R6:R15)</f>
        <v>74983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1782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30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4657</v>
      </c>
      <c r="P18" s="125">
        <f>P17/O16</f>
        <v>0.12931034482758622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10686</v>
      </c>
      <c r="D26" s="76">
        <f>C11</f>
        <v>0</v>
      </c>
      <c r="E26" s="77">
        <f>D26-C26</f>
        <v>-10686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33646</v>
      </c>
      <c r="D27" s="76">
        <f>C7+C12+C13+C14+C15</f>
        <v>24773</v>
      </c>
      <c r="E27" s="77">
        <f>D27-C27</f>
        <v>-8873</v>
      </c>
      <c r="P27" s="4"/>
      <c r="AG27" s="69"/>
    </row>
    <row r="28" spans="2:44" x14ac:dyDescent="0.3">
      <c r="B28" s="74" t="s">
        <v>21</v>
      </c>
      <c r="C28" s="122">
        <v>2416</v>
      </c>
      <c r="D28" s="76">
        <f>C6</f>
        <v>2416</v>
      </c>
      <c r="E28" s="77">
        <f>D28-C28</f>
        <v>0</v>
      </c>
      <c r="P28" s="4"/>
    </row>
    <row r="29" spans="2:44" x14ac:dyDescent="0.3">
      <c r="B29" s="74" t="s">
        <v>57</v>
      </c>
      <c r="C29" s="122">
        <v>8368</v>
      </c>
      <c r="D29" s="76">
        <f>C10</f>
        <v>8368</v>
      </c>
      <c r="E29" s="77">
        <f>D29-C29</f>
        <v>0</v>
      </c>
      <c r="P29" s="4"/>
    </row>
    <row r="30" spans="2:44" x14ac:dyDescent="0.3">
      <c r="B30" s="74" t="s">
        <v>59</v>
      </c>
      <c r="C30" s="122">
        <v>16528</v>
      </c>
      <c r="D30" s="76">
        <f>C16+C17+C18</f>
        <v>17380</v>
      </c>
      <c r="E30" s="77">
        <f>D30-C30</f>
        <v>852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2945</v>
      </c>
      <c r="D31" s="80">
        <f>SUM(C8+C9)</f>
        <v>2945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19" priority="11" operator="lessThan">
      <formula>0</formula>
    </cfRule>
    <cfRule type="cellIs" dxfId="118" priority="12" operator="greaterThan">
      <formula>0</formula>
    </cfRule>
  </conditionalFormatting>
  <conditionalFormatting sqref="S25:AD25">
    <cfRule type="cellIs" dxfId="117" priority="9" operator="lessThan">
      <formula>0</formula>
    </cfRule>
    <cfRule type="cellIs" dxfId="116" priority="10" operator="greaterThan">
      <formula>0</formula>
    </cfRule>
  </conditionalFormatting>
  <conditionalFormatting sqref="S26 U26 W26 Y26 AA26 AC26">
    <cfRule type="cellIs" dxfId="115" priority="7" operator="lessThan">
      <formula>0</formula>
    </cfRule>
    <cfRule type="cellIs" dxfId="114" priority="8" operator="greaterThan">
      <formula>0</formula>
    </cfRule>
  </conditionalFormatting>
  <conditionalFormatting sqref="AE24:AF24">
    <cfRule type="cellIs" dxfId="113" priority="5" operator="lessThan">
      <formula>0</formula>
    </cfRule>
    <cfRule type="cellIs" dxfId="112" priority="6" operator="greaterThan">
      <formula>0</formula>
    </cfRule>
  </conditionalFormatting>
  <conditionalFormatting sqref="AE25:AF25">
    <cfRule type="cellIs" dxfId="111" priority="3" operator="lessThan">
      <formula>0</formula>
    </cfRule>
    <cfRule type="cellIs" dxfId="110" priority="4" operator="greaterThan">
      <formula>0</formula>
    </cfRule>
  </conditionalFormatting>
  <conditionalFormatting sqref="AE26">
    <cfRule type="cellIs" dxfId="109" priority="1" operator="lessThan">
      <formula>0</formula>
    </cfRule>
    <cfRule type="cellIs" dxfId="108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>
    <tabColor theme="1"/>
    <pageSetUpPr fitToPage="1"/>
  </sheetPr>
  <dimension ref="B1:AR64"/>
  <sheetViews>
    <sheetView zoomScale="123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44509</v>
      </c>
    </row>
    <row r="3" spans="2:43" ht="18.75" customHeight="1" thickBot="1" x14ac:dyDescent="0.35">
      <c r="B3" t="s">
        <v>1</v>
      </c>
      <c r="C3" s="3">
        <f>C2+1</f>
        <v>44510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127</v>
      </c>
      <c r="E6" s="18" t="s">
        <v>22</v>
      </c>
      <c r="F6" s="119">
        <v>24373</v>
      </c>
      <c r="G6" s="117">
        <v>13770.568733333341</v>
      </c>
      <c r="H6" s="117">
        <v>7553.6733523599978</v>
      </c>
      <c r="I6" s="19">
        <f>G6+H6</f>
        <v>21324.242085693339</v>
      </c>
      <c r="J6" s="119">
        <v>24444</v>
      </c>
      <c r="K6" s="117">
        <v>13799.75273333334</v>
      </c>
      <c r="L6" s="117">
        <v>7486.1707026399972</v>
      </c>
      <c r="M6" s="19">
        <f>K6+L6</f>
        <v>21285.923435973338</v>
      </c>
      <c r="N6" s="85">
        <v>82</v>
      </c>
      <c r="O6" s="85">
        <v>78</v>
      </c>
      <c r="P6" s="85">
        <v>67</v>
      </c>
      <c r="Q6" s="92"/>
      <c r="R6" s="20">
        <f>J6-Q6</f>
        <v>24444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3707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1801</v>
      </c>
      <c r="E8" s="29" t="s">
        <v>27</v>
      </c>
      <c r="F8" s="119">
        <v>0</v>
      </c>
      <c r="G8" s="117">
        <v>0</v>
      </c>
      <c r="H8" s="117">
        <v>3751.5881961</v>
      </c>
      <c r="I8" s="19">
        <f>G8+H8</f>
        <v>3751.5881961</v>
      </c>
      <c r="J8" s="119">
        <v>0</v>
      </c>
      <c r="K8" s="117">
        <v>0</v>
      </c>
      <c r="L8" s="117">
        <v>3818.694768119999</v>
      </c>
      <c r="M8" s="19">
        <f>K8+L8</f>
        <v>3818.694768119999</v>
      </c>
      <c r="N8" s="87">
        <v>6</v>
      </c>
      <c r="O8" s="87">
        <v>6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853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3340</v>
      </c>
      <c r="E10" s="18" t="s">
        <v>31</v>
      </c>
      <c r="F10" s="119">
        <v>19009</v>
      </c>
      <c r="G10" s="117">
        <v>13077.733249999999</v>
      </c>
      <c r="H10" s="117">
        <v>422.48242199999999</v>
      </c>
      <c r="I10" s="19">
        <f>G10+H10</f>
        <v>13500.215671999998</v>
      </c>
      <c r="J10" s="119">
        <v>18818</v>
      </c>
      <c r="K10" s="117">
        <v>12934.39075</v>
      </c>
      <c r="L10" s="117">
        <v>400.27683239999999</v>
      </c>
      <c r="M10" s="19">
        <f>K10+L10</f>
        <v>13334.667582400001</v>
      </c>
      <c r="N10" s="88">
        <v>49</v>
      </c>
      <c r="O10" s="88">
        <v>48</v>
      </c>
      <c r="P10" s="88">
        <v>40</v>
      </c>
      <c r="Q10" s="92"/>
      <c r="R10" s="20">
        <f>J10-Q10</f>
        <v>18818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11011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8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4159</v>
      </c>
      <c r="E12" s="29" t="s">
        <v>35</v>
      </c>
      <c r="F12" s="119">
        <v>12927</v>
      </c>
      <c r="G12" s="117">
        <v>13235.266</v>
      </c>
      <c r="H12" s="117">
        <v>16511.00467821999</v>
      </c>
      <c r="I12" s="19">
        <f>G12+H12</f>
        <v>29746.270678219989</v>
      </c>
      <c r="J12" s="119">
        <v>13069</v>
      </c>
      <c r="K12" s="117">
        <v>12953.126</v>
      </c>
      <c r="L12" s="117">
        <v>16599.02388846999</v>
      </c>
      <c r="M12" s="19">
        <f>K12+L12</f>
        <v>29552.14988846999</v>
      </c>
      <c r="N12" s="88">
        <v>51</v>
      </c>
      <c r="O12" s="88">
        <v>52</v>
      </c>
      <c r="P12" s="88">
        <v>43</v>
      </c>
      <c r="Q12" s="92"/>
      <c r="R12" s="20">
        <f>J12-Q12</f>
        <v>13069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31808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1983</v>
      </c>
      <c r="E14" s="18" t="s">
        <v>39</v>
      </c>
      <c r="F14" s="119">
        <v>21678</v>
      </c>
      <c r="G14" s="117">
        <v>17245.741750000001</v>
      </c>
      <c r="H14" s="117">
        <v>26697.191430139999</v>
      </c>
      <c r="I14" s="19">
        <f>G14+H14</f>
        <v>43942.933180139997</v>
      </c>
      <c r="J14" s="119">
        <v>22064</v>
      </c>
      <c r="K14" s="117">
        <v>18196.359</v>
      </c>
      <c r="L14" s="117">
        <v>27137.608530940011</v>
      </c>
      <c r="M14" s="19">
        <f>K14+L14</f>
        <v>45333.967530940012</v>
      </c>
      <c r="N14" s="88">
        <v>69</v>
      </c>
      <c r="O14" s="88">
        <v>69</v>
      </c>
      <c r="P14" s="88">
        <v>60</v>
      </c>
      <c r="Q14" s="92"/>
      <c r="R14" s="20">
        <f>J14-Q14</f>
        <v>22064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35">
      <c r="B15" s="43" t="s">
        <v>48</v>
      </c>
      <c r="C15" s="50">
        <v>725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35">
      <c r="B16" s="16" t="s">
        <v>50</v>
      </c>
      <c r="C16" s="17">
        <v>9347</v>
      </c>
      <c r="E16" s="84"/>
      <c r="F16" s="31">
        <f t="shared" ref="F16:M16" si="0">SUM(F6:F15)</f>
        <v>77987</v>
      </c>
      <c r="G16" s="31">
        <f t="shared" si="0"/>
        <v>57329.309733333343</v>
      </c>
      <c r="H16" s="31">
        <f t="shared" si="0"/>
        <v>54935.940078819986</v>
      </c>
      <c r="I16" s="32">
        <f t="shared" si="0"/>
        <v>112265.24981215333</v>
      </c>
      <c r="J16" s="31">
        <f t="shared" si="0"/>
        <v>78395</v>
      </c>
      <c r="K16" s="31">
        <f t="shared" si="0"/>
        <v>57883.628483333334</v>
      </c>
      <c r="L16" s="31">
        <f t="shared" si="0"/>
        <v>55441.77472257</v>
      </c>
      <c r="M16" s="33">
        <f t="shared" si="0"/>
        <v>113325.40320590333</v>
      </c>
      <c r="N16" s="31">
        <f>SUM(N14,N12,N10,N8,N6)</f>
        <v>257</v>
      </c>
      <c r="O16" s="31">
        <f>SUM(O14,O12,O10,O8,O6)</f>
        <v>253</v>
      </c>
      <c r="P16" s="31">
        <f>SUM(P14,P12,P10,P8,P6)</f>
        <v>215</v>
      </c>
      <c r="Q16" s="34">
        <f>SUM(Q6:Q15)</f>
        <v>0</v>
      </c>
      <c r="R16" s="34">
        <f>SUM(R6:R15)</f>
        <v>78395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35">
      <c r="B17" s="16" t="s">
        <v>51</v>
      </c>
      <c r="C17" s="17">
        <v>1354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4984</v>
      </c>
      <c r="P18" s="125">
        <f>P17/O16</f>
        <v>0.15019762845849802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3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3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3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3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3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3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3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35">
      <c r="B26" s="74" t="s">
        <v>55</v>
      </c>
      <c r="C26" s="122">
        <v>9493</v>
      </c>
      <c r="D26" s="76">
        <f>C11</f>
        <v>11011</v>
      </c>
      <c r="E26" s="77">
        <f>D26-C26</f>
        <v>1518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3">
      <c r="B27" s="74" t="s">
        <v>56</v>
      </c>
      <c r="C27" s="122">
        <v>32646</v>
      </c>
      <c r="D27" s="76">
        <f>C7+C12+C13+C14+C15</f>
        <v>42382</v>
      </c>
      <c r="E27" s="77">
        <f>D27-C27</f>
        <v>9736</v>
      </c>
      <c r="P27" s="4"/>
      <c r="AG27" s="69"/>
    </row>
    <row r="28" spans="2:44" x14ac:dyDescent="0.3">
      <c r="B28" s="74" t="s">
        <v>21</v>
      </c>
      <c r="C28" s="122">
        <v>127</v>
      </c>
      <c r="D28" s="76">
        <f>C6</f>
        <v>127</v>
      </c>
      <c r="E28" s="77">
        <f>D28-C28</f>
        <v>0</v>
      </c>
      <c r="P28" s="4"/>
    </row>
    <row r="29" spans="2:44" x14ac:dyDescent="0.3">
      <c r="B29" s="74" t="s">
        <v>57</v>
      </c>
      <c r="C29" s="122">
        <v>3340</v>
      </c>
      <c r="D29" s="76">
        <f>C10</f>
        <v>3340</v>
      </c>
      <c r="E29" s="77">
        <f>D29-C29</f>
        <v>0</v>
      </c>
      <c r="P29" s="4"/>
    </row>
    <row r="30" spans="2:44" x14ac:dyDescent="0.3">
      <c r="B30" s="74" t="s">
        <v>59</v>
      </c>
      <c r="C30" s="122">
        <v>16606</v>
      </c>
      <c r="D30" s="76">
        <f>C16+C17+C18</f>
        <v>15685</v>
      </c>
      <c r="E30" s="77">
        <f>D30-C30</f>
        <v>-921</v>
      </c>
      <c r="F30" s="1" t="s">
        <v>75</v>
      </c>
      <c r="J30" s="53"/>
      <c r="P30" s="4"/>
    </row>
    <row r="31" spans="2:44" ht="15" customHeight="1" thickBot="1" x14ac:dyDescent="0.35">
      <c r="B31" s="78" t="s">
        <v>60</v>
      </c>
      <c r="C31" s="121">
        <v>2868</v>
      </c>
      <c r="D31" s="80">
        <f>SUM(C8+C9)</f>
        <v>2654</v>
      </c>
      <c r="E31" s="81">
        <f>C31-D31</f>
        <v>214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3">
      <c r="K32" s="53"/>
      <c r="P32" s="4"/>
      <c r="AK32" s="1">
        <v>2</v>
      </c>
      <c r="AL32" s="1">
        <v>1</v>
      </c>
    </row>
    <row r="33" spans="11:32" ht="15" customHeight="1" thickBot="1" x14ac:dyDescent="0.35">
      <c r="K33" s="53"/>
      <c r="R33" s="53"/>
      <c r="V33" s="53"/>
      <c r="W33" s="53"/>
    </row>
    <row r="34" spans="11:32" ht="18" customHeight="1" thickBot="1" x14ac:dyDescent="0.3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6" customHeight="1" x14ac:dyDescent="0.3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6" customHeight="1" x14ac:dyDescent="0.3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6" customHeight="1" x14ac:dyDescent="0.3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6" customHeight="1" x14ac:dyDescent="0.3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6" customHeight="1" x14ac:dyDescent="0.3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6" customHeight="1" x14ac:dyDescent="0.3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6" customHeight="1" x14ac:dyDescent="0.3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6" customHeight="1" x14ac:dyDescent="0.3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6" customHeight="1" thickBot="1" x14ac:dyDescent="0.3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6" customHeight="1" x14ac:dyDescent="0.3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6" customHeight="1" x14ac:dyDescent="0.3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6" customHeight="1" x14ac:dyDescent="0.3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6" customHeight="1" thickBot="1" x14ac:dyDescent="0.3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6" customHeight="1" x14ac:dyDescent="0.3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6" customHeight="1" x14ac:dyDescent="0.3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6" customHeight="1" x14ac:dyDescent="0.3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6" customHeight="1" x14ac:dyDescent="0.3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thickBot="1" x14ac:dyDescent="0.3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6" customHeight="1" x14ac:dyDescent="0.3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6" customHeight="1" x14ac:dyDescent="0.3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6" customHeight="1" x14ac:dyDescent="0.3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6" customHeight="1" thickBot="1" x14ac:dyDescent="0.3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6" customHeight="1" x14ac:dyDescent="0.3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6" customHeight="1" x14ac:dyDescent="0.3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6" customHeight="1" x14ac:dyDescent="0.3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6" customHeight="1" thickBot="1" x14ac:dyDescent="0.3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07" priority="11" operator="lessThan">
      <formula>0</formula>
    </cfRule>
    <cfRule type="cellIs" dxfId="106" priority="12" operator="greaterThan">
      <formula>0</formula>
    </cfRule>
  </conditionalFormatting>
  <conditionalFormatting sqref="S25:AD25">
    <cfRule type="cellIs" dxfId="105" priority="9" operator="lessThan">
      <formula>0</formula>
    </cfRule>
    <cfRule type="cellIs" dxfId="104" priority="10" operator="greaterThan">
      <formula>0</formula>
    </cfRule>
  </conditionalFormatting>
  <conditionalFormatting sqref="S26 U26 W26 Y26 AA26 AC26">
    <cfRule type="cellIs" dxfId="103" priority="7" operator="lessThan">
      <formula>0</formula>
    </cfRule>
    <cfRule type="cellIs" dxfId="102" priority="8" operator="greaterThan">
      <formula>0</formula>
    </cfRule>
  </conditionalFormatting>
  <conditionalFormatting sqref="AE24:AF24">
    <cfRule type="cellIs" dxfId="101" priority="5" operator="lessThan">
      <formula>0</formula>
    </cfRule>
    <cfRule type="cellIs" dxfId="100" priority="6" operator="greaterThan">
      <formula>0</formula>
    </cfRule>
  </conditionalFormatting>
  <conditionalFormatting sqref="AE25:AF25">
    <cfRule type="cellIs" dxfId="99" priority="3" operator="lessThan">
      <formula>0</formula>
    </cfRule>
    <cfRule type="cellIs" dxfId="98" priority="4" operator="greaterThan">
      <formula>0</formula>
    </cfRule>
  </conditionalFormatting>
  <conditionalFormatting sqref="AE26">
    <cfRule type="cellIs" dxfId="97" priority="1" operator="lessThan">
      <formula>0</formula>
    </cfRule>
    <cfRule type="cellIs" dxfId="96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44510</v>
      </c>
    </row>
    <row r="3" spans="2:43" ht="18.75" customHeight="1" thickBot="1" x14ac:dyDescent="0.35">
      <c r="B3" t="s">
        <v>1</v>
      </c>
      <c r="C3" s="3">
        <f>C2+1</f>
        <v>44511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26790</v>
      </c>
      <c r="G6" s="117">
        <v>14989.21925</v>
      </c>
      <c r="H6" s="117">
        <v>8772.6958472999941</v>
      </c>
      <c r="I6" s="19">
        <f>G6+H6</f>
        <v>23761.915097299992</v>
      </c>
      <c r="J6" s="119">
        <v>29764</v>
      </c>
      <c r="K6" s="117">
        <v>18063.987249999998</v>
      </c>
      <c r="L6" s="117">
        <v>8949.0028737199973</v>
      </c>
      <c r="M6" s="19">
        <f>K6+L6</f>
        <v>27012.990123719996</v>
      </c>
      <c r="N6" s="85">
        <v>80</v>
      </c>
      <c r="O6" s="85">
        <v>77</v>
      </c>
      <c r="P6" s="85">
        <v>69</v>
      </c>
      <c r="Q6" s="92"/>
      <c r="R6" s="20">
        <f>J6-Q6</f>
        <v>29764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2071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8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1653</v>
      </c>
      <c r="E8" s="29" t="s">
        <v>27</v>
      </c>
      <c r="F8" s="119">
        <v>0</v>
      </c>
      <c r="G8" s="117">
        <v>0</v>
      </c>
      <c r="H8" s="117">
        <v>5214.019899580001</v>
      </c>
      <c r="I8" s="19">
        <f>G8+H8</f>
        <v>5214.019899580001</v>
      </c>
      <c r="J8" s="119">
        <v>0</v>
      </c>
      <c r="K8" s="117">
        <v>0</v>
      </c>
      <c r="L8" s="117">
        <v>5330.0254424600007</v>
      </c>
      <c r="M8" s="19">
        <f>K8+L8</f>
        <v>5330.0254424600007</v>
      </c>
      <c r="N8" s="87">
        <v>3</v>
      </c>
      <c r="O8" s="87">
        <v>3</v>
      </c>
      <c r="P8" s="87">
        <v>3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1188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2318</v>
      </c>
      <c r="E10" s="18" t="s">
        <v>31</v>
      </c>
      <c r="F10" s="119">
        <v>21050</v>
      </c>
      <c r="G10" s="117">
        <v>15441.451499999999</v>
      </c>
      <c r="H10" s="117">
        <v>443.82406700000001</v>
      </c>
      <c r="I10" s="19">
        <f>G10+H10</f>
        <v>15885.275566999999</v>
      </c>
      <c r="J10" s="119">
        <v>20986</v>
      </c>
      <c r="K10" s="117">
        <v>16439.306499999999</v>
      </c>
      <c r="L10" s="117">
        <v>448.29238400000003</v>
      </c>
      <c r="M10" s="19">
        <f>K10+L10</f>
        <v>16887.598883999999</v>
      </c>
      <c r="N10" s="88">
        <v>42</v>
      </c>
      <c r="O10" s="88">
        <v>41</v>
      </c>
      <c r="P10" s="88">
        <v>37</v>
      </c>
      <c r="Q10" s="92"/>
      <c r="R10" s="20">
        <f>J10-Q10</f>
        <v>20986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11283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2530</v>
      </c>
      <c r="E12" s="29" t="s">
        <v>35</v>
      </c>
      <c r="F12" s="119">
        <v>15373</v>
      </c>
      <c r="G12" s="117">
        <v>12051.931</v>
      </c>
      <c r="H12" s="117">
        <v>19094.04746505</v>
      </c>
      <c r="I12" s="19">
        <f>G12+H12</f>
        <v>31145.978465050001</v>
      </c>
      <c r="J12" s="119">
        <v>15572</v>
      </c>
      <c r="K12" s="117">
        <v>15205.466</v>
      </c>
      <c r="L12" s="117">
        <v>19421.989735369989</v>
      </c>
      <c r="M12" s="19">
        <f>K12+L12</f>
        <v>34627.455735369993</v>
      </c>
      <c r="N12" s="88">
        <v>52</v>
      </c>
      <c r="O12" s="88">
        <v>53</v>
      </c>
      <c r="P12" s="88">
        <v>47</v>
      </c>
      <c r="Q12" s="92"/>
      <c r="R12" s="20">
        <f>J12-Q12</f>
        <v>15572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30718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6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1207</v>
      </c>
      <c r="E14" s="18" t="s">
        <v>39</v>
      </c>
      <c r="F14" s="119">
        <v>18928</v>
      </c>
      <c r="G14" s="117">
        <v>14148.127500000001</v>
      </c>
      <c r="H14" s="117">
        <v>22874.179712239991</v>
      </c>
      <c r="I14" s="19">
        <f>G14+H14</f>
        <v>37022.30721223999</v>
      </c>
      <c r="J14" s="119">
        <v>20001</v>
      </c>
      <c r="K14" s="117">
        <v>18678.483749999999</v>
      </c>
      <c r="L14" s="117">
        <v>24784.001331159991</v>
      </c>
      <c r="M14" s="19">
        <f>K14+L14</f>
        <v>43462.48508115999</v>
      </c>
      <c r="N14" s="88">
        <v>67</v>
      </c>
      <c r="O14" s="88">
        <v>67</v>
      </c>
      <c r="P14" s="88">
        <v>56</v>
      </c>
      <c r="Q14" s="92"/>
      <c r="R14" s="20">
        <f>J14-Q14</f>
        <v>20001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502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10947</v>
      </c>
      <c r="E16" s="18" t="s">
        <v>79</v>
      </c>
      <c r="F16" s="119">
        <v>0</v>
      </c>
      <c r="G16" s="117">
        <v>0</v>
      </c>
      <c r="H16" s="117">
        <v>10168.45169614</v>
      </c>
      <c r="I16" s="19">
        <f>G16+H16</f>
        <v>10168.45169614</v>
      </c>
      <c r="J16" s="119">
        <v>0</v>
      </c>
      <c r="K16" s="117">
        <v>0</v>
      </c>
      <c r="L16" s="117">
        <v>10315.17115916</v>
      </c>
      <c r="M16" s="19">
        <f>K16+L16</f>
        <v>10315.17115916</v>
      </c>
      <c r="N16" s="88">
        <v>12</v>
      </c>
      <c r="O16" s="88">
        <v>11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2253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2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5167</v>
      </c>
      <c r="E18" s="84"/>
      <c r="F18" s="31">
        <f t="shared" ref="F18:M18" si="0">SUM(F6:F17)</f>
        <v>82141</v>
      </c>
      <c r="G18" s="31">
        <f t="shared" si="0"/>
        <v>56630.729250000004</v>
      </c>
      <c r="H18" s="31">
        <f t="shared" si="0"/>
        <v>66567.21868731</v>
      </c>
      <c r="I18" s="32">
        <f t="shared" si="0"/>
        <v>123197.94793730997</v>
      </c>
      <c r="J18" s="31">
        <f t="shared" si="0"/>
        <v>86323</v>
      </c>
      <c r="K18" s="31">
        <f t="shared" si="0"/>
        <v>68387.243499999997</v>
      </c>
      <c r="L18" s="31">
        <f t="shared" si="0"/>
        <v>69248.482925869976</v>
      </c>
      <c r="M18" s="33">
        <f t="shared" si="0"/>
        <v>137635.72642586997</v>
      </c>
      <c r="N18" s="31">
        <f>SUM(N16,N14,N12,N10,N8,N6)</f>
        <v>256</v>
      </c>
      <c r="O18" s="31">
        <f>SUM(O16,O14,O12,O10,O8,O6)</f>
        <v>252</v>
      </c>
      <c r="P18" s="31">
        <f>SUM(P16,P14,P12,P10,P8,P6)</f>
        <v>221</v>
      </c>
      <c r="Q18" s="34">
        <f>SUM(Q6:Q15)</f>
        <v>0</v>
      </c>
      <c r="R18" s="34">
        <f>SUM(R6:R17)</f>
        <v>86323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29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0.11507936507936507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13767</v>
      </c>
      <c r="D26" s="76">
        <f>C11</f>
        <v>11283</v>
      </c>
      <c r="E26" s="77">
        <f>D26-C26</f>
        <v>-2484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38473</v>
      </c>
      <c r="D27" s="76">
        <f>C7+C12+C13+C14+C15</f>
        <v>37028</v>
      </c>
      <c r="E27" s="77">
        <f>D27-C27</f>
        <v>-1445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2318</v>
      </c>
      <c r="D29" s="76">
        <f>C10</f>
        <v>2318</v>
      </c>
      <c r="E29" s="77">
        <f>D29-C29</f>
        <v>0</v>
      </c>
      <c r="P29" s="4"/>
    </row>
    <row r="30" spans="2:44" x14ac:dyDescent="0.3">
      <c r="B30" s="74" t="s">
        <v>59</v>
      </c>
      <c r="C30" s="122">
        <v>17758</v>
      </c>
      <c r="D30" s="76">
        <f>C16+C17+C18</f>
        <v>18367</v>
      </c>
      <c r="E30" s="77">
        <f>D30-C30</f>
        <v>609</v>
      </c>
      <c r="P30" s="4"/>
    </row>
    <row r="31" spans="2:44" ht="15" customHeight="1" thickBot="1" x14ac:dyDescent="0.35">
      <c r="B31" s="78" t="s">
        <v>60</v>
      </c>
      <c r="C31" s="121">
        <v>3579</v>
      </c>
      <c r="D31" s="80">
        <f>SUM(C8+C9)</f>
        <v>2841</v>
      </c>
      <c r="E31" s="81">
        <f>C31-D31</f>
        <v>738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63:N66"/>
    <mergeCell ref="F4:I4"/>
    <mergeCell ref="J4:M4"/>
    <mergeCell ref="B5:C5"/>
    <mergeCell ref="N37:N45"/>
    <mergeCell ref="N46:N49"/>
    <mergeCell ref="N50:N58"/>
    <mergeCell ref="N59:N62"/>
  </mergeCells>
  <conditionalFormatting sqref="S26:AD26">
    <cfRule type="cellIs" dxfId="95" priority="11" operator="lessThan">
      <formula>0</formula>
    </cfRule>
    <cfRule type="cellIs" dxfId="94" priority="12" operator="greaterThan">
      <formula>0</formula>
    </cfRule>
  </conditionalFormatting>
  <conditionalFormatting sqref="S27:AD27">
    <cfRule type="cellIs" dxfId="93" priority="9" operator="lessThan">
      <formula>0</formula>
    </cfRule>
    <cfRule type="cellIs" dxfId="92" priority="10" operator="greaterThan">
      <formula>0</formula>
    </cfRule>
  </conditionalFormatting>
  <conditionalFormatting sqref="S28 U28 W28 Y28 AA28 AC28">
    <cfRule type="cellIs" dxfId="91" priority="7" operator="lessThan">
      <formula>0</formula>
    </cfRule>
    <cfRule type="cellIs" dxfId="90" priority="8" operator="greaterThan">
      <formula>0</formula>
    </cfRule>
  </conditionalFormatting>
  <conditionalFormatting sqref="AE26:AF26">
    <cfRule type="cellIs" dxfId="89" priority="5" operator="lessThan">
      <formula>0</formula>
    </cfRule>
    <cfRule type="cellIs" dxfId="88" priority="6" operator="greaterThan">
      <formula>0</formula>
    </cfRule>
  </conditionalFormatting>
  <conditionalFormatting sqref="AE27:AF27">
    <cfRule type="cellIs" dxfId="87" priority="3" operator="lessThan">
      <formula>0</formula>
    </cfRule>
    <cfRule type="cellIs" dxfId="86" priority="4" operator="greaterThan">
      <formula>0</formula>
    </cfRule>
  </conditionalFormatting>
  <conditionalFormatting sqref="AE28">
    <cfRule type="cellIs" dxfId="85" priority="1" operator="lessThan">
      <formula>0</formula>
    </cfRule>
    <cfRule type="cellIs" dxfId="84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44511</v>
      </c>
    </row>
    <row r="3" spans="2:43" ht="18.75" customHeight="1" thickBot="1" x14ac:dyDescent="0.35">
      <c r="B3" t="s">
        <v>1</v>
      </c>
      <c r="C3" s="3">
        <f>C2+1</f>
        <v>44512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98</v>
      </c>
      <c r="E6" s="18" t="s">
        <v>22</v>
      </c>
      <c r="F6" s="119">
        <v>27813</v>
      </c>
      <c r="G6" s="117">
        <v>15052.055700000001</v>
      </c>
      <c r="H6" s="117">
        <v>9919.2605286199923</v>
      </c>
      <c r="I6" s="19">
        <f>G6+H6</f>
        <v>24971.316228619995</v>
      </c>
      <c r="J6" s="119">
        <v>28006</v>
      </c>
      <c r="K6" s="117">
        <v>18085.587950000001</v>
      </c>
      <c r="L6" s="117">
        <v>9756.6231631399896</v>
      </c>
      <c r="M6" s="19">
        <f>K6+L6</f>
        <v>27842.211113139991</v>
      </c>
      <c r="N6" s="85">
        <v>80</v>
      </c>
      <c r="O6" s="85">
        <v>74</v>
      </c>
      <c r="P6" s="85">
        <v>67</v>
      </c>
      <c r="Q6" s="92"/>
      <c r="R6" s="20">
        <f>J6-Q6</f>
        <v>28006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1432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7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1894</v>
      </c>
      <c r="E8" s="29" t="s">
        <v>27</v>
      </c>
      <c r="F8" s="119">
        <v>0</v>
      </c>
      <c r="G8" s="117">
        <v>0</v>
      </c>
      <c r="H8" s="117">
        <v>5090.7559704599989</v>
      </c>
      <c r="I8" s="19">
        <f>G8+H8</f>
        <v>5090.7559704599989</v>
      </c>
      <c r="J8" s="119">
        <v>0</v>
      </c>
      <c r="K8" s="117">
        <v>0</v>
      </c>
      <c r="L8" s="117">
        <v>5093.4655733799991</v>
      </c>
      <c r="M8" s="19">
        <f>K8+L8</f>
        <v>5093.4655733799991</v>
      </c>
      <c r="N8" s="87">
        <v>5</v>
      </c>
      <c r="O8" s="87">
        <v>5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1287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2555</v>
      </c>
      <c r="E10" s="18" t="s">
        <v>31</v>
      </c>
      <c r="F10" s="119">
        <v>20980</v>
      </c>
      <c r="G10" s="117">
        <v>13042.88975</v>
      </c>
      <c r="H10" s="117">
        <v>402.22110459999999</v>
      </c>
      <c r="I10" s="19">
        <f>G10+H10</f>
        <v>13445.1108546</v>
      </c>
      <c r="J10" s="119">
        <v>21048</v>
      </c>
      <c r="K10" s="117">
        <v>14742.814249999999</v>
      </c>
      <c r="L10" s="117">
        <v>414.96493279999999</v>
      </c>
      <c r="M10" s="19">
        <f>K10+L10</f>
        <v>15157.779182799999</v>
      </c>
      <c r="N10" s="88">
        <v>54</v>
      </c>
      <c r="O10" s="88">
        <v>52</v>
      </c>
      <c r="P10" s="88">
        <v>50</v>
      </c>
      <c r="Q10" s="92"/>
      <c r="R10" s="20">
        <f>J10-Q10</f>
        <v>21048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13718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1575</v>
      </c>
      <c r="E12" s="29" t="s">
        <v>35</v>
      </c>
      <c r="F12" s="119">
        <v>16229</v>
      </c>
      <c r="G12" s="117">
        <v>12613.476500000001</v>
      </c>
      <c r="H12" s="117">
        <v>20783.333104140002</v>
      </c>
      <c r="I12" s="19">
        <f>G12+H12</f>
        <v>33396.809604139999</v>
      </c>
      <c r="J12" s="119">
        <v>16166</v>
      </c>
      <c r="K12" s="117">
        <v>16373.056</v>
      </c>
      <c r="L12" s="117">
        <v>20833.20010025</v>
      </c>
      <c r="M12" s="19">
        <f>K12+L12</f>
        <v>37206.256100250001</v>
      </c>
      <c r="N12" s="88">
        <v>46</v>
      </c>
      <c r="O12" s="88">
        <v>46</v>
      </c>
      <c r="P12" s="88">
        <v>41</v>
      </c>
      <c r="Q12" s="92"/>
      <c r="R12" s="20">
        <f>J12-Q12</f>
        <v>16166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34360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798</v>
      </c>
      <c r="E14" s="18" t="s">
        <v>39</v>
      </c>
      <c r="F14" s="119">
        <v>20750</v>
      </c>
      <c r="G14" s="117">
        <v>15549.67</v>
      </c>
      <c r="H14" s="117">
        <v>25475.92840556</v>
      </c>
      <c r="I14" s="19">
        <f>G14+H14</f>
        <v>41025.598405559998</v>
      </c>
      <c r="J14" s="119">
        <v>20710</v>
      </c>
      <c r="K14" s="117">
        <v>18715.717499999999</v>
      </c>
      <c r="L14" s="117">
        <v>25351.01321998001</v>
      </c>
      <c r="M14" s="19">
        <f>K14+L14</f>
        <v>44066.730719980013</v>
      </c>
      <c r="N14" s="88">
        <v>64</v>
      </c>
      <c r="O14" s="88">
        <v>64</v>
      </c>
      <c r="P14" s="88">
        <v>50</v>
      </c>
      <c r="Q14" s="92"/>
      <c r="R14" s="20">
        <f>J14-Q14</f>
        <v>20710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233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9030</v>
      </c>
      <c r="E16" s="18" t="s">
        <v>79</v>
      </c>
      <c r="F16" s="119">
        <v>0</v>
      </c>
      <c r="G16" s="117">
        <v>0</v>
      </c>
      <c r="H16" s="117">
        <v>6437.33220342</v>
      </c>
      <c r="I16" s="19">
        <f>G16+H16</f>
        <v>6437.33220342</v>
      </c>
      <c r="J16" s="119">
        <v>0</v>
      </c>
      <c r="K16" s="117">
        <v>0</v>
      </c>
      <c r="L16" s="117">
        <v>6528.0678834199998</v>
      </c>
      <c r="M16" s="19">
        <f>K16+L16</f>
        <v>6528.0678834199998</v>
      </c>
      <c r="N16" s="88">
        <v>10</v>
      </c>
      <c r="O16" s="88">
        <v>9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2926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4657</v>
      </c>
      <c r="E18" s="84"/>
      <c r="F18" s="31">
        <f t="shared" ref="F18:M18" si="0">SUM(F6:F17)</f>
        <v>85772</v>
      </c>
      <c r="G18" s="31">
        <f t="shared" si="0"/>
        <v>56258.091950000002</v>
      </c>
      <c r="H18" s="31">
        <f t="shared" si="0"/>
        <v>68108.831316799988</v>
      </c>
      <c r="I18" s="32">
        <f t="shared" si="0"/>
        <v>124366.92326679999</v>
      </c>
      <c r="J18" s="31">
        <f t="shared" si="0"/>
        <v>85930</v>
      </c>
      <c r="K18" s="31">
        <f t="shared" si="0"/>
        <v>67917.175699999993</v>
      </c>
      <c r="L18" s="31">
        <f t="shared" si="0"/>
        <v>67977.334872969994</v>
      </c>
      <c r="M18" s="33">
        <f t="shared" si="0"/>
        <v>135894.51057297</v>
      </c>
      <c r="N18" s="31">
        <f>SUM(N16,N14,N12,N10,N8,N6)</f>
        <v>259</v>
      </c>
      <c r="O18" s="31">
        <f>SUM(O16,O14,O12,O10,O8,O6)</f>
        <v>250</v>
      </c>
      <c r="P18" s="31">
        <f>SUM(P16,P14,P12,P10,P8,P6)</f>
        <v>222</v>
      </c>
      <c r="Q18" s="34">
        <f>SUM(Q6:Q15)</f>
        <v>0</v>
      </c>
      <c r="R18" s="34">
        <f>SUM(R6:R17)</f>
        <v>85930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28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0.112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14326</v>
      </c>
      <c r="D26" s="76">
        <f>C11</f>
        <v>13718</v>
      </c>
      <c r="E26" s="77">
        <f>D26-C26</f>
        <v>-608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38258</v>
      </c>
      <c r="D27" s="76">
        <f>C7+C12+C13+C14+C15</f>
        <v>38398</v>
      </c>
      <c r="E27" s="77">
        <f>D27-C27</f>
        <v>140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98</v>
      </c>
      <c r="D28" s="76">
        <f>C6</f>
        <v>98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2555</v>
      </c>
      <c r="D29" s="76">
        <f>C10</f>
        <v>2555</v>
      </c>
      <c r="E29" s="77">
        <f>D29-C29</f>
        <v>0</v>
      </c>
      <c r="P29" s="4"/>
    </row>
    <row r="30" spans="2:44" x14ac:dyDescent="0.3">
      <c r="B30" s="74" t="s">
        <v>59</v>
      </c>
      <c r="C30" s="122">
        <v>16017</v>
      </c>
      <c r="D30" s="76">
        <f>C16+C17+C18</f>
        <v>16613</v>
      </c>
      <c r="E30" s="77">
        <f>D30-C30</f>
        <v>596</v>
      </c>
      <c r="P30" s="4"/>
    </row>
    <row r="31" spans="2:44" ht="15" customHeight="1" thickBot="1" x14ac:dyDescent="0.35">
      <c r="B31" s="78" t="s">
        <v>60</v>
      </c>
      <c r="C31" s="121">
        <v>3181</v>
      </c>
      <c r="D31" s="80">
        <f>SUM(C8+C9)</f>
        <v>3181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83" priority="11" operator="lessThan">
      <formula>0</formula>
    </cfRule>
    <cfRule type="cellIs" dxfId="82" priority="12" operator="greaterThan">
      <formula>0</formula>
    </cfRule>
  </conditionalFormatting>
  <conditionalFormatting sqref="S27:AD27">
    <cfRule type="cellIs" dxfId="81" priority="9" operator="lessThan">
      <formula>0</formula>
    </cfRule>
    <cfRule type="cellIs" dxfId="80" priority="10" operator="greaterThan">
      <formula>0</formula>
    </cfRule>
  </conditionalFormatting>
  <conditionalFormatting sqref="S28 U28 W28 Y28 AA28 AC28">
    <cfRule type="cellIs" dxfId="79" priority="7" operator="lessThan">
      <formula>0</formula>
    </cfRule>
    <cfRule type="cellIs" dxfId="78" priority="8" operator="greaterThan">
      <formula>0</formula>
    </cfRule>
  </conditionalFormatting>
  <conditionalFormatting sqref="AE26:AF26">
    <cfRule type="cellIs" dxfId="77" priority="5" operator="lessThan">
      <formula>0</formula>
    </cfRule>
    <cfRule type="cellIs" dxfId="76" priority="6" operator="greaterThan">
      <formula>0</formula>
    </cfRule>
  </conditionalFormatting>
  <conditionalFormatting sqref="AE27:AF27">
    <cfRule type="cellIs" dxfId="75" priority="3" operator="lessThan">
      <formula>0</formula>
    </cfRule>
    <cfRule type="cellIs" dxfId="74" priority="4" operator="greaterThan">
      <formula>0</formula>
    </cfRule>
  </conditionalFormatting>
  <conditionalFormatting sqref="AE28">
    <cfRule type="cellIs" dxfId="73" priority="1" operator="lessThan">
      <formula>0</formula>
    </cfRule>
    <cfRule type="cellIs" dxfId="72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>
    <tabColor theme="1"/>
    <pageSetUpPr fitToPage="1"/>
  </sheetPr>
  <dimension ref="B1:AR66"/>
  <sheetViews>
    <sheetView topLeftCell="I1"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44512</v>
      </c>
    </row>
    <row r="3" spans="2:43" ht="18.75" customHeight="1" thickBot="1" x14ac:dyDescent="0.35">
      <c r="B3" t="s">
        <v>1</v>
      </c>
      <c r="C3" s="3">
        <f>C2+1</f>
        <v>44513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23226</v>
      </c>
      <c r="G6" s="117">
        <v>14032.358249999999</v>
      </c>
      <c r="H6" s="117">
        <v>8146.2001914399943</v>
      </c>
      <c r="I6" s="19">
        <f>G6+H6</f>
        <v>22178.558441439993</v>
      </c>
      <c r="J6" s="119">
        <v>24711</v>
      </c>
      <c r="K6" s="117">
        <v>16711.23471666667</v>
      </c>
      <c r="L6" s="117">
        <v>8371.1280749799935</v>
      </c>
      <c r="M6" s="19">
        <f>K6+L6</f>
        <v>25082.362791646665</v>
      </c>
      <c r="N6" s="85">
        <v>78</v>
      </c>
      <c r="O6" s="85">
        <v>74</v>
      </c>
      <c r="P6" s="85">
        <v>64</v>
      </c>
      <c r="Q6" s="92"/>
      <c r="R6" s="20">
        <f>J6-Q6</f>
        <v>24711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200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10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2191</v>
      </c>
      <c r="E8" s="29" t="s">
        <v>27</v>
      </c>
      <c r="F8" s="119">
        <v>0</v>
      </c>
      <c r="G8" s="117">
        <v>0</v>
      </c>
      <c r="H8" s="117">
        <v>5469.5274575800013</v>
      </c>
      <c r="I8" s="19">
        <f>G8+H8</f>
        <v>5469.5274575800013</v>
      </c>
      <c r="J8" s="119">
        <v>0</v>
      </c>
      <c r="K8" s="117">
        <v>0</v>
      </c>
      <c r="L8" s="117">
        <v>5585.5634348200001</v>
      </c>
      <c r="M8" s="19">
        <f>K8+L8</f>
        <v>5585.5634348200001</v>
      </c>
      <c r="N8" s="87">
        <v>7</v>
      </c>
      <c r="O8" s="87">
        <v>7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1043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2284</v>
      </c>
      <c r="E10" s="18" t="s">
        <v>31</v>
      </c>
      <c r="F10" s="119">
        <v>19328</v>
      </c>
      <c r="G10" s="117">
        <v>15302.127</v>
      </c>
      <c r="H10" s="117">
        <v>343.20603299999999</v>
      </c>
      <c r="I10" s="19">
        <f>G10+H10</f>
        <v>15645.333033000001</v>
      </c>
      <c r="J10" s="119">
        <v>19156</v>
      </c>
      <c r="K10" s="117">
        <v>15265.307500000001</v>
      </c>
      <c r="L10" s="117">
        <v>344.22386719999997</v>
      </c>
      <c r="M10" s="19">
        <f>K10+L10</f>
        <v>15609.531367200001</v>
      </c>
      <c r="N10" s="88">
        <v>50</v>
      </c>
      <c r="O10" s="88">
        <v>45</v>
      </c>
      <c r="P10" s="88">
        <v>46</v>
      </c>
      <c r="Q10" s="92"/>
      <c r="R10" s="20">
        <f>J10-Q10</f>
        <v>19156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11416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-1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15377</v>
      </c>
      <c r="G12" s="117">
        <v>12652.588250000001</v>
      </c>
      <c r="H12" s="117">
        <v>19927.182154539991</v>
      </c>
      <c r="I12" s="19">
        <f>G12+H12</f>
        <v>32579.770404539991</v>
      </c>
      <c r="J12" s="119">
        <v>15793</v>
      </c>
      <c r="K12" s="117">
        <v>16043.004499999999</v>
      </c>
      <c r="L12" s="117">
        <v>20081.102538390001</v>
      </c>
      <c r="M12" s="19">
        <f>K12+L12</f>
        <v>36124.107038390001</v>
      </c>
      <c r="N12" s="88">
        <v>52</v>
      </c>
      <c r="O12" s="88">
        <v>51</v>
      </c>
      <c r="P12" s="88">
        <v>39</v>
      </c>
      <c r="Q12" s="92"/>
      <c r="R12" s="20">
        <f>J12-Q12</f>
        <v>15793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39779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20651</v>
      </c>
      <c r="G14" s="117">
        <v>16826.89025</v>
      </c>
      <c r="H14" s="117">
        <v>25605.182847060008</v>
      </c>
      <c r="I14" s="19">
        <f>G14+H14</f>
        <v>42432.073097060013</v>
      </c>
      <c r="J14" s="119">
        <v>20341</v>
      </c>
      <c r="K14" s="117">
        <v>18966.811249999999</v>
      </c>
      <c r="L14" s="117">
        <v>24952.435993219991</v>
      </c>
      <c r="M14" s="19">
        <f>K14+L14</f>
        <v>43919.247243219987</v>
      </c>
      <c r="N14" s="88">
        <v>72</v>
      </c>
      <c r="O14" s="88">
        <v>71</v>
      </c>
      <c r="P14" s="88">
        <v>59</v>
      </c>
      <c r="Q14" s="92"/>
      <c r="R14" s="20">
        <f>J14-Q14</f>
        <v>20341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12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8739</v>
      </c>
      <c r="E16" s="18" t="s">
        <v>79</v>
      </c>
      <c r="F16" s="119">
        <v>0</v>
      </c>
      <c r="G16" s="117">
        <v>0</v>
      </c>
      <c r="H16" s="117">
        <v>10939.66130254</v>
      </c>
      <c r="I16" s="19">
        <f>G16+H16</f>
        <v>10939.66130254</v>
      </c>
      <c r="J16" s="119">
        <v>0</v>
      </c>
      <c r="K16" s="117">
        <v>0</v>
      </c>
      <c r="L16" s="117">
        <v>10870.462075359999</v>
      </c>
      <c r="M16" s="19">
        <f>K16+L16</f>
        <v>10870.462075359999</v>
      </c>
      <c r="N16" s="88">
        <v>12</v>
      </c>
      <c r="O16" s="88">
        <v>11</v>
      </c>
      <c r="P16" s="88">
        <v>10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525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4393</v>
      </c>
      <c r="E18" s="84"/>
      <c r="F18" s="31">
        <f t="shared" ref="F18:M18" si="0">SUM(F6:F17)</f>
        <v>78582</v>
      </c>
      <c r="G18" s="31">
        <f t="shared" si="0"/>
        <v>58813.963749999995</v>
      </c>
      <c r="H18" s="31">
        <f t="shared" si="0"/>
        <v>70430.959986159985</v>
      </c>
      <c r="I18" s="32">
        <f t="shared" si="0"/>
        <v>129244.92373616</v>
      </c>
      <c r="J18" s="31">
        <f t="shared" si="0"/>
        <v>80001</v>
      </c>
      <c r="K18" s="31">
        <f t="shared" si="0"/>
        <v>66986.357966666663</v>
      </c>
      <c r="L18" s="31">
        <f t="shared" si="0"/>
        <v>70204.915983969986</v>
      </c>
      <c r="M18" s="33">
        <f t="shared" si="0"/>
        <v>137191.27395063665</v>
      </c>
      <c r="N18" s="31">
        <f>SUM(N16,N14,N12,N10,N8,N6)</f>
        <v>271</v>
      </c>
      <c r="O18" s="31">
        <f>SUM(O16,O14,O12,O10,O8,O6)</f>
        <v>259</v>
      </c>
      <c r="P18" s="31">
        <f>SUM(P16,P14,P12,P10,P8,P6)</f>
        <v>223</v>
      </c>
      <c r="Q18" s="34">
        <f>SUM(Q6:Q15)</f>
        <v>0</v>
      </c>
      <c r="R18" s="34">
        <f>SUM(R6:R17)</f>
        <v>80001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35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0.13513513513513514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12887</v>
      </c>
      <c r="D26" s="76">
        <f>C11</f>
        <v>11416</v>
      </c>
      <c r="E26" s="77">
        <f>D26-C26</f>
        <v>-1471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40576</v>
      </c>
      <c r="D27" s="76">
        <f>C7+C12+C13+C14+C15</f>
        <v>39979</v>
      </c>
      <c r="E27" s="77">
        <f>D27-C27</f>
        <v>-597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2284</v>
      </c>
      <c r="D29" s="76">
        <f>C10</f>
        <v>2284</v>
      </c>
      <c r="E29" s="77">
        <f>D29-C29</f>
        <v>0</v>
      </c>
      <c r="P29" s="4"/>
    </row>
    <row r="30" spans="2:44" x14ac:dyDescent="0.3">
      <c r="B30" s="74" t="s">
        <v>59</v>
      </c>
      <c r="C30" s="122">
        <v>12955</v>
      </c>
      <c r="D30" s="76">
        <f>C16+C17+C18</f>
        <v>13657</v>
      </c>
      <c r="E30" s="77">
        <f>D30-C30</f>
        <v>702</v>
      </c>
      <c r="P30" s="4"/>
    </row>
    <row r="31" spans="2:44" ht="15" customHeight="1" thickBot="1" x14ac:dyDescent="0.35">
      <c r="B31" s="78" t="s">
        <v>60</v>
      </c>
      <c r="C31" s="121">
        <v>3879</v>
      </c>
      <c r="D31" s="80">
        <f>SUM(C8+C9)</f>
        <v>3234</v>
      </c>
      <c r="E31" s="81">
        <f>C31-D31</f>
        <v>645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71" priority="11" operator="lessThan">
      <formula>0</formula>
    </cfRule>
    <cfRule type="cellIs" dxfId="70" priority="12" operator="greaterThan">
      <formula>0</formula>
    </cfRule>
  </conditionalFormatting>
  <conditionalFormatting sqref="S27:AD27">
    <cfRule type="cellIs" dxfId="69" priority="9" operator="lessThan">
      <formula>0</formula>
    </cfRule>
    <cfRule type="cellIs" dxfId="68" priority="10" operator="greaterThan">
      <formula>0</formula>
    </cfRule>
  </conditionalFormatting>
  <conditionalFormatting sqref="S28 U28 W28 Y28 AA28 AC28">
    <cfRule type="cellIs" dxfId="67" priority="7" operator="lessThan">
      <formula>0</formula>
    </cfRule>
    <cfRule type="cellIs" dxfId="66" priority="8" operator="greaterThan">
      <formula>0</formula>
    </cfRule>
  </conditionalFormatting>
  <conditionalFormatting sqref="AE26:AF26">
    <cfRule type="cellIs" dxfId="65" priority="5" operator="lessThan">
      <formula>0</formula>
    </cfRule>
    <cfRule type="cellIs" dxfId="64" priority="6" operator="greaterThan">
      <formula>0</formula>
    </cfRule>
  </conditionalFormatting>
  <conditionalFormatting sqref="AE27:AF27">
    <cfRule type="cellIs" dxfId="63" priority="3" operator="lessThan">
      <formula>0</formula>
    </cfRule>
    <cfRule type="cellIs" dxfId="62" priority="4" operator="greaterThan">
      <formula>0</formula>
    </cfRule>
  </conditionalFormatting>
  <conditionalFormatting sqref="AE28">
    <cfRule type="cellIs" dxfId="61" priority="1" operator="lessThan">
      <formula>0</formula>
    </cfRule>
    <cfRule type="cellIs" dxfId="6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44513</v>
      </c>
    </row>
    <row r="3" spans="2:43" ht="18.75" customHeight="1" thickBot="1" x14ac:dyDescent="0.35">
      <c r="B3" t="s">
        <v>1</v>
      </c>
      <c r="C3" s="3">
        <f>C2+1</f>
        <v>44514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47</v>
      </c>
      <c r="E6" s="18" t="s">
        <v>22</v>
      </c>
      <c r="F6" s="119">
        <v>25249</v>
      </c>
      <c r="G6" s="117">
        <v>14460.71</v>
      </c>
      <c r="H6" s="117">
        <v>8840.843935560004</v>
      </c>
      <c r="I6" s="19">
        <f>G6+H6</f>
        <v>23301.553935560005</v>
      </c>
      <c r="J6" s="119">
        <v>27175</v>
      </c>
      <c r="K6" s="117">
        <v>17564.133666666661</v>
      </c>
      <c r="L6" s="117">
        <v>9164.0937262800016</v>
      </c>
      <c r="M6" s="19">
        <f>K6+L6</f>
        <v>26728.227392946661</v>
      </c>
      <c r="N6" s="85">
        <v>93</v>
      </c>
      <c r="O6" s="85">
        <v>92</v>
      </c>
      <c r="P6" s="85">
        <v>80</v>
      </c>
      <c r="Q6" s="92"/>
      <c r="R6" s="20">
        <f>J6-Q6</f>
        <v>27175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12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2338</v>
      </c>
      <c r="E8" s="29" t="s">
        <v>27</v>
      </c>
      <c r="F8" s="119">
        <v>0</v>
      </c>
      <c r="G8" s="117">
        <v>0</v>
      </c>
      <c r="H8" s="117">
        <v>5249.9476624399986</v>
      </c>
      <c r="I8" s="19">
        <f>G8+H8</f>
        <v>5249.9476624399986</v>
      </c>
      <c r="J8" s="119">
        <v>0</v>
      </c>
      <c r="K8" s="117">
        <v>0</v>
      </c>
      <c r="L8" s="117">
        <v>5350.23465218</v>
      </c>
      <c r="M8" s="19">
        <f>K8+L8</f>
        <v>5350.23465218</v>
      </c>
      <c r="N8" s="87">
        <v>7</v>
      </c>
      <c r="O8" s="87">
        <v>7</v>
      </c>
      <c r="P8" s="87">
        <v>6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940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2369</v>
      </c>
      <c r="E10" s="18" t="s">
        <v>31</v>
      </c>
      <c r="F10" s="119">
        <v>18287</v>
      </c>
      <c r="G10" s="117">
        <v>12150.427</v>
      </c>
      <c r="H10" s="117">
        <v>425.27196199999997</v>
      </c>
      <c r="I10" s="19">
        <f>G10+H10</f>
        <v>12575.698962</v>
      </c>
      <c r="J10" s="119">
        <v>19284</v>
      </c>
      <c r="K10" s="117">
        <v>14088.466</v>
      </c>
      <c r="L10" s="117">
        <v>411.46609039999998</v>
      </c>
      <c r="M10" s="19">
        <f>K10+L10</f>
        <v>14499.9320904</v>
      </c>
      <c r="N10" s="88">
        <v>55</v>
      </c>
      <c r="O10" s="88">
        <v>51</v>
      </c>
      <c r="P10" s="88">
        <v>51</v>
      </c>
      <c r="Q10" s="92"/>
      <c r="R10" s="20">
        <f>J10-Q10</f>
        <v>19284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9439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15749</v>
      </c>
      <c r="G12" s="117">
        <v>12684.79725</v>
      </c>
      <c r="H12" s="117">
        <v>20590.715553779999</v>
      </c>
      <c r="I12" s="19">
        <f>G12+H12</f>
        <v>33275.512803780002</v>
      </c>
      <c r="J12" s="119">
        <v>16417</v>
      </c>
      <c r="K12" s="117">
        <v>16400.447499999998</v>
      </c>
      <c r="L12" s="117">
        <v>21126.30595495001</v>
      </c>
      <c r="M12" s="19">
        <f>K12+L12</f>
        <v>37526.753454950012</v>
      </c>
      <c r="N12" s="88">
        <v>56</v>
      </c>
      <c r="O12" s="88">
        <v>56</v>
      </c>
      <c r="P12" s="88">
        <v>48</v>
      </c>
      <c r="Q12" s="92"/>
      <c r="R12" s="20">
        <f>J12-Q12</f>
        <v>16417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38158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8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698</v>
      </c>
      <c r="E14" s="18" t="s">
        <v>39</v>
      </c>
      <c r="F14" s="119">
        <v>13107</v>
      </c>
      <c r="G14" s="117">
        <v>14124.14025</v>
      </c>
      <c r="H14" s="117">
        <v>17052.029957800001</v>
      </c>
      <c r="I14" s="19">
        <f>G14+H14</f>
        <v>31176.170207800002</v>
      </c>
      <c r="J14" s="119">
        <v>21185</v>
      </c>
      <c r="K14" s="117">
        <v>18863.240249999999</v>
      </c>
      <c r="L14" s="117">
        <v>24209.378557880002</v>
      </c>
      <c r="M14" s="19">
        <f>K14+L14</f>
        <v>43072.618807880004</v>
      </c>
      <c r="N14" s="88">
        <v>65</v>
      </c>
      <c r="O14" s="88">
        <v>70</v>
      </c>
      <c r="P14" s="88">
        <v>49</v>
      </c>
      <c r="Q14" s="92"/>
      <c r="R14" s="20">
        <f>J14-Q14</f>
        <v>21185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215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9347</v>
      </c>
      <c r="E16" s="18" t="s">
        <v>79</v>
      </c>
      <c r="F16" s="119">
        <v>0</v>
      </c>
      <c r="G16" s="117">
        <v>0</v>
      </c>
      <c r="H16" s="117">
        <v>6158.0657322799998</v>
      </c>
      <c r="I16" s="19">
        <f>G16+H16</f>
        <v>6158.0657322799998</v>
      </c>
      <c r="J16" s="119">
        <v>0</v>
      </c>
      <c r="K16" s="117">
        <v>0</v>
      </c>
      <c r="L16" s="117">
        <v>6189.9085927999986</v>
      </c>
      <c r="M16" s="19">
        <f>K16+L16</f>
        <v>6189.9085927999986</v>
      </c>
      <c r="N16" s="88">
        <v>11</v>
      </c>
      <c r="O16" s="88">
        <v>10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1895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4489</v>
      </c>
      <c r="E18" s="84"/>
      <c r="F18" s="31">
        <f t="shared" ref="F18:M18" si="0">SUM(F6:F17)</f>
        <v>72392</v>
      </c>
      <c r="G18" s="31">
        <f t="shared" si="0"/>
        <v>53420.074500000002</v>
      </c>
      <c r="H18" s="31">
        <f t="shared" si="0"/>
        <v>58316.874803860002</v>
      </c>
      <c r="I18" s="32">
        <f t="shared" si="0"/>
        <v>111736.94930385999</v>
      </c>
      <c r="J18" s="31">
        <f t="shared" si="0"/>
        <v>84061</v>
      </c>
      <c r="K18" s="31">
        <f t="shared" si="0"/>
        <v>66916.287416666659</v>
      </c>
      <c r="L18" s="31">
        <f t="shared" si="0"/>
        <v>66451.387574490014</v>
      </c>
      <c r="M18" s="33">
        <f t="shared" si="0"/>
        <v>133367.67499115667</v>
      </c>
      <c r="N18" s="31">
        <f>SUM(N16,N14,N12,N10,N8,N6)</f>
        <v>287</v>
      </c>
      <c r="O18" s="31">
        <f>SUM(O16,O14,O12,O10,O8,O6)</f>
        <v>286</v>
      </c>
      <c r="P18" s="31">
        <f>SUM(P16,P14,P12,P10,P8,P6)</f>
        <v>243</v>
      </c>
      <c r="Q18" s="34">
        <f>SUM(Q6:Q15)</f>
        <v>0</v>
      </c>
      <c r="R18" s="34">
        <f>SUM(R6:R17)</f>
        <v>84061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42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0.14685314685314685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11575</v>
      </c>
      <c r="D26" s="76">
        <f>C11</f>
        <v>9439</v>
      </c>
      <c r="E26" s="77">
        <f>D26-C26</f>
        <v>-2136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37443</v>
      </c>
      <c r="D27" s="76">
        <f>C7+C12+C13+C14+C15</f>
        <v>39071</v>
      </c>
      <c r="E27" s="77">
        <f>D27-C27</f>
        <v>1628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47</v>
      </c>
      <c r="D28" s="76">
        <f>C6</f>
        <v>47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2369</v>
      </c>
      <c r="D29" s="76">
        <f>C10</f>
        <v>2369</v>
      </c>
      <c r="E29" s="77">
        <f>D29-C29</f>
        <v>0</v>
      </c>
      <c r="P29" s="4"/>
    </row>
    <row r="30" spans="2:44" x14ac:dyDescent="0.3">
      <c r="B30" s="74" t="s">
        <v>59</v>
      </c>
      <c r="C30" s="122">
        <v>17044</v>
      </c>
      <c r="D30" s="76">
        <f>C16+C17+C18</f>
        <v>15731</v>
      </c>
      <c r="E30" s="77">
        <f>D30-C30</f>
        <v>-1313</v>
      </c>
      <c r="P30" s="4"/>
    </row>
    <row r="31" spans="2:44" ht="15" customHeight="1" thickBot="1" x14ac:dyDescent="0.35">
      <c r="B31" s="78" t="s">
        <v>60</v>
      </c>
      <c r="C31" s="121">
        <v>3922</v>
      </c>
      <c r="D31" s="80">
        <f>SUM(C8+C9)</f>
        <v>3278</v>
      </c>
      <c r="E31" s="81">
        <f>C31-D31</f>
        <v>644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59" priority="11" operator="lessThan">
      <formula>0</formula>
    </cfRule>
    <cfRule type="cellIs" dxfId="58" priority="12" operator="greaterThan">
      <formula>0</formula>
    </cfRule>
  </conditionalFormatting>
  <conditionalFormatting sqref="S27:AD27">
    <cfRule type="cellIs" dxfId="57" priority="9" operator="lessThan">
      <formula>0</formula>
    </cfRule>
    <cfRule type="cellIs" dxfId="56" priority="10" operator="greaterThan">
      <formula>0</formula>
    </cfRule>
  </conditionalFormatting>
  <conditionalFormatting sqref="S28 U28 W28 Y28 AA28 AC28">
    <cfRule type="cellIs" dxfId="55" priority="7" operator="lessThan">
      <formula>0</formula>
    </cfRule>
    <cfRule type="cellIs" dxfId="54" priority="8" operator="greaterThan">
      <formula>0</formula>
    </cfRule>
  </conditionalFormatting>
  <conditionalFormatting sqref="AE26:AF26">
    <cfRule type="cellIs" dxfId="53" priority="5" operator="lessThan">
      <formula>0</formula>
    </cfRule>
    <cfRule type="cellIs" dxfId="52" priority="6" operator="greaterThan">
      <formula>0</formula>
    </cfRule>
  </conditionalFormatting>
  <conditionalFormatting sqref="AE27:AF27">
    <cfRule type="cellIs" dxfId="51" priority="3" operator="lessThan">
      <formula>0</formula>
    </cfRule>
    <cfRule type="cellIs" dxfId="50" priority="4" operator="greaterThan">
      <formula>0</formula>
    </cfRule>
  </conditionalFormatting>
  <conditionalFormatting sqref="AE28">
    <cfRule type="cellIs" dxfId="49" priority="1" operator="lessThan">
      <formula>0</formula>
    </cfRule>
    <cfRule type="cellIs" dxfId="48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44514</v>
      </c>
    </row>
    <row r="3" spans="2:43" ht="18.75" customHeight="1" thickBot="1" x14ac:dyDescent="0.35">
      <c r="B3" t="s">
        <v>1</v>
      </c>
      <c r="C3" s="3">
        <f>C2+1</f>
        <v>44515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0</v>
      </c>
      <c r="E6" s="18" t="s">
        <v>22</v>
      </c>
      <c r="F6" s="119">
        <v>14900</v>
      </c>
      <c r="G6" s="117">
        <v>3053</v>
      </c>
      <c r="H6" s="117">
        <v>1168.5175750000001</v>
      </c>
      <c r="I6" s="19">
        <f>G6+H6</f>
        <v>4221.5175749999999</v>
      </c>
      <c r="J6" s="119">
        <v>15820</v>
      </c>
      <c r="K6" s="117">
        <v>5801.4729166666666</v>
      </c>
      <c r="L6" s="117">
        <v>2975.0640311400011</v>
      </c>
      <c r="M6" s="19">
        <f>K6+L6</f>
        <v>8776.5369478066677</v>
      </c>
      <c r="N6" s="85">
        <v>49</v>
      </c>
      <c r="O6" s="85">
        <v>49</v>
      </c>
      <c r="P6" s="85">
        <v>40</v>
      </c>
      <c r="Q6" s="92"/>
      <c r="R6" s="20">
        <f>J6-Q6</f>
        <v>15820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0</v>
      </c>
      <c r="E8" s="29" t="s">
        <v>27</v>
      </c>
      <c r="F8" s="119">
        <v>0</v>
      </c>
      <c r="G8" s="117">
        <v>0</v>
      </c>
      <c r="H8" s="117">
        <v>369.13208359999999</v>
      </c>
      <c r="I8" s="19">
        <f>G8+H8</f>
        <v>369.13208359999999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88">
        <v>0</v>
      </c>
      <c r="Q10" s="92"/>
      <c r="R10" s="20">
        <f>J10-Q10</f>
        <v>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0</v>
      </c>
      <c r="E12" s="29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10018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1134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4668</v>
      </c>
      <c r="E18" s="84"/>
      <c r="F18" s="31">
        <f t="shared" ref="F18:M18" si="0">SUM(F6:F17)</f>
        <v>14900</v>
      </c>
      <c r="G18" s="31">
        <f t="shared" si="0"/>
        <v>3053</v>
      </c>
      <c r="H18" s="31">
        <f t="shared" si="0"/>
        <v>1537.6496586000001</v>
      </c>
      <c r="I18" s="32">
        <f t="shared" si="0"/>
        <v>4590.6496585999994</v>
      </c>
      <c r="J18" s="31">
        <f t="shared" si="0"/>
        <v>15820</v>
      </c>
      <c r="K18" s="31">
        <f t="shared" si="0"/>
        <v>5801.4729166666666</v>
      </c>
      <c r="L18" s="31">
        <f t="shared" si="0"/>
        <v>2975.0640311400011</v>
      </c>
      <c r="M18" s="33">
        <f t="shared" si="0"/>
        <v>8776.5369478066677</v>
      </c>
      <c r="N18" s="31">
        <f>SUM(N16,N14,N12,N10,N8,N6)</f>
        <v>50</v>
      </c>
      <c r="O18" s="31">
        <f>SUM(O16,O14,O12,O10,O8,O6)</f>
        <v>49</v>
      </c>
      <c r="P18" s="31">
        <f>SUM(P16,P14,P12,P10,P8,P6)</f>
        <v>40</v>
      </c>
      <c r="Q18" s="34">
        <f>SUM(Q6:Q15)</f>
        <v>0</v>
      </c>
      <c r="R18" s="34">
        <f>SUM(R6:R17)</f>
        <v>15820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9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0.18367346938775511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0</v>
      </c>
      <c r="D26" s="76">
        <f>C11</f>
        <v>0</v>
      </c>
      <c r="E26" s="77">
        <f>D26-C26</f>
        <v>0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0</v>
      </c>
      <c r="D27" s="76">
        <f>C7+C12+C13+C14+C15</f>
        <v>0</v>
      </c>
      <c r="E27" s="77">
        <f>D27-C27</f>
        <v>0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0</v>
      </c>
      <c r="D29" s="76">
        <f>C10</f>
        <v>0</v>
      </c>
      <c r="E29" s="77">
        <f>D29-C29</f>
        <v>0</v>
      </c>
      <c r="P29" s="4"/>
    </row>
    <row r="30" spans="2:44" x14ac:dyDescent="0.3">
      <c r="B30" s="74" t="s">
        <v>59</v>
      </c>
      <c r="C30" s="122">
        <v>14900</v>
      </c>
      <c r="D30" s="76">
        <f>C16+C17+C18</f>
        <v>15820</v>
      </c>
      <c r="E30" s="77">
        <f>D30-C30</f>
        <v>920</v>
      </c>
      <c r="P30" s="4"/>
    </row>
    <row r="31" spans="2:44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47" priority="11" operator="lessThan">
      <formula>0</formula>
    </cfRule>
    <cfRule type="cellIs" dxfId="46" priority="12" operator="greaterThan">
      <formula>0</formula>
    </cfRule>
  </conditionalFormatting>
  <conditionalFormatting sqref="S27:AD27">
    <cfRule type="cellIs" dxfId="45" priority="9" operator="lessThan">
      <formula>0</formula>
    </cfRule>
    <cfRule type="cellIs" dxfId="44" priority="10" operator="greaterThan">
      <formula>0</formula>
    </cfRule>
  </conditionalFormatting>
  <conditionalFormatting sqref="S28 U28 W28 Y28 AA28 AC28">
    <cfRule type="cellIs" dxfId="43" priority="7" operator="lessThan">
      <formula>0</formula>
    </cfRule>
    <cfRule type="cellIs" dxfId="42" priority="8" operator="greaterThan">
      <formula>0</formula>
    </cfRule>
  </conditionalFormatting>
  <conditionalFormatting sqref="AE26:AF26">
    <cfRule type="cellIs" dxfId="41" priority="5" operator="lessThan">
      <formula>0</formula>
    </cfRule>
    <cfRule type="cellIs" dxfId="40" priority="6" operator="greaterThan">
      <formula>0</formula>
    </cfRule>
  </conditionalFormatting>
  <conditionalFormatting sqref="AE27:AF27">
    <cfRule type="cellIs" dxfId="39" priority="3" operator="lessThan">
      <formula>0</formula>
    </cfRule>
    <cfRule type="cellIs" dxfId="38" priority="4" operator="greaterThan">
      <formula>0</formula>
    </cfRule>
  </conditionalFormatting>
  <conditionalFormatting sqref="AE28">
    <cfRule type="cellIs" dxfId="37" priority="1" operator="lessThan">
      <formula>0</formula>
    </cfRule>
    <cfRule type="cellIs" dxfId="36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44515</v>
      </c>
    </row>
    <row r="3" spans="2:43" ht="18.75" customHeight="1" thickBot="1" x14ac:dyDescent="0.35">
      <c r="B3" t="s">
        <v>1</v>
      </c>
      <c r="C3" s="3">
        <f>C2+1</f>
        <v>44516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70</v>
      </c>
      <c r="E6" s="18" t="s">
        <v>22</v>
      </c>
      <c r="F6" s="119">
        <v>23816</v>
      </c>
      <c r="G6" s="117">
        <v>13670.97363333334</v>
      </c>
      <c r="H6" s="117">
        <v>7357.710461599997</v>
      </c>
      <c r="I6" s="19">
        <f>G6+H6</f>
        <v>21028.684094933338</v>
      </c>
      <c r="J6" s="119">
        <v>23732</v>
      </c>
      <c r="K6" s="117">
        <v>13906.72013333334</v>
      </c>
      <c r="L6" s="117">
        <v>7456.7526481399982</v>
      </c>
      <c r="M6" s="19">
        <f>K6+L6</f>
        <v>21363.472781473338</v>
      </c>
      <c r="N6" s="85">
        <v>70</v>
      </c>
      <c r="O6" s="85">
        <v>72</v>
      </c>
      <c r="P6" s="85">
        <v>56</v>
      </c>
      <c r="Q6" s="92"/>
      <c r="R6" s="20">
        <f>J6-Q6</f>
        <v>23732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2071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16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1807</v>
      </c>
      <c r="E8" s="29" t="s">
        <v>27</v>
      </c>
      <c r="F8" s="119">
        <v>0</v>
      </c>
      <c r="G8" s="117">
        <v>0</v>
      </c>
      <c r="H8" s="117">
        <v>3738.8397203200011</v>
      </c>
      <c r="I8" s="19">
        <f>G8+H8</f>
        <v>3738.8397203200011</v>
      </c>
      <c r="J8" s="119">
        <v>0</v>
      </c>
      <c r="K8" s="117">
        <v>0</v>
      </c>
      <c r="L8" s="117">
        <v>3868.8701935200011</v>
      </c>
      <c r="M8" s="19">
        <f>K8+L8</f>
        <v>3868.8701935200011</v>
      </c>
      <c r="N8" s="87">
        <v>7</v>
      </c>
      <c r="O8" s="87">
        <v>7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858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3863</v>
      </c>
      <c r="E10" s="18" t="s">
        <v>31</v>
      </c>
      <c r="F10" s="119">
        <v>20485</v>
      </c>
      <c r="G10" s="117">
        <v>15091.593999999999</v>
      </c>
      <c r="H10" s="117">
        <v>421.08252399999998</v>
      </c>
      <c r="I10" s="19">
        <f>G10+H10</f>
        <v>15512.676523999999</v>
      </c>
      <c r="J10" s="119">
        <v>20335</v>
      </c>
      <c r="K10" s="117">
        <v>15076.757</v>
      </c>
      <c r="L10" s="117">
        <v>403.22934540000011</v>
      </c>
      <c r="M10" s="19">
        <f>K10+L10</f>
        <v>15479.986345400001</v>
      </c>
      <c r="N10" s="88">
        <v>47</v>
      </c>
      <c r="O10" s="88">
        <v>43</v>
      </c>
      <c r="P10" s="88">
        <v>35</v>
      </c>
      <c r="Q10" s="92"/>
      <c r="R10" s="20">
        <f>J10-Q10</f>
        <v>20335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10543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8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2530</v>
      </c>
      <c r="E12" s="29" t="s">
        <v>35</v>
      </c>
      <c r="F12" s="119">
        <v>12139</v>
      </c>
      <c r="G12" s="117">
        <v>11415.13125</v>
      </c>
      <c r="H12" s="117">
        <v>14998.786921110001</v>
      </c>
      <c r="I12" s="19">
        <f>G12+H12</f>
        <v>26413.918171110003</v>
      </c>
      <c r="J12" s="119">
        <v>12392</v>
      </c>
      <c r="K12" s="117">
        <v>11633.154</v>
      </c>
      <c r="L12" s="117">
        <v>15130.46693895</v>
      </c>
      <c r="M12" s="19">
        <f>K12+L12</f>
        <v>26763.62093895</v>
      </c>
      <c r="N12" s="88">
        <v>49</v>
      </c>
      <c r="O12" s="88">
        <v>48</v>
      </c>
      <c r="P12" s="88">
        <v>43</v>
      </c>
      <c r="Q12" s="92"/>
      <c r="R12" s="20">
        <f>J12-Q12</f>
        <v>12392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25964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1202</v>
      </c>
      <c r="E14" s="18" t="s">
        <v>39</v>
      </c>
      <c r="F14" s="119">
        <v>23859</v>
      </c>
      <c r="G14" s="117">
        <v>17873.166499999999</v>
      </c>
      <c r="H14" s="117">
        <v>28135.265289660008</v>
      </c>
      <c r="I14" s="19">
        <f>G14+H14</f>
        <v>46008.431789660011</v>
      </c>
      <c r="J14" s="119">
        <v>23748</v>
      </c>
      <c r="K14" s="117">
        <v>18384.570250000001</v>
      </c>
      <c r="L14" s="117">
        <v>27624.875592880009</v>
      </c>
      <c r="M14" s="19">
        <f>K14+L14</f>
        <v>46009.445842880014</v>
      </c>
      <c r="N14" s="88">
        <v>68</v>
      </c>
      <c r="O14" s="88">
        <v>69</v>
      </c>
      <c r="P14" s="88">
        <v>55</v>
      </c>
      <c r="Q14" s="92"/>
      <c r="R14" s="20">
        <f>J14-Q14</f>
        <v>23748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502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9848</v>
      </c>
      <c r="E16" s="18" t="s">
        <v>79</v>
      </c>
      <c r="F16" s="119">
        <v>0</v>
      </c>
      <c r="G16" s="117">
        <v>0</v>
      </c>
      <c r="H16" s="117">
        <v>8627.401790939999</v>
      </c>
      <c r="I16" s="19">
        <f>G16+H16</f>
        <v>8627.401790939999</v>
      </c>
      <c r="J16" s="119">
        <v>0</v>
      </c>
      <c r="K16" s="117">
        <v>0</v>
      </c>
      <c r="L16" s="117">
        <v>8728.8671668999996</v>
      </c>
      <c r="M16" s="19">
        <f>K16+L16</f>
        <v>8728.8671668999996</v>
      </c>
      <c r="N16" s="88">
        <v>7</v>
      </c>
      <c r="O16" s="88">
        <v>8</v>
      </c>
      <c r="P16" s="88">
        <v>4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1664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4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4600</v>
      </c>
      <c r="E18" s="84"/>
      <c r="F18" s="31">
        <f t="shared" ref="F18:M18" si="0">SUM(F6:F17)</f>
        <v>80299</v>
      </c>
      <c r="G18" s="31">
        <f t="shared" si="0"/>
        <v>58050.865383333337</v>
      </c>
      <c r="H18" s="31">
        <f t="shared" si="0"/>
        <v>63279.086707630006</v>
      </c>
      <c r="I18" s="32">
        <f t="shared" si="0"/>
        <v>121329.95209096334</v>
      </c>
      <c r="J18" s="31">
        <f t="shared" si="0"/>
        <v>80207</v>
      </c>
      <c r="K18" s="31">
        <f t="shared" si="0"/>
        <v>59001.201383333348</v>
      </c>
      <c r="L18" s="31">
        <f t="shared" si="0"/>
        <v>63213.061885790012</v>
      </c>
      <c r="M18" s="33">
        <f t="shared" si="0"/>
        <v>122214.26326912336</v>
      </c>
      <c r="N18" s="31">
        <f>SUM(N16,N14,N12,N10,N8,N6)</f>
        <v>248</v>
      </c>
      <c r="O18" s="31">
        <f>SUM(O16,O14,O12,O10,O8,O6)</f>
        <v>247</v>
      </c>
      <c r="P18" s="31">
        <f>SUM(P16,P14,P12,P10,P8,P6)</f>
        <v>198</v>
      </c>
      <c r="Q18" s="34">
        <f>SUM(Q6:Q15)</f>
        <v>0</v>
      </c>
      <c r="R18" s="34">
        <f>SUM(R6:R17)</f>
        <v>80207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45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0.18218623481781376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9715</v>
      </c>
      <c r="D26" s="76">
        <f>C11</f>
        <v>10543</v>
      </c>
      <c r="E26" s="77">
        <f>D26-C26</f>
        <v>828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34272</v>
      </c>
      <c r="D27" s="76">
        <f>C7+C12+C13+C14+C15</f>
        <v>32269</v>
      </c>
      <c r="E27" s="77">
        <f>D27-C27</f>
        <v>-2003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70</v>
      </c>
      <c r="D28" s="76">
        <f>C6</f>
        <v>70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3863</v>
      </c>
      <c r="D29" s="76">
        <f>C10</f>
        <v>3863</v>
      </c>
      <c r="E29" s="77">
        <f>D29-C29</f>
        <v>0</v>
      </c>
      <c r="P29" s="4"/>
    </row>
    <row r="30" spans="2:44" x14ac:dyDescent="0.3">
      <c r="B30" s="74" t="s">
        <v>59</v>
      </c>
      <c r="C30" s="122">
        <v>17194</v>
      </c>
      <c r="D30" s="76">
        <f>C16+C17+C18</f>
        <v>16112</v>
      </c>
      <c r="E30" s="77">
        <f>D30-C30</f>
        <v>-1082</v>
      </c>
      <c r="P30" s="4"/>
    </row>
    <row r="31" spans="2:44" ht="15" customHeight="1" thickBot="1" x14ac:dyDescent="0.35">
      <c r="B31" s="78" t="s">
        <v>60</v>
      </c>
      <c r="C31" s="121">
        <v>2665</v>
      </c>
      <c r="D31" s="80">
        <f>SUM(C8+C9)</f>
        <v>2665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35" priority="11" operator="lessThan">
      <formula>0</formula>
    </cfRule>
    <cfRule type="cellIs" dxfId="34" priority="12" operator="greaterThan">
      <formula>0</formula>
    </cfRule>
  </conditionalFormatting>
  <conditionalFormatting sqref="S27:AD27">
    <cfRule type="cellIs" dxfId="33" priority="9" operator="lessThan">
      <formula>0</formula>
    </cfRule>
    <cfRule type="cellIs" dxfId="32" priority="10" operator="greaterThan">
      <formula>0</formula>
    </cfRule>
  </conditionalFormatting>
  <conditionalFormatting sqref="S28 U28 W28 Y28 AA28 AC28">
    <cfRule type="cellIs" dxfId="31" priority="7" operator="lessThan">
      <formula>0</formula>
    </cfRule>
    <cfRule type="cellIs" dxfId="30" priority="8" operator="greaterThan">
      <formula>0</formula>
    </cfRule>
  </conditionalFormatting>
  <conditionalFormatting sqref="AE26:AF26">
    <cfRule type="cellIs" dxfId="29" priority="5" operator="lessThan">
      <formula>0</formula>
    </cfRule>
    <cfRule type="cellIs" dxfId="28" priority="6" operator="greaterThan">
      <formula>0</formula>
    </cfRule>
  </conditionalFormatting>
  <conditionalFormatting sqref="AE27:AF27">
    <cfRule type="cellIs" dxfId="27" priority="3" operator="lessThan">
      <formula>0</formula>
    </cfRule>
    <cfRule type="cellIs" dxfId="26" priority="4" operator="greaterThan">
      <formula>0</formula>
    </cfRule>
  </conditionalFormatting>
  <conditionalFormatting sqref="AE28">
    <cfRule type="cellIs" dxfId="25" priority="1" operator="lessThan">
      <formula>0</formula>
    </cfRule>
    <cfRule type="cellIs" dxfId="24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44516</v>
      </c>
    </row>
    <row r="3" spans="2:43" ht="18.75" customHeight="1" thickBot="1" x14ac:dyDescent="0.35">
      <c r="B3" t="s">
        <v>1</v>
      </c>
      <c r="C3" s="3">
        <f>C2+1</f>
        <v>44517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135</v>
      </c>
      <c r="E6" s="18" t="s">
        <v>22</v>
      </c>
      <c r="F6" s="119">
        <v>27476</v>
      </c>
      <c r="G6" s="117">
        <v>14316.831916666661</v>
      </c>
      <c r="H6" s="117">
        <v>9175.3791373199965</v>
      </c>
      <c r="I6" s="19">
        <f>G6+H6</f>
        <v>23492.211053986655</v>
      </c>
      <c r="J6" s="119"/>
      <c r="K6" s="117"/>
      <c r="L6" s="117"/>
      <c r="M6" s="19">
        <f>K6+L6</f>
        <v>0</v>
      </c>
      <c r="N6" s="85">
        <v>83</v>
      </c>
      <c r="O6" s="85">
        <v>81</v>
      </c>
      <c r="P6" s="85">
        <v>62</v>
      </c>
      <c r="Q6" s="92"/>
      <c r="R6" s="20">
        <f>J6-Q6</f>
        <v>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3505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1797</v>
      </c>
      <c r="E8" s="29" t="s">
        <v>27</v>
      </c>
      <c r="F8" s="119">
        <v>0</v>
      </c>
      <c r="G8" s="117">
        <v>0</v>
      </c>
      <c r="H8" s="117">
        <v>4088.05233598</v>
      </c>
      <c r="I8" s="19">
        <f>G8+H8</f>
        <v>4088.05233598</v>
      </c>
      <c r="J8" s="119"/>
      <c r="K8" s="117"/>
      <c r="L8" s="117"/>
      <c r="M8" s="19">
        <f>K8+L8</f>
        <v>0</v>
      </c>
      <c r="N8" s="87">
        <v>6</v>
      </c>
      <c r="O8" s="87">
        <v>6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944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2230</v>
      </c>
      <c r="E10" s="18" t="s">
        <v>31</v>
      </c>
      <c r="F10" s="119">
        <v>19967</v>
      </c>
      <c r="G10" s="117">
        <v>13045.919</v>
      </c>
      <c r="H10" s="117">
        <v>410.65661100000011</v>
      </c>
      <c r="I10" s="19">
        <f>G10+H10</f>
        <v>13456.575611</v>
      </c>
      <c r="J10" s="119"/>
      <c r="K10" s="117"/>
      <c r="L10" s="117"/>
      <c r="M10" s="19">
        <f>K10+L10</f>
        <v>0</v>
      </c>
      <c r="N10" s="88">
        <v>52</v>
      </c>
      <c r="O10" s="88">
        <v>48</v>
      </c>
      <c r="P10" s="88">
        <v>44</v>
      </c>
      <c r="Q10" s="92"/>
      <c r="R10" s="20">
        <f>J10-Q10</f>
        <v>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4105</v>
      </c>
      <c r="E12" s="29" t="s">
        <v>35</v>
      </c>
      <c r="F12" s="119">
        <v>14930</v>
      </c>
      <c r="G12" s="117">
        <v>11746.0245</v>
      </c>
      <c r="H12" s="117">
        <v>18073.730028220001</v>
      </c>
      <c r="I12" s="19">
        <f>G12+H12</f>
        <v>29819.754528220001</v>
      </c>
      <c r="J12" s="119"/>
      <c r="K12" s="117"/>
      <c r="L12" s="117"/>
      <c r="M12" s="19">
        <f>K12+L12</f>
        <v>0</v>
      </c>
      <c r="N12" s="88">
        <v>52</v>
      </c>
      <c r="O12" s="88">
        <v>51</v>
      </c>
      <c r="P12" s="88">
        <v>42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1997</v>
      </c>
      <c r="E14" s="18" t="s">
        <v>39</v>
      </c>
      <c r="F14" s="119">
        <v>20191</v>
      </c>
      <c r="G14" s="117">
        <v>15767.28225</v>
      </c>
      <c r="H14" s="117">
        <v>25454.007501079981</v>
      </c>
      <c r="I14" s="19">
        <f>G14+H14</f>
        <v>41221.289751079981</v>
      </c>
      <c r="J14" s="119"/>
      <c r="K14" s="117"/>
      <c r="L14" s="117"/>
      <c r="M14" s="19">
        <f>K14+L14</f>
        <v>0</v>
      </c>
      <c r="N14" s="88">
        <v>67</v>
      </c>
      <c r="O14" s="88">
        <v>71</v>
      </c>
      <c r="P14" s="88">
        <v>58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735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13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/>
      <c r="E16" s="18" t="s">
        <v>79</v>
      </c>
      <c r="F16" s="119">
        <v>0</v>
      </c>
      <c r="G16" s="117">
        <v>0</v>
      </c>
      <c r="H16" s="117">
        <v>5652.9620844600004</v>
      </c>
      <c r="I16" s="19">
        <f>G16+H16</f>
        <v>5652.9620844600004</v>
      </c>
      <c r="J16" s="119"/>
      <c r="K16" s="117"/>
      <c r="L16" s="117"/>
      <c r="M16" s="19">
        <f>K16+L16</f>
        <v>0</v>
      </c>
      <c r="N16" s="88">
        <v>9</v>
      </c>
      <c r="O16" s="88">
        <v>8</v>
      </c>
      <c r="P16" s="88">
        <v>7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/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/>
      <c r="E18" s="84"/>
      <c r="F18" s="31">
        <f t="shared" ref="F18:M18" si="0">SUM(F6:F17)</f>
        <v>82564</v>
      </c>
      <c r="G18" s="31">
        <f t="shared" si="0"/>
        <v>54876.05766666666</v>
      </c>
      <c r="H18" s="31">
        <f t="shared" si="0"/>
        <v>62854.787698059983</v>
      </c>
      <c r="I18" s="32">
        <f t="shared" si="0"/>
        <v>117730.84536472663</v>
      </c>
      <c r="J18" s="31">
        <f t="shared" si="0"/>
        <v>0</v>
      </c>
      <c r="K18" s="31">
        <f t="shared" si="0"/>
        <v>0</v>
      </c>
      <c r="L18" s="31">
        <f t="shared" si="0"/>
        <v>0</v>
      </c>
      <c r="M18" s="33">
        <f t="shared" si="0"/>
        <v>0</v>
      </c>
      <c r="N18" s="31">
        <f>SUM(N16,N14,N12,N10,N8,N6)</f>
        <v>269</v>
      </c>
      <c r="O18" s="31">
        <f>SUM(O16,O14,O12,O10,O8,O6)</f>
        <v>265</v>
      </c>
      <c r="P18" s="31">
        <f>SUM(P16,P14,P12,P10,P8,P6)</f>
        <v>218</v>
      </c>
      <c r="Q18" s="34">
        <f>SUM(Q6:Q15)</f>
        <v>0</v>
      </c>
      <c r="R18" s="34">
        <f>SUM(R6:R17)</f>
        <v>0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46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0.17358490566037735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12870</v>
      </c>
      <c r="D26" s="76">
        <f>C11</f>
        <v>0</v>
      </c>
      <c r="E26" s="77">
        <f>D26-C26</f>
        <v>-12870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37736</v>
      </c>
      <c r="D27" s="76">
        <f>C7+C12+C13+C14+C15</f>
        <v>10342</v>
      </c>
      <c r="E27" s="77">
        <f>D27-C27</f>
        <v>-27394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135</v>
      </c>
      <c r="D28" s="76">
        <f>C6</f>
        <v>135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2230</v>
      </c>
      <c r="D29" s="76">
        <f>C10</f>
        <v>2230</v>
      </c>
      <c r="E29" s="77">
        <f>D29-C29</f>
        <v>0</v>
      </c>
      <c r="P29" s="4"/>
    </row>
    <row r="30" spans="2:44" x14ac:dyDescent="0.3">
      <c r="B30" s="74" t="s">
        <v>59</v>
      </c>
      <c r="C30" s="122">
        <v>15825</v>
      </c>
      <c r="D30" s="76">
        <f>C16+C17+C18</f>
        <v>0</v>
      </c>
      <c r="E30" s="77">
        <f>D30-C30</f>
        <v>-15825</v>
      </c>
      <c r="P30" s="4"/>
    </row>
    <row r="31" spans="2:44" ht="15" customHeight="1" thickBot="1" x14ac:dyDescent="0.35">
      <c r="B31" s="78" t="s">
        <v>60</v>
      </c>
      <c r="C31" s="121">
        <v>2741</v>
      </c>
      <c r="D31" s="80">
        <f>SUM(C8+C9)</f>
        <v>2741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23" priority="11" operator="lessThan">
      <formula>0</formula>
    </cfRule>
    <cfRule type="cellIs" dxfId="22" priority="12" operator="greaterThan">
      <formula>0</formula>
    </cfRule>
  </conditionalFormatting>
  <conditionalFormatting sqref="S27:AD27">
    <cfRule type="cellIs" dxfId="21" priority="9" operator="lessThan">
      <formula>0</formula>
    </cfRule>
    <cfRule type="cellIs" dxfId="20" priority="10" operator="greaterThan">
      <formula>0</formula>
    </cfRule>
  </conditionalFormatting>
  <conditionalFormatting sqref="S28 U28 W28 Y28 AA28 AC28">
    <cfRule type="cellIs" dxfId="19" priority="7" operator="lessThan">
      <formula>0</formula>
    </cfRule>
    <cfRule type="cellIs" dxfId="18" priority="8" operator="greaterThan">
      <formula>0</formula>
    </cfRule>
  </conditionalFormatting>
  <conditionalFormatting sqref="AE26:AF26">
    <cfRule type="cellIs" dxfId="17" priority="5" operator="lessThan">
      <formula>0</formula>
    </cfRule>
    <cfRule type="cellIs" dxfId="16" priority="6" operator="greaterThan">
      <formula>0</formula>
    </cfRule>
  </conditionalFormatting>
  <conditionalFormatting sqref="AE27:AF27">
    <cfRule type="cellIs" dxfId="15" priority="3" operator="lessThan">
      <formula>0</formula>
    </cfRule>
    <cfRule type="cellIs" dxfId="14" priority="4" operator="greaterThan">
      <formula>0</formula>
    </cfRule>
  </conditionalFormatting>
  <conditionalFormatting sqref="AE28">
    <cfRule type="cellIs" dxfId="13" priority="1" operator="lessThan">
      <formula>0</formula>
    </cfRule>
    <cfRule type="cellIs" dxfId="12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bestFit="1" customWidth="1" collapsed="1"/>
    <col min="15" max="15" width="13.5546875" style="1" customWidth="1"/>
    <col min="16" max="16" width="11.44140625" style="1" customWidth="1"/>
    <col min="17" max="17" width="13.88671875" style="1" bestFit="1" customWidth="1"/>
    <col min="18" max="18" width="14.44140625" style="1" customWidth="1"/>
    <col min="19" max="19" width="11.88671875" style="1" customWidth="1"/>
    <col min="20" max="20" width="13.44140625" style="1" bestFit="1" customWidth="1"/>
    <col min="21" max="21" width="11" style="1" customWidth="1"/>
    <col min="22" max="22" width="12.5546875" style="1" bestFit="1" customWidth="1"/>
    <col min="23" max="23" width="11.109375" style="1" customWidth="1"/>
    <col min="24" max="24" width="13.44140625" style="1" bestFit="1" customWidth="1"/>
    <col min="25" max="25" width="11.4414062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546875" style="1" customWidth="1"/>
    <col min="31" max="31" width="11.6640625" style="1" customWidth="1"/>
    <col min="32" max="32" width="12.5546875" style="1" customWidth="1"/>
    <col min="33" max="33" width="15.109375" style="1" bestFit="1" customWidth="1"/>
    <col min="34" max="34" width="13.44140625" style="1" customWidth="1"/>
    <col min="35" max="35" width="0.44140625" style="1" customWidth="1"/>
    <col min="36" max="44" width="4.6640625" style="1" customWidth="1"/>
    <col min="45" max="50" width="9.109375" style="1" customWidth="1"/>
    <col min="51" max="16384" width="9.109375" style="1"/>
  </cols>
  <sheetData>
    <row r="1" spans="2:43" ht="6" customHeight="1" x14ac:dyDescent="0.3"/>
    <row r="2" spans="2:43" ht="22.5" customHeight="1" x14ac:dyDescent="0.3">
      <c r="B2" t="s">
        <v>0</v>
      </c>
      <c r="C2" s="2">
        <v>44517</v>
      </c>
    </row>
    <row r="3" spans="2:43" ht="18.75" customHeight="1" thickBot="1" x14ac:dyDescent="0.35">
      <c r="B3" t="s">
        <v>1</v>
      </c>
      <c r="C3" s="3">
        <f>C2+1</f>
        <v>44518</v>
      </c>
    </row>
    <row r="4" spans="2:43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3">
      <c r="B6" s="16" t="s">
        <v>21</v>
      </c>
      <c r="C6" s="17">
        <v>66</v>
      </c>
      <c r="E6" s="18" t="s">
        <v>22</v>
      </c>
      <c r="F6" s="119">
        <v>29240</v>
      </c>
      <c r="G6" s="117">
        <v>15901.33475</v>
      </c>
      <c r="H6" s="117">
        <v>9354.1145403999999</v>
      </c>
      <c r="I6" s="19">
        <f>G6+H6</f>
        <v>25255.4492904</v>
      </c>
      <c r="J6" s="119">
        <v>28585</v>
      </c>
      <c r="K6" s="117">
        <v>18161.016500000002</v>
      </c>
      <c r="L6" s="117">
        <v>9236.6368016799988</v>
      </c>
      <c r="M6" s="19">
        <f>K6+L6</f>
        <v>27397.653301680002</v>
      </c>
      <c r="N6" s="85">
        <v>80</v>
      </c>
      <c r="O6" s="85">
        <v>78</v>
      </c>
      <c r="P6" s="85">
        <v>64</v>
      </c>
      <c r="Q6" s="92"/>
      <c r="R6" s="20">
        <f>J6-Q6</f>
        <v>28585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3">
      <c r="B8" s="28" t="s">
        <v>26</v>
      </c>
      <c r="C8" s="17">
        <v>1820</v>
      </c>
      <c r="E8" s="29" t="s">
        <v>27</v>
      </c>
      <c r="F8" s="119">
        <v>0</v>
      </c>
      <c r="G8" s="117">
        <v>0</v>
      </c>
      <c r="H8" s="117">
        <v>4824.7892412799993</v>
      </c>
      <c r="I8" s="19">
        <f>G8+H8</f>
        <v>4824.7892412799993</v>
      </c>
      <c r="J8" s="119">
        <v>0</v>
      </c>
      <c r="K8" s="117">
        <v>0</v>
      </c>
      <c r="L8" s="117">
        <v>4943.970129979999</v>
      </c>
      <c r="M8" s="19">
        <f>K8+L8</f>
        <v>4943.970129979999</v>
      </c>
      <c r="N8" s="87">
        <v>3</v>
      </c>
      <c r="O8" s="87">
        <v>3</v>
      </c>
      <c r="P8" s="87">
        <v>2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3">
      <c r="B9" s="28" t="s">
        <v>28</v>
      </c>
      <c r="C9" s="17">
        <v>1154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3">
      <c r="B10" s="16" t="s">
        <v>30</v>
      </c>
      <c r="C10" s="17">
        <v>2246</v>
      </c>
      <c r="E10" s="18" t="s">
        <v>31</v>
      </c>
      <c r="F10" s="119">
        <v>17608</v>
      </c>
      <c r="G10" s="117">
        <v>12870.822749999999</v>
      </c>
      <c r="H10" s="117">
        <v>443.79775200000012</v>
      </c>
      <c r="I10" s="19">
        <f>G10+H10</f>
        <v>13314.620502</v>
      </c>
      <c r="J10" s="119">
        <v>17309</v>
      </c>
      <c r="K10" s="117">
        <v>13497.194750000001</v>
      </c>
      <c r="L10" s="117">
        <v>418.1764154</v>
      </c>
      <c r="M10" s="19">
        <f>K10+L10</f>
        <v>13915.3711654</v>
      </c>
      <c r="N10" s="88">
        <v>47</v>
      </c>
      <c r="O10" s="88">
        <v>43</v>
      </c>
      <c r="P10" s="88">
        <v>40</v>
      </c>
      <c r="Q10" s="92"/>
      <c r="R10" s="20">
        <f>J10-Q10</f>
        <v>17309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3">
      <c r="B11" s="16" t="s">
        <v>38</v>
      </c>
      <c r="C11" s="17">
        <v>12180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3">
      <c r="B12" s="16" t="s">
        <v>40</v>
      </c>
      <c r="C12" s="17">
        <v>1333</v>
      </c>
      <c r="E12" s="29" t="s">
        <v>35</v>
      </c>
      <c r="F12" s="119">
        <v>15717</v>
      </c>
      <c r="G12" s="117">
        <v>12752.61175</v>
      </c>
      <c r="H12" s="117">
        <v>19434.788803219999</v>
      </c>
      <c r="I12" s="19">
        <f>G12+H12</f>
        <v>32187.400553219999</v>
      </c>
      <c r="J12" s="119">
        <v>15617</v>
      </c>
      <c r="K12" s="117">
        <v>15319.808499999999</v>
      </c>
      <c r="L12" s="117">
        <v>19267.966369559988</v>
      </c>
      <c r="M12" s="19">
        <f>K12+L12</f>
        <v>34587.774869559988</v>
      </c>
      <c r="N12" s="88">
        <v>55</v>
      </c>
      <c r="O12" s="88">
        <v>53</v>
      </c>
      <c r="P12" s="88">
        <v>46</v>
      </c>
      <c r="Q12" s="92"/>
      <c r="R12" s="20">
        <f>J12-Q12</f>
        <v>15617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3">
      <c r="B13" s="28" t="s">
        <v>42</v>
      </c>
      <c r="C13" s="17">
        <v>13236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3">
      <c r="B14" s="43" t="s">
        <v>47</v>
      </c>
      <c r="C14" s="17">
        <v>1238</v>
      </c>
      <c r="E14" s="18" t="s">
        <v>39</v>
      </c>
      <c r="F14" s="119">
        <v>19182</v>
      </c>
      <c r="G14" s="117">
        <v>15599.61075</v>
      </c>
      <c r="H14" s="117">
        <v>23124.724828279999</v>
      </c>
      <c r="I14" s="19">
        <f>G14+H14</f>
        <v>38724.335578279999</v>
      </c>
      <c r="J14" s="119">
        <v>18216</v>
      </c>
      <c r="K14" s="117">
        <v>15750.1425</v>
      </c>
      <c r="L14" s="117">
        <v>21716.10938802001</v>
      </c>
      <c r="M14" s="19">
        <f>K14+L14</f>
        <v>37466.251888020008</v>
      </c>
      <c r="N14" s="88">
        <v>65</v>
      </c>
      <c r="O14" s="88">
        <v>70</v>
      </c>
      <c r="P14" s="88">
        <v>54</v>
      </c>
      <c r="Q14" s="92"/>
      <c r="R14" s="20">
        <f>J14-Q14</f>
        <v>18216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3">
      <c r="B15" s="43" t="s">
        <v>48</v>
      </c>
      <c r="C15" s="50">
        <v>240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16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3">
      <c r="B16" s="16" t="s">
        <v>50</v>
      </c>
      <c r="C16" s="17">
        <v>9848</v>
      </c>
      <c r="E16" s="18" t="s">
        <v>79</v>
      </c>
      <c r="F16" s="119">
        <v>0</v>
      </c>
      <c r="G16" s="117">
        <v>0</v>
      </c>
      <c r="H16" s="117">
        <v>7990.0215591400001</v>
      </c>
      <c r="I16" s="19">
        <f>G16+H16</f>
        <v>7990.0215591400001</v>
      </c>
      <c r="J16" s="119">
        <v>0</v>
      </c>
      <c r="K16" s="117">
        <v>0</v>
      </c>
      <c r="L16" s="117">
        <v>7996.9084056800002</v>
      </c>
      <c r="M16" s="19">
        <f>K16+L16</f>
        <v>7996.9084056800002</v>
      </c>
      <c r="N16" s="88">
        <v>10</v>
      </c>
      <c r="O16" s="88">
        <v>9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35">
      <c r="B17" s="16" t="s">
        <v>51</v>
      </c>
      <c r="C17" s="17">
        <v>1664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35">
      <c r="B18" s="57" t="s">
        <v>52</v>
      </c>
      <c r="C18" s="58">
        <v>4600</v>
      </c>
      <c r="E18" s="84"/>
      <c r="F18" s="31">
        <f t="shared" ref="F18:M18" si="0">SUM(F6:F17)</f>
        <v>81747</v>
      </c>
      <c r="G18" s="31">
        <f t="shared" si="0"/>
        <v>57124.38</v>
      </c>
      <c r="H18" s="31">
        <f t="shared" si="0"/>
        <v>65172.236724319991</v>
      </c>
      <c r="I18" s="32">
        <f t="shared" si="0"/>
        <v>122296.61672431999</v>
      </c>
      <c r="J18" s="31">
        <f t="shared" si="0"/>
        <v>79727</v>
      </c>
      <c r="K18" s="31">
        <f t="shared" si="0"/>
        <v>62728.162250000001</v>
      </c>
      <c r="L18" s="31">
        <f t="shared" si="0"/>
        <v>63579.767510319994</v>
      </c>
      <c r="M18" s="33">
        <f t="shared" si="0"/>
        <v>126307.92976032001</v>
      </c>
      <c r="N18" s="31">
        <f>SUM(N16,N14,N12,N10,N8,N6)</f>
        <v>260</v>
      </c>
      <c r="O18" s="31">
        <f>SUM(O16,O14,O12,O10,O8,O6)</f>
        <v>256</v>
      </c>
      <c r="P18" s="31">
        <f>SUM(P16,P14,P12,P10,P8,P6)</f>
        <v>215</v>
      </c>
      <c r="Q18" s="34">
        <f>SUM(Q6:Q15)</f>
        <v>0</v>
      </c>
      <c r="R18" s="34">
        <f>SUM(R6:R17)</f>
        <v>79727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41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35">
      <c r="P20" s="125">
        <f>IFERROR(P19/O18,0)</f>
        <v>0.16015625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3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3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3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3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3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3">
      <c r="B26" s="74" t="s">
        <v>55</v>
      </c>
      <c r="C26" s="122">
        <v>13214</v>
      </c>
      <c r="D26" s="76">
        <f>C11</f>
        <v>12180</v>
      </c>
      <c r="E26" s="77">
        <f>D26-C26</f>
        <v>-1034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3">
      <c r="B27" s="74" t="s">
        <v>56</v>
      </c>
      <c r="C27" s="122">
        <v>36327</v>
      </c>
      <c r="D27" s="76">
        <f>C7+C12+C13+C14+C15</f>
        <v>16047</v>
      </c>
      <c r="E27" s="77">
        <f>D27-C27</f>
        <v>-20280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35">
      <c r="B28" s="74" t="s">
        <v>21</v>
      </c>
      <c r="C28" s="122">
        <v>66</v>
      </c>
      <c r="D28" s="76">
        <f>C6</f>
        <v>66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3">
      <c r="B29" s="74" t="s">
        <v>57</v>
      </c>
      <c r="C29" s="122">
        <v>2246</v>
      </c>
      <c r="D29" s="76">
        <f>C10</f>
        <v>2246</v>
      </c>
      <c r="E29" s="77">
        <f>D29-C29</f>
        <v>0</v>
      </c>
      <c r="P29" s="4"/>
    </row>
    <row r="30" spans="2:44" x14ac:dyDescent="0.3">
      <c r="B30" s="74" t="s">
        <v>59</v>
      </c>
      <c r="C30" s="122">
        <v>18045</v>
      </c>
      <c r="D30" s="76">
        <f>C16+C17+C18</f>
        <v>16112</v>
      </c>
      <c r="E30" s="77">
        <f>D30-C30</f>
        <v>-1933</v>
      </c>
      <c r="P30" s="4"/>
    </row>
    <row r="31" spans="2:44" ht="15" customHeight="1" thickBot="1" x14ac:dyDescent="0.35">
      <c r="B31" s="78" t="s">
        <v>60</v>
      </c>
      <c r="C31" s="121">
        <v>3526</v>
      </c>
      <c r="D31" s="80">
        <f>SUM(C8+C9)</f>
        <v>2974</v>
      </c>
      <c r="E31" s="81">
        <f>C31-D31</f>
        <v>552</v>
      </c>
      <c r="P31" s="4"/>
      <c r="AK31" s="1">
        <v>3</v>
      </c>
      <c r="AL31" s="1">
        <v>4</v>
      </c>
    </row>
    <row r="32" spans="2:44" x14ac:dyDescent="0.3">
      <c r="F32" s="1" t="s">
        <v>75</v>
      </c>
      <c r="J32" s="53"/>
      <c r="P32" s="4"/>
      <c r="AK32" s="1">
        <v>2</v>
      </c>
      <c r="AL32" s="1">
        <v>1</v>
      </c>
    </row>
    <row r="33" spans="10:32" x14ac:dyDescent="0.3">
      <c r="J33" s="53"/>
      <c r="K33" s="53"/>
      <c r="P33" s="4"/>
      <c r="Z33" s="27"/>
    </row>
    <row r="34" spans="10:32" ht="18" customHeight="1" x14ac:dyDescent="0.3">
      <c r="K34" s="53"/>
      <c r="P34" s="4"/>
    </row>
    <row r="35" spans="10:32" ht="15.6" customHeight="1" thickBot="1" x14ac:dyDescent="0.35">
      <c r="K35" s="53"/>
      <c r="R35" s="53"/>
      <c r="V35" s="53"/>
      <c r="W35" s="53"/>
    </row>
    <row r="36" spans="10:32" ht="15.6" customHeight="1" thickBot="1" x14ac:dyDescent="0.3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6" customHeight="1" x14ac:dyDescent="0.3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6" customHeight="1" x14ac:dyDescent="0.3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6" customHeight="1" x14ac:dyDescent="0.3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6" customHeight="1" x14ac:dyDescent="0.3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6" customHeight="1" x14ac:dyDescent="0.3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6" customHeight="1" x14ac:dyDescent="0.3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6" customHeight="1" x14ac:dyDescent="0.3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6" customHeight="1" x14ac:dyDescent="0.3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6" customHeight="1" thickBot="1" x14ac:dyDescent="0.3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6" customHeight="1" x14ac:dyDescent="0.3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6" customHeight="1" x14ac:dyDescent="0.3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6" customHeight="1" x14ac:dyDescent="0.3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6" customHeight="1" thickBot="1" x14ac:dyDescent="0.3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6" customHeight="1" x14ac:dyDescent="0.3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6" customHeight="1" x14ac:dyDescent="0.3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6" customHeight="1" x14ac:dyDescent="0.3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6" customHeight="1" x14ac:dyDescent="0.3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6" customHeight="1" x14ac:dyDescent="0.3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6" customHeight="1" x14ac:dyDescent="0.3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6" customHeight="1" x14ac:dyDescent="0.3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6" customHeight="1" x14ac:dyDescent="0.3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6" customHeight="1" thickBot="1" x14ac:dyDescent="0.3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6" customHeight="1" x14ac:dyDescent="0.3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6" customHeight="1" x14ac:dyDescent="0.3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6" customHeight="1" x14ac:dyDescent="0.3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6" customHeight="1" thickBot="1" x14ac:dyDescent="0.3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6" customHeight="1" x14ac:dyDescent="0.3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6" customHeight="1" x14ac:dyDescent="0.3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3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3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S27:AD27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S28 U28 W28 Y28 AA28 AC28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E26:AF26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E27:AF27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AE28">
    <cfRule type="cellIs" dxfId="1" priority="1" operator="lessThan">
      <formula>0</formula>
    </cfRule>
    <cfRule type="cellIs" dxfId="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44518</v>
      </c>
    </row>
    <row r="3" spans="2:27" ht="18.75" customHeight="1" thickBot="1" x14ac:dyDescent="0.35">
      <c r="B3" t="s">
        <v>1</v>
      </c>
      <c r="C3" s="3">
        <f>C2+1</f>
        <v>44519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106</v>
      </c>
      <c r="E6" s="18" t="s">
        <v>22</v>
      </c>
      <c r="F6" s="119">
        <v>28536</v>
      </c>
      <c r="G6" s="117">
        <v>15545.141416666669</v>
      </c>
      <c r="H6" s="117">
        <v>10099.015389980001</v>
      </c>
      <c r="I6" s="19">
        <f>G6+H6</f>
        <v>25644.156806646672</v>
      </c>
      <c r="J6" s="119">
        <v>31904</v>
      </c>
      <c r="K6" s="117">
        <v>19250.331666666661</v>
      </c>
      <c r="L6" s="117">
        <v>10706.400115259999</v>
      </c>
      <c r="M6" s="19">
        <f>K6+L6</f>
        <v>29956.731781926661</v>
      </c>
      <c r="N6" s="85">
        <v>82</v>
      </c>
      <c r="O6" s="85">
        <v>78</v>
      </c>
      <c r="P6" s="85">
        <v>63</v>
      </c>
    </row>
    <row r="7" spans="2:27" x14ac:dyDescent="0.3">
      <c r="B7" s="16" t="s">
        <v>23</v>
      </c>
      <c r="C7" s="17">
        <v>1318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15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2099</v>
      </c>
      <c r="E8" s="29" t="s">
        <v>27</v>
      </c>
      <c r="F8" s="119">
        <v>0</v>
      </c>
      <c r="G8" s="117">
        <v>0</v>
      </c>
      <c r="H8" s="117">
        <v>4469.6517878600007</v>
      </c>
      <c r="I8" s="19">
        <f>G8+H8</f>
        <v>4469.6517878600007</v>
      </c>
      <c r="J8" s="119">
        <v>0</v>
      </c>
      <c r="K8" s="117">
        <v>0</v>
      </c>
      <c r="L8" s="117">
        <v>4781.3508861000009</v>
      </c>
      <c r="M8" s="19">
        <f>K8+L8</f>
        <v>4781.3508861000009</v>
      </c>
      <c r="N8" s="87">
        <v>5</v>
      </c>
      <c r="O8" s="87">
        <v>5</v>
      </c>
      <c r="P8" s="87">
        <v>4</v>
      </c>
    </row>
    <row r="9" spans="2:27" x14ac:dyDescent="0.3">
      <c r="B9" s="28" t="s">
        <v>28</v>
      </c>
      <c r="C9" s="17">
        <v>1640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</row>
    <row r="10" spans="2:27" x14ac:dyDescent="0.3">
      <c r="B10" s="16" t="s">
        <v>30</v>
      </c>
      <c r="C10" s="17">
        <v>4325</v>
      </c>
      <c r="E10" s="18" t="s">
        <v>31</v>
      </c>
      <c r="F10" s="119">
        <v>19420</v>
      </c>
      <c r="G10" s="117">
        <v>12313.885249999999</v>
      </c>
      <c r="H10" s="117">
        <v>410.84081600000002</v>
      </c>
      <c r="I10" s="19">
        <f>G10+H10</f>
        <v>12724.726065999999</v>
      </c>
      <c r="J10" s="119">
        <v>19653</v>
      </c>
      <c r="K10" s="117">
        <v>13745.38775</v>
      </c>
      <c r="L10" s="117">
        <v>412.54918579999998</v>
      </c>
      <c r="M10" s="19">
        <f>K10+L10</f>
        <v>14157.9369358</v>
      </c>
      <c r="N10" s="88">
        <v>58</v>
      </c>
      <c r="O10" s="88">
        <v>54</v>
      </c>
      <c r="P10" s="88">
        <v>45</v>
      </c>
    </row>
    <row r="11" spans="2:27" x14ac:dyDescent="0.3">
      <c r="B11" s="16" t="s">
        <v>38</v>
      </c>
      <c r="C11" s="17">
        <v>12252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9</v>
      </c>
    </row>
    <row r="12" spans="2:27" x14ac:dyDescent="0.3">
      <c r="B12" s="16" t="s">
        <v>40</v>
      </c>
      <c r="C12" s="17">
        <v>1098</v>
      </c>
      <c r="E12" s="29" t="s">
        <v>35</v>
      </c>
      <c r="F12" s="119">
        <v>17784</v>
      </c>
      <c r="G12" s="117">
        <v>13559.8325</v>
      </c>
      <c r="H12" s="117">
        <v>22143.464130140001</v>
      </c>
      <c r="I12" s="19">
        <f>G12+H12</f>
        <v>35703.296630140001</v>
      </c>
      <c r="J12" s="119">
        <v>18152</v>
      </c>
      <c r="K12" s="117">
        <v>17705.092250000002</v>
      </c>
      <c r="L12" s="117">
        <v>22559.365015959989</v>
      </c>
      <c r="M12" s="19">
        <f>K12+L12</f>
        <v>40264.457265959994</v>
      </c>
      <c r="N12" s="88">
        <v>51</v>
      </c>
      <c r="O12" s="88">
        <v>50</v>
      </c>
      <c r="P12" s="88">
        <v>38</v>
      </c>
    </row>
    <row r="13" spans="2:27" x14ac:dyDescent="0.3">
      <c r="B13" s="28" t="s">
        <v>42</v>
      </c>
      <c r="C13" s="17">
        <f>38481-C12-C14-C15-C7</f>
        <v>35133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12</v>
      </c>
    </row>
    <row r="14" spans="2:27" x14ac:dyDescent="0.3">
      <c r="B14" s="43" t="s">
        <v>47</v>
      </c>
      <c r="C14" s="17">
        <v>805</v>
      </c>
      <c r="E14" s="18" t="s">
        <v>39</v>
      </c>
      <c r="F14" s="119">
        <v>25656</v>
      </c>
      <c r="G14" s="117">
        <v>17554.877499999999</v>
      </c>
      <c r="H14" s="117">
        <v>30556.158214679999</v>
      </c>
      <c r="I14" s="19">
        <f>G14+H14</f>
        <v>48111.035714679994</v>
      </c>
      <c r="J14" s="119">
        <v>25442</v>
      </c>
      <c r="K14" s="117">
        <v>19569.610250000002</v>
      </c>
      <c r="L14" s="117">
        <v>29993.136492119989</v>
      </c>
      <c r="M14" s="19">
        <f>K14+L14</f>
        <v>49562.746742119991</v>
      </c>
      <c r="N14" s="88">
        <v>66</v>
      </c>
      <c r="O14" s="88">
        <v>67</v>
      </c>
      <c r="P14" s="88">
        <v>45</v>
      </c>
    </row>
    <row r="15" spans="2:27" x14ac:dyDescent="0.3">
      <c r="B15" s="43" t="s">
        <v>48</v>
      </c>
      <c r="C15" s="50">
        <v>127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22</v>
      </c>
    </row>
    <row r="16" spans="2:27" x14ac:dyDescent="0.3">
      <c r="B16" s="16" t="s">
        <v>50</v>
      </c>
      <c r="C16" s="17">
        <v>9677</v>
      </c>
      <c r="E16" s="18" t="s">
        <v>79</v>
      </c>
      <c r="F16" s="119">
        <v>0</v>
      </c>
      <c r="G16" s="117">
        <v>0</v>
      </c>
      <c r="H16" s="117">
        <v>5699.6314836199999</v>
      </c>
      <c r="I16" s="19">
        <f>G16+H16</f>
        <v>5699.6314836199999</v>
      </c>
      <c r="J16" s="119">
        <v>0</v>
      </c>
      <c r="K16" s="117">
        <v>0</v>
      </c>
      <c r="L16" s="117">
        <v>6007.2939666399998</v>
      </c>
      <c r="M16" s="19">
        <f>K16+L16</f>
        <v>6007.2939666399998</v>
      </c>
      <c r="N16" s="88">
        <v>11</v>
      </c>
      <c r="O16" s="88">
        <v>11</v>
      </c>
      <c r="P16" s="88">
        <v>7</v>
      </c>
    </row>
    <row r="17" spans="2:28" s="4" customFormat="1" x14ac:dyDescent="0.3">
      <c r="B17" s="16" t="s">
        <v>51</v>
      </c>
      <c r="C17" s="17">
        <v>3032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4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4441</v>
      </c>
      <c r="E18" s="84"/>
      <c r="F18" s="31">
        <f t="shared" ref="F18:M18" si="0">SUM(F6:F17)</f>
        <v>91396</v>
      </c>
      <c r="G18" s="31">
        <f t="shared" si="0"/>
        <v>58973.736666666664</v>
      </c>
      <c r="H18" s="31">
        <f t="shared" si="0"/>
        <v>73378.761822280008</v>
      </c>
      <c r="I18" s="32">
        <f t="shared" si="0"/>
        <v>132352.49848894667</v>
      </c>
      <c r="J18" s="31">
        <f t="shared" si="0"/>
        <v>95151</v>
      </c>
      <c r="K18" s="31">
        <f t="shared" si="0"/>
        <v>70270.421916666659</v>
      </c>
      <c r="L18" s="31">
        <f t="shared" si="0"/>
        <v>74460.095661879983</v>
      </c>
      <c r="M18" s="33">
        <f t="shared" si="0"/>
        <v>144730.51757854663</v>
      </c>
      <c r="N18" s="31">
        <f>SUM(N16,N14,N12,N10,N8,N6)</f>
        <v>273</v>
      </c>
      <c r="O18" s="31">
        <f>SUM(O16,O14,O12,O10,O8,O6)</f>
        <v>265</v>
      </c>
      <c r="P18" s="31">
        <f>SUM(P16,P14,P12,P10,P8,P6)</f>
        <v>202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59</v>
      </c>
    </row>
    <row r="20" spans="2:28" x14ac:dyDescent="0.3">
      <c r="P20" s="125">
        <f>IFERROR(P19/O18,0)</f>
        <v>0.22264150943396227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13711</v>
      </c>
      <c r="D26" s="76">
        <f>C11</f>
        <v>12252</v>
      </c>
      <c r="E26" s="77">
        <f>D26-C26</f>
        <v>-1459</v>
      </c>
      <c r="M26" s="4"/>
    </row>
    <row r="27" spans="2:28" x14ac:dyDescent="0.3">
      <c r="B27" s="74" t="s">
        <v>56</v>
      </c>
      <c r="C27" s="122">
        <v>37747</v>
      </c>
      <c r="D27" s="76">
        <f>C7+C12+C13+C14+C15</f>
        <v>38481</v>
      </c>
      <c r="E27" s="77">
        <f>D27-C27</f>
        <v>734</v>
      </c>
      <c r="J27" s="123"/>
      <c r="M27" s="4"/>
      <c r="Q27" s="69"/>
    </row>
    <row r="28" spans="2:28" x14ac:dyDescent="0.3">
      <c r="B28" s="74" t="s">
        <v>21</v>
      </c>
      <c r="C28" s="122">
        <v>106</v>
      </c>
      <c r="D28" s="76">
        <f>C6</f>
        <v>106</v>
      </c>
      <c r="E28" s="77">
        <f>D28-C28</f>
        <v>0</v>
      </c>
      <c r="M28" s="4"/>
    </row>
    <row r="29" spans="2:28" x14ac:dyDescent="0.3">
      <c r="B29" s="74" t="s">
        <v>57</v>
      </c>
      <c r="C29" s="122">
        <v>4325</v>
      </c>
      <c r="D29" s="76">
        <f>C10</f>
        <v>4325</v>
      </c>
      <c r="E29" s="77">
        <f>D29-C29</f>
        <v>0</v>
      </c>
      <c r="P29" s="4"/>
    </row>
    <row r="30" spans="2:28" x14ac:dyDescent="0.3">
      <c r="B30" s="74" t="s">
        <v>59</v>
      </c>
      <c r="C30" s="122">
        <v>16497</v>
      </c>
      <c r="D30" s="76">
        <f>C16+C17+C18</f>
        <v>17150</v>
      </c>
      <c r="E30" s="77">
        <f>D30-C30</f>
        <v>653</v>
      </c>
      <c r="P30" s="4"/>
    </row>
    <row r="31" spans="2:28" ht="15" customHeight="1" thickBot="1" x14ac:dyDescent="0.35">
      <c r="B31" s="78" t="s">
        <v>60</v>
      </c>
      <c r="C31" s="121">
        <v>4504</v>
      </c>
      <c r="D31" s="80">
        <f>SUM(C8+C9)</f>
        <v>3739</v>
      </c>
      <c r="E31" s="81">
        <f>C31-D31</f>
        <v>765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44519</v>
      </c>
    </row>
    <row r="3" spans="2:27" ht="18.75" customHeight="1" thickBot="1" x14ac:dyDescent="0.35">
      <c r="B3" t="s">
        <v>1</v>
      </c>
      <c r="C3" s="3">
        <f>C2+1</f>
        <v>44520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23186</v>
      </c>
      <c r="G6" s="117">
        <v>15828.704250000001</v>
      </c>
      <c r="H6" s="117">
        <v>8627.3029923799968</v>
      </c>
      <c r="I6" s="19">
        <f>G6+H6</f>
        <v>24456.007242379997</v>
      </c>
      <c r="J6" s="119">
        <v>25118</v>
      </c>
      <c r="K6" s="117">
        <v>17982.559249999998</v>
      </c>
      <c r="L6" s="117">
        <v>9802.1639052400024</v>
      </c>
      <c r="M6" s="19">
        <f>K6+L6</f>
        <v>27784.723155240001</v>
      </c>
      <c r="N6" s="85">
        <v>78</v>
      </c>
      <c r="O6" s="85">
        <v>77</v>
      </c>
      <c r="P6" s="85">
        <v>59</v>
      </c>
    </row>
    <row r="7" spans="2:27" x14ac:dyDescent="0.3">
      <c r="B7" s="16" t="s">
        <v>23</v>
      </c>
      <c r="C7" s="17">
        <v>1343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18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2342</v>
      </c>
      <c r="E8" s="29" t="s">
        <v>27</v>
      </c>
      <c r="F8" s="119">
        <v>0</v>
      </c>
      <c r="G8" s="117">
        <v>0</v>
      </c>
      <c r="H8" s="117">
        <v>4331.1448251799993</v>
      </c>
      <c r="I8" s="19">
        <f>G8+H8</f>
        <v>4331.1448251799993</v>
      </c>
      <c r="J8" s="119">
        <v>0</v>
      </c>
      <c r="K8" s="117">
        <v>0</v>
      </c>
      <c r="L8" s="117">
        <v>4539.3633731999998</v>
      </c>
      <c r="M8" s="19">
        <f>K8+L8</f>
        <v>4539.3633731999998</v>
      </c>
      <c r="N8" s="87">
        <v>7</v>
      </c>
      <c r="O8" s="87">
        <v>7</v>
      </c>
      <c r="P8" s="87">
        <v>5</v>
      </c>
    </row>
    <row r="9" spans="2:27" x14ac:dyDescent="0.3">
      <c r="B9" s="28" t="s">
        <v>28</v>
      </c>
      <c r="C9" s="17">
        <v>1192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</row>
    <row r="10" spans="2:27" x14ac:dyDescent="0.3">
      <c r="B10" s="16" t="s">
        <v>30</v>
      </c>
      <c r="C10" s="17">
        <v>4766</v>
      </c>
      <c r="E10" s="18" t="s">
        <v>31</v>
      </c>
      <c r="F10" s="119">
        <v>16164</v>
      </c>
      <c r="G10" s="117">
        <v>12219.0785</v>
      </c>
      <c r="H10" s="117">
        <v>341.94811600000003</v>
      </c>
      <c r="I10" s="19">
        <f>G10+H10</f>
        <v>12561.026615999999</v>
      </c>
      <c r="J10" s="119">
        <v>18303</v>
      </c>
      <c r="K10" s="117">
        <v>14375.505499999999</v>
      </c>
      <c r="L10" s="117">
        <v>407.03461440000001</v>
      </c>
      <c r="M10" s="19">
        <f>K10+L10</f>
        <v>14782.540114399999</v>
      </c>
      <c r="N10" s="88">
        <v>51</v>
      </c>
      <c r="O10" s="88">
        <v>49</v>
      </c>
      <c r="P10" s="88">
        <v>46</v>
      </c>
    </row>
    <row r="11" spans="2:27" x14ac:dyDescent="0.3">
      <c r="B11" s="16" t="s">
        <v>38</v>
      </c>
      <c r="C11" s="17">
        <v>11995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</row>
    <row r="12" spans="2:27" x14ac:dyDescent="0.3">
      <c r="B12" s="16" t="s">
        <v>40</v>
      </c>
      <c r="C12" s="17">
        <v>1333</v>
      </c>
      <c r="E12" s="29" t="s">
        <v>35</v>
      </c>
      <c r="F12" s="119">
        <v>16995</v>
      </c>
      <c r="G12" s="117">
        <v>15029.891750000001</v>
      </c>
      <c r="H12" s="117">
        <v>21246.598751090001</v>
      </c>
      <c r="I12" s="19">
        <f>G12+H12</f>
        <v>36276.490501090004</v>
      </c>
      <c r="J12" s="119">
        <v>17428</v>
      </c>
      <c r="K12" s="117">
        <v>17579.476500000001</v>
      </c>
      <c r="L12" s="117">
        <v>21785.494031990009</v>
      </c>
      <c r="M12" s="19">
        <f>K12+L12</f>
        <v>39364.970531990009</v>
      </c>
      <c r="N12" s="88">
        <v>53</v>
      </c>
      <c r="O12" s="88">
        <v>51</v>
      </c>
      <c r="P12" s="88">
        <v>44</v>
      </c>
    </row>
    <row r="13" spans="2:27" x14ac:dyDescent="0.3">
      <c r="B13" s="28" t="s">
        <v>42</v>
      </c>
      <c r="C13" s="17">
        <v>27790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</row>
    <row r="14" spans="2:27" x14ac:dyDescent="0.3">
      <c r="B14" s="43" t="s">
        <v>47</v>
      </c>
      <c r="C14" s="17">
        <v>1688</v>
      </c>
      <c r="E14" s="18" t="s">
        <v>39</v>
      </c>
      <c r="F14" s="119">
        <v>24445</v>
      </c>
      <c r="G14" s="117">
        <v>18779.864750000001</v>
      </c>
      <c r="H14" s="117">
        <v>30833.399994799998</v>
      </c>
      <c r="I14" s="19">
        <f>G14+H14</f>
        <v>49613.264744799999</v>
      </c>
      <c r="J14" s="119">
        <v>23863</v>
      </c>
      <c r="K14" s="117">
        <v>19813.921999999999</v>
      </c>
      <c r="L14" s="117">
        <v>29908.79163122001</v>
      </c>
      <c r="M14" s="19">
        <f>K14+L14</f>
        <v>49722.713631220009</v>
      </c>
      <c r="N14" s="88">
        <v>70</v>
      </c>
      <c r="O14" s="88">
        <v>82</v>
      </c>
      <c r="P14" s="88">
        <v>62</v>
      </c>
    </row>
    <row r="15" spans="2:27" x14ac:dyDescent="0.3">
      <c r="B15" s="43" t="s">
        <v>48</v>
      </c>
      <c r="C15" s="50">
        <v>240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20</v>
      </c>
    </row>
    <row r="16" spans="2:27" x14ac:dyDescent="0.3">
      <c r="B16" s="16" t="s">
        <v>50</v>
      </c>
      <c r="C16" s="17">
        <v>9464</v>
      </c>
      <c r="E16" s="18" t="s">
        <v>79</v>
      </c>
      <c r="F16" s="119">
        <v>0</v>
      </c>
      <c r="G16" s="117">
        <v>0</v>
      </c>
      <c r="H16" s="117">
        <v>7893.1519912799986</v>
      </c>
      <c r="I16" s="19">
        <f>G16+H16</f>
        <v>7893.1519912799986</v>
      </c>
      <c r="J16" s="119">
        <v>0</v>
      </c>
      <c r="K16" s="117">
        <v>0</v>
      </c>
      <c r="L16" s="117">
        <v>8230.4278680200005</v>
      </c>
      <c r="M16" s="19">
        <f>K16+L16</f>
        <v>8230.4278680200005</v>
      </c>
      <c r="N16" s="88">
        <v>12</v>
      </c>
      <c r="O16" s="88">
        <v>13</v>
      </c>
      <c r="P16" s="88">
        <v>12</v>
      </c>
    </row>
    <row r="17" spans="2:28" s="4" customFormat="1" x14ac:dyDescent="0.3">
      <c r="B17" s="16" t="s">
        <v>51</v>
      </c>
      <c r="C17" s="17">
        <v>529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6177</v>
      </c>
      <c r="E18" s="84"/>
      <c r="F18" s="31">
        <f t="shared" ref="F18:M18" si="0">SUM(F6:F17)</f>
        <v>80790</v>
      </c>
      <c r="G18" s="31">
        <f t="shared" si="0"/>
        <v>61857.539250000002</v>
      </c>
      <c r="H18" s="31">
        <f t="shared" si="0"/>
        <v>73273.546670729993</v>
      </c>
      <c r="I18" s="32">
        <f t="shared" si="0"/>
        <v>135131.08592072999</v>
      </c>
      <c r="J18" s="31">
        <f t="shared" si="0"/>
        <v>84712</v>
      </c>
      <c r="K18" s="31">
        <f t="shared" si="0"/>
        <v>69751.463250000001</v>
      </c>
      <c r="L18" s="31">
        <f t="shared" si="0"/>
        <v>74673.275424070016</v>
      </c>
      <c r="M18" s="33">
        <f t="shared" si="0"/>
        <v>144424.73867407002</v>
      </c>
      <c r="N18" s="31">
        <f>SUM(N16,N14,N12,N10,N8,N6)</f>
        <v>271</v>
      </c>
      <c r="O18" s="31">
        <f>SUM(O16,O14,O12,O10,O8,O6)</f>
        <v>279</v>
      </c>
      <c r="P18" s="31">
        <f>SUM(P16,P14,P12,P10,P8,P6)</f>
        <v>228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50</v>
      </c>
    </row>
    <row r="20" spans="2:28" x14ac:dyDescent="0.3">
      <c r="P20" s="125">
        <f>IFERROR(P19/O18,0)</f>
        <v>0.17921146953405018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11895</v>
      </c>
      <c r="D26" s="76">
        <f>C11</f>
        <v>11995</v>
      </c>
      <c r="E26" s="77">
        <f>D26-C26</f>
        <v>100</v>
      </c>
      <c r="M26" s="4"/>
    </row>
    <row r="27" spans="2:28" x14ac:dyDescent="0.3">
      <c r="B27" s="74" t="s">
        <v>56</v>
      </c>
      <c r="C27" s="122">
        <v>37895</v>
      </c>
      <c r="D27" s="76">
        <f>C7+C12+C13+C14+C15</f>
        <v>32394</v>
      </c>
      <c r="E27" s="77">
        <f>D27-C27</f>
        <v>-5501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</row>
    <row r="29" spans="2:28" x14ac:dyDescent="0.3">
      <c r="B29" s="74" t="s">
        <v>57</v>
      </c>
      <c r="C29" s="122">
        <v>3885</v>
      </c>
      <c r="D29" s="76">
        <f>C10</f>
        <v>4766</v>
      </c>
      <c r="E29" s="77">
        <f>D29-C29</f>
        <v>881</v>
      </c>
      <c r="P29" s="4"/>
    </row>
    <row r="30" spans="2:28" x14ac:dyDescent="0.3">
      <c r="B30" s="74" t="s">
        <v>59</v>
      </c>
      <c r="C30" s="122">
        <v>13465</v>
      </c>
      <c r="D30" s="76">
        <f>C16+C17+C18</f>
        <v>16170</v>
      </c>
      <c r="E30" s="77">
        <f>D30-C30</f>
        <v>2705</v>
      </c>
      <c r="P30" s="4"/>
    </row>
    <row r="31" spans="2:28" ht="15" customHeight="1" thickBot="1" x14ac:dyDescent="0.35">
      <c r="B31" s="78" t="s">
        <v>60</v>
      </c>
      <c r="C31" s="121">
        <v>4121</v>
      </c>
      <c r="D31" s="80">
        <f>SUM(C8+C9)</f>
        <v>3534</v>
      </c>
      <c r="E31" s="81">
        <f>C31-D31</f>
        <v>587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44520</v>
      </c>
    </row>
    <row r="3" spans="2:27" ht="18.75" customHeight="1" thickBot="1" x14ac:dyDescent="0.35">
      <c r="B3" t="s">
        <v>1</v>
      </c>
      <c r="C3" s="3">
        <f>C2+1</f>
        <v>44521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118</v>
      </c>
      <c r="E6" s="18" t="s">
        <v>22</v>
      </c>
      <c r="F6" s="119">
        <v>24500</v>
      </c>
      <c r="G6" s="117">
        <v>14387.8225</v>
      </c>
      <c r="H6" s="117">
        <v>8973.3856022200052</v>
      </c>
      <c r="I6" s="19">
        <f>G6+H6</f>
        <v>23361.208102220007</v>
      </c>
      <c r="J6" s="119">
        <v>27426</v>
      </c>
      <c r="K6" s="117">
        <v>17775.2997</v>
      </c>
      <c r="L6" s="117">
        <v>9349.451951400004</v>
      </c>
      <c r="M6" s="19">
        <f>K6+L6</f>
        <v>27124.751651400002</v>
      </c>
      <c r="N6" s="85">
        <v>95</v>
      </c>
      <c r="O6" s="85">
        <v>92</v>
      </c>
      <c r="P6" s="85">
        <v>79</v>
      </c>
    </row>
    <row r="7" spans="2:27" x14ac:dyDescent="0.3">
      <c r="B7" s="16" t="s">
        <v>23</v>
      </c>
      <c r="C7" s="17">
        <v>520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13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2892</v>
      </c>
      <c r="E8" s="29" t="s">
        <v>27</v>
      </c>
      <c r="F8" s="119">
        <v>0</v>
      </c>
      <c r="G8" s="117">
        <v>0</v>
      </c>
      <c r="H8" s="117">
        <v>4534.4343789600007</v>
      </c>
      <c r="I8" s="19">
        <f>G8+H8</f>
        <v>4534.4343789600007</v>
      </c>
      <c r="J8" s="119">
        <v>0</v>
      </c>
      <c r="K8" s="117">
        <v>0</v>
      </c>
      <c r="L8" s="117">
        <v>4588.6603600400003</v>
      </c>
      <c r="M8" s="19">
        <f>K8+L8</f>
        <v>4588.6603600400003</v>
      </c>
      <c r="N8" s="87">
        <v>6</v>
      </c>
      <c r="O8" s="87">
        <v>6</v>
      </c>
      <c r="P8" s="87">
        <v>6</v>
      </c>
    </row>
    <row r="9" spans="2:27" x14ac:dyDescent="0.3">
      <c r="B9" s="28" t="s">
        <v>28</v>
      </c>
      <c r="C9" s="17">
        <v>1217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3">
      <c r="B10" s="16" t="s">
        <v>30</v>
      </c>
      <c r="C10" s="17">
        <v>3187</v>
      </c>
      <c r="E10" s="18" t="s">
        <v>31</v>
      </c>
      <c r="F10" s="119">
        <v>16396</v>
      </c>
      <c r="G10" s="117">
        <v>10903.394</v>
      </c>
      <c r="H10" s="117">
        <v>411.09873299999998</v>
      </c>
      <c r="I10" s="19">
        <f>G10+H10</f>
        <v>11314.492733000001</v>
      </c>
      <c r="J10" s="119">
        <v>18661</v>
      </c>
      <c r="K10" s="117">
        <v>13575.532499999999</v>
      </c>
      <c r="L10" s="117">
        <v>414.10595119999999</v>
      </c>
      <c r="M10" s="19">
        <f>K10+L10</f>
        <v>13989.638451199999</v>
      </c>
      <c r="N10" s="88">
        <v>54</v>
      </c>
      <c r="O10" s="88">
        <v>51</v>
      </c>
      <c r="P10" s="88">
        <v>47</v>
      </c>
    </row>
    <row r="11" spans="2:27" x14ac:dyDescent="0.3">
      <c r="B11" s="16" t="s">
        <v>38</v>
      </c>
      <c r="C11" s="17">
        <v>12564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</row>
    <row r="12" spans="2:27" x14ac:dyDescent="0.3">
      <c r="B12" s="16" t="s">
        <v>40</v>
      </c>
      <c r="C12" s="17">
        <v>672</v>
      </c>
      <c r="E12" s="29" t="s">
        <v>35</v>
      </c>
      <c r="F12" s="119">
        <v>18347</v>
      </c>
      <c r="G12" s="117">
        <v>13968.735000000001</v>
      </c>
      <c r="H12" s="117">
        <v>22628.338341539991</v>
      </c>
      <c r="I12" s="19">
        <f>G12+H12</f>
        <v>36597.073341539988</v>
      </c>
      <c r="J12" s="119">
        <v>18820</v>
      </c>
      <c r="K12" s="117">
        <v>18588.470249999991</v>
      </c>
      <c r="L12" s="117">
        <v>23141.143856080002</v>
      </c>
      <c r="M12" s="19">
        <f>K12+L12</f>
        <v>41729.614106079993</v>
      </c>
      <c r="N12" s="88">
        <v>59</v>
      </c>
      <c r="O12" s="88">
        <v>56</v>
      </c>
      <c r="P12" s="88">
        <v>49</v>
      </c>
    </row>
    <row r="13" spans="2:27" x14ac:dyDescent="0.3">
      <c r="B13" s="28" t="s">
        <v>42</v>
      </c>
      <c r="C13" s="17">
        <f>38069-C7-C12-C15-C14</f>
        <v>36290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</row>
    <row r="14" spans="2:27" x14ac:dyDescent="0.3">
      <c r="B14" s="43" t="s">
        <v>47</v>
      </c>
      <c r="C14" s="17">
        <v>512</v>
      </c>
      <c r="E14" s="18" t="s">
        <v>39</v>
      </c>
      <c r="F14" s="119">
        <v>12557</v>
      </c>
      <c r="G14" s="117">
        <v>13791.79225</v>
      </c>
      <c r="H14" s="117">
        <v>16491.000953399998</v>
      </c>
      <c r="I14" s="19">
        <f>G14+H14</f>
        <v>30282.793203399997</v>
      </c>
      <c r="J14" s="119">
        <v>22522</v>
      </c>
      <c r="K14" s="117">
        <v>19866.42325</v>
      </c>
      <c r="L14" s="117">
        <v>28763.80880563999</v>
      </c>
      <c r="M14" s="19">
        <f>K14+L14</f>
        <v>48630.232055639994</v>
      </c>
      <c r="N14" s="88">
        <v>62</v>
      </c>
      <c r="O14" s="88">
        <v>60</v>
      </c>
      <c r="P14" s="88">
        <v>48</v>
      </c>
    </row>
    <row r="15" spans="2:27" x14ac:dyDescent="0.3">
      <c r="B15" s="43" t="s">
        <v>48</v>
      </c>
      <c r="C15" s="50">
        <v>75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12</v>
      </c>
    </row>
    <row r="16" spans="2:27" x14ac:dyDescent="0.3">
      <c r="B16" s="16" t="s">
        <v>50</v>
      </c>
      <c r="C16" s="17">
        <v>10899</v>
      </c>
      <c r="E16" s="18" t="s">
        <v>79</v>
      </c>
      <c r="F16" s="119">
        <v>0</v>
      </c>
      <c r="G16" s="117">
        <v>0</v>
      </c>
      <c r="H16" s="117">
        <v>5688.6298938</v>
      </c>
      <c r="I16" s="19">
        <f>G16+H16</f>
        <v>5688.6298938</v>
      </c>
      <c r="J16" s="119">
        <v>0</v>
      </c>
      <c r="K16" s="117">
        <v>0</v>
      </c>
      <c r="L16" s="117">
        <v>5780.0548804399996</v>
      </c>
      <c r="M16" s="19">
        <f>K16+L16</f>
        <v>5780.0548804399996</v>
      </c>
      <c r="N16" s="88">
        <v>11</v>
      </c>
      <c r="O16" s="88">
        <v>10</v>
      </c>
      <c r="P16" s="88">
        <v>10</v>
      </c>
    </row>
    <row r="17" spans="2:28" s="4" customFormat="1" x14ac:dyDescent="0.3">
      <c r="B17" s="16" t="s">
        <v>51</v>
      </c>
      <c r="C17" s="17">
        <v>2132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3463</v>
      </c>
      <c r="E18" s="84"/>
      <c r="F18" s="31">
        <f t="shared" ref="F18:M18" si="0">SUM(F6:F17)</f>
        <v>71800</v>
      </c>
      <c r="G18" s="31">
        <f t="shared" si="0"/>
        <v>53051.743750000001</v>
      </c>
      <c r="H18" s="31">
        <f t="shared" si="0"/>
        <v>58726.887902919989</v>
      </c>
      <c r="I18" s="32">
        <f t="shared" si="0"/>
        <v>111778.63165291998</v>
      </c>
      <c r="J18" s="31">
        <f t="shared" si="0"/>
        <v>87429</v>
      </c>
      <c r="K18" s="31">
        <f t="shared" si="0"/>
        <v>69805.725699999981</v>
      </c>
      <c r="L18" s="31">
        <f t="shared" si="0"/>
        <v>72037.225804799993</v>
      </c>
      <c r="M18" s="33">
        <f t="shared" si="0"/>
        <v>141842.9515048</v>
      </c>
      <c r="N18" s="31">
        <f>SUM(N16,N14,N12,N10,N8,N6)</f>
        <v>287</v>
      </c>
      <c r="O18" s="31">
        <f>SUM(O16,O14,O12,O10,O8,O6)</f>
        <v>275</v>
      </c>
      <c r="P18" s="31">
        <f>SUM(P16,P14,P12,P10,P8,P6)</f>
        <v>239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36</v>
      </c>
    </row>
    <row r="20" spans="2:28" x14ac:dyDescent="0.3">
      <c r="P20" s="125">
        <f>IFERROR(P19/O18,0)</f>
        <v>0.13090909090909092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12879</v>
      </c>
      <c r="D26" s="76">
        <f>C11</f>
        <v>12564</v>
      </c>
      <c r="E26" s="77">
        <f>D26-C26</f>
        <v>-315</v>
      </c>
      <c r="M26" s="4"/>
    </row>
    <row r="27" spans="2:28" x14ac:dyDescent="0.3">
      <c r="B27" s="74" t="s">
        <v>56</v>
      </c>
      <c r="C27" s="122">
        <v>38272</v>
      </c>
      <c r="D27" s="76">
        <f>C7+C12+C13+C14+C15</f>
        <v>38069</v>
      </c>
      <c r="E27" s="77">
        <f>D27-C27</f>
        <v>-203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118</v>
      </c>
      <c r="E28" s="77">
        <f>D28-C28</f>
        <v>118</v>
      </c>
      <c r="M28" s="4"/>
    </row>
    <row r="29" spans="2:28" x14ac:dyDescent="0.3">
      <c r="B29" s="74" t="s">
        <v>57</v>
      </c>
      <c r="C29" s="122">
        <v>0</v>
      </c>
      <c r="D29" s="76">
        <f>C10</f>
        <v>3187</v>
      </c>
      <c r="E29" s="77">
        <f>D29-C29</f>
        <v>3187</v>
      </c>
      <c r="P29" s="4"/>
    </row>
    <row r="30" spans="2:28" x14ac:dyDescent="0.3">
      <c r="B30" s="74" t="s">
        <v>59</v>
      </c>
      <c r="C30" s="122">
        <v>16066</v>
      </c>
      <c r="D30" s="76">
        <f>C16+C17+C18</f>
        <v>16494</v>
      </c>
      <c r="E30" s="77">
        <f>D30-C30</f>
        <v>428</v>
      </c>
      <c r="P30" s="4"/>
    </row>
    <row r="31" spans="2:28" ht="15" customHeight="1" thickBot="1" x14ac:dyDescent="0.35">
      <c r="B31" s="78" t="s">
        <v>60</v>
      </c>
      <c r="C31" s="121">
        <v>4164</v>
      </c>
      <c r="D31" s="80">
        <f>SUM(C8+C9)</f>
        <v>4109</v>
      </c>
      <c r="E31" s="81">
        <f>C31-D31</f>
        <v>55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44521</v>
      </c>
    </row>
    <row r="3" spans="2:27" ht="18.75" customHeight="1" thickBot="1" x14ac:dyDescent="0.35">
      <c r="B3" t="s">
        <v>1</v>
      </c>
      <c r="C3" s="3">
        <f>C2+1</f>
        <v>44522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118</v>
      </c>
      <c r="E6" s="18" t="s">
        <v>22</v>
      </c>
      <c r="F6" s="119">
        <v>22638</v>
      </c>
      <c r="G6" s="117">
        <v>15276.87519340934</v>
      </c>
      <c r="H6" s="117">
        <v>6270.7508569999973</v>
      </c>
      <c r="I6" s="19">
        <f>G6+H6</f>
        <v>21547.626050409337</v>
      </c>
      <c r="J6" s="119">
        <v>20884</v>
      </c>
      <c r="K6" s="117">
        <v>10372.502200000001</v>
      </c>
      <c r="L6" s="117">
        <v>5650.8535420199969</v>
      </c>
      <c r="M6" s="19">
        <f>K6+L6</f>
        <v>16023.355742019998</v>
      </c>
      <c r="N6" s="85">
        <v>48</v>
      </c>
      <c r="O6" s="85">
        <v>49</v>
      </c>
      <c r="P6" s="85">
        <v>34</v>
      </c>
    </row>
    <row r="7" spans="2:27" x14ac:dyDescent="0.3">
      <c r="B7" s="16" t="s">
        <v>23</v>
      </c>
      <c r="C7" s="17">
        <v>153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15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585</v>
      </c>
      <c r="E8" s="29" t="s">
        <v>27</v>
      </c>
      <c r="F8" s="119">
        <v>0</v>
      </c>
      <c r="G8" s="117">
        <v>0</v>
      </c>
      <c r="H8" s="117">
        <v>2922.075727299999</v>
      </c>
      <c r="I8" s="19">
        <f>G8+H8</f>
        <v>2922.075727299999</v>
      </c>
      <c r="J8" s="119">
        <v>0</v>
      </c>
      <c r="K8" s="117">
        <v>0</v>
      </c>
      <c r="L8" s="117">
        <v>2607.3065616200001</v>
      </c>
      <c r="M8" s="19">
        <f>K8+L8</f>
        <v>2607.3065616200001</v>
      </c>
      <c r="N8" s="87">
        <v>0</v>
      </c>
      <c r="O8" s="87">
        <v>0</v>
      </c>
      <c r="P8" s="87">
        <v>0</v>
      </c>
    </row>
    <row r="9" spans="2:27" x14ac:dyDescent="0.3">
      <c r="B9" s="28" t="s">
        <v>28</v>
      </c>
      <c r="C9" s="17">
        <v>1138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3">
      <c r="B10" s="16" t="s">
        <v>30</v>
      </c>
      <c r="C10" s="17">
        <v>2347</v>
      </c>
      <c r="E10" s="18" t="s">
        <v>31</v>
      </c>
      <c r="F10" s="119">
        <v>11613</v>
      </c>
      <c r="G10" s="117">
        <v>9164.1942629400728</v>
      </c>
      <c r="H10" s="117">
        <v>388.578236</v>
      </c>
      <c r="I10" s="19">
        <f>G10+H10</f>
        <v>9552.7724989400722</v>
      </c>
      <c r="J10" s="119">
        <v>11877</v>
      </c>
      <c r="K10" s="117">
        <v>7598.6565000000001</v>
      </c>
      <c r="L10" s="117">
        <v>355.61284920000003</v>
      </c>
      <c r="M10" s="19">
        <f>K10+L10</f>
        <v>7954.2693491999999</v>
      </c>
      <c r="N10" s="88">
        <v>0</v>
      </c>
      <c r="O10" s="88">
        <v>0</v>
      </c>
      <c r="P10" s="88">
        <v>0</v>
      </c>
    </row>
    <row r="11" spans="2:27" x14ac:dyDescent="0.3">
      <c r="B11" s="16" t="s">
        <v>38</v>
      </c>
      <c r="C11" s="17">
        <v>10148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</row>
    <row r="12" spans="2:27" x14ac:dyDescent="0.3">
      <c r="B12" s="16" t="s">
        <v>40</v>
      </c>
      <c r="C12" s="17">
        <v>0</v>
      </c>
      <c r="E12" s="29" t="s">
        <v>35</v>
      </c>
      <c r="F12" s="119">
        <v>10187</v>
      </c>
      <c r="G12" s="117">
        <v>13525.463096213511</v>
      </c>
      <c r="H12" s="117">
        <v>11624.92982705999</v>
      </c>
      <c r="I12" s="19">
        <f>G12+H12</f>
        <v>25150.392923273503</v>
      </c>
      <c r="J12" s="119">
        <v>9796</v>
      </c>
      <c r="K12" s="117">
        <v>9176.6744999999974</v>
      </c>
      <c r="L12" s="117">
        <v>10503.27727572999</v>
      </c>
      <c r="M12" s="19">
        <f>K12+L12</f>
        <v>19679.951775729987</v>
      </c>
      <c r="N12" s="88">
        <v>0</v>
      </c>
      <c r="O12" s="88">
        <v>0</v>
      </c>
      <c r="P12" s="88">
        <v>0</v>
      </c>
    </row>
    <row r="13" spans="2:27" x14ac:dyDescent="0.3">
      <c r="B13" s="28" t="s">
        <v>42</v>
      </c>
      <c r="C13" s="17">
        <v>17787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0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12991</v>
      </c>
      <c r="G14" s="117">
        <v>16054.6785</v>
      </c>
      <c r="H14" s="117">
        <v>13587.727259459991</v>
      </c>
      <c r="I14" s="19">
        <f>G14+H14</f>
        <v>29642.405759459991</v>
      </c>
      <c r="J14" s="119">
        <v>12371</v>
      </c>
      <c r="K14" s="117">
        <v>8665.1452499999996</v>
      </c>
      <c r="L14" s="117">
        <v>14906.77191272</v>
      </c>
      <c r="M14" s="19">
        <f>K14+L14</f>
        <v>23571.917162719998</v>
      </c>
      <c r="N14" s="88">
        <v>1</v>
      </c>
      <c r="O14" s="88">
        <v>0</v>
      </c>
      <c r="P14" s="88">
        <v>0</v>
      </c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0</v>
      </c>
    </row>
    <row r="16" spans="2:27" x14ac:dyDescent="0.3">
      <c r="B16" s="16" t="s">
        <v>50</v>
      </c>
      <c r="C16" s="17">
        <v>8561</v>
      </c>
      <c r="E16" s="18" t="s">
        <v>79</v>
      </c>
      <c r="F16" s="119">
        <v>0</v>
      </c>
      <c r="G16" s="117">
        <v>0</v>
      </c>
      <c r="H16" s="117">
        <v>2953.0009930800002</v>
      </c>
      <c r="I16" s="19">
        <f>G16+H16</f>
        <v>2953.0009930800002</v>
      </c>
      <c r="J16" s="119">
        <v>0</v>
      </c>
      <c r="K16" s="117">
        <v>0</v>
      </c>
      <c r="L16" s="117">
        <v>2631.7188305599998</v>
      </c>
      <c r="M16" s="19">
        <f>K16+L16</f>
        <v>2631.7188305599998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51</v>
      </c>
      <c r="C17" s="17">
        <v>903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4541</v>
      </c>
      <c r="E18" s="84"/>
      <c r="F18" s="31">
        <f t="shared" ref="F18:M18" si="0">SUM(F6:F17)</f>
        <v>57429</v>
      </c>
      <c r="G18" s="31">
        <f t="shared" si="0"/>
        <v>54021.211052562925</v>
      </c>
      <c r="H18" s="31">
        <f t="shared" si="0"/>
        <v>37747.062899899982</v>
      </c>
      <c r="I18" s="32">
        <f t="shared" si="0"/>
        <v>91768.2739524629</v>
      </c>
      <c r="J18" s="31">
        <f t="shared" si="0"/>
        <v>54928</v>
      </c>
      <c r="K18" s="31">
        <f t="shared" si="0"/>
        <v>35812.978449999995</v>
      </c>
      <c r="L18" s="31">
        <f t="shared" si="0"/>
        <v>36655.540971849987</v>
      </c>
      <c r="M18" s="33">
        <f t="shared" si="0"/>
        <v>72468.519421849982</v>
      </c>
      <c r="N18" s="31">
        <f>SUM(N16,N14,N12,N10,N8,N6)</f>
        <v>49</v>
      </c>
      <c r="O18" s="31">
        <f>SUM(O16,O14,O12,O10,O8,O6)</f>
        <v>49</v>
      </c>
      <c r="P18" s="31">
        <f>SUM(P16,P14,P12,P10,P8,P6)</f>
        <v>34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15</v>
      </c>
    </row>
    <row r="20" spans="2:28" x14ac:dyDescent="0.3">
      <c r="P20" s="125">
        <f>IFERROR(P19/O18,0)</f>
        <v>0.30612244897959184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11060</v>
      </c>
      <c r="D26" s="76">
        <f>C11</f>
        <v>10148</v>
      </c>
      <c r="E26" s="77">
        <f>D26-C26</f>
        <v>-912</v>
      </c>
      <c r="M26" s="4"/>
    </row>
    <row r="27" spans="2:28" x14ac:dyDescent="0.3">
      <c r="B27" s="74" t="s">
        <v>56</v>
      </c>
      <c r="C27" s="122">
        <v>18419</v>
      </c>
      <c r="D27" s="76">
        <f>C7+C12+C13+C14+C15</f>
        <v>17940</v>
      </c>
      <c r="E27" s="77">
        <f>D27-C27</f>
        <v>-479</v>
      </c>
      <c r="J27" s="123"/>
      <c r="M27" s="4"/>
      <c r="Q27" s="69"/>
    </row>
    <row r="28" spans="2:28" x14ac:dyDescent="0.3">
      <c r="B28" s="74" t="s">
        <v>21</v>
      </c>
      <c r="C28" s="122">
        <v>118</v>
      </c>
      <c r="D28" s="76">
        <f>C6</f>
        <v>118</v>
      </c>
      <c r="E28" s="77">
        <f>D28-C28</f>
        <v>0</v>
      </c>
      <c r="M28" s="4"/>
    </row>
    <row r="29" spans="2:28" x14ac:dyDescent="0.3">
      <c r="B29" s="74" t="s">
        <v>57</v>
      </c>
      <c r="C29" s="122">
        <v>2347</v>
      </c>
      <c r="D29" s="76">
        <f>C10</f>
        <v>2347</v>
      </c>
      <c r="E29" s="77">
        <f>D29-C29</f>
        <v>0</v>
      </c>
      <c r="P29" s="4"/>
    </row>
    <row r="30" spans="2:28" x14ac:dyDescent="0.3">
      <c r="B30" s="74" t="s">
        <v>59</v>
      </c>
      <c r="C30" s="122">
        <v>15392</v>
      </c>
      <c r="D30" s="76">
        <f>C16+C17+C18</f>
        <v>14005</v>
      </c>
      <c r="E30" s="77">
        <f>D30-C30</f>
        <v>-1387</v>
      </c>
      <c r="P30" s="4"/>
    </row>
    <row r="31" spans="2:28" ht="15" customHeight="1" thickBot="1" x14ac:dyDescent="0.35">
      <c r="B31" s="78" t="s">
        <v>60</v>
      </c>
      <c r="C31" s="121">
        <v>1723</v>
      </c>
      <c r="D31" s="80">
        <f>SUM(C8+C9)</f>
        <v>1723</v>
      </c>
      <c r="E31" s="81">
        <f>C31-D31</f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>
    <tabColor theme="1"/>
    <pageSetUpPr fitToPage="1"/>
  </sheetPr>
  <dimension ref="B1:AB34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3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44522</v>
      </c>
    </row>
    <row r="3" spans="2:27" ht="18.75" customHeight="1" thickBot="1" x14ac:dyDescent="0.35">
      <c r="B3" t="s">
        <v>1</v>
      </c>
      <c r="C3" s="3">
        <f>C2+1</f>
        <v>44523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77</v>
      </c>
      <c r="E6" s="18" t="s">
        <v>22</v>
      </c>
      <c r="F6" s="119">
        <v>26978</v>
      </c>
      <c r="G6" s="117">
        <v>14729.73361666667</v>
      </c>
      <c r="H6" s="117">
        <v>9432.0588085400032</v>
      </c>
      <c r="I6" s="19">
        <f>G6+H6</f>
        <v>24161.792425206673</v>
      </c>
      <c r="J6" s="119">
        <v>24036</v>
      </c>
      <c r="K6" s="117">
        <v>15278.614366666659</v>
      </c>
      <c r="L6" s="117">
        <v>8099.0542759799982</v>
      </c>
      <c r="M6" s="19">
        <f>K6+L6</f>
        <v>23377.668642646659</v>
      </c>
      <c r="N6" s="85">
        <v>69</v>
      </c>
      <c r="O6" s="85">
        <v>72</v>
      </c>
      <c r="P6" s="85">
        <v>53</v>
      </c>
    </row>
    <row r="7" spans="2:27" x14ac:dyDescent="0.3">
      <c r="B7" s="16" t="s">
        <v>23</v>
      </c>
      <c r="C7" s="17">
        <v>1135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19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2897</v>
      </c>
      <c r="E8" s="29" t="s">
        <v>27</v>
      </c>
      <c r="F8" s="119">
        <v>0</v>
      </c>
      <c r="G8" s="117">
        <v>0</v>
      </c>
      <c r="H8" s="117">
        <v>4683.6460641000012</v>
      </c>
      <c r="I8" s="19">
        <f>G8+H8</f>
        <v>4683.6460641000012</v>
      </c>
      <c r="J8" s="119">
        <v>0</v>
      </c>
      <c r="K8" s="117">
        <v>0</v>
      </c>
      <c r="L8" s="117">
        <v>3818.4223977199999</v>
      </c>
      <c r="M8" s="19">
        <f>K8+L8</f>
        <v>3818.4223977199999</v>
      </c>
      <c r="N8" s="87">
        <v>6</v>
      </c>
      <c r="O8" s="87">
        <v>6</v>
      </c>
      <c r="P8" s="87">
        <v>5</v>
      </c>
    </row>
    <row r="9" spans="2:27" x14ac:dyDescent="0.3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</row>
    <row r="10" spans="2:27" x14ac:dyDescent="0.3">
      <c r="B10" s="16" t="s">
        <v>30</v>
      </c>
      <c r="C10" s="17">
        <v>2319</v>
      </c>
      <c r="E10" s="18" t="s">
        <v>31</v>
      </c>
      <c r="F10" s="119">
        <v>18407</v>
      </c>
      <c r="G10" s="117">
        <v>8697.4442929864235</v>
      </c>
      <c r="H10" s="117">
        <v>413.16600940000001</v>
      </c>
      <c r="I10" s="19">
        <f>G10+H10</f>
        <v>9110.6103023864234</v>
      </c>
      <c r="J10" s="119">
        <v>12607</v>
      </c>
      <c r="K10" s="117">
        <v>9391.1137500000004</v>
      </c>
      <c r="L10" s="117">
        <v>363.88742780000001</v>
      </c>
      <c r="M10" s="19">
        <f>K10+L10</f>
        <v>9755.0011778000007</v>
      </c>
      <c r="N10" s="88">
        <v>46</v>
      </c>
      <c r="O10" s="88">
        <v>45</v>
      </c>
      <c r="P10" s="88">
        <v>38</v>
      </c>
    </row>
    <row r="11" spans="2:27" x14ac:dyDescent="0.3">
      <c r="B11" s="16" t="s">
        <v>38</v>
      </c>
      <c r="C11" s="17">
        <v>9713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</row>
    <row r="12" spans="2:27" x14ac:dyDescent="0.3">
      <c r="B12" s="16" t="s">
        <v>40</v>
      </c>
      <c r="C12" s="17">
        <v>1333</v>
      </c>
      <c r="E12" s="29" t="s">
        <v>35</v>
      </c>
      <c r="F12" s="119">
        <v>17286</v>
      </c>
      <c r="G12" s="117">
        <v>13401.5175</v>
      </c>
      <c r="H12" s="117">
        <v>21515.55237573</v>
      </c>
      <c r="I12" s="19">
        <f>G12+H12</f>
        <v>34917.069875729998</v>
      </c>
      <c r="J12" s="119">
        <v>16564</v>
      </c>
      <c r="K12" s="117">
        <v>16138.0195</v>
      </c>
      <c r="L12" s="117">
        <v>19514.731062539999</v>
      </c>
      <c r="M12" s="19">
        <f>K12+L12</f>
        <v>35652.750562540001</v>
      </c>
      <c r="N12" s="88">
        <v>50</v>
      </c>
      <c r="O12" s="88">
        <v>50</v>
      </c>
      <c r="P12" s="88">
        <v>43</v>
      </c>
    </row>
    <row r="13" spans="2:27" x14ac:dyDescent="0.3">
      <c r="B13" s="28" t="s">
        <v>42</v>
      </c>
      <c r="C13" s="17">
        <v>30461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</row>
    <row r="14" spans="2:27" x14ac:dyDescent="0.3">
      <c r="B14" s="43" t="s">
        <v>47</v>
      </c>
      <c r="C14" s="17">
        <v>1217</v>
      </c>
      <c r="E14" s="18" t="s">
        <v>39</v>
      </c>
      <c r="F14" s="119">
        <v>20954</v>
      </c>
      <c r="G14" s="117">
        <v>15680.820250000001</v>
      </c>
      <c r="H14" s="117">
        <v>25764.210325119999</v>
      </c>
      <c r="I14" s="19">
        <f>G14+H14</f>
        <v>41445.030575119999</v>
      </c>
      <c r="J14" s="119">
        <v>19348</v>
      </c>
      <c r="K14" s="117">
        <v>17760.90625</v>
      </c>
      <c r="L14" s="117">
        <v>23916.97953422002</v>
      </c>
      <c r="M14" s="19">
        <f>K14+L14</f>
        <v>41677.885784220023</v>
      </c>
      <c r="N14" s="88">
        <v>66</v>
      </c>
      <c r="O14" s="88">
        <v>62</v>
      </c>
      <c r="P14" s="88">
        <v>53</v>
      </c>
    </row>
    <row r="15" spans="2:27" x14ac:dyDescent="0.3">
      <c r="B15" s="43" t="s">
        <v>48</v>
      </c>
      <c r="C15" s="50">
        <v>240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</row>
    <row r="16" spans="2:27" x14ac:dyDescent="0.3">
      <c r="B16" s="16" t="s">
        <v>50</v>
      </c>
      <c r="C16" s="17">
        <v>9287</v>
      </c>
      <c r="E16" s="18" t="s">
        <v>79</v>
      </c>
      <c r="F16" s="119">
        <v>0</v>
      </c>
      <c r="G16" s="117">
        <v>0</v>
      </c>
      <c r="H16" s="117">
        <v>8033.4119715999996</v>
      </c>
      <c r="I16" s="19">
        <f>G16+H16</f>
        <v>8033.4119715999996</v>
      </c>
      <c r="J16" s="119">
        <v>0</v>
      </c>
      <c r="K16" s="117">
        <v>0</v>
      </c>
      <c r="L16" s="117">
        <v>4220.5333797799994</v>
      </c>
      <c r="M16" s="19">
        <f>K16+L16</f>
        <v>4220.5333797799994</v>
      </c>
      <c r="N16" s="88">
        <v>8</v>
      </c>
      <c r="O16" s="88">
        <v>9</v>
      </c>
      <c r="P16" s="88">
        <v>8</v>
      </c>
    </row>
    <row r="17" spans="2:28" s="4" customFormat="1" x14ac:dyDescent="0.3">
      <c r="B17" s="16" t="s">
        <v>51</v>
      </c>
      <c r="C17" s="17">
        <v>1846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3737</v>
      </c>
      <c r="E18" s="84"/>
      <c r="F18" s="31">
        <f t="shared" ref="F18:M18" si="0">SUM(F6:F17)</f>
        <v>83625</v>
      </c>
      <c r="G18" s="31">
        <f t="shared" si="0"/>
        <v>52509.515659653101</v>
      </c>
      <c r="H18" s="31">
        <f t="shared" si="0"/>
        <v>69842.045554490003</v>
      </c>
      <c r="I18" s="32">
        <f t="shared" si="0"/>
        <v>122351.56121414309</v>
      </c>
      <c r="J18" s="31">
        <f t="shared" si="0"/>
        <v>72555</v>
      </c>
      <c r="K18" s="31">
        <f t="shared" si="0"/>
        <v>58568.65386666666</v>
      </c>
      <c r="L18" s="31">
        <f t="shared" si="0"/>
        <v>59933.608078040015</v>
      </c>
      <c r="M18" s="33">
        <f t="shared" si="0"/>
        <v>118502.26194470667</v>
      </c>
      <c r="N18" s="31">
        <f>SUM(N16,N14,N12,N10,N8,N6)</f>
        <v>245</v>
      </c>
      <c r="O18" s="31">
        <f>SUM(O16,O14,O12,O10,O8,O6)</f>
        <v>244</v>
      </c>
      <c r="P18" s="31">
        <f>SUM(P16,P14,P12,P10,P8,P6)</f>
        <v>200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43</v>
      </c>
    </row>
    <row r="20" spans="2:28" x14ac:dyDescent="0.3">
      <c r="P20" s="125">
        <f>IFERROR(P19/O18,0)</f>
        <v>0.17622950819672131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13015</v>
      </c>
      <c r="D26" s="76">
        <f>C11</f>
        <v>9713</v>
      </c>
      <c r="E26" s="77">
        <f>D26-C26</f>
        <v>-3302</v>
      </c>
      <c r="M26" s="4"/>
    </row>
    <row r="27" spans="2:28" x14ac:dyDescent="0.3">
      <c r="B27" s="74" t="s">
        <v>56</v>
      </c>
      <c r="C27" s="122">
        <v>39570</v>
      </c>
      <c r="D27" s="76">
        <f>C7+C12+C13+C14+C15</f>
        <v>34386</v>
      </c>
      <c r="E27" s="77">
        <f>D27-C27</f>
        <v>-5184</v>
      </c>
      <c r="J27" s="123"/>
      <c r="M27" s="4"/>
      <c r="Q27" s="69"/>
    </row>
    <row r="28" spans="2:28" x14ac:dyDescent="0.3">
      <c r="B28" s="74" t="s">
        <v>21</v>
      </c>
      <c r="C28" s="122">
        <v>77</v>
      </c>
      <c r="D28" s="76">
        <f>C6</f>
        <v>77</v>
      </c>
      <c r="E28" s="77">
        <f>D28-C28</f>
        <v>0</v>
      </c>
      <c r="M28" s="4"/>
    </row>
    <row r="29" spans="2:28" x14ac:dyDescent="0.3">
      <c r="B29" s="74" t="s">
        <v>57</v>
      </c>
      <c r="C29" s="122">
        <v>2319</v>
      </c>
      <c r="D29" s="76">
        <f>C10</f>
        <v>2319</v>
      </c>
      <c r="E29" s="77">
        <f>D29-C29</f>
        <v>0</v>
      </c>
      <c r="P29" s="4"/>
    </row>
    <row r="30" spans="2:28" x14ac:dyDescent="0.3">
      <c r="B30" s="74" t="s">
        <v>59</v>
      </c>
      <c r="C30" s="122">
        <v>16329</v>
      </c>
      <c r="D30" s="76">
        <f>C16+C17+C18</f>
        <v>14870</v>
      </c>
      <c r="E30" s="77">
        <f>D30-C30</f>
        <v>-1459</v>
      </c>
      <c r="P30" s="4"/>
    </row>
    <row r="31" spans="2:28" ht="15" customHeight="1" thickBot="1" x14ac:dyDescent="0.35">
      <c r="B31" s="78" t="s">
        <v>60</v>
      </c>
      <c r="C31" s="121">
        <v>3558</v>
      </c>
      <c r="D31" s="80">
        <f>SUM(C8+C9)</f>
        <v>2897</v>
      </c>
      <c r="E31" s="81">
        <f>C31-D31</f>
        <v>661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>
    <tabColor theme="1"/>
    <pageSetUpPr fitToPage="1"/>
  </sheetPr>
  <dimension ref="B1:AB34"/>
  <sheetViews>
    <sheetView zoomScaleNormal="100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44523</v>
      </c>
    </row>
    <row r="3" spans="2:27" ht="18.75" customHeight="1" thickBot="1" x14ac:dyDescent="0.35">
      <c r="B3" t="s">
        <v>1</v>
      </c>
      <c r="C3" s="3">
        <f>C2+1</f>
        <v>44524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151</v>
      </c>
      <c r="E6" s="18" t="s">
        <v>22</v>
      </c>
      <c r="F6" s="119">
        <v>28199</v>
      </c>
      <c r="G6" s="117">
        <v>17814.137883333329</v>
      </c>
      <c r="H6" s="117">
        <v>10921.67892998</v>
      </c>
      <c r="I6" s="19">
        <f>G6+H6</f>
        <v>28735.816813313329</v>
      </c>
      <c r="J6" s="119">
        <v>25492</v>
      </c>
      <c r="K6" s="117">
        <v>16888.440883333329</v>
      </c>
      <c r="L6" s="117">
        <v>10433.177732439999</v>
      </c>
      <c r="M6" s="19">
        <f>K6+L6</f>
        <v>27321.618615773328</v>
      </c>
      <c r="N6" s="85">
        <v>84</v>
      </c>
      <c r="O6" s="85">
        <v>80</v>
      </c>
      <c r="P6" s="85">
        <v>68</v>
      </c>
    </row>
    <row r="7" spans="2:27" x14ac:dyDescent="0.3">
      <c r="B7" s="16" t="s">
        <v>23</v>
      </c>
      <c r="C7" s="17">
        <v>1294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12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0</v>
      </c>
      <c r="E8" s="29" t="s">
        <v>27</v>
      </c>
      <c r="F8" s="119">
        <v>0</v>
      </c>
      <c r="G8" s="117">
        <v>0</v>
      </c>
      <c r="H8" s="117">
        <v>4344.0484727399999</v>
      </c>
      <c r="I8" s="19">
        <f>G8+H8</f>
        <v>4344.0484727399999</v>
      </c>
      <c r="J8" s="119">
        <v>0</v>
      </c>
      <c r="K8" s="117">
        <v>0</v>
      </c>
      <c r="L8" s="117">
        <v>3887.0500799199999</v>
      </c>
      <c r="M8" s="19">
        <f>K8+L8</f>
        <v>3887.0500799199999</v>
      </c>
      <c r="N8" s="87">
        <v>7</v>
      </c>
      <c r="O8" s="87">
        <v>5</v>
      </c>
      <c r="P8" s="87">
        <v>5</v>
      </c>
    </row>
    <row r="9" spans="2:27" x14ac:dyDescent="0.3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3">
      <c r="B10" s="16" t="s">
        <v>30</v>
      </c>
      <c r="C10" s="17">
        <v>2319</v>
      </c>
      <c r="E10" s="18" t="s">
        <v>31</v>
      </c>
      <c r="F10" s="119">
        <v>21882</v>
      </c>
      <c r="G10" s="117">
        <v>16259.98990723982</v>
      </c>
      <c r="H10" s="117">
        <v>408.94610599999999</v>
      </c>
      <c r="I10" s="19">
        <f>G10+H10</f>
        <v>16668.936013239821</v>
      </c>
      <c r="J10" s="119">
        <v>17451</v>
      </c>
      <c r="K10" s="117">
        <v>13499.065000000001</v>
      </c>
      <c r="L10" s="117">
        <v>326.19060400000001</v>
      </c>
      <c r="M10" s="19">
        <f>K10+L10</f>
        <v>13825.255604</v>
      </c>
      <c r="N10" s="88">
        <v>50</v>
      </c>
      <c r="O10" s="88">
        <v>50</v>
      </c>
      <c r="P10" s="88">
        <v>38</v>
      </c>
    </row>
    <row r="11" spans="2:27" x14ac:dyDescent="0.3">
      <c r="B11" s="16" t="s">
        <v>38</v>
      </c>
      <c r="C11" s="17">
        <v>8697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12</v>
      </c>
    </row>
    <row r="12" spans="2:27" x14ac:dyDescent="0.3">
      <c r="B12" s="16" t="s">
        <v>40</v>
      </c>
      <c r="C12" s="17">
        <v>1098</v>
      </c>
      <c r="E12" s="29" t="s">
        <v>35</v>
      </c>
      <c r="F12" s="119">
        <v>14302</v>
      </c>
      <c r="G12" s="117">
        <v>14682.808499999999</v>
      </c>
      <c r="H12" s="117">
        <v>19428.31378661999</v>
      </c>
      <c r="I12" s="19">
        <f>G12+H12</f>
        <v>34111.12228661999</v>
      </c>
      <c r="J12" s="119">
        <v>16784</v>
      </c>
      <c r="K12" s="117">
        <v>16679.578000000001</v>
      </c>
      <c r="L12" s="117">
        <v>20978.69912537</v>
      </c>
      <c r="M12" s="19">
        <f>K12+L12</f>
        <v>37658.277125370005</v>
      </c>
      <c r="N12" s="88">
        <v>52</v>
      </c>
      <c r="O12" s="88">
        <v>53</v>
      </c>
      <c r="P12" s="88">
        <v>43</v>
      </c>
    </row>
    <row r="13" spans="2:27" x14ac:dyDescent="0.3">
      <c r="B13" s="28" t="s">
        <v>42</v>
      </c>
      <c r="C13" s="17">
        <f>36805-C12-C7-C14-C15</f>
        <v>33488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</row>
    <row r="14" spans="2:27" x14ac:dyDescent="0.3">
      <c r="B14" s="43" t="s">
        <v>47</v>
      </c>
      <c r="C14" s="17">
        <v>798</v>
      </c>
      <c r="E14" s="18" t="s">
        <v>39</v>
      </c>
      <c r="F14" s="119">
        <v>16368</v>
      </c>
      <c r="G14" s="117">
        <v>14631.19</v>
      </c>
      <c r="H14" s="117">
        <v>20715.36718349997</v>
      </c>
      <c r="I14" s="19">
        <f>G14+H14</f>
        <v>35346.557183499972</v>
      </c>
      <c r="J14" s="119">
        <v>19687</v>
      </c>
      <c r="K14" s="117">
        <v>18649.8505</v>
      </c>
      <c r="L14" s="117">
        <v>25328.813144479991</v>
      </c>
      <c r="M14" s="19">
        <f>K14+L14</f>
        <v>43978.663644479995</v>
      </c>
      <c r="N14" s="88">
        <v>66</v>
      </c>
      <c r="O14" s="88">
        <v>65</v>
      </c>
      <c r="P14" s="88">
        <v>52</v>
      </c>
    </row>
    <row r="15" spans="2:27" x14ac:dyDescent="0.3">
      <c r="B15" s="43" t="s">
        <v>48</v>
      </c>
      <c r="C15" s="50">
        <v>127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13</v>
      </c>
    </row>
    <row r="16" spans="2:27" x14ac:dyDescent="0.3">
      <c r="B16" s="16" t="s">
        <v>50</v>
      </c>
      <c r="C16" s="17">
        <v>7992</v>
      </c>
      <c r="E16" s="18" t="s">
        <v>79</v>
      </c>
      <c r="F16" s="119">
        <v>0</v>
      </c>
      <c r="G16" s="117">
        <v>0</v>
      </c>
      <c r="H16" s="117">
        <v>7840.06363306</v>
      </c>
      <c r="I16" s="19">
        <f>G16+H16</f>
        <v>7840.06363306</v>
      </c>
      <c r="J16" s="119">
        <v>0</v>
      </c>
      <c r="K16" s="117">
        <v>0</v>
      </c>
      <c r="L16" s="117">
        <v>5247.9874915</v>
      </c>
      <c r="M16" s="19">
        <f>K16+L16</f>
        <v>5247.9874915</v>
      </c>
      <c r="N16" s="88">
        <v>9</v>
      </c>
      <c r="O16" s="88">
        <v>9</v>
      </c>
      <c r="P16" s="88">
        <v>9</v>
      </c>
    </row>
    <row r="17" spans="2:28" s="4" customFormat="1" x14ac:dyDescent="0.3">
      <c r="B17" s="16" t="s">
        <v>51</v>
      </c>
      <c r="C17" s="17">
        <v>1261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3670</v>
      </c>
      <c r="E18" s="84"/>
      <c r="F18" s="31">
        <f t="shared" ref="F18:M18" si="0">SUM(F6:F17)</f>
        <v>80751</v>
      </c>
      <c r="G18" s="31">
        <f t="shared" si="0"/>
        <v>63388.126290573149</v>
      </c>
      <c r="H18" s="31">
        <f t="shared" si="0"/>
        <v>63658.418111899962</v>
      </c>
      <c r="I18" s="32">
        <f t="shared" si="0"/>
        <v>127046.54440247311</v>
      </c>
      <c r="J18" s="31">
        <f t="shared" si="0"/>
        <v>79414</v>
      </c>
      <c r="K18" s="31">
        <f t="shared" si="0"/>
        <v>65716.934383333341</v>
      </c>
      <c r="L18" s="31">
        <f t="shared" si="0"/>
        <v>66201.918177709988</v>
      </c>
      <c r="M18" s="33">
        <f t="shared" si="0"/>
        <v>131918.85256104334</v>
      </c>
      <c r="N18" s="31">
        <f>SUM(N16,N14,N12,N10,N8,N6)</f>
        <v>268</v>
      </c>
      <c r="O18" s="31">
        <f>SUM(O16,O14,O12,O10,O8,O6)</f>
        <v>262</v>
      </c>
      <c r="P18" s="31">
        <f>SUM(P16,P14,P12,P10,P8,P6)</f>
        <v>215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47</v>
      </c>
    </row>
    <row r="20" spans="2:28" x14ac:dyDescent="0.3">
      <c r="P20" s="125">
        <f>IFERROR(P19/O18,0)</f>
        <v>0.17938931297709923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12151</v>
      </c>
      <c r="D26" s="76">
        <f>C11</f>
        <v>8697</v>
      </c>
      <c r="E26" s="77">
        <f>D26-C26</f>
        <v>-3454</v>
      </c>
      <c r="M26" s="4"/>
    </row>
    <row r="27" spans="2:28" x14ac:dyDescent="0.3">
      <c r="B27" s="74" t="s">
        <v>56</v>
      </c>
      <c r="C27" s="122">
        <v>39002</v>
      </c>
      <c r="D27" s="76">
        <f>C7+C12+C13+C14+C15</f>
        <v>36805</v>
      </c>
      <c r="E27" s="77">
        <f>D27-C27</f>
        <v>-2197</v>
      </c>
      <c r="J27" s="123"/>
      <c r="M27" s="4"/>
      <c r="Q27" s="69"/>
    </row>
    <row r="28" spans="2:28" x14ac:dyDescent="0.3">
      <c r="B28" s="74" t="s">
        <v>21</v>
      </c>
      <c r="C28" s="122">
        <v>151</v>
      </c>
      <c r="D28" s="76">
        <f>C6</f>
        <v>151</v>
      </c>
      <c r="E28" s="77">
        <f>D28-C28</f>
        <v>0</v>
      </c>
      <c r="M28" s="4"/>
    </row>
    <row r="29" spans="2:28" x14ac:dyDescent="0.3">
      <c r="B29" s="74" t="s">
        <v>57</v>
      </c>
      <c r="C29" s="122">
        <v>2319</v>
      </c>
      <c r="D29" s="76">
        <f>C10</f>
        <v>2319</v>
      </c>
      <c r="E29" s="77">
        <f>D29-C29</f>
        <v>0</v>
      </c>
      <c r="P29" s="4"/>
    </row>
    <row r="30" spans="2:28" x14ac:dyDescent="0.3">
      <c r="B30" s="74" t="s">
        <v>59</v>
      </c>
      <c r="C30" s="122">
        <v>15825</v>
      </c>
      <c r="D30" s="76">
        <f>C16+C17+C18</f>
        <v>12923</v>
      </c>
      <c r="E30" s="77">
        <f>D30-C30</f>
        <v>-2902</v>
      </c>
      <c r="P30" s="4"/>
    </row>
    <row r="31" spans="2:28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546875" style="1" bestFit="1" customWidth="1"/>
    <col min="15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44524</v>
      </c>
    </row>
    <row r="3" spans="2:27" ht="18.75" customHeight="1" thickBot="1" x14ac:dyDescent="0.35">
      <c r="B3" t="s">
        <v>1</v>
      </c>
      <c r="C3" s="3">
        <f>C2+1</f>
        <v>44525</v>
      </c>
    </row>
    <row r="4" spans="2:27" ht="15.75" customHeight="1" thickBot="1" x14ac:dyDescent="0.3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" customHeight="1" x14ac:dyDescent="0.3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199</v>
      </c>
      <c r="E6" s="18" t="s">
        <v>22</v>
      </c>
      <c r="F6" s="119">
        <v>32907</v>
      </c>
      <c r="G6" s="117">
        <v>16247.078</v>
      </c>
      <c r="H6" s="117">
        <v>10487.170577880001</v>
      </c>
      <c r="I6" s="19">
        <f>G6+H6</f>
        <v>26734.24857788</v>
      </c>
      <c r="J6" s="119">
        <v>34622</v>
      </c>
      <c r="K6" s="117">
        <v>18357.89683333334</v>
      </c>
      <c r="L6" s="117">
        <v>9723.8558837400051</v>
      </c>
      <c r="M6" s="19">
        <v>0</v>
      </c>
      <c r="N6" s="85">
        <v>78</v>
      </c>
      <c r="O6" s="85">
        <v>76</v>
      </c>
      <c r="P6" s="85">
        <v>71</v>
      </c>
    </row>
    <row r="7" spans="2:27" x14ac:dyDescent="0.3">
      <c r="B7" s="16" t="s">
        <v>23</v>
      </c>
      <c r="C7" s="17">
        <v>540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0</v>
      </c>
      <c r="E8" s="29" t="s">
        <v>27</v>
      </c>
      <c r="F8" s="119">
        <v>0</v>
      </c>
      <c r="G8" s="117">
        <v>0</v>
      </c>
      <c r="H8" s="117">
        <v>4984.7706747599996</v>
      </c>
      <c r="I8" s="19">
        <f>G8+H8</f>
        <v>4984.7706747599996</v>
      </c>
      <c r="J8" s="119">
        <v>0</v>
      </c>
      <c r="K8" s="117">
        <v>0</v>
      </c>
      <c r="L8" s="117">
        <v>4822.4867044399998</v>
      </c>
      <c r="M8" s="19">
        <v>0</v>
      </c>
      <c r="N8" s="87">
        <v>4</v>
      </c>
      <c r="O8" s="87">
        <v>4</v>
      </c>
      <c r="P8" s="87">
        <v>4</v>
      </c>
    </row>
    <row r="9" spans="2:27" x14ac:dyDescent="0.3">
      <c r="B9" s="28" t="s">
        <v>28</v>
      </c>
      <c r="C9" s="17">
        <v>1438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3">
      <c r="B10" s="16" t="s">
        <v>30</v>
      </c>
      <c r="C10" s="17">
        <v>2385</v>
      </c>
      <c r="E10" s="18" t="s">
        <v>31</v>
      </c>
      <c r="F10" s="119">
        <v>18980</v>
      </c>
      <c r="G10" s="117">
        <v>12058.146000000001</v>
      </c>
      <c r="H10" s="117">
        <v>405.77787000000012</v>
      </c>
      <c r="I10" s="19">
        <f>G10+H10</f>
        <v>12463.923870000001</v>
      </c>
      <c r="J10" s="119">
        <v>20724</v>
      </c>
      <c r="K10" s="117">
        <v>14577.43975</v>
      </c>
      <c r="L10" s="117">
        <v>527.43837059999998</v>
      </c>
      <c r="M10" s="19">
        <v>-63</v>
      </c>
      <c r="N10" s="88">
        <v>43</v>
      </c>
      <c r="O10" s="88">
        <v>43</v>
      </c>
      <c r="P10" s="88">
        <v>39</v>
      </c>
    </row>
    <row r="11" spans="2:27" x14ac:dyDescent="0.3">
      <c r="B11" s="16" t="s">
        <v>38</v>
      </c>
      <c r="C11" s="17">
        <v>9812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</row>
    <row r="12" spans="2:27" x14ac:dyDescent="0.3">
      <c r="B12" s="16" t="s">
        <v>40</v>
      </c>
      <c r="C12" s="17">
        <v>666</v>
      </c>
      <c r="E12" s="29" t="s">
        <v>35</v>
      </c>
      <c r="F12" s="119">
        <v>17026</v>
      </c>
      <c r="G12" s="117">
        <v>14867.82675</v>
      </c>
      <c r="H12" s="117">
        <v>21212.09225668</v>
      </c>
      <c r="I12" s="19">
        <f>G12+H12</f>
        <v>36079.91900668</v>
      </c>
      <c r="J12" s="119">
        <v>17749</v>
      </c>
      <c r="K12" s="117">
        <v>17370.967000000001</v>
      </c>
      <c r="L12" s="117">
        <v>21538.468333979999</v>
      </c>
      <c r="M12" s="19">
        <v>-99.32</v>
      </c>
      <c r="N12" s="88">
        <v>54</v>
      </c>
      <c r="O12" s="88">
        <v>54</v>
      </c>
      <c r="P12" s="88">
        <v>43</v>
      </c>
    </row>
    <row r="13" spans="2:27" x14ac:dyDescent="0.3">
      <c r="B13" s="28" t="s">
        <v>42</v>
      </c>
      <c r="C13" s="17">
        <v>38148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11</v>
      </c>
    </row>
    <row r="14" spans="2:27" x14ac:dyDescent="0.3">
      <c r="B14" s="43" t="s">
        <v>47</v>
      </c>
      <c r="C14" s="17">
        <v>540</v>
      </c>
      <c r="E14" s="18" t="s">
        <v>39</v>
      </c>
      <c r="F14" s="119">
        <v>19744</v>
      </c>
      <c r="G14" s="117">
        <v>15921.39575</v>
      </c>
      <c r="H14" s="117">
        <v>23665.573531499998</v>
      </c>
      <c r="I14" s="19">
        <f>G14+H14</f>
        <v>39586.969281500002</v>
      </c>
      <c r="J14" s="119">
        <v>21113</v>
      </c>
      <c r="K14" s="117">
        <v>19971.579249999999</v>
      </c>
      <c r="L14" s="117">
        <v>26158.167181000001</v>
      </c>
      <c r="M14" s="19">
        <v>0</v>
      </c>
      <c r="N14" s="88">
        <v>63</v>
      </c>
      <c r="O14" s="88">
        <v>62</v>
      </c>
      <c r="P14" s="88">
        <v>59</v>
      </c>
    </row>
    <row r="15" spans="2:27" x14ac:dyDescent="0.3">
      <c r="B15" s="43" t="s">
        <v>48</v>
      </c>
      <c r="C15" s="50">
        <v>54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3</v>
      </c>
    </row>
    <row r="16" spans="2:27" x14ac:dyDescent="0.3">
      <c r="B16" s="16" t="s">
        <v>50</v>
      </c>
      <c r="C16" s="17">
        <v>7982</v>
      </c>
      <c r="E16" s="18" t="s">
        <v>79</v>
      </c>
      <c r="F16" s="119">
        <v>0</v>
      </c>
      <c r="G16" s="117">
        <v>0</v>
      </c>
      <c r="H16" s="117">
        <v>5851.6742722399986</v>
      </c>
      <c r="I16" s="19">
        <f>G16+H16</f>
        <v>5851.6742722399986</v>
      </c>
      <c r="J16" s="119">
        <v>0</v>
      </c>
      <c r="K16" s="117">
        <v>0</v>
      </c>
      <c r="L16" s="117">
        <v>5519.4581252600001</v>
      </c>
      <c r="M16" s="19">
        <v>0</v>
      </c>
      <c r="N16" s="88">
        <v>11</v>
      </c>
      <c r="O16" s="88">
        <v>12</v>
      </c>
      <c r="P16" s="88">
        <v>10</v>
      </c>
    </row>
    <row r="17" spans="2:28" s="4" customFormat="1" x14ac:dyDescent="0.3">
      <c r="B17" s="16" t="s">
        <v>51</v>
      </c>
      <c r="C17" s="17">
        <v>1261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3670</v>
      </c>
      <c r="E18" s="84"/>
      <c r="F18" s="31">
        <f t="shared" ref="F18:M18" si="0">SUM(F6:F17)</f>
        <v>88657</v>
      </c>
      <c r="G18" s="31">
        <f t="shared" si="0"/>
        <v>59094.446500000005</v>
      </c>
      <c r="H18" s="31">
        <f t="shared" si="0"/>
        <v>66607.059183060002</v>
      </c>
      <c r="I18" s="32">
        <f t="shared" si="0"/>
        <v>125701.50568305999</v>
      </c>
      <c r="J18" s="31">
        <f t="shared" si="0"/>
        <v>94208</v>
      </c>
      <c r="K18" s="31">
        <f t="shared" si="0"/>
        <v>70277.882833333337</v>
      </c>
      <c r="L18" s="31">
        <f t="shared" si="0"/>
        <v>68289.874599020011</v>
      </c>
      <c r="M18" s="33">
        <f t="shared" si="0"/>
        <v>-162.32</v>
      </c>
      <c r="N18" s="31">
        <f>SUM(N16,N14,N12,N10,N8,N6)</f>
        <v>253</v>
      </c>
      <c r="O18" s="31">
        <f>SUM(O16,O14,O12,O10,O8,O6)</f>
        <v>251</v>
      </c>
      <c r="P18" s="31">
        <f>SUM(P16,P14,P12,P10,P8,P6)</f>
        <v>226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23</v>
      </c>
    </row>
    <row r="20" spans="2:28" x14ac:dyDescent="0.3">
      <c r="P20" s="125">
        <f>IFERROR(P19/O18,0)</f>
        <v>9.1633466135458169E-2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14447</v>
      </c>
      <c r="D26" s="76">
        <f>C11</f>
        <v>9812</v>
      </c>
      <c r="E26" s="77">
        <f>D26-C26</f>
        <v>-4635</v>
      </c>
      <c r="M26" s="4"/>
    </row>
    <row r="27" spans="2:28" x14ac:dyDescent="0.3">
      <c r="B27" s="74" t="s">
        <v>56</v>
      </c>
      <c r="C27" s="122">
        <v>36788</v>
      </c>
      <c r="D27" s="76">
        <f>C7+C12+C13+C14+C15</f>
        <v>39948</v>
      </c>
      <c r="E27" s="77">
        <f>D27-C27</f>
        <v>3160</v>
      </c>
      <c r="J27" s="123"/>
      <c r="M27" s="4"/>
      <c r="Q27" s="69"/>
    </row>
    <row r="28" spans="2:28" x14ac:dyDescent="0.3">
      <c r="B28" s="74" t="s">
        <v>21</v>
      </c>
      <c r="C28" s="122">
        <v>199</v>
      </c>
      <c r="D28" s="76">
        <f>C6</f>
        <v>199</v>
      </c>
      <c r="E28" s="77">
        <f>D28-C28</f>
        <v>0</v>
      </c>
      <c r="M28" s="4"/>
    </row>
    <row r="29" spans="2:28" x14ac:dyDescent="0.3">
      <c r="B29" s="74" t="s">
        <v>57</v>
      </c>
      <c r="C29" s="122">
        <v>2385</v>
      </c>
      <c r="D29" s="76">
        <f>C10</f>
        <v>2385</v>
      </c>
      <c r="E29" s="77">
        <f>D29-C29</f>
        <v>0</v>
      </c>
      <c r="P29" s="4"/>
    </row>
    <row r="30" spans="2:28" x14ac:dyDescent="0.3">
      <c r="B30" s="74" t="s">
        <v>59</v>
      </c>
      <c r="C30" s="122">
        <v>16775</v>
      </c>
      <c r="D30" s="76">
        <f>C16+C17+C18</f>
        <v>12913</v>
      </c>
      <c r="E30" s="77">
        <f>D30-C30</f>
        <v>-3862</v>
      </c>
      <c r="P30" s="4"/>
    </row>
    <row r="31" spans="2:28" ht="15" customHeight="1" thickBot="1" x14ac:dyDescent="0.35">
      <c r="B31" s="78" t="s">
        <v>60</v>
      </c>
      <c r="C31" s="121">
        <v>4698</v>
      </c>
      <c r="D31" s="80">
        <f>SUM(C8+C9)</f>
        <v>1438</v>
      </c>
      <c r="E31" s="81">
        <f>C31-D31</f>
        <v>3260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44526</v>
      </c>
    </row>
    <row r="3" spans="2:27" ht="18.75" customHeight="1" thickBot="1" x14ac:dyDescent="0.35">
      <c r="B3" t="s">
        <v>1</v>
      </c>
      <c r="C3" s="3">
        <f>C2+1</f>
        <v>44527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22802</v>
      </c>
      <c r="G6" s="117">
        <v>13557.873750000001</v>
      </c>
      <c r="H6" s="117">
        <v>8535.8895548</v>
      </c>
      <c r="I6" s="19">
        <f>G6+H6</f>
        <v>22093.763304799999</v>
      </c>
      <c r="J6" s="119">
        <v>25429</v>
      </c>
      <c r="K6" s="117">
        <v>17027.40825</v>
      </c>
      <c r="L6" s="117">
        <v>8581.8551651799971</v>
      </c>
      <c r="M6" s="19">
        <v>0</v>
      </c>
      <c r="N6" s="85">
        <v>74</v>
      </c>
      <c r="O6" s="85">
        <v>71</v>
      </c>
      <c r="P6" s="85">
        <v>60</v>
      </c>
    </row>
    <row r="7" spans="2:27" x14ac:dyDescent="0.3">
      <c r="B7" s="16" t="s">
        <v>23</v>
      </c>
      <c r="C7" s="17">
        <v>1651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358</v>
      </c>
      <c r="E8" s="140" t="s">
        <v>27</v>
      </c>
      <c r="F8" s="119">
        <v>0</v>
      </c>
      <c r="G8" s="117">
        <v>0</v>
      </c>
      <c r="H8" s="117">
        <v>4691.4313425399996</v>
      </c>
      <c r="I8" s="19">
        <f>G8+H8</f>
        <v>4691.4313425399996</v>
      </c>
      <c r="J8" s="119">
        <v>0</v>
      </c>
      <c r="K8" s="117">
        <v>0</v>
      </c>
      <c r="L8" s="117">
        <v>4767.8985079200011</v>
      </c>
      <c r="M8" s="19">
        <v>0</v>
      </c>
      <c r="N8" s="87">
        <v>8</v>
      </c>
      <c r="O8" s="87">
        <v>8</v>
      </c>
      <c r="P8" s="87">
        <v>7</v>
      </c>
    </row>
    <row r="9" spans="2:27" x14ac:dyDescent="0.3">
      <c r="B9" s="28" t="s">
        <v>28</v>
      </c>
      <c r="C9" s="17">
        <v>202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4971</v>
      </c>
      <c r="E10" s="18" t="s">
        <v>31</v>
      </c>
      <c r="F10" s="119">
        <v>19340</v>
      </c>
      <c r="G10" s="117">
        <v>14786.805512037899</v>
      </c>
      <c r="H10" s="117">
        <v>342.20609300000012</v>
      </c>
      <c r="I10" s="19">
        <f>G10+H10</f>
        <v>15129.0116050379</v>
      </c>
      <c r="J10" s="119">
        <v>19647</v>
      </c>
      <c r="K10" s="117">
        <v>16151.209000000001</v>
      </c>
      <c r="L10" s="117">
        <v>400.2285028</v>
      </c>
      <c r="M10" s="19">
        <v>-63</v>
      </c>
      <c r="N10" s="88">
        <v>51</v>
      </c>
      <c r="O10" s="88">
        <v>48</v>
      </c>
      <c r="P10" s="88">
        <v>44</v>
      </c>
    </row>
    <row r="11" spans="2:27" x14ac:dyDescent="0.3">
      <c r="B11" s="16" t="s">
        <v>38</v>
      </c>
      <c r="C11" s="17">
        <v>11304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40</v>
      </c>
      <c r="C12" s="17">
        <v>1992</v>
      </c>
      <c r="E12" s="140" t="s">
        <v>35</v>
      </c>
      <c r="F12" s="119">
        <v>15877</v>
      </c>
      <c r="G12" s="117">
        <v>10641.9494832685</v>
      </c>
      <c r="H12" s="117">
        <v>19462.387001619991</v>
      </c>
      <c r="I12" s="19">
        <f>G12+H12</f>
        <v>30104.336484888488</v>
      </c>
      <c r="J12" s="119">
        <v>15517</v>
      </c>
      <c r="K12" s="117">
        <v>15471.194</v>
      </c>
      <c r="L12" s="117">
        <v>19065.235417290001</v>
      </c>
      <c r="M12" s="19">
        <v>-99.32</v>
      </c>
      <c r="N12" s="88">
        <v>50</v>
      </c>
      <c r="O12" s="88">
        <v>50</v>
      </c>
      <c r="P12" s="88">
        <v>40</v>
      </c>
    </row>
    <row r="13" spans="2:27" x14ac:dyDescent="0.3">
      <c r="B13" s="28" t="s">
        <v>42</v>
      </c>
      <c r="C13" s="17">
        <v>24463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43" t="s">
        <v>47</v>
      </c>
      <c r="C14" s="17">
        <v>1739</v>
      </c>
      <c r="E14" s="18" t="s">
        <v>39</v>
      </c>
      <c r="F14" s="119">
        <v>20123</v>
      </c>
      <c r="G14" s="117">
        <v>13617.031999999999</v>
      </c>
      <c r="H14" s="117">
        <v>24588.761187499978</v>
      </c>
      <c r="I14" s="19">
        <f>G14+H14</f>
        <v>38205.793187499978</v>
      </c>
      <c r="J14" s="119">
        <v>26880</v>
      </c>
      <c r="K14" s="117">
        <v>21413.190500000001</v>
      </c>
      <c r="L14" s="117">
        <v>32872.186497979987</v>
      </c>
      <c r="M14" s="19">
        <v>0</v>
      </c>
      <c r="N14" s="88">
        <v>68</v>
      </c>
      <c r="O14" s="88">
        <v>68</v>
      </c>
      <c r="P14" s="88">
        <v>59</v>
      </c>
    </row>
    <row r="15" spans="2:27" x14ac:dyDescent="0.3">
      <c r="B15" s="43" t="s">
        <v>48</v>
      </c>
      <c r="C15" s="50">
        <v>389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16" t="s">
        <v>50</v>
      </c>
      <c r="C16" s="17">
        <v>10113</v>
      </c>
      <c r="E16" s="18" t="s">
        <v>79</v>
      </c>
      <c r="F16" s="119">
        <v>0</v>
      </c>
      <c r="G16" s="117">
        <v>0</v>
      </c>
      <c r="H16" s="117">
        <v>9577.3714835600003</v>
      </c>
      <c r="I16" s="19">
        <f>G16+H16</f>
        <v>9577.3714835600003</v>
      </c>
      <c r="J16" s="119">
        <v>0</v>
      </c>
      <c r="K16" s="117">
        <v>0</v>
      </c>
      <c r="L16" s="117">
        <v>9362.6972233800007</v>
      </c>
      <c r="M16" s="19">
        <v>0</v>
      </c>
      <c r="N16" s="88">
        <v>13</v>
      </c>
      <c r="O16" s="88">
        <v>13</v>
      </c>
      <c r="P16" s="88">
        <v>12</v>
      </c>
    </row>
    <row r="17" spans="2:28" s="4" customFormat="1" x14ac:dyDescent="0.3">
      <c r="B17" s="16" t="s">
        <v>51</v>
      </c>
      <c r="C17" s="17">
        <v>659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6433</v>
      </c>
      <c r="E18" s="84"/>
      <c r="F18" s="135">
        <f t="shared" ref="F18:M18" si="0">SUM(F6:F17)</f>
        <v>78142</v>
      </c>
      <c r="G18" s="135">
        <f t="shared" si="0"/>
        <v>52603.660745306399</v>
      </c>
      <c r="H18" s="135">
        <f t="shared" si="0"/>
        <v>67198.046663019966</v>
      </c>
      <c r="I18" s="136">
        <f t="shared" si="0"/>
        <v>119801.70740832637</v>
      </c>
      <c r="J18" s="135">
        <f t="shared" si="0"/>
        <v>87473</v>
      </c>
      <c r="K18" s="135">
        <f t="shared" si="0"/>
        <v>70063.001749999996</v>
      </c>
      <c r="L18" s="135">
        <f t="shared" si="0"/>
        <v>75050.101314549989</v>
      </c>
      <c r="M18" s="137">
        <f t="shared" si="0"/>
        <v>-162.32</v>
      </c>
      <c r="N18" s="135">
        <f>SUM(N16,N14,N12,N10,N8,N6)</f>
        <v>264</v>
      </c>
      <c r="O18" s="135">
        <f>SUM(O16,O14,O12,O10,O8,O6)</f>
        <v>258</v>
      </c>
      <c r="P18" s="135">
        <f>SUM(P16,P14,P12,P10,P8,P6)</f>
        <v>222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0.13565891472868216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13601</v>
      </c>
      <c r="D26" s="76">
        <f>C11</f>
        <v>11304</v>
      </c>
      <c r="E26" s="77">
        <f>D26-C26</f>
        <v>-2297</v>
      </c>
      <c r="M26" s="4"/>
    </row>
    <row r="27" spans="2:28" x14ac:dyDescent="0.3">
      <c r="B27" s="74" t="s">
        <v>56</v>
      </c>
      <c r="C27" s="122">
        <v>40223</v>
      </c>
      <c r="D27" s="76">
        <f>C7+C12+C13+C14+C15</f>
        <v>30234</v>
      </c>
      <c r="E27" s="77">
        <f>D27-C27</f>
        <v>-9989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</row>
    <row r="29" spans="2:28" x14ac:dyDescent="0.3">
      <c r="B29" s="74" t="s">
        <v>57</v>
      </c>
      <c r="C29" s="122">
        <v>2456</v>
      </c>
      <c r="D29" s="76">
        <f>C10</f>
        <v>4971</v>
      </c>
      <c r="E29" s="77">
        <f>D29-C29</f>
        <v>2515</v>
      </c>
      <c r="P29" s="4"/>
    </row>
    <row r="30" spans="2:28" x14ac:dyDescent="0.3">
      <c r="B30" s="74" t="s">
        <v>59</v>
      </c>
      <c r="C30" s="122">
        <v>13793</v>
      </c>
      <c r="D30" s="76">
        <f>C16+C17+C18</f>
        <v>17205</v>
      </c>
      <c r="E30" s="77">
        <f>D30-C30</f>
        <v>3412</v>
      </c>
      <c r="P30" s="4"/>
    </row>
    <row r="31" spans="2:28" ht="15" customHeight="1" thickBot="1" x14ac:dyDescent="0.35">
      <c r="B31" s="78" t="s">
        <v>60</v>
      </c>
      <c r="C31" s="121">
        <v>2570</v>
      </c>
      <c r="D31" s="80">
        <f>SUM(C8+C9)</f>
        <v>560</v>
      </c>
      <c r="E31" s="81">
        <f>C31-D31</f>
        <v>2010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44527</v>
      </c>
    </row>
    <row r="3" spans="2:27" ht="18.75" customHeight="1" thickBot="1" x14ac:dyDescent="0.35">
      <c r="B3" t="s">
        <v>1</v>
      </c>
      <c r="C3" s="3">
        <f>C2+1</f>
        <v>44528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95</v>
      </c>
      <c r="E6" s="18" t="s">
        <v>22</v>
      </c>
      <c r="F6" s="119">
        <v>27193</v>
      </c>
      <c r="G6" s="117">
        <v>14720.104916666671</v>
      </c>
      <c r="H6" s="117">
        <v>9320.9660315800011</v>
      </c>
      <c r="I6" s="19">
        <f>G6+H6</f>
        <v>24041.07094824667</v>
      </c>
      <c r="J6" s="119">
        <v>26309</v>
      </c>
      <c r="K6" s="117">
        <v>17433.912916666672</v>
      </c>
      <c r="L6" s="117">
        <v>10268.760729479989</v>
      </c>
      <c r="M6" s="19">
        <f>K6+L6</f>
        <v>27702.673646146661</v>
      </c>
      <c r="N6" s="85">
        <v>74</v>
      </c>
      <c r="O6" s="85">
        <v>89</v>
      </c>
      <c r="P6" s="85">
        <v>60</v>
      </c>
    </row>
    <row r="7" spans="2:27" x14ac:dyDescent="0.3">
      <c r="B7" s="16" t="s">
        <v>23</v>
      </c>
      <c r="C7" s="17">
        <v>819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29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2068</v>
      </c>
      <c r="E8" s="140" t="s">
        <v>27</v>
      </c>
      <c r="F8" s="119">
        <v>0</v>
      </c>
      <c r="G8" s="117">
        <v>0</v>
      </c>
      <c r="H8" s="117">
        <v>3939.7000354400002</v>
      </c>
      <c r="I8" s="19">
        <f>G8+H8</f>
        <v>3939.7000354400002</v>
      </c>
      <c r="J8" s="119">
        <v>0</v>
      </c>
      <c r="K8" s="117">
        <v>0</v>
      </c>
      <c r="L8" s="117">
        <v>3891.9660243399999</v>
      </c>
      <c r="M8" s="19">
        <f>K8+L8</f>
        <v>3891.9660243399999</v>
      </c>
      <c r="N8" s="87">
        <v>8</v>
      </c>
      <c r="O8" s="87">
        <v>8</v>
      </c>
      <c r="P8" s="87">
        <v>7</v>
      </c>
    </row>
    <row r="9" spans="2:27" x14ac:dyDescent="0.3">
      <c r="B9" s="28" t="s">
        <v>28</v>
      </c>
      <c r="C9" s="17">
        <v>881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1212</v>
      </c>
      <c r="E10" s="18" t="s">
        <v>31</v>
      </c>
      <c r="F10" s="119">
        <v>19259</v>
      </c>
      <c r="G10" s="117">
        <v>12727.28075</v>
      </c>
      <c r="H10" s="117">
        <v>420.89840900000002</v>
      </c>
      <c r="I10" s="19">
        <f>G10+H10</f>
        <v>13148.179158999999</v>
      </c>
      <c r="J10" s="119">
        <v>18265</v>
      </c>
      <c r="K10" s="117">
        <v>13787.560750000001</v>
      </c>
      <c r="L10" s="117">
        <v>376.54602540000002</v>
      </c>
      <c r="M10" s="19">
        <f>K10+L10</f>
        <v>14164.106775400001</v>
      </c>
      <c r="N10" s="88">
        <v>51</v>
      </c>
      <c r="O10" s="88">
        <v>49</v>
      </c>
      <c r="P10" s="88">
        <v>44</v>
      </c>
    </row>
    <row r="11" spans="2:27" x14ac:dyDescent="0.3">
      <c r="B11" s="16" t="s">
        <v>38</v>
      </c>
      <c r="C11" s="17">
        <v>9144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40</v>
      </c>
      <c r="C12" s="17">
        <v>1126</v>
      </c>
      <c r="E12" s="140" t="s">
        <v>35</v>
      </c>
      <c r="F12" s="119">
        <v>13869</v>
      </c>
      <c r="G12" s="117">
        <v>12449.75325</v>
      </c>
      <c r="H12" s="117">
        <v>17839.062058150001</v>
      </c>
      <c r="I12" s="19">
        <f>G12+H12</f>
        <v>30288.815308149999</v>
      </c>
      <c r="J12" s="119">
        <v>13597</v>
      </c>
      <c r="K12" s="117">
        <v>13811.407499999999</v>
      </c>
      <c r="L12" s="117">
        <v>17730.19150569</v>
      </c>
      <c r="M12" s="19">
        <f>K12+L12</f>
        <v>31541.599005689997</v>
      </c>
      <c r="N12" s="88">
        <v>50</v>
      </c>
      <c r="O12" s="88">
        <v>56</v>
      </c>
      <c r="P12" s="88">
        <v>40</v>
      </c>
    </row>
    <row r="13" spans="2:27" x14ac:dyDescent="0.3">
      <c r="B13" s="28" t="s">
        <v>42</v>
      </c>
      <c r="C13" s="17">
        <f>34196-C15-C14-C7-C12</f>
        <v>31368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16</v>
      </c>
    </row>
    <row r="14" spans="2:27" x14ac:dyDescent="0.3">
      <c r="B14" s="43" t="s">
        <v>47</v>
      </c>
      <c r="C14" s="17">
        <v>718</v>
      </c>
      <c r="E14" s="18" t="s">
        <v>39</v>
      </c>
      <c r="F14" s="119">
        <v>17160</v>
      </c>
      <c r="G14" s="117">
        <v>14666.01</v>
      </c>
      <c r="H14" s="117">
        <v>21742.468941619991</v>
      </c>
      <c r="I14" s="19">
        <f>G14+H14</f>
        <v>36408.478941619993</v>
      </c>
      <c r="J14" s="119">
        <v>15622</v>
      </c>
      <c r="K14" s="117">
        <v>16214.782999999999</v>
      </c>
      <c r="L14" s="117">
        <v>19454.352778179989</v>
      </c>
      <c r="M14" s="19">
        <f>K14+L14</f>
        <v>35669.135778179989</v>
      </c>
      <c r="N14" s="88">
        <v>68</v>
      </c>
      <c r="O14" s="88">
        <v>59</v>
      </c>
      <c r="P14" s="88">
        <v>59</v>
      </c>
    </row>
    <row r="15" spans="2:27" x14ac:dyDescent="0.3">
      <c r="B15" s="43" t="s">
        <v>48</v>
      </c>
      <c r="C15" s="50">
        <v>165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16" t="s">
        <v>50</v>
      </c>
      <c r="C16" s="17">
        <v>9825</v>
      </c>
      <c r="E16" s="18" t="s">
        <v>79</v>
      </c>
      <c r="F16" s="119">
        <v>0</v>
      </c>
      <c r="G16" s="117">
        <v>0</v>
      </c>
      <c r="H16" s="117">
        <v>4971.3913886800001</v>
      </c>
      <c r="I16" s="19">
        <f>G16+H16</f>
        <v>4971.3913886800001</v>
      </c>
      <c r="J16" s="119">
        <v>0</v>
      </c>
      <c r="K16" s="117">
        <v>0</v>
      </c>
      <c r="L16" s="117">
        <v>4806.4800255800001</v>
      </c>
      <c r="M16" s="19">
        <f>K16+L16</f>
        <v>4806.4800255800001</v>
      </c>
      <c r="N16" s="88">
        <v>13</v>
      </c>
      <c r="O16" s="88">
        <v>12</v>
      </c>
      <c r="P16" s="88">
        <v>12</v>
      </c>
    </row>
    <row r="17" spans="2:28" s="4" customFormat="1" x14ac:dyDescent="0.3">
      <c r="B17" s="16" t="s">
        <v>51</v>
      </c>
      <c r="C17" s="17">
        <v>2096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2991</v>
      </c>
      <c r="E18" s="84"/>
      <c r="F18" s="135">
        <f t="shared" ref="F18:M18" si="0">SUM(F6:F17)</f>
        <v>77481</v>
      </c>
      <c r="G18" s="135">
        <f t="shared" si="0"/>
        <v>54563.148916666672</v>
      </c>
      <c r="H18" s="135">
        <f t="shared" si="0"/>
        <v>58234.486864469989</v>
      </c>
      <c r="I18" s="136">
        <f t="shared" si="0"/>
        <v>112797.63578113666</v>
      </c>
      <c r="J18" s="135">
        <f t="shared" si="0"/>
        <v>73793</v>
      </c>
      <c r="K18" s="135">
        <f t="shared" si="0"/>
        <v>61247.664166666669</v>
      </c>
      <c r="L18" s="135">
        <f t="shared" si="0"/>
        <v>56528.297088669984</v>
      </c>
      <c r="M18" s="137">
        <f t="shared" si="0"/>
        <v>117775.96125533665</v>
      </c>
      <c r="N18" s="135">
        <f>SUM(N16,N14,N12,N10,N8,N6)</f>
        <v>264</v>
      </c>
      <c r="O18" s="135">
        <f>SUM(O16,O14,O12,O10,O8,O6)</f>
        <v>273</v>
      </c>
      <c r="P18" s="135">
        <f>SUM(P16,P14,P12,P10,P8,P6)</f>
        <v>222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51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0.18681318681318682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14425</v>
      </c>
      <c r="D26" s="76">
        <f>C11</f>
        <v>9144</v>
      </c>
      <c r="E26" s="77">
        <f>D26-C26</f>
        <v>-5281</v>
      </c>
      <c r="M26" s="4"/>
    </row>
    <row r="27" spans="2:28" x14ac:dyDescent="0.3">
      <c r="B27" s="74" t="s">
        <v>56</v>
      </c>
      <c r="C27" s="122">
        <v>35790</v>
      </c>
      <c r="D27" s="76">
        <f>C7+C12+C13+C14+C15</f>
        <v>34196</v>
      </c>
      <c r="E27" s="77">
        <f>D27-C27</f>
        <v>-1594</v>
      </c>
      <c r="J27" s="123"/>
      <c r="M27" s="4"/>
      <c r="Q27" s="69"/>
    </row>
    <row r="28" spans="2:28" x14ac:dyDescent="0.3">
      <c r="B28" s="74" t="s">
        <v>21</v>
      </c>
      <c r="C28" s="122">
        <v>95</v>
      </c>
      <c r="D28" s="76">
        <f>C6</f>
        <v>95</v>
      </c>
      <c r="E28" s="77">
        <f>D28-C28</f>
        <v>0</v>
      </c>
      <c r="M28" s="4"/>
    </row>
    <row r="29" spans="2:28" x14ac:dyDescent="0.3">
      <c r="B29" s="74" t="s">
        <v>57</v>
      </c>
      <c r="C29" s="122">
        <v>1212</v>
      </c>
      <c r="D29" s="76">
        <f>C10</f>
        <v>1212</v>
      </c>
      <c r="E29" s="77">
        <f>D29-C29</f>
        <v>0</v>
      </c>
      <c r="P29" s="4"/>
    </row>
    <row r="30" spans="2:28" x14ac:dyDescent="0.3">
      <c r="B30" s="74" t="s">
        <v>59</v>
      </c>
      <c r="C30" s="122">
        <v>16311</v>
      </c>
      <c r="D30" s="76">
        <f>C16+C17+C18</f>
        <v>14912</v>
      </c>
      <c r="E30" s="77">
        <f>D30-C30</f>
        <v>-1399</v>
      </c>
      <c r="P30" s="4"/>
    </row>
    <row r="31" spans="2:28" ht="15" customHeight="1" thickBot="1" x14ac:dyDescent="0.35">
      <c r="B31" s="78" t="s">
        <v>60</v>
      </c>
      <c r="C31" s="121">
        <v>2666</v>
      </c>
      <c r="D31" s="80">
        <f>SUM(C8+C9)</f>
        <v>2949</v>
      </c>
      <c r="E31" s="81">
        <f>C31-D31</f>
        <v>-283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44528</v>
      </c>
    </row>
    <row r="3" spans="2:27" ht="18.75" customHeight="1" thickBot="1" x14ac:dyDescent="0.35">
      <c r="B3" t="s">
        <v>1</v>
      </c>
      <c r="C3" s="3">
        <f>C2+1</f>
        <v>44529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14440</v>
      </c>
      <c r="G6" s="117">
        <v>13831.506149999999</v>
      </c>
      <c r="H6" s="117">
        <v>4006.2777230799989</v>
      </c>
      <c r="I6" s="19">
        <f>G6+H6</f>
        <v>17837.783873079999</v>
      </c>
      <c r="J6" s="119">
        <v>16046</v>
      </c>
      <c r="K6" s="117">
        <v>7477.4046666666663</v>
      </c>
      <c r="L6" s="117">
        <v>4329.581106499998</v>
      </c>
      <c r="M6" s="19">
        <f>K6+L6</f>
        <v>11806.985773166663</v>
      </c>
      <c r="N6" s="85">
        <v>45</v>
      </c>
      <c r="O6" s="85">
        <v>44</v>
      </c>
      <c r="P6" s="85">
        <v>37</v>
      </c>
    </row>
    <row r="7" spans="2:27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/>
      <c r="O8" s="87"/>
      <c r="P8" s="87"/>
    </row>
    <row r="9" spans="2:27" x14ac:dyDescent="0.3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/>
      <c r="O10" s="88"/>
      <c r="P10" s="88"/>
    </row>
    <row r="11" spans="2:27" x14ac:dyDescent="0.3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/>
      <c r="O12" s="88"/>
      <c r="P12" s="88"/>
    </row>
    <row r="13" spans="2:27" x14ac:dyDescent="0.3">
      <c r="B13" s="28" t="s">
        <v>42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/>
      <c r="O14" s="88"/>
      <c r="P14" s="88"/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16" t="s">
        <v>50</v>
      </c>
      <c r="C16" s="17">
        <v>10065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/>
      <c r="O16" s="88"/>
      <c r="P16" s="88"/>
    </row>
    <row r="17" spans="2:28" s="4" customFormat="1" x14ac:dyDescent="0.3">
      <c r="B17" s="16" t="s">
        <v>51</v>
      </c>
      <c r="C17" s="17">
        <v>1033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4948</v>
      </c>
      <c r="E18" s="84"/>
      <c r="F18" s="135">
        <f t="shared" ref="F18:M18" si="0">SUM(F6:F17)</f>
        <v>14440</v>
      </c>
      <c r="G18" s="135">
        <f t="shared" si="0"/>
        <v>13831.506149999999</v>
      </c>
      <c r="H18" s="135">
        <f t="shared" si="0"/>
        <v>4006.2777230799989</v>
      </c>
      <c r="I18" s="136">
        <f t="shared" si="0"/>
        <v>17837.783873079999</v>
      </c>
      <c r="J18" s="135">
        <f t="shared" si="0"/>
        <v>16046</v>
      </c>
      <c r="K18" s="135">
        <f t="shared" si="0"/>
        <v>7477.4046666666663</v>
      </c>
      <c r="L18" s="135">
        <f t="shared" si="0"/>
        <v>4329.581106499998</v>
      </c>
      <c r="M18" s="137">
        <f t="shared" si="0"/>
        <v>11806.985773166663</v>
      </c>
      <c r="N18" s="135">
        <f>SUM(N16,N14,N12,N10,N8,N6)</f>
        <v>45</v>
      </c>
      <c r="O18" s="135">
        <f>SUM(O16,O14,O12,O10,O8,O6)</f>
        <v>44</v>
      </c>
      <c r="P18" s="135">
        <f>SUM(P16,P14,P12,P10,P8,P6)</f>
        <v>37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0.15909090909090909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0</v>
      </c>
      <c r="D26" s="76">
        <f>C11</f>
        <v>0</v>
      </c>
      <c r="E26" s="77">
        <f>D26-C26</f>
        <v>0</v>
      </c>
      <c r="M26" s="4"/>
    </row>
    <row r="27" spans="2:28" x14ac:dyDescent="0.3">
      <c r="B27" s="74" t="s">
        <v>56</v>
      </c>
      <c r="C27" s="122">
        <v>0</v>
      </c>
      <c r="D27" s="76">
        <f>C7+C12+C13+C14+C15</f>
        <v>0</v>
      </c>
      <c r="E27" s="77">
        <f>D27-C27</f>
        <v>0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</row>
    <row r="29" spans="2:28" x14ac:dyDescent="0.3">
      <c r="B29" s="74" t="s">
        <v>57</v>
      </c>
      <c r="C29" s="122">
        <v>0</v>
      </c>
      <c r="D29" s="76">
        <f>C10</f>
        <v>0</v>
      </c>
      <c r="E29" s="77">
        <f>D29-C29</f>
        <v>0</v>
      </c>
      <c r="P29" s="4"/>
    </row>
    <row r="30" spans="2:28" x14ac:dyDescent="0.3">
      <c r="B30" s="74" t="s">
        <v>59</v>
      </c>
      <c r="C30" s="122">
        <v>14440</v>
      </c>
      <c r="D30" s="76">
        <f>C16+C17+C18</f>
        <v>16046</v>
      </c>
      <c r="E30" s="77">
        <f>D30-C30</f>
        <v>1606</v>
      </c>
      <c r="P30" s="4"/>
    </row>
    <row r="31" spans="2:28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44529</v>
      </c>
    </row>
    <row r="3" spans="2:27" ht="18.75" customHeight="1" thickBot="1" x14ac:dyDescent="0.35">
      <c r="B3" t="s">
        <v>1</v>
      </c>
      <c r="C3" s="3">
        <f>C2+1</f>
        <v>44530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68</v>
      </c>
      <c r="E6" s="18" t="s">
        <v>22</v>
      </c>
      <c r="F6" s="119">
        <v>22048</v>
      </c>
      <c r="G6" s="117">
        <v>12957.36951666666</v>
      </c>
      <c r="H6" s="117">
        <v>6832.7986071399928</v>
      </c>
      <c r="I6" s="19">
        <f>G6+H6</f>
        <v>19790.168123806652</v>
      </c>
      <c r="J6" s="119">
        <v>23108</v>
      </c>
      <c r="K6" s="117">
        <v>13393.23426666667</v>
      </c>
      <c r="L6" s="117">
        <v>7232.879551719996</v>
      </c>
      <c r="M6" s="19">
        <f>K6+L6</f>
        <v>20626.113818386664</v>
      </c>
      <c r="N6" s="85">
        <v>64</v>
      </c>
      <c r="O6" s="85">
        <v>65</v>
      </c>
      <c r="P6" s="85">
        <v>49</v>
      </c>
    </row>
    <row r="7" spans="2:27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1801</v>
      </c>
      <c r="E8" s="140" t="s">
        <v>27</v>
      </c>
      <c r="F8" s="119">
        <v>0</v>
      </c>
      <c r="G8" s="117">
        <v>0</v>
      </c>
      <c r="H8" s="117">
        <v>3318.096360680001</v>
      </c>
      <c r="I8" s="19">
        <f>G8+H8</f>
        <v>3318.096360680001</v>
      </c>
      <c r="J8" s="119">
        <v>0</v>
      </c>
      <c r="K8" s="117">
        <v>0</v>
      </c>
      <c r="L8" s="117">
        <v>3391.1496726999999</v>
      </c>
      <c r="M8" s="19">
        <f>K8+L8</f>
        <v>3391.1496726999999</v>
      </c>
      <c r="N8" s="87">
        <v>8</v>
      </c>
      <c r="O8" s="87">
        <v>8</v>
      </c>
      <c r="P8" s="87">
        <v>7</v>
      </c>
    </row>
    <row r="9" spans="2:27" x14ac:dyDescent="0.3">
      <c r="B9" s="28" t="s">
        <v>28</v>
      </c>
      <c r="C9" s="17">
        <v>824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3644</v>
      </c>
      <c r="E10" s="18" t="s">
        <v>31</v>
      </c>
      <c r="F10" s="119">
        <v>18690</v>
      </c>
      <c r="G10" s="117">
        <v>13687.07425</v>
      </c>
      <c r="H10" s="117">
        <v>384.46783299999998</v>
      </c>
      <c r="I10" s="19">
        <f>G10+H10</f>
        <v>14071.542083</v>
      </c>
      <c r="J10" s="119">
        <v>18973</v>
      </c>
      <c r="K10" s="117">
        <v>13838.134249999999</v>
      </c>
      <c r="L10" s="117">
        <v>418.48894760000002</v>
      </c>
      <c r="M10" s="19">
        <f>K10+L10</f>
        <v>14256.6231976</v>
      </c>
      <c r="N10" s="88">
        <v>43</v>
      </c>
      <c r="O10" s="88">
        <v>42</v>
      </c>
      <c r="P10" s="88">
        <v>35</v>
      </c>
    </row>
    <row r="11" spans="2:27" x14ac:dyDescent="0.3">
      <c r="B11" s="16" t="s">
        <v>38</v>
      </c>
      <c r="C11" s="17">
        <v>10580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11308</v>
      </c>
      <c r="G12" s="117">
        <v>10395.828750000001</v>
      </c>
      <c r="H12" s="117">
        <v>13676.157880299999</v>
      </c>
      <c r="I12" s="19">
        <f>G12+H12</f>
        <v>24071.986630300002</v>
      </c>
      <c r="J12" s="119">
        <v>10787</v>
      </c>
      <c r="K12" s="117">
        <v>9975.6967500000028</v>
      </c>
      <c r="L12" s="117">
        <v>13155.656382429999</v>
      </c>
      <c r="M12" s="19">
        <f>K12+L12</f>
        <v>23131.353132430002</v>
      </c>
      <c r="N12" s="88">
        <v>49</v>
      </c>
      <c r="O12" s="88">
        <v>50</v>
      </c>
      <c r="P12" s="88">
        <v>42</v>
      </c>
    </row>
    <row r="13" spans="2:27" x14ac:dyDescent="0.3">
      <c r="B13" s="28" t="s">
        <v>42</v>
      </c>
      <c r="C13" s="17">
        <v>22769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22530</v>
      </c>
      <c r="G14" s="117">
        <v>17216.43</v>
      </c>
      <c r="H14" s="117">
        <v>25858.675021999989</v>
      </c>
      <c r="I14" s="19">
        <f>G14+H14</f>
        <v>43075.105021999989</v>
      </c>
      <c r="J14" s="119">
        <v>20983</v>
      </c>
      <c r="K14" s="117">
        <v>14959.888499999999</v>
      </c>
      <c r="L14" s="117">
        <v>23534.78272975998</v>
      </c>
      <c r="M14" s="19">
        <f>K14+L14</f>
        <v>38494.671229759981</v>
      </c>
      <c r="N14" s="88">
        <v>64</v>
      </c>
      <c r="O14" s="88">
        <v>62</v>
      </c>
      <c r="P14" s="88">
        <v>56</v>
      </c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16" t="s">
        <v>50</v>
      </c>
      <c r="C16" s="17">
        <v>10367</v>
      </c>
      <c r="E16" s="18" t="s">
        <v>79</v>
      </c>
      <c r="F16" s="119">
        <v>0</v>
      </c>
      <c r="G16" s="117">
        <v>0</v>
      </c>
      <c r="H16" s="117">
        <v>7435.3887499599996</v>
      </c>
      <c r="I16" s="19">
        <f>G16+H16</f>
        <v>7435.3887499599996</v>
      </c>
      <c r="J16" s="119">
        <v>0</v>
      </c>
      <c r="K16" s="117">
        <v>0</v>
      </c>
      <c r="L16" s="117">
        <v>7491.4134317799999</v>
      </c>
      <c r="M16" s="19">
        <f>K16+L16</f>
        <v>7491.4134317799999</v>
      </c>
      <c r="N16" s="88">
        <v>9</v>
      </c>
      <c r="O16" s="88">
        <v>9</v>
      </c>
      <c r="P16" s="88">
        <v>9</v>
      </c>
    </row>
    <row r="17" spans="2:28" s="4" customFormat="1" x14ac:dyDescent="0.3">
      <c r="B17" s="16" t="s">
        <v>51</v>
      </c>
      <c r="C17" s="17">
        <v>1645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4937</v>
      </c>
      <c r="E18" s="84"/>
      <c r="F18" s="135">
        <f t="shared" ref="F18:M18" si="0">SUM(F6:F17)</f>
        <v>74576</v>
      </c>
      <c r="G18" s="135">
        <f t="shared" si="0"/>
        <v>54256.702516666664</v>
      </c>
      <c r="H18" s="135">
        <f t="shared" si="0"/>
        <v>57505.584453079988</v>
      </c>
      <c r="I18" s="136">
        <f t="shared" si="0"/>
        <v>111762.28696974664</v>
      </c>
      <c r="J18" s="135">
        <f t="shared" si="0"/>
        <v>73851</v>
      </c>
      <c r="K18" s="135">
        <f t="shared" si="0"/>
        <v>52166.953766666673</v>
      </c>
      <c r="L18" s="135">
        <f t="shared" si="0"/>
        <v>55224.370715989971</v>
      </c>
      <c r="M18" s="137">
        <f t="shared" si="0"/>
        <v>107391.32448265667</v>
      </c>
      <c r="N18" s="135">
        <f>SUM(N16,N14,N12,N10,N8,N6)</f>
        <v>237</v>
      </c>
      <c r="O18" s="135">
        <f>SUM(O16,O14,O12,O10,O8,O6)</f>
        <v>236</v>
      </c>
      <c r="P18" s="135">
        <f>SUM(P16,P14,P12,P10,P8,P6)</f>
        <v>198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0.16101694915254236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9977</v>
      </c>
      <c r="D26" s="76">
        <f>C11</f>
        <v>10580</v>
      </c>
      <c r="E26" s="77">
        <f>D26-C26</f>
        <v>603</v>
      </c>
      <c r="M26" s="4"/>
    </row>
    <row r="27" spans="2:28" x14ac:dyDescent="0.3">
      <c r="B27" s="74" t="s">
        <v>56</v>
      </c>
      <c r="C27" s="122">
        <v>30305</v>
      </c>
      <c r="D27" s="76">
        <f>C7+C12+C13+C14+C15</f>
        <v>22769</v>
      </c>
      <c r="E27" s="77">
        <f>D27-C27</f>
        <v>-7536</v>
      </c>
      <c r="J27" s="123"/>
      <c r="M27" s="4"/>
      <c r="Q27" s="69"/>
    </row>
    <row r="28" spans="2:28" x14ac:dyDescent="0.3">
      <c r="B28" s="74" t="s">
        <v>21</v>
      </c>
      <c r="C28" s="122">
        <v>68</v>
      </c>
      <c r="D28" s="76">
        <f>C6</f>
        <v>68</v>
      </c>
      <c r="E28" s="77">
        <f>D28-C28</f>
        <v>0</v>
      </c>
      <c r="M28" s="4"/>
    </row>
    <row r="29" spans="2:28" x14ac:dyDescent="0.3">
      <c r="B29" s="74" t="s">
        <v>57</v>
      </c>
      <c r="C29" s="122">
        <v>3644</v>
      </c>
      <c r="D29" s="76">
        <f>C10</f>
        <v>3644</v>
      </c>
      <c r="E29" s="77">
        <f>D29-C29</f>
        <v>0</v>
      </c>
      <c r="P29" s="4"/>
    </row>
    <row r="30" spans="2:28" x14ac:dyDescent="0.3">
      <c r="B30" s="74" t="s">
        <v>59</v>
      </c>
      <c r="C30" s="122">
        <v>15944</v>
      </c>
      <c r="D30" s="76">
        <f>C16+C17+C18</f>
        <v>16949</v>
      </c>
      <c r="E30" s="77">
        <f>D30-C30</f>
        <v>1005</v>
      </c>
      <c r="P30" s="4"/>
    </row>
    <row r="31" spans="2:28" ht="15" customHeight="1" thickBot="1" x14ac:dyDescent="0.35">
      <c r="B31" s="78" t="s">
        <v>60</v>
      </c>
      <c r="C31" s="121">
        <v>2625</v>
      </c>
      <c r="D31" s="80">
        <f>SUM(C8+C9)</f>
        <v>2625</v>
      </c>
      <c r="E31" s="81">
        <f>C31-D31</f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44530</v>
      </c>
    </row>
    <row r="3" spans="2:27" ht="18.75" customHeight="1" thickBot="1" x14ac:dyDescent="0.35">
      <c r="B3" t="s">
        <v>1</v>
      </c>
      <c r="C3" s="3">
        <f>C2+1</f>
        <v>44531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72</v>
      </c>
      <c r="E6" s="18" t="s">
        <v>22</v>
      </c>
      <c r="F6" s="119">
        <v>25958</v>
      </c>
      <c r="G6" s="117">
        <v>14019.4092</v>
      </c>
      <c r="H6" s="117">
        <v>8923.1718542400049</v>
      </c>
      <c r="I6" s="19">
        <f>G6+H6</f>
        <v>22942.581054240007</v>
      </c>
      <c r="J6" s="119">
        <v>27170</v>
      </c>
      <c r="K6" s="117">
        <v>16642.85945</v>
      </c>
      <c r="L6" s="117">
        <v>8880.4416624999994</v>
      </c>
      <c r="M6" s="19">
        <f>K6+L6</f>
        <v>25523.301112499998</v>
      </c>
      <c r="N6" s="85">
        <v>83</v>
      </c>
      <c r="O6" s="85">
        <v>77</v>
      </c>
      <c r="P6" s="85">
        <v>74</v>
      </c>
    </row>
    <row r="7" spans="2:27" x14ac:dyDescent="0.3">
      <c r="B7" s="16" t="s">
        <v>23</v>
      </c>
      <c r="C7" s="17">
        <v>1259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1720</v>
      </c>
      <c r="E8" s="140" t="s">
        <v>27</v>
      </c>
      <c r="F8" s="119">
        <v>0</v>
      </c>
      <c r="G8" s="117">
        <v>0</v>
      </c>
      <c r="H8" s="117">
        <v>3883.24227982</v>
      </c>
      <c r="I8" s="19">
        <f>G8+H8</f>
        <v>3883.24227982</v>
      </c>
      <c r="J8" s="119">
        <v>0</v>
      </c>
      <c r="K8" s="117">
        <v>0</v>
      </c>
      <c r="L8" s="117">
        <v>4262.2419915999999</v>
      </c>
      <c r="M8" s="19">
        <f>K8+L8</f>
        <v>4262.2419915999999</v>
      </c>
      <c r="N8" s="87">
        <v>6</v>
      </c>
      <c r="O8" s="87">
        <v>6</v>
      </c>
      <c r="P8" s="87">
        <v>5</v>
      </c>
    </row>
    <row r="9" spans="2:27" x14ac:dyDescent="0.3">
      <c r="B9" s="28" t="s">
        <v>28</v>
      </c>
      <c r="C9" s="17">
        <v>888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2264</v>
      </c>
      <c r="E10" s="18" t="s">
        <v>31</v>
      </c>
      <c r="F10" s="119">
        <v>18580</v>
      </c>
      <c r="G10" s="117">
        <v>12430.311750000001</v>
      </c>
      <c r="H10" s="117">
        <v>434.03476699999999</v>
      </c>
      <c r="I10" s="19">
        <f>G10+H10</f>
        <v>12864.346517</v>
      </c>
      <c r="J10" s="119">
        <v>25116</v>
      </c>
      <c r="K10" s="117">
        <v>18616.19875</v>
      </c>
      <c r="L10" s="117">
        <v>426.47613639999997</v>
      </c>
      <c r="M10" s="19">
        <f>K10+L10</f>
        <v>19042.6748864</v>
      </c>
      <c r="N10" s="88">
        <v>47</v>
      </c>
      <c r="O10" s="88">
        <v>46</v>
      </c>
      <c r="P10" s="88">
        <v>43</v>
      </c>
    </row>
    <row r="11" spans="2:27" x14ac:dyDescent="0.3">
      <c r="B11" s="16" t="s">
        <v>38</v>
      </c>
      <c r="C11" s="17">
        <v>10331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40</v>
      </c>
      <c r="C12" s="17">
        <v>1348</v>
      </c>
      <c r="E12" s="140" t="s">
        <v>35</v>
      </c>
      <c r="F12" s="119">
        <v>14381</v>
      </c>
      <c r="G12" s="117">
        <v>11583.863499999999</v>
      </c>
      <c r="H12" s="117">
        <v>17199.047695959998</v>
      </c>
      <c r="I12" s="19">
        <f>G12+H12</f>
        <v>28782.911195959998</v>
      </c>
      <c r="J12" s="119">
        <v>14071</v>
      </c>
      <c r="K12" s="117">
        <v>13122.7245</v>
      </c>
      <c r="L12" s="117">
        <v>17697.330071479999</v>
      </c>
      <c r="M12" s="19">
        <f>K12+L12</f>
        <v>30820.054571479999</v>
      </c>
      <c r="N12" s="88">
        <v>54</v>
      </c>
      <c r="O12" s="88">
        <v>52</v>
      </c>
      <c r="P12" s="88">
        <v>48</v>
      </c>
    </row>
    <row r="13" spans="2:27" x14ac:dyDescent="0.3">
      <c r="B13" s="28" t="s">
        <v>42</v>
      </c>
      <c r="C13" s="17">
        <v>26774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43" t="s">
        <v>47</v>
      </c>
      <c r="C14" s="17">
        <v>809</v>
      </c>
      <c r="E14" s="18" t="s">
        <v>39</v>
      </c>
      <c r="F14" s="119">
        <v>19414</v>
      </c>
      <c r="G14" s="117">
        <v>16618.268749999999</v>
      </c>
      <c r="H14" s="117">
        <v>24091.407466580011</v>
      </c>
      <c r="I14" s="19">
        <f>G14+H14</f>
        <v>40709.67621658001</v>
      </c>
      <c r="J14" s="119">
        <v>17969</v>
      </c>
      <c r="K14" s="117">
        <v>15607.63125</v>
      </c>
      <c r="L14" s="117">
        <v>21964.055066919998</v>
      </c>
      <c r="M14" s="19">
        <f>K14+L14</f>
        <v>37571.686316920001</v>
      </c>
      <c r="N14" s="88">
        <v>65</v>
      </c>
      <c r="O14" s="88">
        <v>63</v>
      </c>
      <c r="P14" s="88">
        <v>54</v>
      </c>
    </row>
    <row r="15" spans="2:27" x14ac:dyDescent="0.3">
      <c r="B15" s="43" t="s">
        <v>48</v>
      </c>
      <c r="C15" s="50">
        <v>183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16" t="s">
        <v>50</v>
      </c>
      <c r="C16" s="17">
        <v>10895</v>
      </c>
      <c r="E16" s="18" t="s">
        <v>79</v>
      </c>
      <c r="F16" s="119">
        <v>0</v>
      </c>
      <c r="G16" s="117">
        <v>0</v>
      </c>
      <c r="H16" s="117">
        <v>5102.1617165600001</v>
      </c>
      <c r="I16" s="19">
        <f>G16+H16</f>
        <v>5102.1617165600001</v>
      </c>
      <c r="J16" s="119">
        <v>0</v>
      </c>
      <c r="K16" s="117">
        <v>0</v>
      </c>
      <c r="L16" s="117">
        <v>9330.9104430999996</v>
      </c>
      <c r="M16" s="19">
        <f>K16+L16</f>
        <v>9330.9104430999996</v>
      </c>
      <c r="N16" s="88">
        <v>9</v>
      </c>
      <c r="O16" s="88">
        <v>9</v>
      </c>
      <c r="P16" s="88">
        <v>9</v>
      </c>
    </row>
    <row r="17" spans="2:28" s="4" customFormat="1" x14ac:dyDescent="0.3">
      <c r="B17" s="16" t="s">
        <v>51</v>
      </c>
      <c r="C17" s="17">
        <v>1217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5295</v>
      </c>
      <c r="E18" s="84"/>
      <c r="F18" s="135">
        <f t="shared" ref="F18:M18" si="0">SUM(F6:F17)</f>
        <v>78333</v>
      </c>
      <c r="G18" s="135">
        <f t="shared" si="0"/>
        <v>54651.853199999998</v>
      </c>
      <c r="H18" s="135">
        <f t="shared" si="0"/>
        <v>59633.065780160017</v>
      </c>
      <c r="I18" s="136">
        <f t="shared" si="0"/>
        <v>114284.91898016002</v>
      </c>
      <c r="J18" s="135">
        <f t="shared" si="0"/>
        <v>84326</v>
      </c>
      <c r="K18" s="135">
        <f t="shared" si="0"/>
        <v>63989.413949999995</v>
      </c>
      <c r="L18" s="135">
        <f t="shared" si="0"/>
        <v>62561.455371999997</v>
      </c>
      <c r="M18" s="137">
        <f t="shared" si="0"/>
        <v>126550.86932199998</v>
      </c>
      <c r="N18" s="135">
        <f>SUM(N16,N14,N12,N10,N8,N6)</f>
        <v>264</v>
      </c>
      <c r="O18" s="135">
        <f>SUM(O16,O14,O12,O10,O8,O6)</f>
        <v>253</v>
      </c>
      <c r="P18" s="135">
        <f>SUM(P16,P14,P12,P10,P8,P6)</f>
        <v>233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20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7.9051383399209488E-2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12471</v>
      </c>
      <c r="D26" s="76">
        <f>C11</f>
        <v>10331</v>
      </c>
      <c r="E26" s="77">
        <f>D26-C26</f>
        <v>-2140</v>
      </c>
      <c r="M26" s="4"/>
    </row>
    <row r="27" spans="2:28" x14ac:dyDescent="0.3">
      <c r="B27" s="74" t="s">
        <v>56</v>
      </c>
      <c r="C27" s="122">
        <v>35765</v>
      </c>
      <c r="D27" s="76">
        <f>C7+C12+C13+C14+C15</f>
        <v>30373</v>
      </c>
      <c r="E27" s="77">
        <f>D27-C27</f>
        <v>-5392</v>
      </c>
      <c r="J27" s="123"/>
      <c r="M27" s="4"/>
      <c r="Q27" s="69"/>
    </row>
    <row r="28" spans="2:28" x14ac:dyDescent="0.3">
      <c r="B28" s="74" t="s">
        <v>21</v>
      </c>
      <c r="C28" s="122">
        <v>72</v>
      </c>
      <c r="D28" s="76">
        <f>C6</f>
        <v>72</v>
      </c>
      <c r="E28" s="77">
        <f>D28-C28</f>
        <v>0</v>
      </c>
      <c r="M28" s="4"/>
    </row>
    <row r="29" spans="2:28" x14ac:dyDescent="0.3">
      <c r="B29" s="74" t="s">
        <v>57</v>
      </c>
      <c r="C29" s="122">
        <v>2264</v>
      </c>
      <c r="D29" s="76">
        <f>C10</f>
        <v>2264</v>
      </c>
      <c r="E29" s="77">
        <f>D29-C29</f>
        <v>0</v>
      </c>
      <c r="P29" s="4"/>
    </row>
    <row r="30" spans="2:28" x14ac:dyDescent="0.3">
      <c r="B30" s="74" t="s">
        <v>59</v>
      </c>
      <c r="C30" s="122">
        <v>16427</v>
      </c>
      <c r="D30" s="76">
        <f>C16+C17+C18</f>
        <v>17407</v>
      </c>
      <c r="E30" s="77">
        <f>D30-C30</f>
        <v>980</v>
      </c>
      <c r="P30" s="4"/>
    </row>
    <row r="31" spans="2:28" ht="15" customHeight="1" thickBot="1" x14ac:dyDescent="0.35">
      <c r="B31" s="78" t="s">
        <v>60</v>
      </c>
      <c r="C31" s="121">
        <v>2608</v>
      </c>
      <c r="D31" s="80">
        <f>SUM(C8+C9)</f>
        <v>2608</v>
      </c>
      <c r="E31" s="81">
        <f>C31-D31</f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44531</v>
      </c>
    </row>
    <row r="3" spans="2:27" ht="18.75" customHeight="1" thickBot="1" x14ac:dyDescent="0.35">
      <c r="B3" t="s">
        <v>1</v>
      </c>
      <c r="C3" s="3">
        <f>C2+1</f>
        <v>44532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42</v>
      </c>
      <c r="E6" s="18" t="s">
        <v>22</v>
      </c>
      <c r="F6" s="119">
        <v>26080</v>
      </c>
      <c r="G6" s="117">
        <v>14011.3475</v>
      </c>
      <c r="H6" s="117">
        <v>7818.4118227600011</v>
      </c>
      <c r="I6" s="19">
        <f>G6+H6</f>
        <v>21829.759322760001</v>
      </c>
      <c r="J6" s="119">
        <v>27249</v>
      </c>
      <c r="K6" s="117">
        <v>16172.59325</v>
      </c>
      <c r="L6" s="117">
        <v>7378.4945996199986</v>
      </c>
      <c r="M6" s="19">
        <f>K6+L6</f>
        <v>23551.087849619998</v>
      </c>
      <c r="N6" s="85">
        <v>79</v>
      </c>
      <c r="O6" s="85">
        <v>75</v>
      </c>
      <c r="P6" s="85">
        <v>66</v>
      </c>
    </row>
    <row r="7" spans="2:27" x14ac:dyDescent="0.3">
      <c r="B7" s="16" t="s">
        <v>23</v>
      </c>
      <c r="C7" s="17">
        <v>1659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1513</v>
      </c>
      <c r="E8" s="140" t="s">
        <v>27</v>
      </c>
      <c r="F8" s="119">
        <v>0</v>
      </c>
      <c r="G8" s="117">
        <v>0</v>
      </c>
      <c r="H8" s="117">
        <v>4432.0268200399996</v>
      </c>
      <c r="I8" s="19">
        <f>G8+H8</f>
        <v>4432.0268200399996</v>
      </c>
      <c r="J8" s="119">
        <v>0</v>
      </c>
      <c r="K8" s="117">
        <v>0</v>
      </c>
      <c r="L8" s="117">
        <v>4366.4574218799989</v>
      </c>
      <c r="M8" s="19">
        <f>K8+L8</f>
        <v>4366.4574218799989</v>
      </c>
      <c r="N8" s="87">
        <v>4</v>
      </c>
      <c r="O8" s="87">
        <v>4</v>
      </c>
      <c r="P8" s="87">
        <v>4</v>
      </c>
    </row>
    <row r="9" spans="2:27" x14ac:dyDescent="0.3">
      <c r="B9" s="28" t="s">
        <v>28</v>
      </c>
      <c r="C9" s="17">
        <v>992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2291</v>
      </c>
      <c r="E10" s="18" t="s">
        <v>31</v>
      </c>
      <c r="F10" s="119">
        <v>19457</v>
      </c>
      <c r="G10" s="117">
        <v>13937.674499999999</v>
      </c>
      <c r="H10" s="117">
        <v>436.93459000000001</v>
      </c>
      <c r="I10" s="19">
        <f>G10+H10</f>
        <v>14374.60909</v>
      </c>
      <c r="J10" s="119">
        <v>18656</v>
      </c>
      <c r="K10" s="117">
        <v>14051.226500000001</v>
      </c>
      <c r="L10" s="117">
        <v>407.67889560000009</v>
      </c>
      <c r="M10" s="19">
        <f>K10+L10</f>
        <v>14458.905395600001</v>
      </c>
      <c r="N10" s="88">
        <v>42</v>
      </c>
      <c r="O10" s="88">
        <v>41</v>
      </c>
      <c r="P10" s="88">
        <v>35</v>
      </c>
    </row>
    <row r="11" spans="2:27" x14ac:dyDescent="0.3">
      <c r="B11" s="16" t="s">
        <v>38</v>
      </c>
      <c r="C11" s="17">
        <v>9852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40</v>
      </c>
      <c r="C12" s="17">
        <v>2044</v>
      </c>
      <c r="E12" s="140" t="s">
        <v>35</v>
      </c>
      <c r="F12" s="119">
        <v>14078</v>
      </c>
      <c r="G12" s="117">
        <v>11112.746499999999</v>
      </c>
      <c r="H12" s="117">
        <v>16749.38713830999</v>
      </c>
      <c r="I12" s="19">
        <f>G12+H12</f>
        <v>27862.133638309992</v>
      </c>
      <c r="J12" s="119">
        <v>14788</v>
      </c>
      <c r="K12" s="117">
        <v>13917.9375</v>
      </c>
      <c r="L12" s="117">
        <v>17471.11379281</v>
      </c>
      <c r="M12" s="19">
        <f>K12+L12</f>
        <v>31389.05129281</v>
      </c>
      <c r="N12" s="88">
        <v>55</v>
      </c>
      <c r="O12" s="88">
        <v>53</v>
      </c>
      <c r="P12" s="88">
        <v>45</v>
      </c>
    </row>
    <row r="13" spans="2:27" x14ac:dyDescent="0.3">
      <c r="B13" s="28" t="s">
        <v>42</v>
      </c>
      <c r="C13" s="17">
        <v>29589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43" t="s">
        <v>47</v>
      </c>
      <c r="C14" s="17">
        <v>1275</v>
      </c>
      <c r="E14" s="18" t="s">
        <v>39</v>
      </c>
      <c r="F14" s="119">
        <v>17478</v>
      </c>
      <c r="G14" s="117">
        <v>13570.362499999999</v>
      </c>
      <c r="H14" s="117">
        <v>20857.087838880008</v>
      </c>
      <c r="I14" s="19">
        <f>G14+H14</f>
        <v>34427.450338880008</v>
      </c>
      <c r="J14" s="119">
        <v>17933</v>
      </c>
      <c r="K14" s="117">
        <v>16208.349</v>
      </c>
      <c r="L14" s="117">
        <v>21479.26206202</v>
      </c>
      <c r="M14" s="19">
        <f>K14+L14</f>
        <v>37687.611062019998</v>
      </c>
      <c r="N14" s="88">
        <v>63</v>
      </c>
      <c r="O14" s="88">
        <v>61</v>
      </c>
      <c r="P14" s="88">
        <v>52</v>
      </c>
    </row>
    <row r="15" spans="2:27" x14ac:dyDescent="0.3">
      <c r="B15" s="43" t="s">
        <v>48</v>
      </c>
      <c r="C15" s="50">
        <v>384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16" t="s">
        <v>50</v>
      </c>
      <c r="C16" s="17">
        <v>10235</v>
      </c>
      <c r="E16" s="18" t="s">
        <v>79</v>
      </c>
      <c r="F16" s="119">
        <v>0</v>
      </c>
      <c r="G16" s="117">
        <v>0</v>
      </c>
      <c r="H16" s="117">
        <v>8424.856901879999</v>
      </c>
      <c r="I16" s="19">
        <f>G16+H16</f>
        <v>8424.856901879999</v>
      </c>
      <c r="J16" s="119">
        <v>0</v>
      </c>
      <c r="K16" s="117">
        <v>0</v>
      </c>
      <c r="L16" s="117">
        <v>8401.0441547400005</v>
      </c>
      <c r="M16" s="19">
        <f>K16+L16</f>
        <v>8401.0441547400005</v>
      </c>
      <c r="N16" s="88">
        <v>11</v>
      </c>
      <c r="O16" s="88">
        <v>11</v>
      </c>
      <c r="P16" s="88">
        <v>11</v>
      </c>
    </row>
    <row r="17" spans="2:28" s="4" customFormat="1" x14ac:dyDescent="0.3">
      <c r="B17" s="16" t="s">
        <v>51</v>
      </c>
      <c r="C17" s="17">
        <v>2417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4875</v>
      </c>
      <c r="E18" s="84"/>
      <c r="F18" s="135">
        <f t="shared" ref="F18:M18" si="0">SUM(F6:F17)</f>
        <v>77093</v>
      </c>
      <c r="G18" s="135">
        <f t="shared" si="0"/>
        <v>52632.130999999994</v>
      </c>
      <c r="H18" s="135">
        <f t="shared" si="0"/>
        <v>58718.705111869996</v>
      </c>
      <c r="I18" s="136">
        <f t="shared" si="0"/>
        <v>111350.83611187001</v>
      </c>
      <c r="J18" s="135">
        <f t="shared" si="0"/>
        <v>78626</v>
      </c>
      <c r="K18" s="135">
        <f t="shared" si="0"/>
        <v>60350.106250000004</v>
      </c>
      <c r="L18" s="135">
        <f t="shared" si="0"/>
        <v>59504.050926669996</v>
      </c>
      <c r="M18" s="137">
        <f t="shared" si="0"/>
        <v>119854.15717667001</v>
      </c>
      <c r="N18" s="135">
        <f>SUM(N16,N14,N12,N10,N8,N6)</f>
        <v>254</v>
      </c>
      <c r="O18" s="135">
        <f>SUM(O16,O14,O12,O10,O8,O6)</f>
        <v>245</v>
      </c>
      <c r="P18" s="135">
        <f>SUM(P16,P14,P12,P10,P8,P6)</f>
        <v>213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0.1306122448979592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12635</v>
      </c>
      <c r="D26" s="76">
        <f>C11</f>
        <v>9852</v>
      </c>
      <c r="E26" s="77">
        <f t="shared" ref="E26:E31" si="1">D26-C26</f>
        <v>-2783</v>
      </c>
      <c r="M26" s="4"/>
    </row>
    <row r="27" spans="2:28" x14ac:dyDescent="0.3">
      <c r="B27" s="74" t="s">
        <v>56</v>
      </c>
      <c r="C27" s="122">
        <v>35029</v>
      </c>
      <c r="D27" s="76">
        <f>C7+C12+C13+C14+C15</f>
        <v>34951</v>
      </c>
      <c r="E27" s="77">
        <f t="shared" si="1"/>
        <v>-78</v>
      </c>
      <c r="J27" s="123"/>
      <c r="M27" s="4"/>
      <c r="Q27" s="69"/>
    </row>
    <row r="28" spans="2:28" x14ac:dyDescent="0.3">
      <c r="B28" s="74" t="s">
        <v>21</v>
      </c>
      <c r="C28" s="122">
        <v>42</v>
      </c>
      <c r="D28" s="76">
        <f>C6</f>
        <v>42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2291</v>
      </c>
      <c r="D29" s="76">
        <f>C10</f>
        <v>2291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17965</v>
      </c>
      <c r="D30" s="76">
        <f>C16+C17+C18</f>
        <v>17527</v>
      </c>
      <c r="E30" s="77">
        <f t="shared" si="1"/>
        <v>-438</v>
      </c>
      <c r="P30" s="4"/>
    </row>
    <row r="31" spans="2:28" ht="15" customHeight="1" thickBot="1" x14ac:dyDescent="0.35">
      <c r="B31" s="78" t="s">
        <v>60</v>
      </c>
      <c r="C31" s="121">
        <v>2505</v>
      </c>
      <c r="D31" s="80">
        <f>SUM(C8+C9)</f>
        <v>2505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44532</v>
      </c>
    </row>
    <row r="3" spans="2:27" ht="18.75" customHeight="1" thickBot="1" x14ac:dyDescent="0.35">
      <c r="B3" t="s">
        <v>1</v>
      </c>
      <c r="C3" s="3">
        <f>C2+1</f>
        <v>44533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137</v>
      </c>
      <c r="E6" s="18" t="s">
        <v>22</v>
      </c>
      <c r="F6" s="119">
        <v>27523</v>
      </c>
      <c r="G6" s="117">
        <v>13978.894600000011</v>
      </c>
      <c r="H6" s="117">
        <v>8687.8345992600061</v>
      </c>
      <c r="I6" s="19">
        <f>G6+H6</f>
        <v>22666.729199260015</v>
      </c>
      <c r="J6" s="119">
        <v>31201</v>
      </c>
      <c r="K6" s="117">
        <v>18183.7811</v>
      </c>
      <c r="L6" s="117">
        <v>9681.8456201400058</v>
      </c>
      <c r="M6" s="19">
        <f>K6+L6</f>
        <v>27865.626720140004</v>
      </c>
      <c r="N6" s="85">
        <v>85</v>
      </c>
      <c r="O6" s="85">
        <v>75</v>
      </c>
      <c r="P6" s="85">
        <v>75</v>
      </c>
    </row>
    <row r="7" spans="2:27" x14ac:dyDescent="0.3">
      <c r="B7" s="16" t="s">
        <v>23</v>
      </c>
      <c r="C7" s="17">
        <v>894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1750</v>
      </c>
      <c r="E8" s="140" t="s">
        <v>27</v>
      </c>
      <c r="F8" s="119">
        <v>0</v>
      </c>
      <c r="G8" s="117">
        <v>0</v>
      </c>
      <c r="H8" s="117">
        <v>4027.5135258199998</v>
      </c>
      <c r="I8" s="19">
        <f>G8+H8</f>
        <v>4027.5135258199998</v>
      </c>
      <c r="J8" s="119">
        <v>0</v>
      </c>
      <c r="K8" s="117">
        <v>0</v>
      </c>
      <c r="L8" s="117">
        <v>4245.7744514799997</v>
      </c>
      <c r="M8" s="19">
        <f>K8+L8</f>
        <v>4245.7744514799997</v>
      </c>
      <c r="N8" s="87">
        <v>6</v>
      </c>
      <c r="O8" s="87">
        <v>6</v>
      </c>
      <c r="P8" s="87">
        <v>4</v>
      </c>
    </row>
    <row r="9" spans="2:27" x14ac:dyDescent="0.3">
      <c r="B9" s="28" t="s">
        <v>28</v>
      </c>
      <c r="C9" s="17">
        <v>966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2399</v>
      </c>
      <c r="E10" s="18" t="s">
        <v>31</v>
      </c>
      <c r="F10" s="119">
        <v>19633</v>
      </c>
      <c r="G10" s="117">
        <v>12328.614750000001</v>
      </c>
      <c r="H10" s="117">
        <v>412.73549600000013</v>
      </c>
      <c r="I10" s="19">
        <f>G10+H10</f>
        <v>12741.350246</v>
      </c>
      <c r="J10" s="119">
        <v>21304</v>
      </c>
      <c r="K10" s="117">
        <v>14391.09475</v>
      </c>
      <c r="L10" s="117">
        <v>526.63430419999997</v>
      </c>
      <c r="M10" s="19">
        <f>K10+L10</f>
        <v>14917.729054200001</v>
      </c>
      <c r="N10" s="88">
        <v>54</v>
      </c>
      <c r="O10" s="88">
        <v>51</v>
      </c>
      <c r="P10" s="88">
        <v>47</v>
      </c>
    </row>
    <row r="11" spans="2:27" x14ac:dyDescent="0.3">
      <c r="B11" s="16" t="s">
        <v>38</v>
      </c>
      <c r="C11" s="17">
        <v>11038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40</v>
      </c>
      <c r="C12" s="17">
        <v>1364</v>
      </c>
      <c r="E12" s="140" t="s">
        <v>35</v>
      </c>
      <c r="F12" s="119">
        <v>13672</v>
      </c>
      <c r="G12" s="117">
        <v>11114.501249999999</v>
      </c>
      <c r="H12" s="117">
        <v>17521.361384110001</v>
      </c>
      <c r="I12" s="19">
        <f>G12+H12</f>
        <v>28635.862634110003</v>
      </c>
      <c r="J12" s="119">
        <v>13447</v>
      </c>
      <c r="K12" s="117">
        <v>13418.942499999999</v>
      </c>
      <c r="L12" s="117">
        <v>17385.02411396</v>
      </c>
      <c r="M12" s="19">
        <f>K12+L12</f>
        <v>30803.966613960001</v>
      </c>
      <c r="N12" s="88">
        <v>49</v>
      </c>
      <c r="O12" s="88">
        <v>49</v>
      </c>
      <c r="P12" s="88">
        <v>42</v>
      </c>
    </row>
    <row r="13" spans="2:27" x14ac:dyDescent="0.3">
      <c r="B13" s="28" t="s">
        <v>42</v>
      </c>
      <c r="C13" s="17">
        <f>22281-C7-C12-C14-C15</f>
        <v>19031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43" t="s">
        <v>47</v>
      </c>
      <c r="C14" s="17">
        <v>810</v>
      </c>
      <c r="E14" s="18" t="s">
        <v>39</v>
      </c>
      <c r="F14" s="119">
        <v>18108</v>
      </c>
      <c r="G14" s="117">
        <v>14052.246499999999</v>
      </c>
      <c r="H14" s="117">
        <v>22309.095280220012</v>
      </c>
      <c r="I14" s="19">
        <f>G14+H14</f>
        <v>36361.341780220013</v>
      </c>
      <c r="J14" s="119">
        <v>17769</v>
      </c>
      <c r="K14" s="117">
        <v>15292.512500000001</v>
      </c>
      <c r="L14" s="117">
        <v>21761.641405359998</v>
      </c>
      <c r="M14" s="19">
        <f>K14+L14</f>
        <v>37054.153905359999</v>
      </c>
      <c r="N14" s="88">
        <v>59</v>
      </c>
      <c r="O14" s="88">
        <v>57</v>
      </c>
      <c r="P14" s="88">
        <v>49</v>
      </c>
    </row>
    <row r="15" spans="2:27" x14ac:dyDescent="0.3">
      <c r="B15" s="43" t="s">
        <v>48</v>
      </c>
      <c r="C15" s="50">
        <v>182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16" t="s">
        <v>50</v>
      </c>
      <c r="C16" s="17">
        <v>12774</v>
      </c>
      <c r="E16" s="18" t="s">
        <v>79</v>
      </c>
      <c r="F16" s="119">
        <v>0</v>
      </c>
      <c r="G16" s="117">
        <v>0</v>
      </c>
      <c r="H16" s="117">
        <v>5372.6444873</v>
      </c>
      <c r="I16" s="19">
        <f>G16+H16</f>
        <v>5372.6444873</v>
      </c>
      <c r="J16" s="119">
        <v>0</v>
      </c>
      <c r="K16" s="117">
        <v>0</v>
      </c>
      <c r="L16" s="117">
        <v>5352.5895878800002</v>
      </c>
      <c r="M16" s="19">
        <f>K16+L16</f>
        <v>5352.5895878800002</v>
      </c>
      <c r="N16" s="88">
        <v>12</v>
      </c>
      <c r="O16" s="88">
        <v>12</v>
      </c>
      <c r="P16" s="88">
        <v>11</v>
      </c>
    </row>
    <row r="17" spans="2:28" s="4" customFormat="1" x14ac:dyDescent="0.3">
      <c r="B17" s="16" t="s">
        <v>51</v>
      </c>
      <c r="C17" s="17">
        <v>3095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6224</v>
      </c>
      <c r="E18" s="84"/>
      <c r="F18" s="135">
        <f t="shared" ref="F18:M18" si="0">SUM(F6:F17)</f>
        <v>78936</v>
      </c>
      <c r="G18" s="135">
        <f t="shared" si="0"/>
        <v>51474.25710000001</v>
      </c>
      <c r="H18" s="135">
        <f t="shared" si="0"/>
        <v>58331.184772710018</v>
      </c>
      <c r="I18" s="136">
        <f t="shared" si="0"/>
        <v>109805.44187271003</v>
      </c>
      <c r="J18" s="135">
        <f t="shared" si="0"/>
        <v>83721</v>
      </c>
      <c r="K18" s="135">
        <f t="shared" si="0"/>
        <v>61286.330849999998</v>
      </c>
      <c r="L18" s="135">
        <f t="shared" si="0"/>
        <v>58953.509483020003</v>
      </c>
      <c r="M18" s="137">
        <f t="shared" si="0"/>
        <v>120239.84033301999</v>
      </c>
      <c r="N18" s="135">
        <f>SUM(N16,N14,N12,N10,N8,N6)</f>
        <v>265</v>
      </c>
      <c r="O18" s="135">
        <f>SUM(O16,O14,O12,O10,O8,O6)</f>
        <v>250</v>
      </c>
      <c r="P18" s="135">
        <f>SUM(P16,P14,P12,P10,P8,P6)</f>
        <v>228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8.4000000000000005E-2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12704</v>
      </c>
      <c r="D26" s="76">
        <f>C11</f>
        <v>11038</v>
      </c>
      <c r="E26" s="77">
        <f t="shared" ref="E26:E31" si="1">D26-C26</f>
        <v>-1666</v>
      </c>
      <c r="M26" s="4"/>
    </row>
    <row r="27" spans="2:28" x14ac:dyDescent="0.3">
      <c r="B27" s="74" t="s">
        <v>56</v>
      </c>
      <c r="C27" s="122">
        <v>33150</v>
      </c>
      <c r="D27" s="76">
        <f>C7+C12+C13+C14+C15</f>
        <v>22281</v>
      </c>
      <c r="E27" s="77">
        <f t="shared" si="1"/>
        <v>-10869</v>
      </c>
      <c r="J27" s="123"/>
      <c r="M27" s="4"/>
      <c r="Q27" s="69"/>
    </row>
    <row r="28" spans="2:28" x14ac:dyDescent="0.3">
      <c r="B28" s="74" t="s">
        <v>21</v>
      </c>
      <c r="C28" s="122">
        <v>137</v>
      </c>
      <c r="D28" s="76">
        <f>C6</f>
        <v>137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2399</v>
      </c>
      <c r="D29" s="76">
        <f>C10</f>
        <v>2399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16217</v>
      </c>
      <c r="D30" s="76">
        <f>C16+C17+C18</f>
        <v>22093</v>
      </c>
      <c r="E30" s="77">
        <f t="shared" si="1"/>
        <v>5876</v>
      </c>
      <c r="P30" s="4"/>
    </row>
    <row r="31" spans="2:28" ht="15" customHeight="1" thickBot="1" x14ac:dyDescent="0.35">
      <c r="B31" s="78" t="s">
        <v>60</v>
      </c>
      <c r="C31" s="121">
        <v>2655</v>
      </c>
      <c r="D31" s="80">
        <f>SUM(C8+C9)</f>
        <v>2716</v>
      </c>
      <c r="E31" s="81">
        <f t="shared" si="1"/>
        <v>61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44533</v>
      </c>
    </row>
    <row r="3" spans="2:27" ht="18.75" customHeight="1" thickBot="1" x14ac:dyDescent="0.35">
      <c r="B3" t="s">
        <v>1</v>
      </c>
      <c r="C3" s="3">
        <f>C2+1</f>
        <v>44534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25066</v>
      </c>
      <c r="G6" s="117">
        <v>15017.996499999999</v>
      </c>
      <c r="H6" s="117">
        <v>7748.8732085599913</v>
      </c>
      <c r="I6" s="19">
        <f>G6+H6</f>
        <v>22766.869708559992</v>
      </c>
      <c r="J6" s="119">
        <v>20923</v>
      </c>
      <c r="K6" s="117">
        <v>14914.489250000001</v>
      </c>
      <c r="L6" s="117">
        <v>7726.0690163799927</v>
      </c>
      <c r="M6" s="19">
        <f>K6+L6</f>
        <v>22640.558266379994</v>
      </c>
      <c r="N6" s="85">
        <v>82</v>
      </c>
      <c r="O6" s="85">
        <v>77</v>
      </c>
      <c r="P6" s="85">
        <v>70</v>
      </c>
    </row>
    <row r="7" spans="2:27" x14ac:dyDescent="0.3">
      <c r="B7" s="16" t="s">
        <v>23</v>
      </c>
      <c r="C7" s="17">
        <v>1959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1820</v>
      </c>
      <c r="E8" s="140" t="s">
        <v>27</v>
      </c>
      <c r="F8" s="119">
        <v>0</v>
      </c>
      <c r="G8" s="117">
        <v>0</v>
      </c>
      <c r="H8" s="117">
        <v>4272.2599463200004</v>
      </c>
      <c r="I8" s="19">
        <f>G8+H8</f>
        <v>4272.2599463200004</v>
      </c>
      <c r="J8" s="119">
        <v>0</v>
      </c>
      <c r="K8" s="117">
        <v>0</v>
      </c>
      <c r="L8" s="117">
        <v>4006.0399631599998</v>
      </c>
      <c r="M8" s="19">
        <f>K8+L8</f>
        <v>4006.0399631599998</v>
      </c>
      <c r="N8" s="87">
        <v>8</v>
      </c>
      <c r="O8" s="87">
        <v>8</v>
      </c>
      <c r="P8" s="87">
        <v>7</v>
      </c>
    </row>
    <row r="9" spans="2:27" x14ac:dyDescent="0.3">
      <c r="B9" s="28" t="s">
        <v>28</v>
      </c>
      <c r="C9" s="17">
        <v>1002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4331</v>
      </c>
      <c r="E10" s="18" t="s">
        <v>31</v>
      </c>
      <c r="F10" s="119">
        <v>18897</v>
      </c>
      <c r="G10" s="117">
        <v>14581.301750000001</v>
      </c>
      <c r="H10" s="117">
        <v>402.38627279999997</v>
      </c>
      <c r="I10" s="19">
        <f>G10+H10</f>
        <v>14983.688022800001</v>
      </c>
      <c r="J10" s="119">
        <v>16448</v>
      </c>
      <c r="K10" s="117">
        <v>13366.599249999999</v>
      </c>
      <c r="L10" s="117">
        <v>272.29026579999999</v>
      </c>
      <c r="M10" s="19">
        <f>K10+L10</f>
        <v>13638.8895158</v>
      </c>
      <c r="N10" s="88">
        <v>54</v>
      </c>
      <c r="O10" s="88">
        <v>51</v>
      </c>
      <c r="P10" s="88">
        <v>44</v>
      </c>
    </row>
    <row r="11" spans="2:27" x14ac:dyDescent="0.3">
      <c r="B11" s="16" t="s">
        <v>38</v>
      </c>
      <c r="C11" s="17">
        <v>10986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40</v>
      </c>
      <c r="C12" s="17">
        <v>2044</v>
      </c>
      <c r="E12" s="140" t="s">
        <v>35</v>
      </c>
      <c r="F12" s="119">
        <v>13396</v>
      </c>
      <c r="G12" s="117">
        <v>11651.722750000001</v>
      </c>
      <c r="H12" s="117">
        <v>17663.837720369989</v>
      </c>
      <c r="I12" s="19">
        <f>G12+H12</f>
        <v>29315.56047036999</v>
      </c>
      <c r="J12" s="119">
        <v>13699</v>
      </c>
      <c r="K12" s="117">
        <v>13722.147000000001</v>
      </c>
      <c r="L12" s="117">
        <v>17912.189375900001</v>
      </c>
      <c r="M12" s="19">
        <f>K12+L12</f>
        <v>31634.336375900002</v>
      </c>
      <c r="N12" s="88">
        <v>51</v>
      </c>
      <c r="O12" s="88">
        <v>54</v>
      </c>
      <c r="P12" s="88">
        <v>45</v>
      </c>
    </row>
    <row r="13" spans="2:27" x14ac:dyDescent="0.3">
      <c r="B13" s="28" t="s">
        <v>42</v>
      </c>
      <c r="C13" s="17">
        <v>28541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43" t="s">
        <v>47</v>
      </c>
      <c r="C14" s="17">
        <v>1773</v>
      </c>
      <c r="E14" s="18" t="s">
        <v>39</v>
      </c>
      <c r="F14" s="119">
        <v>24255</v>
      </c>
      <c r="G14" s="117">
        <v>16635.48575</v>
      </c>
      <c r="H14" s="117">
        <v>28182.162358040001</v>
      </c>
      <c r="I14" s="19">
        <f>G14+H14</f>
        <v>44817.648108039997</v>
      </c>
      <c r="J14" s="119">
        <v>24467</v>
      </c>
      <c r="K14" s="117">
        <v>17626.657500000001</v>
      </c>
      <c r="L14" s="117">
        <v>28109.648925599999</v>
      </c>
      <c r="M14" s="19">
        <f>K14+L14</f>
        <v>45736.3064256</v>
      </c>
      <c r="N14" s="88">
        <v>68</v>
      </c>
      <c r="O14" s="88">
        <v>71</v>
      </c>
      <c r="P14" s="88">
        <v>63</v>
      </c>
    </row>
    <row r="15" spans="2:27" x14ac:dyDescent="0.3">
      <c r="B15" s="43" t="s">
        <v>48</v>
      </c>
      <c r="C15" s="50">
        <v>384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16" t="s">
        <v>50</v>
      </c>
      <c r="C16" s="17">
        <v>6453</v>
      </c>
      <c r="E16" s="18" t="s">
        <v>79</v>
      </c>
      <c r="F16" s="119">
        <v>0</v>
      </c>
      <c r="G16" s="117">
        <v>0</v>
      </c>
      <c r="H16" s="117">
        <v>8881.3690140199997</v>
      </c>
      <c r="I16" s="19">
        <f>G16+H16</f>
        <v>8881.3690140199997</v>
      </c>
      <c r="J16" s="119">
        <v>0</v>
      </c>
      <c r="K16" s="117">
        <v>0</v>
      </c>
      <c r="L16" s="117">
        <v>8812.1651533200002</v>
      </c>
      <c r="M16" s="19">
        <f>K16+L16</f>
        <v>8812.1651533200002</v>
      </c>
      <c r="N16" s="88">
        <v>13</v>
      </c>
      <c r="O16" s="88">
        <v>13</v>
      </c>
      <c r="P16" s="88">
        <v>11</v>
      </c>
    </row>
    <row r="17" spans="2:28" s="4" customFormat="1" x14ac:dyDescent="0.3">
      <c r="B17" s="16" t="s">
        <v>51</v>
      </c>
      <c r="C17" s="17">
        <v>733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3193</v>
      </c>
      <c r="E18" s="84"/>
      <c r="F18" s="135">
        <f t="shared" ref="F18:M18" si="0">SUM(F6:F17)</f>
        <v>81614</v>
      </c>
      <c r="G18" s="135">
        <f t="shared" si="0"/>
        <v>57886.50675</v>
      </c>
      <c r="H18" s="135">
        <f t="shared" si="0"/>
        <v>67150.888520109991</v>
      </c>
      <c r="I18" s="136">
        <f t="shared" si="0"/>
        <v>125037.39527010999</v>
      </c>
      <c r="J18" s="135">
        <f t="shared" si="0"/>
        <v>75537</v>
      </c>
      <c r="K18" s="135">
        <f t="shared" si="0"/>
        <v>59629.892999999996</v>
      </c>
      <c r="L18" s="135">
        <f t="shared" si="0"/>
        <v>66838.40270015999</v>
      </c>
      <c r="M18" s="137">
        <f t="shared" si="0"/>
        <v>126468.29570016</v>
      </c>
      <c r="N18" s="135">
        <f>SUM(N16,N14,N12,N10,N8,N6)</f>
        <v>276</v>
      </c>
      <c r="O18" s="135">
        <f>SUM(O16,O14,O12,O10,O8,O6)</f>
        <v>274</v>
      </c>
      <c r="P18" s="135">
        <f>SUM(P16,P14,P12,P10,P8,P6)</f>
        <v>240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0.11678832116788321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11672</v>
      </c>
      <c r="D26" s="76">
        <f>C11</f>
        <v>10986</v>
      </c>
      <c r="E26" s="77">
        <f t="shared" ref="E26:E31" si="1">D26-C26</f>
        <v>-686</v>
      </c>
      <c r="M26" s="4"/>
    </row>
    <row r="27" spans="2:28" x14ac:dyDescent="0.3">
      <c r="B27" s="74" t="s">
        <v>56</v>
      </c>
      <c r="C27" s="122">
        <v>33552</v>
      </c>
      <c r="D27" s="76">
        <f>C7+C12+C13+C14+C15</f>
        <v>34701</v>
      </c>
      <c r="E27" s="77">
        <f t="shared" si="1"/>
        <v>1149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4331</v>
      </c>
      <c r="D29" s="76">
        <f>C10</f>
        <v>4331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16794</v>
      </c>
      <c r="D30" s="76">
        <f>C16+C17+C18</f>
        <v>10379</v>
      </c>
      <c r="E30" s="77">
        <f t="shared" si="1"/>
        <v>-6415</v>
      </c>
      <c r="P30" s="4"/>
    </row>
    <row r="31" spans="2:28" ht="15" customHeight="1" thickBot="1" x14ac:dyDescent="0.35">
      <c r="B31" s="78" t="s">
        <v>60</v>
      </c>
      <c r="C31" s="121">
        <v>4703</v>
      </c>
      <c r="D31" s="80">
        <f>SUM(C8+C9)</f>
        <v>2822</v>
      </c>
      <c r="E31" s="81">
        <f t="shared" si="1"/>
        <v>-1881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44534</v>
      </c>
    </row>
    <row r="3" spans="2:27" ht="18.75" customHeight="1" thickBot="1" x14ac:dyDescent="0.35">
      <c r="B3" t="s">
        <v>1</v>
      </c>
      <c r="C3" s="3">
        <f>C2+1</f>
        <v>44535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73</v>
      </c>
      <c r="E6" s="18" t="s">
        <v>22</v>
      </c>
      <c r="F6" s="119">
        <v>24422</v>
      </c>
      <c r="G6" s="117">
        <v>13722.6405</v>
      </c>
      <c r="H6" s="117">
        <v>7373.9118951199916</v>
      </c>
      <c r="I6" s="19">
        <f>G6+H6</f>
        <v>21096.55239511999</v>
      </c>
      <c r="J6" s="119">
        <v>29036</v>
      </c>
      <c r="K6" s="117">
        <v>16748.944449999999</v>
      </c>
      <c r="L6" s="117">
        <v>8367.0575604799924</v>
      </c>
      <c r="M6" s="19">
        <f>K6+L6</f>
        <v>25116.002010479991</v>
      </c>
      <c r="N6" s="85">
        <v>96</v>
      </c>
      <c r="O6" s="85">
        <v>94</v>
      </c>
      <c r="P6" s="85">
        <v>77</v>
      </c>
    </row>
    <row r="7" spans="2:27" x14ac:dyDescent="0.3">
      <c r="B7" s="16" t="s">
        <v>23</v>
      </c>
      <c r="C7" s="17">
        <v>822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4107</v>
      </c>
      <c r="E8" s="140" t="s">
        <v>27</v>
      </c>
      <c r="F8" s="119">
        <v>0</v>
      </c>
      <c r="G8" s="117">
        <v>0</v>
      </c>
      <c r="H8" s="117">
        <v>3723.7704398199999</v>
      </c>
      <c r="I8" s="19">
        <f>G8+H8</f>
        <v>3723.7704398199999</v>
      </c>
      <c r="J8" s="119">
        <v>0</v>
      </c>
      <c r="K8" s="117">
        <v>0</v>
      </c>
      <c r="L8" s="117">
        <v>3874.723985820001</v>
      </c>
      <c r="M8" s="19">
        <f>K8+L8</f>
        <v>3874.723985820001</v>
      </c>
      <c r="N8" s="87">
        <v>8</v>
      </c>
      <c r="O8" s="87">
        <v>8</v>
      </c>
      <c r="P8" s="87">
        <v>5</v>
      </c>
    </row>
    <row r="9" spans="2:27" x14ac:dyDescent="0.3">
      <c r="B9" s="28" t="s">
        <v>28</v>
      </c>
      <c r="C9" s="17">
        <v>1746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3</v>
      </c>
    </row>
    <row r="10" spans="2:27" x14ac:dyDescent="0.3">
      <c r="B10" s="16" t="s">
        <v>30</v>
      </c>
      <c r="C10" s="17">
        <v>2433</v>
      </c>
      <c r="E10" s="18" t="s">
        <v>31</v>
      </c>
      <c r="F10" s="119">
        <v>16593</v>
      </c>
      <c r="G10" s="117">
        <v>10794.094499999999</v>
      </c>
      <c r="H10" s="117">
        <v>378.41541300000011</v>
      </c>
      <c r="I10" s="19">
        <f>G10+H10</f>
        <v>11172.509913</v>
      </c>
      <c r="J10" s="119">
        <v>18809</v>
      </c>
      <c r="K10" s="117">
        <v>13267.201999999999</v>
      </c>
      <c r="L10" s="117">
        <v>436.12847840000001</v>
      </c>
      <c r="M10" s="19">
        <f>K10+L10</f>
        <v>13703.330478399999</v>
      </c>
      <c r="N10" s="88">
        <v>50</v>
      </c>
      <c r="O10" s="88">
        <v>53</v>
      </c>
      <c r="P10" s="88">
        <v>45</v>
      </c>
    </row>
    <row r="11" spans="2:27" x14ac:dyDescent="0.3">
      <c r="B11" s="16" t="s">
        <v>38</v>
      </c>
      <c r="C11" s="17">
        <v>9098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40</v>
      </c>
      <c r="C12" s="17">
        <v>1142</v>
      </c>
      <c r="E12" s="140" t="s">
        <v>35</v>
      </c>
      <c r="F12" s="119">
        <v>14234</v>
      </c>
      <c r="G12" s="117">
        <v>9868.5782499999987</v>
      </c>
      <c r="H12" s="117">
        <v>18439.836863100001</v>
      </c>
      <c r="I12" s="19">
        <f>G12+H12</f>
        <v>28308.4151131</v>
      </c>
      <c r="J12" s="119">
        <v>15373</v>
      </c>
      <c r="K12" s="117">
        <v>15162.96925</v>
      </c>
      <c r="L12" s="117">
        <v>19434.836863519991</v>
      </c>
      <c r="M12" s="19">
        <f>K12+L12</f>
        <v>34597.80611351999</v>
      </c>
      <c r="N12" s="88">
        <v>55</v>
      </c>
      <c r="O12" s="88">
        <v>59</v>
      </c>
      <c r="P12" s="88">
        <v>46</v>
      </c>
    </row>
    <row r="13" spans="2:27" x14ac:dyDescent="0.3">
      <c r="B13" s="28" t="s">
        <v>42</v>
      </c>
      <c r="C13" s="17">
        <f>25124-C7-C12-C14-C15</f>
        <v>22282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3">
      <c r="B14" s="43" t="s">
        <v>47</v>
      </c>
      <c r="C14" s="17">
        <v>714</v>
      </c>
      <c r="E14" s="18" t="s">
        <v>39</v>
      </c>
      <c r="F14" s="119">
        <v>26181</v>
      </c>
      <c r="G14" s="117">
        <v>7716.875</v>
      </c>
      <c r="H14" s="117">
        <v>30874.039772540011</v>
      </c>
      <c r="I14" s="19">
        <f>G14+H14</f>
        <v>38590.914772540011</v>
      </c>
      <c r="J14" s="119">
        <v>27896</v>
      </c>
      <c r="K14" s="117">
        <v>21597.11075</v>
      </c>
      <c r="L14" s="117">
        <v>33601.03015096001</v>
      </c>
      <c r="M14" s="19">
        <f>K14+L14</f>
        <v>55198.14090096001</v>
      </c>
      <c r="N14" s="88">
        <v>60</v>
      </c>
      <c r="O14" s="88"/>
      <c r="P14" s="88">
        <v>50</v>
      </c>
    </row>
    <row r="15" spans="2:27" x14ac:dyDescent="0.3">
      <c r="B15" s="43" t="s">
        <v>48</v>
      </c>
      <c r="C15" s="50">
        <v>164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-50</v>
      </c>
    </row>
    <row r="16" spans="2:27" x14ac:dyDescent="0.3">
      <c r="B16" s="16" t="s">
        <v>50</v>
      </c>
      <c r="C16" s="17">
        <v>11977</v>
      </c>
      <c r="E16" s="18" t="s">
        <v>79</v>
      </c>
      <c r="F16" s="119">
        <v>0</v>
      </c>
      <c r="G16" s="117">
        <v>0</v>
      </c>
      <c r="H16" s="117">
        <v>4523.7115746999998</v>
      </c>
      <c r="I16" s="19">
        <f>G16+H16</f>
        <v>4523.7115746999998</v>
      </c>
      <c r="J16" s="119">
        <v>0</v>
      </c>
      <c r="K16" s="117">
        <v>0</v>
      </c>
      <c r="L16" s="117">
        <v>4543.0131908999992</v>
      </c>
      <c r="M16" s="19">
        <f>K16+L16</f>
        <v>4543.0131908999992</v>
      </c>
      <c r="N16" s="88">
        <v>11</v>
      </c>
      <c r="O16" s="88"/>
      <c r="P16" s="88">
        <v>9</v>
      </c>
    </row>
    <row r="17" spans="2:28" s="4" customFormat="1" x14ac:dyDescent="0.3">
      <c r="B17" s="16" t="s">
        <v>51</v>
      </c>
      <c r="C17" s="17">
        <v>2390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-9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4821</v>
      </c>
      <c r="E18" s="84"/>
      <c r="F18" s="135">
        <f t="shared" ref="F18:M18" si="0">SUM(F6:F17)</f>
        <v>81430</v>
      </c>
      <c r="G18" s="135">
        <f t="shared" si="0"/>
        <v>42102.188249999999</v>
      </c>
      <c r="H18" s="135">
        <f t="shared" si="0"/>
        <v>65313.685958280003</v>
      </c>
      <c r="I18" s="136">
        <f t="shared" si="0"/>
        <v>107415.87420828</v>
      </c>
      <c r="J18" s="135">
        <f t="shared" si="0"/>
        <v>91114</v>
      </c>
      <c r="K18" s="135">
        <f t="shared" si="0"/>
        <v>66776.226450000002</v>
      </c>
      <c r="L18" s="135">
        <f t="shared" si="0"/>
        <v>70256.790230079991</v>
      </c>
      <c r="M18" s="137">
        <f t="shared" si="0"/>
        <v>137033.01668008001</v>
      </c>
      <c r="N18" s="135">
        <f>SUM(N16,N14,N12,N10,N8,N6)</f>
        <v>280</v>
      </c>
      <c r="O18" s="135">
        <f>SUM(O16,O14,O12,O10,O8,O6)</f>
        <v>214</v>
      </c>
      <c r="P18" s="135">
        <f>SUM(P16,P14,P12,P10,P8,P6)</f>
        <v>232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-9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-4.2056074766355138E-2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11662</v>
      </c>
      <c r="D26" s="76">
        <f>C11</f>
        <v>9098</v>
      </c>
      <c r="E26" s="77">
        <f t="shared" ref="E26:E31" si="1">D26-C26</f>
        <v>-2564</v>
      </c>
      <c r="M26" s="4"/>
    </row>
    <row r="27" spans="2:28" x14ac:dyDescent="0.3">
      <c r="B27" s="74" t="s">
        <v>56</v>
      </c>
      <c r="C27" s="122">
        <v>33659</v>
      </c>
      <c r="D27" s="76">
        <f>C7+C12+C13+C14+C15</f>
        <v>25124</v>
      </c>
      <c r="E27" s="77">
        <f t="shared" si="1"/>
        <v>-8535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73</v>
      </c>
      <c r="E28" s="77">
        <f t="shared" si="1"/>
        <v>73</v>
      </c>
      <c r="M28" s="4"/>
    </row>
    <row r="29" spans="2:28" x14ac:dyDescent="0.3">
      <c r="B29" s="74" t="s">
        <v>57</v>
      </c>
      <c r="C29" s="122">
        <v>4860</v>
      </c>
      <c r="D29" s="76">
        <f>C10</f>
        <v>2433</v>
      </c>
      <c r="E29" s="77">
        <f t="shared" si="1"/>
        <v>-2427</v>
      </c>
      <c r="P29" s="4"/>
    </row>
    <row r="30" spans="2:28" x14ac:dyDescent="0.3">
      <c r="B30" s="74" t="s">
        <v>59</v>
      </c>
      <c r="C30" s="122">
        <v>15489</v>
      </c>
      <c r="D30" s="76">
        <f>C16+C17+C18</f>
        <v>19188</v>
      </c>
      <c r="E30" s="77">
        <f t="shared" si="1"/>
        <v>3699</v>
      </c>
      <c r="P30" s="4"/>
    </row>
    <row r="31" spans="2:28" ht="15" customHeight="1" thickBot="1" x14ac:dyDescent="0.35">
      <c r="B31" s="78" t="s">
        <v>60</v>
      </c>
      <c r="C31" s="121">
        <v>2977</v>
      </c>
      <c r="D31" s="80">
        <f>SUM(C8+C9)</f>
        <v>5853</v>
      </c>
      <c r="E31" s="81">
        <f t="shared" si="1"/>
        <v>2876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44535</v>
      </c>
    </row>
    <row r="3" spans="2:27" ht="18.75" customHeight="1" thickBot="1" x14ac:dyDescent="0.35">
      <c r="B3" t="s">
        <v>1</v>
      </c>
      <c r="C3" s="3">
        <f>C2+1</f>
        <v>44536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15695</v>
      </c>
      <c r="G6" s="117">
        <v>13735.479950000001</v>
      </c>
      <c r="H6" s="117">
        <v>1288.11925</v>
      </c>
      <c r="I6" s="19">
        <f>G6+H6</f>
        <v>15023.599200000001</v>
      </c>
      <c r="J6" s="119">
        <v>15468</v>
      </c>
      <c r="K6" s="117">
        <v>13735.479950000001</v>
      </c>
      <c r="L6" s="117">
        <v>1288.11925</v>
      </c>
      <c r="M6" s="19">
        <f>K6+L6</f>
        <v>15023.599200000001</v>
      </c>
      <c r="N6" s="85">
        <v>47</v>
      </c>
      <c r="O6" s="85">
        <v>46</v>
      </c>
      <c r="P6" s="85">
        <v>37</v>
      </c>
    </row>
    <row r="7" spans="2:27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88">
        <v>0</v>
      </c>
    </row>
    <row r="11" spans="2:27" x14ac:dyDescent="0.3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28" t="s">
        <v>42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0</v>
      </c>
      <c r="O14" s="88">
        <v>0</v>
      </c>
      <c r="P14" s="88">
        <v>0</v>
      </c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16" t="s">
        <v>50</v>
      </c>
      <c r="C16" s="17">
        <v>9763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51</v>
      </c>
      <c r="C17" s="17">
        <v>825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4880</v>
      </c>
      <c r="E18" s="84"/>
      <c r="F18" s="135">
        <f t="shared" ref="F18:M18" si="0">SUM(F6:F17)</f>
        <v>15695</v>
      </c>
      <c r="G18" s="135">
        <f t="shared" si="0"/>
        <v>13735.479950000001</v>
      </c>
      <c r="H18" s="135">
        <f t="shared" si="0"/>
        <v>1288.11925</v>
      </c>
      <c r="I18" s="136">
        <f t="shared" si="0"/>
        <v>15023.599200000001</v>
      </c>
      <c r="J18" s="135">
        <f t="shared" si="0"/>
        <v>15468</v>
      </c>
      <c r="K18" s="135">
        <f t="shared" si="0"/>
        <v>13735.479950000001</v>
      </c>
      <c r="L18" s="135">
        <f t="shared" si="0"/>
        <v>1288.11925</v>
      </c>
      <c r="M18" s="137">
        <f t="shared" si="0"/>
        <v>15023.599200000001</v>
      </c>
      <c r="N18" s="135">
        <f>SUM(N16,N14,N12,N10,N8,N6)</f>
        <v>47</v>
      </c>
      <c r="O18" s="135">
        <f>SUM(O16,O14,O12,O10,O8,O6)</f>
        <v>46</v>
      </c>
      <c r="P18" s="135">
        <f>SUM(P16,P14,P12,P10,P8,P6)</f>
        <v>37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0.19565217391304349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0</v>
      </c>
      <c r="D26" s="76">
        <f>C11</f>
        <v>0</v>
      </c>
      <c r="E26" s="77">
        <f t="shared" ref="E26:E31" si="1">D26-C26</f>
        <v>0</v>
      </c>
      <c r="M26" s="4"/>
    </row>
    <row r="27" spans="2:28" x14ac:dyDescent="0.3">
      <c r="B27" s="74" t="s">
        <v>56</v>
      </c>
      <c r="C27" s="122">
        <v>0</v>
      </c>
      <c r="D27" s="76">
        <f>C7+C12+C13+C14+C15</f>
        <v>0</v>
      </c>
      <c r="E27" s="77">
        <f t="shared" si="1"/>
        <v>0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0</v>
      </c>
      <c r="D29" s="76">
        <f>C10</f>
        <v>0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15695</v>
      </c>
      <c r="D30" s="76">
        <f>C16+C17+C18</f>
        <v>15468</v>
      </c>
      <c r="E30" s="77">
        <f t="shared" si="1"/>
        <v>-227</v>
      </c>
      <c r="P30" s="4"/>
    </row>
    <row r="31" spans="2:28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44536</v>
      </c>
    </row>
    <row r="3" spans="2:27" ht="18.75" customHeight="1" thickBot="1" x14ac:dyDescent="0.35">
      <c r="B3" t="s">
        <v>1</v>
      </c>
      <c r="C3" s="3">
        <f>C2+1</f>
        <v>44537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63</v>
      </c>
      <c r="E6" s="18" t="s">
        <v>22</v>
      </c>
      <c r="F6" s="119">
        <v>23612</v>
      </c>
      <c r="G6" s="117">
        <v>14140.89341666667</v>
      </c>
      <c r="H6" s="117">
        <v>6826.6656426000018</v>
      </c>
      <c r="I6" s="19">
        <f>G6+H6</f>
        <v>20967.55905926667</v>
      </c>
      <c r="J6" s="119">
        <v>23949</v>
      </c>
      <c r="K6" s="117">
        <v>14243.238166666661</v>
      </c>
      <c r="L6" s="117">
        <v>6825.9204018000019</v>
      </c>
      <c r="M6" s="19">
        <f>K6+L6</f>
        <v>21069.158568466664</v>
      </c>
      <c r="N6" s="85">
        <v>72</v>
      </c>
      <c r="O6" s="85">
        <v>68</v>
      </c>
      <c r="P6" s="85">
        <v>62</v>
      </c>
    </row>
    <row r="7" spans="2:27" x14ac:dyDescent="0.3">
      <c r="B7" s="16" t="s">
        <v>23</v>
      </c>
      <c r="C7" s="17">
        <v>1659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1803</v>
      </c>
      <c r="E8" s="140" t="s">
        <v>27</v>
      </c>
      <c r="F8" s="119">
        <v>0</v>
      </c>
      <c r="G8" s="117">
        <v>0</v>
      </c>
      <c r="H8" s="117">
        <v>3716.9207831799999</v>
      </c>
      <c r="I8" s="19">
        <f>G8+H8</f>
        <v>3716.9207831799999</v>
      </c>
      <c r="J8" s="119">
        <v>0</v>
      </c>
      <c r="K8" s="117">
        <v>0</v>
      </c>
      <c r="L8" s="117">
        <v>3556.9688308200002</v>
      </c>
      <c r="M8" s="19">
        <f>K8+L8</f>
        <v>3556.9688308200002</v>
      </c>
      <c r="N8" s="87">
        <v>8</v>
      </c>
      <c r="O8" s="87">
        <v>8</v>
      </c>
      <c r="P8" s="87">
        <v>7</v>
      </c>
    </row>
    <row r="9" spans="2:27" x14ac:dyDescent="0.3">
      <c r="B9" s="28" t="s">
        <v>28</v>
      </c>
      <c r="C9" s="17">
        <v>875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2375</v>
      </c>
      <c r="E10" s="18" t="s">
        <v>31</v>
      </c>
      <c r="F10" s="119">
        <v>19059</v>
      </c>
      <c r="G10" s="117">
        <v>13890.394749999999</v>
      </c>
      <c r="H10" s="117">
        <v>414.40906999999999</v>
      </c>
      <c r="I10" s="19">
        <f>G10+H10</f>
        <v>14304.803819999999</v>
      </c>
      <c r="J10" s="119">
        <v>18915</v>
      </c>
      <c r="K10" s="117">
        <v>13524.52175</v>
      </c>
      <c r="L10" s="117">
        <v>428.32546459999998</v>
      </c>
      <c r="M10" s="19">
        <f>K10+L10</f>
        <v>13952.8472146</v>
      </c>
      <c r="N10" s="88">
        <v>42</v>
      </c>
      <c r="O10" s="88">
        <v>46</v>
      </c>
      <c r="P10" s="88">
        <v>40</v>
      </c>
    </row>
    <row r="11" spans="2:27" x14ac:dyDescent="0.3">
      <c r="B11" s="16" t="s">
        <v>38</v>
      </c>
      <c r="C11" s="17">
        <v>9043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40</v>
      </c>
      <c r="C12" s="17">
        <v>2044</v>
      </c>
      <c r="E12" s="140" t="s">
        <v>35</v>
      </c>
      <c r="F12" s="119">
        <v>11962</v>
      </c>
      <c r="G12" s="117">
        <v>11545.062250000001</v>
      </c>
      <c r="H12" s="117">
        <v>15275.415411190001</v>
      </c>
      <c r="I12" s="19">
        <f>G12+H12</f>
        <v>26820.477661190002</v>
      </c>
      <c r="J12" s="119">
        <v>11769</v>
      </c>
      <c r="K12" s="117">
        <v>11444.94075</v>
      </c>
      <c r="L12" s="117">
        <v>15025.809968420001</v>
      </c>
      <c r="M12" s="19">
        <f>K12+L12</f>
        <v>26470.75071842</v>
      </c>
      <c r="N12" s="88">
        <v>49</v>
      </c>
      <c r="O12" s="88">
        <v>54</v>
      </c>
      <c r="P12" s="88">
        <v>45</v>
      </c>
    </row>
    <row r="13" spans="2:27" x14ac:dyDescent="0.3">
      <c r="B13" s="28" t="s">
        <v>42</v>
      </c>
      <c r="C13" s="17">
        <v>25464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43" t="s">
        <v>47</v>
      </c>
      <c r="C14" s="17">
        <v>1273</v>
      </c>
      <c r="E14" s="18" t="s">
        <v>39</v>
      </c>
      <c r="F14" s="119">
        <v>16922</v>
      </c>
      <c r="G14" s="117">
        <v>14562.0255</v>
      </c>
      <c r="H14" s="117">
        <v>20841.504186400001</v>
      </c>
      <c r="I14" s="19">
        <f>G14+H14</f>
        <v>35403.529686399997</v>
      </c>
      <c r="J14" s="119">
        <v>16587</v>
      </c>
      <c r="K14" s="117">
        <v>14138.588750000001</v>
      </c>
      <c r="L14" s="117">
        <v>20464.730826800009</v>
      </c>
      <c r="M14" s="19">
        <f>K14+L14</f>
        <v>34603.319576800008</v>
      </c>
      <c r="N14" s="88">
        <v>64</v>
      </c>
      <c r="O14" s="88">
        <v>68</v>
      </c>
      <c r="P14" s="88">
        <v>52</v>
      </c>
    </row>
    <row r="15" spans="2:27" x14ac:dyDescent="0.3">
      <c r="B15" s="43" t="s">
        <v>48</v>
      </c>
      <c r="C15" s="50">
        <v>384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16</v>
      </c>
    </row>
    <row r="16" spans="2:27" x14ac:dyDescent="0.3">
      <c r="B16" s="16" t="s">
        <v>50</v>
      </c>
      <c r="C16" s="17">
        <v>11598</v>
      </c>
      <c r="E16" s="18" t="s">
        <v>79</v>
      </c>
      <c r="F16" s="119">
        <v>0</v>
      </c>
      <c r="G16" s="117">
        <v>0</v>
      </c>
      <c r="H16" s="117">
        <v>7810.9299954999997</v>
      </c>
      <c r="I16" s="19">
        <f>G16+H16</f>
        <v>7810.9299954999997</v>
      </c>
      <c r="J16" s="119">
        <v>0</v>
      </c>
      <c r="K16" s="117">
        <v>0</v>
      </c>
      <c r="L16" s="117">
        <v>7521.3497441199997</v>
      </c>
      <c r="M16" s="19">
        <f>K16+L16</f>
        <v>7521.3497441199997</v>
      </c>
      <c r="N16" s="88">
        <v>9</v>
      </c>
      <c r="O16" s="88">
        <v>8</v>
      </c>
      <c r="P16" s="88">
        <v>7</v>
      </c>
    </row>
    <row r="17" spans="2:28" s="4" customFormat="1" x14ac:dyDescent="0.3">
      <c r="B17" s="16" t="s">
        <v>51</v>
      </c>
      <c r="C17" s="17">
        <v>1731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4701</v>
      </c>
      <c r="E18" s="84"/>
      <c r="F18" s="135">
        <f t="shared" ref="F18:M18" si="0">SUM(F6:F17)</f>
        <v>71555</v>
      </c>
      <c r="G18" s="135">
        <f t="shared" si="0"/>
        <v>54138.375916666671</v>
      </c>
      <c r="H18" s="135">
        <f t="shared" si="0"/>
        <v>54885.845088870003</v>
      </c>
      <c r="I18" s="136">
        <f t="shared" si="0"/>
        <v>109024.22100553667</v>
      </c>
      <c r="J18" s="135">
        <f t="shared" si="0"/>
        <v>71220</v>
      </c>
      <c r="K18" s="135">
        <f t="shared" si="0"/>
        <v>53351.289416666667</v>
      </c>
      <c r="L18" s="135">
        <f t="shared" si="0"/>
        <v>53823.105236560019</v>
      </c>
      <c r="M18" s="137">
        <f t="shared" si="0"/>
        <v>107174.39465322667</v>
      </c>
      <c r="N18" s="135">
        <f>SUM(N16,N14,N12,N10,N8,N6)</f>
        <v>244</v>
      </c>
      <c r="O18" s="135">
        <f>SUM(O16,O14,O12,O10,O8,O6)</f>
        <v>252</v>
      </c>
      <c r="P18" s="135">
        <f>SUM(P16,P14,P12,P10,P8,P6)</f>
        <v>213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0.15079365079365079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10135</v>
      </c>
      <c r="D26" s="76">
        <f>C11</f>
        <v>9043</v>
      </c>
      <c r="E26" s="77">
        <f t="shared" ref="E26:E31" si="1">D26-C26</f>
        <v>-1092</v>
      </c>
      <c r="M26" s="4"/>
    </row>
    <row r="27" spans="2:28" x14ac:dyDescent="0.3">
      <c r="B27" s="74" t="s">
        <v>56</v>
      </c>
      <c r="C27" s="122">
        <v>30878</v>
      </c>
      <c r="D27" s="76">
        <f>C7+C12+C13+C14+C15</f>
        <v>30824</v>
      </c>
      <c r="E27" s="77">
        <f t="shared" si="1"/>
        <v>-54</v>
      </c>
      <c r="J27" s="123"/>
      <c r="M27" s="4"/>
      <c r="Q27" s="69"/>
    </row>
    <row r="28" spans="2:28" x14ac:dyDescent="0.3">
      <c r="B28" s="74" t="s">
        <v>21</v>
      </c>
      <c r="C28" s="122">
        <v>63</v>
      </c>
      <c r="D28" s="76">
        <f>C6</f>
        <v>63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2375</v>
      </c>
      <c r="D29" s="76">
        <f>C10</f>
        <v>2375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16955</v>
      </c>
      <c r="D30" s="76">
        <f>C16+C17+C18</f>
        <v>18030</v>
      </c>
      <c r="E30" s="77">
        <f t="shared" si="1"/>
        <v>1075</v>
      </c>
      <c r="P30" s="4"/>
    </row>
    <row r="31" spans="2:28" ht="15" customHeight="1" thickBot="1" x14ac:dyDescent="0.35">
      <c r="B31" s="78" t="s">
        <v>60</v>
      </c>
      <c r="C31" s="121">
        <v>2678</v>
      </c>
      <c r="D31" s="80">
        <f>SUM(C8+C9)</f>
        <v>2678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5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44537</v>
      </c>
    </row>
    <row r="3" spans="2:27" ht="18.75" customHeight="1" thickBot="1" x14ac:dyDescent="0.35">
      <c r="B3" t="s">
        <v>1</v>
      </c>
      <c r="C3" s="3">
        <f>C2+1</f>
        <v>44538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3">
      <c r="B6" s="16" t="s">
        <v>21</v>
      </c>
      <c r="C6" s="17">
        <v>120</v>
      </c>
      <c r="E6" s="18" t="s">
        <v>22</v>
      </c>
      <c r="F6" s="119">
        <v>26095</v>
      </c>
      <c r="G6" s="117">
        <v>13259.48415</v>
      </c>
      <c r="H6" s="117">
        <v>8107.3292564000039</v>
      </c>
      <c r="I6" s="19">
        <f>G6+H6</f>
        <v>21366.813406400004</v>
      </c>
      <c r="J6" s="119">
        <v>27061</v>
      </c>
      <c r="K6" s="117">
        <v>15976.42165</v>
      </c>
      <c r="L6" s="117">
        <v>8489.9938471599962</v>
      </c>
      <c r="M6" s="19">
        <f>K6+L6</f>
        <v>24466.415497159996</v>
      </c>
      <c r="N6" s="85">
        <v>86</v>
      </c>
      <c r="O6" s="85">
        <v>82</v>
      </c>
      <c r="P6" s="85">
        <v>79</v>
      </c>
    </row>
    <row r="7" spans="2:27" x14ac:dyDescent="0.3">
      <c r="B7" s="16" t="s">
        <v>23</v>
      </c>
      <c r="C7" s="17">
        <v>1595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1671</v>
      </c>
      <c r="E8" s="140" t="s">
        <v>27</v>
      </c>
      <c r="F8" s="119">
        <v>0</v>
      </c>
      <c r="G8" s="117">
        <v>0</v>
      </c>
      <c r="H8" s="117">
        <v>3864.9271067599989</v>
      </c>
      <c r="I8" s="19">
        <f>G8+H8</f>
        <v>3864.9271067599989</v>
      </c>
      <c r="J8" s="119">
        <v>0</v>
      </c>
      <c r="K8" s="117">
        <v>0</v>
      </c>
      <c r="L8" s="117">
        <v>3992.4552039799992</v>
      </c>
      <c r="M8" s="19">
        <f>K8+L8</f>
        <v>3992.4552039799992</v>
      </c>
      <c r="N8" s="87">
        <v>6</v>
      </c>
      <c r="O8" s="87">
        <v>6</v>
      </c>
      <c r="P8" s="87">
        <v>6</v>
      </c>
    </row>
    <row r="9" spans="2:27" x14ac:dyDescent="0.3">
      <c r="B9" s="28" t="s">
        <v>28</v>
      </c>
      <c r="C9" s="17">
        <v>944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3570</v>
      </c>
      <c r="E10" s="18" t="s">
        <v>31</v>
      </c>
      <c r="F10" s="119">
        <v>19462</v>
      </c>
      <c r="G10" s="117">
        <v>12419.106750000001</v>
      </c>
      <c r="H10" s="117">
        <v>423.68773900000002</v>
      </c>
      <c r="I10" s="19">
        <f>G10+H10</f>
        <v>12842.794489000002</v>
      </c>
      <c r="J10" s="119">
        <v>19249</v>
      </c>
      <c r="K10" s="117">
        <v>13244.75275</v>
      </c>
      <c r="L10" s="117">
        <v>402.26955420000002</v>
      </c>
      <c r="M10" s="19">
        <f>K10+L10</f>
        <v>13647.0223042</v>
      </c>
      <c r="N10" s="88">
        <v>49</v>
      </c>
      <c r="O10" s="88">
        <v>50</v>
      </c>
      <c r="P10" s="88">
        <v>45</v>
      </c>
    </row>
    <row r="11" spans="2:27" x14ac:dyDescent="0.3">
      <c r="B11" s="16" t="s">
        <v>38</v>
      </c>
      <c r="C11" s="17">
        <v>10711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40</v>
      </c>
      <c r="C12" s="17">
        <v>1364</v>
      </c>
      <c r="E12" s="140" t="s">
        <v>35</v>
      </c>
      <c r="F12" s="119">
        <v>14766</v>
      </c>
      <c r="G12" s="117">
        <v>12017.70175</v>
      </c>
      <c r="H12" s="117">
        <v>18682.501486710011</v>
      </c>
      <c r="I12" s="19">
        <f>G12+H12</f>
        <v>30700.203236710011</v>
      </c>
      <c r="J12" s="119">
        <v>14623</v>
      </c>
      <c r="K12" s="117">
        <v>14120.197749999999</v>
      </c>
      <c r="L12" s="117">
        <v>18633.337927830002</v>
      </c>
      <c r="M12" s="19">
        <f>K12+L12</f>
        <v>32753.535677830001</v>
      </c>
      <c r="N12" s="88">
        <v>52</v>
      </c>
      <c r="O12" s="88">
        <v>55</v>
      </c>
      <c r="P12" s="88">
        <v>50</v>
      </c>
    </row>
    <row r="13" spans="2:27" x14ac:dyDescent="0.3">
      <c r="B13" s="28" t="s">
        <v>42</v>
      </c>
      <c r="C13" s="17">
        <f>23849-C7-C12-C14-C15</f>
        <v>19896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43" t="s">
        <v>47</v>
      </c>
      <c r="C14" s="17">
        <v>812</v>
      </c>
      <c r="E14" s="18" t="s">
        <v>39</v>
      </c>
      <c r="F14" s="119">
        <v>22824</v>
      </c>
      <c r="G14" s="117">
        <v>16781.013749999998</v>
      </c>
      <c r="H14" s="117">
        <v>28014.568365120009</v>
      </c>
      <c r="I14" s="19">
        <f>G14+H14</f>
        <v>44795.582115120007</v>
      </c>
      <c r="J14" s="119">
        <v>22226</v>
      </c>
      <c r="K14" s="117">
        <v>17955.528249999999</v>
      </c>
      <c r="L14" s="117">
        <v>27203.441918580011</v>
      </c>
      <c r="M14" s="19">
        <f>K14+L14</f>
        <v>45158.97016858001</v>
      </c>
      <c r="N14" s="88">
        <v>67</v>
      </c>
      <c r="O14" s="88">
        <v>68</v>
      </c>
      <c r="P14" s="88">
        <v>65</v>
      </c>
    </row>
    <row r="15" spans="2:27" x14ac:dyDescent="0.3">
      <c r="B15" s="43" t="s">
        <v>48</v>
      </c>
      <c r="C15" s="50">
        <v>182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3</v>
      </c>
    </row>
    <row r="16" spans="2:27" x14ac:dyDescent="0.3">
      <c r="B16" s="16" t="s">
        <v>50</v>
      </c>
      <c r="C16" s="17">
        <v>9596</v>
      </c>
      <c r="E16" s="18" t="s">
        <v>79</v>
      </c>
      <c r="F16" s="119">
        <v>0</v>
      </c>
      <c r="G16" s="117">
        <v>0</v>
      </c>
      <c r="H16" s="117">
        <v>5121.18719538</v>
      </c>
      <c r="I16" s="19">
        <f>G16+H16</f>
        <v>5121.18719538</v>
      </c>
      <c r="J16" s="119">
        <v>0</v>
      </c>
      <c r="K16" s="117">
        <v>0</v>
      </c>
      <c r="L16" s="117">
        <v>5188.8519169599986</v>
      </c>
      <c r="M16" s="19">
        <f>K16+L16</f>
        <v>5188.8519169599986</v>
      </c>
      <c r="N16" s="88">
        <v>9</v>
      </c>
      <c r="O16" s="88">
        <v>9</v>
      </c>
      <c r="P16" s="88">
        <v>10</v>
      </c>
    </row>
    <row r="17" spans="2:28" s="4" customFormat="1" x14ac:dyDescent="0.3">
      <c r="B17" s="16" t="s">
        <v>51</v>
      </c>
      <c r="C17" s="17">
        <v>1184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4829</v>
      </c>
      <c r="E18" s="84"/>
      <c r="F18" s="135">
        <f t="shared" ref="F18:M18" si="0">SUM(F6:F17)</f>
        <v>83147</v>
      </c>
      <c r="G18" s="135">
        <f t="shared" si="0"/>
        <v>54477.306400000001</v>
      </c>
      <c r="H18" s="135">
        <f t="shared" si="0"/>
        <v>64214.201149370027</v>
      </c>
      <c r="I18" s="136">
        <f t="shared" si="0"/>
        <v>118691.50754937003</v>
      </c>
      <c r="J18" s="135">
        <f t="shared" si="0"/>
        <v>83159</v>
      </c>
      <c r="K18" s="135">
        <f t="shared" si="0"/>
        <v>61296.900399999999</v>
      </c>
      <c r="L18" s="135">
        <f t="shared" si="0"/>
        <v>63910.350368710009</v>
      </c>
      <c r="M18" s="137">
        <f t="shared" si="0"/>
        <v>125207.25076871002</v>
      </c>
      <c r="N18" s="135">
        <f>SUM(N16,N14,N12,N10,N8,N6)</f>
        <v>269</v>
      </c>
      <c r="O18" s="135">
        <f>SUM(O16,O14,O12,O10,O8,O6)</f>
        <v>270</v>
      </c>
      <c r="P18" s="135">
        <f>SUM(P16,P14,P12,P10,P8,P6)</f>
        <v>255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5.9259259259259262E-2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11048</v>
      </c>
      <c r="D26" s="76">
        <f>C11</f>
        <v>10711</v>
      </c>
      <c r="E26" s="77">
        <f t="shared" ref="E26:E31" si="1">D26-C26</f>
        <v>-337</v>
      </c>
      <c r="M26" s="4"/>
    </row>
    <row r="27" spans="2:28" x14ac:dyDescent="0.3">
      <c r="B27" s="74" t="s">
        <v>56</v>
      </c>
      <c r="C27" s="122">
        <v>35867</v>
      </c>
      <c r="D27" s="76">
        <f>C7+C12+C13+C14+C15</f>
        <v>23849</v>
      </c>
      <c r="E27" s="77">
        <f t="shared" si="1"/>
        <v>-12018</v>
      </c>
      <c r="J27" s="123"/>
      <c r="M27" s="4"/>
      <c r="Q27" s="69"/>
    </row>
    <row r="28" spans="2:28" x14ac:dyDescent="0.3">
      <c r="B28" s="74" t="s">
        <v>21</v>
      </c>
      <c r="C28" s="122">
        <v>120</v>
      </c>
      <c r="D28" s="76">
        <f>C6</f>
        <v>120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3570</v>
      </c>
      <c r="D29" s="76">
        <f>C10</f>
        <v>3570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16069</v>
      </c>
      <c r="D30" s="76">
        <f>C16+C17+C18</f>
        <v>15609</v>
      </c>
      <c r="E30" s="77">
        <f t="shared" si="1"/>
        <v>-460</v>
      </c>
      <c r="P30" s="4"/>
    </row>
    <row r="31" spans="2:28" ht="15" customHeight="1" thickBot="1" x14ac:dyDescent="0.35">
      <c r="B31" s="78" t="s">
        <v>60</v>
      </c>
      <c r="C31" s="121">
        <v>3147</v>
      </c>
      <c r="D31" s="80">
        <f>SUM(C8+C9)</f>
        <v>2615</v>
      </c>
      <c r="E31" s="81">
        <f t="shared" si="1"/>
        <v>-532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44538</v>
      </c>
    </row>
    <row r="3" spans="2:27" ht="18.75" customHeight="1" thickBot="1" x14ac:dyDescent="0.35">
      <c r="B3" t="s">
        <v>1</v>
      </c>
      <c r="C3" s="3">
        <f>C2+1</f>
        <v>44539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55</v>
      </c>
      <c r="E6" s="18" t="s">
        <v>22</v>
      </c>
      <c r="F6" s="119">
        <v>25940</v>
      </c>
      <c r="G6" s="117">
        <v>14627.468999999999</v>
      </c>
      <c r="H6" s="117">
        <v>7960.5982395799938</v>
      </c>
      <c r="I6" s="19">
        <f>G6+H6</f>
        <v>22588.067239579992</v>
      </c>
      <c r="J6" s="119">
        <v>28606</v>
      </c>
      <c r="K6" s="117">
        <v>17065.168750000001</v>
      </c>
      <c r="L6" s="117">
        <v>8102.9543898199954</v>
      </c>
      <c r="M6" s="19">
        <f>K6+L6</f>
        <v>25168.123139819996</v>
      </c>
      <c r="N6" s="85">
        <v>83</v>
      </c>
      <c r="O6" s="85">
        <v>77</v>
      </c>
      <c r="P6" s="85">
        <v>78</v>
      </c>
      <c r="Q6" s="1" t="s">
        <v>83</v>
      </c>
    </row>
    <row r="7" spans="2:27" x14ac:dyDescent="0.3">
      <c r="B7" s="16" t="s">
        <v>23</v>
      </c>
      <c r="C7" s="17">
        <v>1605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-1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1714</v>
      </c>
      <c r="E8" s="140" t="s">
        <v>27</v>
      </c>
      <c r="F8" s="119">
        <v>0</v>
      </c>
      <c r="G8" s="117">
        <v>0</v>
      </c>
      <c r="H8" s="117">
        <v>4330.5817592599997</v>
      </c>
      <c r="I8" s="19">
        <f>G8+H8</f>
        <v>4330.5817592599997</v>
      </c>
      <c r="J8" s="119">
        <v>0</v>
      </c>
      <c r="K8" s="117">
        <v>0</v>
      </c>
      <c r="L8" s="117">
        <v>4472.5253503000004</v>
      </c>
      <c r="M8" s="19">
        <f>K8+L8</f>
        <v>4472.5253503000004</v>
      </c>
      <c r="N8" s="87">
        <v>4</v>
      </c>
      <c r="O8" s="87">
        <v>4</v>
      </c>
      <c r="P8" s="87">
        <v>4</v>
      </c>
    </row>
    <row r="9" spans="2:27" x14ac:dyDescent="0.3">
      <c r="B9" s="28" t="s">
        <v>28</v>
      </c>
      <c r="C9" s="17">
        <v>842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2426</v>
      </c>
      <c r="E10" s="18" t="s">
        <v>31</v>
      </c>
      <c r="F10" s="119">
        <v>18837</v>
      </c>
      <c r="G10" s="117">
        <v>13423.5275</v>
      </c>
      <c r="H10" s="117">
        <v>436.119035</v>
      </c>
      <c r="I10" s="19">
        <f>G10+H10</f>
        <v>13859.646535</v>
      </c>
      <c r="J10" s="119">
        <v>18807</v>
      </c>
      <c r="K10" s="117">
        <v>14634.8235</v>
      </c>
      <c r="L10" s="117">
        <v>428.15933380000013</v>
      </c>
      <c r="M10" s="19">
        <f>K10+L10</f>
        <v>15062.982833800001</v>
      </c>
      <c r="N10" s="88">
        <v>47</v>
      </c>
      <c r="O10" s="88">
        <v>42</v>
      </c>
      <c r="P10" s="88">
        <v>46</v>
      </c>
    </row>
    <row r="11" spans="2:27" x14ac:dyDescent="0.3">
      <c r="B11" s="16" t="s">
        <v>38</v>
      </c>
      <c r="C11" s="17">
        <v>11131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-4</v>
      </c>
      <c r="Q11" s="1" t="s">
        <v>84</v>
      </c>
    </row>
    <row r="12" spans="2:27" x14ac:dyDescent="0.3">
      <c r="B12" s="16" t="s">
        <v>40</v>
      </c>
      <c r="C12" s="17">
        <v>1918</v>
      </c>
      <c r="E12" s="140" t="s">
        <v>35</v>
      </c>
      <c r="F12" s="119">
        <v>14653</v>
      </c>
      <c r="G12" s="117">
        <v>12382.999</v>
      </c>
      <c r="H12" s="117">
        <v>17676.829581670001</v>
      </c>
      <c r="I12" s="19">
        <f>G12+H12</f>
        <v>30059.828581670001</v>
      </c>
      <c r="J12" s="119">
        <v>14351</v>
      </c>
      <c r="K12" s="117">
        <v>13876.907999999999</v>
      </c>
      <c r="L12" s="117">
        <v>17761.658483510011</v>
      </c>
      <c r="M12" s="19">
        <f>K12+L12</f>
        <v>31638.566483510011</v>
      </c>
      <c r="N12" s="88">
        <v>48</v>
      </c>
      <c r="O12" s="88">
        <v>50</v>
      </c>
      <c r="P12" s="88">
        <v>44</v>
      </c>
    </row>
    <row r="13" spans="2:27" x14ac:dyDescent="0.3">
      <c r="B13" s="28" t="s">
        <v>42</v>
      </c>
      <c r="C13" s="17">
        <v>28526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43" t="s">
        <v>47</v>
      </c>
      <c r="C14" s="17">
        <v>1312</v>
      </c>
      <c r="E14" s="18" t="s">
        <v>39</v>
      </c>
      <c r="F14" s="119">
        <v>19338</v>
      </c>
      <c r="G14" s="117">
        <v>15492.0185</v>
      </c>
      <c r="H14" s="117">
        <v>22603.95477076</v>
      </c>
      <c r="I14" s="19">
        <f>G14+H14</f>
        <v>38095.973270759998</v>
      </c>
      <c r="J14" s="119">
        <v>17535</v>
      </c>
      <c r="K14" s="117">
        <v>14490.619000000001</v>
      </c>
      <c r="L14" s="117">
        <v>20512.817885140001</v>
      </c>
      <c r="M14" s="19">
        <f>K14+L14</f>
        <v>35003.43688514</v>
      </c>
      <c r="N14" s="88">
        <v>65</v>
      </c>
      <c r="O14" s="88">
        <v>63</v>
      </c>
      <c r="P14" s="88">
        <v>55</v>
      </c>
    </row>
    <row r="15" spans="2:27" x14ac:dyDescent="0.3">
      <c r="B15" s="43" t="s">
        <v>48</v>
      </c>
      <c r="C15" s="50">
        <v>369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16" t="s">
        <v>50</v>
      </c>
      <c r="C16" s="17">
        <v>11094</v>
      </c>
      <c r="E16" s="18" t="s">
        <v>79</v>
      </c>
      <c r="F16" s="119">
        <v>0</v>
      </c>
      <c r="G16" s="117">
        <v>0</v>
      </c>
      <c r="H16" s="117">
        <v>7876.9938124399996</v>
      </c>
      <c r="I16" s="19">
        <f>G16+H16</f>
        <v>7876.9938124399996</v>
      </c>
      <c r="J16" s="119">
        <v>0</v>
      </c>
      <c r="K16" s="117">
        <v>0</v>
      </c>
      <c r="L16" s="117">
        <v>8243.2320482400009</v>
      </c>
      <c r="M16" s="19">
        <f>K16+L16</f>
        <v>8243.2320482400009</v>
      </c>
      <c r="N16" s="88">
        <v>11</v>
      </c>
      <c r="O16" s="88">
        <v>11</v>
      </c>
      <c r="P16" s="88">
        <v>10</v>
      </c>
    </row>
    <row r="17" spans="2:28" s="4" customFormat="1" x14ac:dyDescent="0.3">
      <c r="B17" s="16" t="s">
        <v>51</v>
      </c>
      <c r="C17" s="17">
        <v>2201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5052</v>
      </c>
      <c r="E18" s="84"/>
      <c r="F18" s="135">
        <f t="shared" ref="F18:M18" si="0">SUM(F6:F17)</f>
        <v>78768</v>
      </c>
      <c r="G18" s="135">
        <f t="shared" si="0"/>
        <v>55926.014000000003</v>
      </c>
      <c r="H18" s="135">
        <f t="shared" si="0"/>
        <v>60885.077198709994</v>
      </c>
      <c r="I18" s="136">
        <f t="shared" si="0"/>
        <v>116811.09119871</v>
      </c>
      <c r="J18" s="135">
        <f t="shared" si="0"/>
        <v>79299</v>
      </c>
      <c r="K18" s="135">
        <f t="shared" si="0"/>
        <v>60067.519250000005</v>
      </c>
      <c r="L18" s="135">
        <f t="shared" si="0"/>
        <v>59521.347490810011</v>
      </c>
      <c r="M18" s="137">
        <f t="shared" si="0"/>
        <v>119588.86674080999</v>
      </c>
      <c r="N18" s="135">
        <f>SUM(N16,N14,N12,N10,N8,N6)</f>
        <v>258</v>
      </c>
      <c r="O18" s="135">
        <f>SUM(O16,O14,O12,O10,O8,O6)</f>
        <v>247</v>
      </c>
      <c r="P18" s="135">
        <f>SUM(P16,P14,P12,P10,P8,P6)</f>
        <v>237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3.643724696356275E-2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12594</v>
      </c>
      <c r="D26" s="76">
        <f>C11</f>
        <v>11131</v>
      </c>
      <c r="E26" s="77">
        <f t="shared" ref="E26:E31" si="1">D26-C26</f>
        <v>-1463</v>
      </c>
      <c r="M26" s="4"/>
    </row>
    <row r="27" spans="2:28" x14ac:dyDescent="0.3">
      <c r="B27" s="74" t="s">
        <v>56</v>
      </c>
      <c r="C27" s="122">
        <v>35600</v>
      </c>
      <c r="D27" s="76">
        <f>C7+C12+C13+C14+C15</f>
        <v>33730</v>
      </c>
      <c r="E27" s="77">
        <f t="shared" si="1"/>
        <v>-1870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55</v>
      </c>
      <c r="E28" s="77">
        <f t="shared" si="1"/>
        <v>55</v>
      </c>
      <c r="M28" s="4"/>
    </row>
    <row r="29" spans="2:28" x14ac:dyDescent="0.3">
      <c r="B29" s="74" t="s">
        <v>57</v>
      </c>
      <c r="C29" s="122">
        <v>2426</v>
      </c>
      <c r="D29" s="76">
        <f>C10</f>
        <v>2426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18110</v>
      </c>
      <c r="D30" s="76">
        <f>C16+C17+C18</f>
        <v>18347</v>
      </c>
      <c r="E30" s="77">
        <f t="shared" si="1"/>
        <v>237</v>
      </c>
      <c r="P30" s="4"/>
    </row>
    <row r="31" spans="2:28" ht="15" customHeight="1" thickBot="1" x14ac:dyDescent="0.35">
      <c r="B31" s="78" t="s">
        <v>60</v>
      </c>
      <c r="C31" s="121">
        <v>3060</v>
      </c>
      <c r="D31" s="80">
        <f>SUM(C8+C9)</f>
        <v>2556</v>
      </c>
      <c r="E31" s="81">
        <f t="shared" si="1"/>
        <v>-504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44539</v>
      </c>
    </row>
    <row r="3" spans="2:27" ht="18.75" customHeight="1" thickBot="1" x14ac:dyDescent="0.35">
      <c r="B3" t="s">
        <v>1</v>
      </c>
      <c r="C3" s="3">
        <f>C2+1</f>
        <v>44540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3530</v>
      </c>
      <c r="E6" s="18" t="s">
        <v>22</v>
      </c>
      <c r="F6" s="119">
        <v>27112</v>
      </c>
      <c r="G6" s="117">
        <v>14420.098416666669</v>
      </c>
      <c r="H6" s="117">
        <v>8630.9013915800042</v>
      </c>
      <c r="I6" s="19">
        <f>G6+H6</f>
        <v>23050.999808246674</v>
      </c>
      <c r="J6" s="119"/>
      <c r="K6" s="117"/>
      <c r="L6" s="117"/>
      <c r="M6" s="19">
        <f>K6+L6</f>
        <v>0</v>
      </c>
      <c r="N6" s="85">
        <v>87</v>
      </c>
      <c r="O6" s="85">
        <v>83</v>
      </c>
      <c r="P6" s="85">
        <v>78</v>
      </c>
    </row>
    <row r="7" spans="2:27" x14ac:dyDescent="0.3">
      <c r="B7" s="16" t="s">
        <v>23</v>
      </c>
      <c r="C7" s="17">
        <v>1165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1648</v>
      </c>
      <c r="E8" s="140" t="s">
        <v>27</v>
      </c>
      <c r="F8" s="119">
        <v>0</v>
      </c>
      <c r="G8" s="117">
        <v>0</v>
      </c>
      <c r="H8" s="117">
        <v>4217.0775081999991</v>
      </c>
      <c r="I8" s="19">
        <f>G8+H8</f>
        <v>4217.0775081999991</v>
      </c>
      <c r="J8" s="119"/>
      <c r="K8" s="117"/>
      <c r="L8" s="117"/>
      <c r="M8" s="19">
        <f>K8+L8</f>
        <v>0</v>
      </c>
      <c r="N8" s="87">
        <v>6</v>
      </c>
      <c r="O8" s="87">
        <v>6</v>
      </c>
      <c r="P8" s="87">
        <v>4</v>
      </c>
    </row>
    <row r="9" spans="2:27" x14ac:dyDescent="0.3">
      <c r="B9" s="28" t="s">
        <v>28</v>
      </c>
      <c r="C9" s="17">
        <v>1057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2158</v>
      </c>
      <c r="E10" s="18" t="s">
        <v>31</v>
      </c>
      <c r="F10" s="119">
        <v>19250</v>
      </c>
      <c r="G10" s="117">
        <v>12142.0635</v>
      </c>
      <c r="H10" s="117">
        <v>349.490115</v>
      </c>
      <c r="I10" s="19">
        <f>G10+H10</f>
        <v>12491.553615000001</v>
      </c>
      <c r="J10" s="119"/>
      <c r="K10" s="117"/>
      <c r="L10" s="117"/>
      <c r="M10" s="19">
        <f>K10+L10</f>
        <v>0</v>
      </c>
      <c r="N10" s="88">
        <v>56</v>
      </c>
      <c r="O10" s="88">
        <v>52</v>
      </c>
      <c r="P10" s="88">
        <v>46</v>
      </c>
    </row>
    <row r="11" spans="2:27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40</v>
      </c>
      <c r="C12" s="17">
        <v>1328</v>
      </c>
      <c r="E12" s="140" t="s">
        <v>35</v>
      </c>
      <c r="F12" s="119">
        <v>13842</v>
      </c>
      <c r="G12" s="117">
        <v>11399.35075</v>
      </c>
      <c r="H12" s="117">
        <v>17977.15014432001</v>
      </c>
      <c r="I12" s="19">
        <f>G12+H12</f>
        <v>29376.500894320008</v>
      </c>
      <c r="J12" s="119"/>
      <c r="K12" s="117"/>
      <c r="L12" s="117"/>
      <c r="M12" s="19">
        <f>K12+L12</f>
        <v>0</v>
      </c>
      <c r="N12" s="88">
        <v>47</v>
      </c>
      <c r="O12" s="88">
        <v>46</v>
      </c>
      <c r="P12" s="88">
        <v>44</v>
      </c>
    </row>
    <row r="13" spans="2:27" x14ac:dyDescent="0.3">
      <c r="B13" s="28" t="s">
        <v>42</v>
      </c>
      <c r="C13" s="17"/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43" t="s">
        <v>47</v>
      </c>
      <c r="C14" s="17">
        <v>816</v>
      </c>
      <c r="E14" s="18" t="s">
        <v>39</v>
      </c>
      <c r="F14" s="119">
        <v>17822</v>
      </c>
      <c r="G14" s="117">
        <v>11975.807500000001</v>
      </c>
      <c r="H14" s="117">
        <v>21880.105325540011</v>
      </c>
      <c r="I14" s="19">
        <f>G14+H14</f>
        <v>33855.912825540014</v>
      </c>
      <c r="J14" s="119"/>
      <c r="K14" s="117"/>
      <c r="L14" s="117"/>
      <c r="M14" s="19">
        <f>K14+L14</f>
        <v>0</v>
      </c>
      <c r="N14" s="88">
        <v>61</v>
      </c>
      <c r="O14" s="88">
        <v>59</v>
      </c>
      <c r="P14" s="88">
        <v>55</v>
      </c>
    </row>
    <row r="15" spans="2:27" x14ac:dyDescent="0.3">
      <c r="B15" s="43" t="s">
        <v>48</v>
      </c>
      <c r="C15" s="50">
        <v>176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4</v>
      </c>
    </row>
    <row r="16" spans="2:27" x14ac:dyDescent="0.3">
      <c r="B16" s="16" t="s">
        <v>50</v>
      </c>
      <c r="C16" s="17"/>
      <c r="E16" s="18" t="s">
        <v>79</v>
      </c>
      <c r="F16" s="119">
        <v>0</v>
      </c>
      <c r="G16" s="117">
        <v>0</v>
      </c>
      <c r="H16" s="117">
        <v>5230.0584585800007</v>
      </c>
      <c r="I16" s="19">
        <f>G16+H16</f>
        <v>5230.0584585800007</v>
      </c>
      <c r="J16" s="119"/>
      <c r="K16" s="117"/>
      <c r="L16" s="117"/>
      <c r="M16" s="19">
        <f>K16+L16</f>
        <v>0</v>
      </c>
      <c r="N16" s="88">
        <v>12</v>
      </c>
      <c r="O16" s="88">
        <v>11</v>
      </c>
      <c r="P16" s="88">
        <v>10</v>
      </c>
    </row>
    <row r="17" spans="2:28" s="4" customFormat="1" x14ac:dyDescent="0.3">
      <c r="B17" s="16" t="s">
        <v>51</v>
      </c>
      <c r="C17" s="17"/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/>
      <c r="E18" s="84"/>
      <c r="F18" s="135">
        <f t="shared" ref="F18:M18" si="0">SUM(F6:F17)</f>
        <v>78026</v>
      </c>
      <c r="G18" s="135">
        <f t="shared" si="0"/>
        <v>49937.320166666672</v>
      </c>
      <c r="H18" s="135">
        <f t="shared" si="0"/>
        <v>58284.782943220031</v>
      </c>
      <c r="I18" s="136">
        <f t="shared" si="0"/>
        <v>108222.1031098867</v>
      </c>
      <c r="J18" s="135">
        <f t="shared" si="0"/>
        <v>0</v>
      </c>
      <c r="K18" s="135">
        <f t="shared" si="0"/>
        <v>0</v>
      </c>
      <c r="L18" s="135">
        <f t="shared" si="0"/>
        <v>0</v>
      </c>
      <c r="M18" s="137">
        <f t="shared" si="0"/>
        <v>0</v>
      </c>
      <c r="N18" s="135">
        <f>SUM(N16,N14,N12,N10,N8,N6)</f>
        <v>269</v>
      </c>
      <c r="O18" s="135">
        <f>SUM(O16,O14,O12,O10,O8,O6)</f>
        <v>257</v>
      </c>
      <c r="P18" s="135">
        <f>SUM(P16,P14,P12,P10,P8,P6)</f>
        <v>237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7.3929961089494164E-2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13623</v>
      </c>
      <c r="D26" s="76">
        <f>C11</f>
        <v>0</v>
      </c>
      <c r="E26" s="77">
        <f t="shared" ref="E26:E31" si="1">D26-C26</f>
        <v>-13623</v>
      </c>
      <c r="M26" s="4"/>
    </row>
    <row r="27" spans="2:28" x14ac:dyDescent="0.3">
      <c r="B27" s="74" t="s">
        <v>56</v>
      </c>
      <c r="C27" s="122">
        <v>33929</v>
      </c>
      <c r="D27" s="76">
        <f>C7+C12+C13+C14+C15</f>
        <v>3485</v>
      </c>
      <c r="E27" s="77">
        <f t="shared" si="1"/>
        <v>-30444</v>
      </c>
      <c r="J27" s="123"/>
      <c r="M27" s="4"/>
      <c r="Q27" s="69"/>
    </row>
    <row r="28" spans="2:28" x14ac:dyDescent="0.3">
      <c r="B28" s="74" t="s">
        <v>21</v>
      </c>
      <c r="C28" s="122">
        <v>91</v>
      </c>
      <c r="D28" s="76">
        <f>C6</f>
        <v>3530</v>
      </c>
      <c r="E28" s="77">
        <f t="shared" si="1"/>
        <v>3439</v>
      </c>
      <c r="M28" s="4"/>
    </row>
    <row r="29" spans="2:28" x14ac:dyDescent="0.3">
      <c r="B29" s="74" t="s">
        <v>57</v>
      </c>
      <c r="C29" s="122">
        <v>2158</v>
      </c>
      <c r="D29" s="76">
        <f>C10</f>
        <v>2158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16155</v>
      </c>
      <c r="D30" s="76">
        <f>C16+C17+C18</f>
        <v>0</v>
      </c>
      <c r="E30" s="77">
        <f t="shared" si="1"/>
        <v>-16155</v>
      </c>
      <c r="P30" s="4"/>
    </row>
    <row r="31" spans="2:28" ht="15" customHeight="1" thickBot="1" x14ac:dyDescent="0.35">
      <c r="B31" s="78" t="s">
        <v>60</v>
      </c>
      <c r="C31" s="121">
        <v>2659</v>
      </c>
      <c r="D31" s="80">
        <f>SUM(C8+C9)</f>
        <v>2705</v>
      </c>
      <c r="E31" s="81">
        <f t="shared" si="1"/>
        <v>46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44540</v>
      </c>
    </row>
    <row r="3" spans="2:27" ht="18.75" customHeight="1" thickBot="1" x14ac:dyDescent="0.35">
      <c r="B3" t="s">
        <v>1</v>
      </c>
      <c r="C3" s="3">
        <f>C2+1</f>
        <v>44541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22806</v>
      </c>
      <c r="G6" s="117">
        <v>14865.93975</v>
      </c>
      <c r="H6" s="117">
        <v>7605.9835964399999</v>
      </c>
      <c r="I6" s="19">
        <f>G6+H6</f>
        <v>22471.923346439999</v>
      </c>
      <c r="J6" s="119">
        <v>24026</v>
      </c>
      <c r="K6" s="117">
        <v>15690.928</v>
      </c>
      <c r="L6" s="117">
        <v>7545.1142874200013</v>
      </c>
      <c r="M6" s="19">
        <f>K6+L6</f>
        <v>23236.042287420001</v>
      </c>
      <c r="N6" s="85">
        <v>84</v>
      </c>
      <c r="O6" s="85">
        <v>79</v>
      </c>
      <c r="P6" s="85">
        <v>79</v>
      </c>
    </row>
    <row r="7" spans="2:27" x14ac:dyDescent="0.3">
      <c r="B7" s="16" t="s">
        <v>23</v>
      </c>
      <c r="C7" s="17">
        <v>1886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1763</v>
      </c>
      <c r="E8" s="140" t="s">
        <v>27</v>
      </c>
      <c r="F8" s="119">
        <v>0</v>
      </c>
      <c r="G8" s="117">
        <v>0</v>
      </c>
      <c r="H8" s="117">
        <v>4300.9723581400003</v>
      </c>
      <c r="I8" s="19">
        <f>G8+H8</f>
        <v>4300.9723581400003</v>
      </c>
      <c r="J8" s="119">
        <v>0</v>
      </c>
      <c r="K8" s="117">
        <v>0</v>
      </c>
      <c r="L8" s="117">
        <v>4395.731950540001</v>
      </c>
      <c r="M8" s="19">
        <f>K8+L8</f>
        <v>4395.731950540001</v>
      </c>
      <c r="N8" s="87">
        <v>8</v>
      </c>
      <c r="O8" s="87">
        <v>8</v>
      </c>
      <c r="P8" s="87">
        <v>6</v>
      </c>
    </row>
    <row r="9" spans="2:27" x14ac:dyDescent="0.3">
      <c r="B9" s="28" t="s">
        <v>28</v>
      </c>
      <c r="C9" s="17">
        <v>940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4081</v>
      </c>
      <c r="E10" s="18" t="s">
        <v>31</v>
      </c>
      <c r="F10" s="119">
        <v>18148</v>
      </c>
      <c r="G10" s="117">
        <v>13433.656000000001</v>
      </c>
      <c r="H10" s="117">
        <v>337.77563959999998</v>
      </c>
      <c r="I10" s="19">
        <f>G10+H10</f>
        <v>13771.431639600001</v>
      </c>
      <c r="J10" s="119">
        <v>18676</v>
      </c>
      <c r="K10" s="117">
        <v>14874.4815</v>
      </c>
      <c r="L10" s="117">
        <v>360.84965419999997</v>
      </c>
      <c r="M10" s="19">
        <f>K10+L10</f>
        <v>15235.331154199999</v>
      </c>
      <c r="N10" s="88">
        <v>58</v>
      </c>
      <c r="O10" s="88">
        <v>52</v>
      </c>
      <c r="P10" s="88">
        <v>54</v>
      </c>
    </row>
    <row r="11" spans="2:27" x14ac:dyDescent="0.3">
      <c r="B11" s="16" t="s">
        <v>38</v>
      </c>
      <c r="C11" s="17">
        <v>11179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-2</v>
      </c>
      <c r="Q11" s="1" t="s">
        <v>85</v>
      </c>
    </row>
    <row r="12" spans="2:27" x14ac:dyDescent="0.3">
      <c r="B12" s="16" t="s">
        <v>40</v>
      </c>
      <c r="C12" s="17">
        <v>1918</v>
      </c>
      <c r="E12" s="140" t="s">
        <v>35</v>
      </c>
      <c r="F12" s="119">
        <v>15147</v>
      </c>
      <c r="G12" s="117">
        <v>12267.3235</v>
      </c>
      <c r="H12" s="117">
        <v>19733.304980469999</v>
      </c>
      <c r="I12" s="19">
        <f>G12+H12</f>
        <v>32000.628480469997</v>
      </c>
      <c r="J12" s="119">
        <v>15071</v>
      </c>
      <c r="K12" s="117">
        <v>15036.433000000001</v>
      </c>
      <c r="L12" s="117">
        <v>19738.384098109989</v>
      </c>
      <c r="M12" s="19">
        <f>K12+L12</f>
        <v>34774.81709810999</v>
      </c>
      <c r="N12" s="88">
        <v>53</v>
      </c>
      <c r="O12" s="88">
        <v>47</v>
      </c>
      <c r="P12" s="88">
        <v>45</v>
      </c>
    </row>
    <row r="13" spans="2:27" x14ac:dyDescent="0.3">
      <c r="B13" s="28" t="s">
        <v>42</v>
      </c>
      <c r="C13" s="17">
        <f>29269-C7-C12-C15-C14</f>
        <v>23278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43" t="s">
        <v>47</v>
      </c>
      <c r="C14" s="17">
        <v>1818</v>
      </c>
      <c r="E14" s="18" t="s">
        <v>39</v>
      </c>
      <c r="F14" s="119">
        <v>21411</v>
      </c>
      <c r="G14" s="117">
        <v>18880.140749999999</v>
      </c>
      <c r="H14" s="117">
        <v>25827.877141840021</v>
      </c>
      <c r="I14" s="19">
        <f>G14+H14</f>
        <v>44708.01789184002</v>
      </c>
      <c r="J14" s="119">
        <v>27343</v>
      </c>
      <c r="K14" s="117">
        <v>17666.279500000001</v>
      </c>
      <c r="L14" s="117">
        <v>33100.744750359998</v>
      </c>
      <c r="M14" s="19">
        <f>K14+L14</f>
        <v>50767.024250360002</v>
      </c>
      <c r="N14" s="88">
        <v>70</v>
      </c>
      <c r="O14" s="88">
        <v>68</v>
      </c>
      <c r="P14" s="88">
        <v>58</v>
      </c>
    </row>
    <row r="15" spans="2:27" x14ac:dyDescent="0.3">
      <c r="B15" s="43" t="s">
        <v>48</v>
      </c>
      <c r="C15" s="50">
        <v>369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16" t="s">
        <v>50</v>
      </c>
      <c r="C16" s="17">
        <v>9634</v>
      </c>
      <c r="E16" s="18" t="s">
        <v>79</v>
      </c>
      <c r="F16" s="119">
        <v>0</v>
      </c>
      <c r="G16" s="117">
        <v>0</v>
      </c>
      <c r="H16" s="117">
        <v>8761.5853192399991</v>
      </c>
      <c r="I16" s="19">
        <f>G16+H16</f>
        <v>8761.5853192399991</v>
      </c>
      <c r="J16" s="119">
        <v>0</v>
      </c>
      <c r="K16" s="117">
        <v>0</v>
      </c>
      <c r="L16" s="117">
        <v>8734.4953014799994</v>
      </c>
      <c r="M16" s="19">
        <f>K16+L16</f>
        <v>8734.4953014799994</v>
      </c>
      <c r="N16" s="88">
        <v>13</v>
      </c>
      <c r="O16" s="88">
        <v>12</v>
      </c>
      <c r="P16" s="88">
        <v>11</v>
      </c>
    </row>
    <row r="17" spans="2:28" s="4" customFormat="1" x14ac:dyDescent="0.3">
      <c r="B17" s="16" t="s">
        <v>51</v>
      </c>
      <c r="C17" s="17">
        <v>650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4445</v>
      </c>
      <c r="E18" s="84"/>
      <c r="F18" s="135">
        <f t="shared" ref="F18:M18" si="0">SUM(F6:F17)</f>
        <v>77512</v>
      </c>
      <c r="G18" s="135">
        <f t="shared" si="0"/>
        <v>59447.06</v>
      </c>
      <c r="H18" s="135">
        <f t="shared" si="0"/>
        <v>66567.499035730012</v>
      </c>
      <c r="I18" s="136">
        <f t="shared" si="0"/>
        <v>126014.55903573001</v>
      </c>
      <c r="J18" s="135">
        <f t="shared" si="0"/>
        <v>85116</v>
      </c>
      <c r="K18" s="135">
        <f t="shared" si="0"/>
        <v>63268.122000000003</v>
      </c>
      <c r="L18" s="135">
        <f t="shared" si="0"/>
        <v>73875.32004210999</v>
      </c>
      <c r="M18" s="137">
        <f t="shared" si="0"/>
        <v>137143.44204210999</v>
      </c>
      <c r="N18" s="135">
        <f>SUM(N16,N14,N12,N10,N8,N6)</f>
        <v>286</v>
      </c>
      <c r="O18" s="135">
        <f>SUM(O16,O14,O12,O10,O8,O6)</f>
        <v>266</v>
      </c>
      <c r="P18" s="135">
        <f>SUM(P16,P14,P12,P10,P8,P6)</f>
        <v>253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4.5112781954887216E-2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11544</v>
      </c>
      <c r="D26" s="76">
        <f>C11</f>
        <v>11179</v>
      </c>
      <c r="E26" s="77">
        <f t="shared" ref="E26:E31" si="1">D26-C26</f>
        <v>-365</v>
      </c>
      <c r="M26" s="4"/>
    </row>
    <row r="27" spans="2:28" x14ac:dyDescent="0.3">
      <c r="B27" s="74" t="s">
        <v>56</v>
      </c>
      <c r="C27" s="122">
        <v>34111</v>
      </c>
      <c r="D27" s="76">
        <f>C7+C12+C13+C14+C15</f>
        <v>29269</v>
      </c>
      <c r="E27" s="77">
        <f t="shared" si="1"/>
        <v>-4842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4081</v>
      </c>
      <c r="D29" s="76">
        <f>C10</f>
        <v>4081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13608</v>
      </c>
      <c r="D30" s="76">
        <f>C16+C17+C18</f>
        <v>14729</v>
      </c>
      <c r="E30" s="77">
        <f t="shared" si="1"/>
        <v>1121</v>
      </c>
      <c r="P30" s="4"/>
    </row>
    <row r="31" spans="2:28" ht="15" customHeight="1" thickBot="1" x14ac:dyDescent="0.35">
      <c r="B31" s="78" t="s">
        <v>60</v>
      </c>
      <c r="C31" s="121">
        <v>3503</v>
      </c>
      <c r="D31" s="80">
        <f>SUM(C8+C9)</f>
        <v>2703</v>
      </c>
      <c r="E31" s="81">
        <f t="shared" si="1"/>
        <v>-800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44541</v>
      </c>
    </row>
    <row r="3" spans="2:27" ht="18.75" customHeight="1" thickBot="1" x14ac:dyDescent="0.35">
      <c r="B3" t="s">
        <v>1</v>
      </c>
      <c r="C3" s="3">
        <f>C2+1</f>
        <v>44542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83</v>
      </c>
      <c r="E6" s="18" t="s">
        <v>22</v>
      </c>
      <c r="F6" s="119">
        <v>25401</v>
      </c>
      <c r="G6" s="117">
        <v>14592.911</v>
      </c>
      <c r="H6" s="117">
        <v>7193.9024221800009</v>
      </c>
      <c r="I6" s="19">
        <f>G6+H6</f>
        <v>21786.813422179999</v>
      </c>
      <c r="J6" s="119">
        <v>26587</v>
      </c>
      <c r="K6" s="117">
        <v>17170.42646666666</v>
      </c>
      <c r="L6" s="117">
        <v>8078.9107913400021</v>
      </c>
      <c r="M6" s="19">
        <f>K6+L6</f>
        <v>25249.337258006664</v>
      </c>
      <c r="N6" s="85">
        <v>97</v>
      </c>
      <c r="O6" s="85">
        <v>94</v>
      </c>
      <c r="P6" s="85">
        <v>82</v>
      </c>
    </row>
    <row r="7" spans="2:27" x14ac:dyDescent="0.3">
      <c r="B7" s="16" t="s">
        <v>23</v>
      </c>
      <c r="C7" s="17">
        <v>810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2190</v>
      </c>
      <c r="E8" s="140" t="s">
        <v>27</v>
      </c>
      <c r="F8" s="119">
        <v>0</v>
      </c>
      <c r="G8" s="117">
        <v>0</v>
      </c>
      <c r="H8" s="117">
        <v>3998.5971154399999</v>
      </c>
      <c r="I8" s="19">
        <f>G8+H8</f>
        <v>3998.5971154399999</v>
      </c>
      <c r="J8" s="119">
        <v>0</v>
      </c>
      <c r="K8" s="117">
        <v>0</v>
      </c>
      <c r="L8" s="117">
        <v>3966.4200960399999</v>
      </c>
      <c r="M8" s="19">
        <f>K8+L8</f>
        <v>3966.4200960399999</v>
      </c>
      <c r="N8" s="87">
        <v>8</v>
      </c>
      <c r="O8" s="87">
        <v>8</v>
      </c>
      <c r="P8" s="87">
        <v>7</v>
      </c>
    </row>
    <row r="9" spans="2:27" x14ac:dyDescent="0.3">
      <c r="B9" s="28" t="s">
        <v>28</v>
      </c>
      <c r="C9" s="17">
        <v>856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2185</v>
      </c>
      <c r="E10" s="18" t="s">
        <v>31</v>
      </c>
      <c r="F10" s="119">
        <v>16912</v>
      </c>
      <c r="G10" s="117">
        <v>12033.871499999999</v>
      </c>
      <c r="H10" s="117">
        <v>423.393011</v>
      </c>
      <c r="I10" s="19">
        <f>G10+H10</f>
        <v>12457.264510999999</v>
      </c>
      <c r="J10" s="119">
        <v>17231</v>
      </c>
      <c r="K10" s="117">
        <v>12686.84425</v>
      </c>
      <c r="L10" s="117">
        <v>397.01380239999997</v>
      </c>
      <c r="M10" s="19">
        <f>K10+L10</f>
        <v>13083.858052400001</v>
      </c>
      <c r="N10" s="88">
        <v>55</v>
      </c>
      <c r="O10" s="88">
        <v>53</v>
      </c>
      <c r="P10" s="88">
        <v>49</v>
      </c>
    </row>
    <row r="11" spans="2:27" x14ac:dyDescent="0.3">
      <c r="B11" s="16" t="s">
        <v>38</v>
      </c>
      <c r="C11" s="17">
        <v>9167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40</v>
      </c>
      <c r="C12" s="17">
        <v>1106</v>
      </c>
      <c r="E12" s="140" t="s">
        <v>35</v>
      </c>
      <c r="F12" s="119">
        <v>14792</v>
      </c>
      <c r="G12" s="117">
        <v>12002.340249999999</v>
      </c>
      <c r="H12" s="117">
        <v>18351.523913690009</v>
      </c>
      <c r="I12" s="19">
        <f>G12+H12</f>
        <v>30353.864163690007</v>
      </c>
      <c r="J12" s="119">
        <v>15194</v>
      </c>
      <c r="K12" s="117">
        <v>15030.0535</v>
      </c>
      <c r="L12" s="117">
        <v>19339.414135600011</v>
      </c>
      <c r="M12" s="19">
        <f>K12+L12</f>
        <v>34369.467635600013</v>
      </c>
      <c r="N12" s="88">
        <v>55</v>
      </c>
      <c r="O12" s="88">
        <v>52</v>
      </c>
      <c r="P12" s="88">
        <v>49</v>
      </c>
    </row>
    <row r="13" spans="2:27" x14ac:dyDescent="0.3">
      <c r="B13" s="28" t="s">
        <v>42</v>
      </c>
      <c r="C13" s="17">
        <v>24732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43" t="s">
        <v>47</v>
      </c>
      <c r="C14" s="17">
        <v>740</v>
      </c>
      <c r="E14" s="18" t="s">
        <v>39</v>
      </c>
      <c r="F14" s="119">
        <v>16961</v>
      </c>
      <c r="G14" s="117">
        <v>13693.645500000001</v>
      </c>
      <c r="H14" s="117">
        <v>22240.579361419979</v>
      </c>
      <c r="I14" s="19">
        <f>G14+H14</f>
        <v>35934.224861419978</v>
      </c>
      <c r="J14" s="119">
        <v>19503</v>
      </c>
      <c r="K14" s="117">
        <v>18920.744500000001</v>
      </c>
      <c r="L14" s="117">
        <v>24879.495207959972</v>
      </c>
      <c r="M14" s="19">
        <f>K14+L14</f>
        <v>43800.239707959976</v>
      </c>
      <c r="N14" s="88">
        <v>62</v>
      </c>
      <c r="O14" s="88">
        <v>61</v>
      </c>
      <c r="P14" s="88">
        <v>50</v>
      </c>
    </row>
    <row r="15" spans="2:27" x14ac:dyDescent="0.3">
      <c r="B15" s="43" t="s">
        <v>48</v>
      </c>
      <c r="C15" s="50">
        <v>158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16" t="s">
        <v>50</v>
      </c>
      <c r="C16" s="17">
        <v>9599</v>
      </c>
      <c r="E16" s="18" t="s">
        <v>79</v>
      </c>
      <c r="F16" s="119">
        <v>0</v>
      </c>
      <c r="G16" s="117">
        <v>0</v>
      </c>
      <c r="H16" s="117">
        <v>4690.6037737200004</v>
      </c>
      <c r="I16" s="19">
        <f>G16+H16</f>
        <v>4690.6037737200004</v>
      </c>
      <c r="J16" s="119">
        <v>0</v>
      </c>
      <c r="K16" s="117">
        <v>0</v>
      </c>
      <c r="L16" s="117">
        <v>4692.0970978599998</v>
      </c>
      <c r="M16" s="19">
        <f>K16+L16</f>
        <v>4692.0970978599998</v>
      </c>
      <c r="N16" s="88">
        <v>11</v>
      </c>
      <c r="O16" s="88">
        <v>10</v>
      </c>
      <c r="P16" s="88">
        <v>10</v>
      </c>
    </row>
    <row r="17" spans="2:28" s="4" customFormat="1" x14ac:dyDescent="0.3">
      <c r="B17" s="16" t="s">
        <v>51</v>
      </c>
      <c r="C17" s="17">
        <v>1619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4505</v>
      </c>
      <c r="E18" s="84"/>
      <c r="F18" s="135">
        <f t="shared" ref="F18:M18" si="0">SUM(F6:F17)</f>
        <v>74066</v>
      </c>
      <c r="G18" s="135">
        <f t="shared" si="0"/>
        <v>52322.768250000001</v>
      </c>
      <c r="H18" s="135">
        <f t="shared" si="0"/>
        <v>56898.599597449989</v>
      </c>
      <c r="I18" s="136">
        <f t="shared" si="0"/>
        <v>109221.36784744998</v>
      </c>
      <c r="J18" s="135">
        <f t="shared" si="0"/>
        <v>78515</v>
      </c>
      <c r="K18" s="135">
        <f t="shared" si="0"/>
        <v>63808.068716666661</v>
      </c>
      <c r="L18" s="135">
        <f t="shared" si="0"/>
        <v>61353.351131199983</v>
      </c>
      <c r="M18" s="137">
        <f t="shared" si="0"/>
        <v>125161.41984786665</v>
      </c>
      <c r="N18" s="135">
        <f>SUM(N16,N14,N12,N10,N8,N6)</f>
        <v>288</v>
      </c>
      <c r="O18" s="135">
        <f>SUM(O16,O14,O12,O10,O8,O6)</f>
        <v>278</v>
      </c>
      <c r="P18" s="135">
        <f>SUM(P16,P14,P12,P10,P8,P6)</f>
        <v>247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0.11151079136690648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12032</v>
      </c>
      <c r="D26" s="76">
        <f>C11</f>
        <v>9167</v>
      </c>
      <c r="E26" s="77">
        <f t="shared" ref="E26:E31" si="1">D26-C26</f>
        <v>-2865</v>
      </c>
      <c r="M26" s="4"/>
    </row>
    <row r="27" spans="2:28" x14ac:dyDescent="0.3">
      <c r="B27" s="74" t="s">
        <v>56</v>
      </c>
      <c r="C27" s="122">
        <v>35716</v>
      </c>
      <c r="D27" s="76">
        <f>C7+C12+C13+C14+C15</f>
        <v>27546</v>
      </c>
      <c r="E27" s="77">
        <f t="shared" si="1"/>
        <v>-8170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83</v>
      </c>
      <c r="E28" s="77">
        <f t="shared" si="1"/>
        <v>83</v>
      </c>
      <c r="M28" s="4"/>
    </row>
    <row r="29" spans="2:28" x14ac:dyDescent="0.3">
      <c r="B29" s="74" t="s">
        <v>57</v>
      </c>
      <c r="C29" s="122">
        <v>1658</v>
      </c>
      <c r="D29" s="76">
        <f>C10</f>
        <v>2185</v>
      </c>
      <c r="E29" s="77">
        <f t="shared" si="1"/>
        <v>527</v>
      </c>
      <c r="P29" s="4"/>
    </row>
    <row r="30" spans="2:28" x14ac:dyDescent="0.3">
      <c r="B30" s="74" t="s">
        <v>59</v>
      </c>
      <c r="C30" s="122">
        <v>17422</v>
      </c>
      <c r="D30" s="76">
        <f>C16+C17+C18</f>
        <v>15723</v>
      </c>
      <c r="E30" s="77">
        <f t="shared" si="1"/>
        <v>-1699</v>
      </c>
      <c r="P30" s="4"/>
    </row>
    <row r="31" spans="2:28" ht="15" customHeight="1" thickBot="1" x14ac:dyDescent="0.35">
      <c r="B31" s="78" t="s">
        <v>60</v>
      </c>
      <c r="C31" s="121">
        <v>2984</v>
      </c>
      <c r="D31" s="80">
        <f>SUM(C8+C9)</f>
        <v>3046</v>
      </c>
      <c r="E31" s="81">
        <f t="shared" si="1"/>
        <v>62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44542</v>
      </c>
    </row>
    <row r="3" spans="2:27" ht="18.75" customHeight="1" thickBot="1" x14ac:dyDescent="0.35">
      <c r="B3" t="s">
        <v>1</v>
      </c>
      <c r="C3" s="3">
        <f>C2+1</f>
        <v>44543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15280</v>
      </c>
      <c r="G6" s="117">
        <v>13901.668666666659</v>
      </c>
      <c r="H6" s="117">
        <v>1191.0169000000001</v>
      </c>
      <c r="I6" s="19">
        <f>G6+H6</f>
        <v>15092.68556666666</v>
      </c>
      <c r="J6" s="119">
        <v>16495</v>
      </c>
      <c r="K6" s="117">
        <v>15425</v>
      </c>
      <c r="L6" s="117">
        <v>2103</v>
      </c>
      <c r="M6" s="19">
        <f>K6+L6</f>
        <v>17528</v>
      </c>
      <c r="N6" s="85">
        <v>46</v>
      </c>
      <c r="O6" s="85">
        <v>46</v>
      </c>
      <c r="P6" s="85">
        <v>35</v>
      </c>
    </row>
    <row r="7" spans="2:27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/>
      <c r="O8" s="87"/>
      <c r="P8" s="87"/>
    </row>
    <row r="9" spans="2:27" x14ac:dyDescent="0.3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/>
      <c r="O10" s="88"/>
      <c r="P10" s="88"/>
    </row>
    <row r="11" spans="2:27" x14ac:dyDescent="0.3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/>
      <c r="O12" s="88"/>
      <c r="P12" s="88"/>
    </row>
    <row r="13" spans="2:27" x14ac:dyDescent="0.3">
      <c r="B13" s="28" t="s">
        <v>42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16" t="s">
        <v>50</v>
      </c>
      <c r="C16" s="17">
        <v>10700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/>
      <c r="O16" s="88"/>
      <c r="P16" s="88"/>
    </row>
    <row r="17" spans="2:28" s="4" customFormat="1" x14ac:dyDescent="0.3">
      <c r="B17" s="16" t="s">
        <v>51</v>
      </c>
      <c r="C17" s="17">
        <v>945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4850</v>
      </c>
      <c r="E18" s="84"/>
      <c r="F18" s="135">
        <f t="shared" ref="F18:M18" si="0">SUM(F6:F17)</f>
        <v>15280</v>
      </c>
      <c r="G18" s="135">
        <f t="shared" si="0"/>
        <v>13901.668666666659</v>
      </c>
      <c r="H18" s="135">
        <f t="shared" si="0"/>
        <v>1191.0169000000001</v>
      </c>
      <c r="I18" s="136">
        <f t="shared" si="0"/>
        <v>15092.68556666666</v>
      </c>
      <c r="J18" s="135">
        <f t="shared" si="0"/>
        <v>16495</v>
      </c>
      <c r="K18" s="135">
        <f t="shared" si="0"/>
        <v>15425</v>
      </c>
      <c r="L18" s="135">
        <f t="shared" si="0"/>
        <v>2103</v>
      </c>
      <c r="M18" s="137">
        <f t="shared" si="0"/>
        <v>17528</v>
      </c>
      <c r="N18" s="135">
        <f>SUM(N16,N14,N12,N10,N8,N6)</f>
        <v>47</v>
      </c>
      <c r="O18" s="135">
        <f>SUM(O16,O14,O12,O10,O8,O6)</f>
        <v>46</v>
      </c>
      <c r="P18" s="135">
        <f>SUM(P16,P14,P12,P10,P8,P6)</f>
        <v>35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0.2391304347826087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/>
      <c r="D26" s="76">
        <f>C11</f>
        <v>0</v>
      </c>
      <c r="E26" s="77">
        <f t="shared" ref="E26:E31" si="1">D26-C26</f>
        <v>0</v>
      </c>
      <c r="M26" s="4"/>
    </row>
    <row r="27" spans="2:28" x14ac:dyDescent="0.3">
      <c r="B27" s="74" t="s">
        <v>56</v>
      </c>
      <c r="C27" s="122"/>
      <c r="D27" s="76">
        <f>C7+C12+C13+C14+C15</f>
        <v>0</v>
      </c>
      <c r="E27" s="77">
        <f t="shared" si="1"/>
        <v>0</v>
      </c>
      <c r="J27" s="123"/>
      <c r="M27" s="4"/>
      <c r="Q27" s="69"/>
    </row>
    <row r="28" spans="2:28" x14ac:dyDescent="0.3">
      <c r="B28" s="74" t="s">
        <v>21</v>
      </c>
      <c r="C28" s="122"/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/>
      <c r="D29" s="76">
        <f>C10</f>
        <v>0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15280</v>
      </c>
      <c r="D30" s="76">
        <f>C16+C17+C18</f>
        <v>16495</v>
      </c>
      <c r="E30" s="77">
        <f t="shared" si="1"/>
        <v>1215</v>
      </c>
      <c r="P30" s="4"/>
    </row>
    <row r="31" spans="2:28" ht="15" customHeight="1" thickBot="1" x14ac:dyDescent="0.35">
      <c r="B31" s="78" t="s">
        <v>60</v>
      </c>
      <c r="C31" s="121"/>
      <c r="D31" s="80">
        <f>SUM(C8+C9)</f>
        <v>0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44543</v>
      </c>
    </row>
    <row r="3" spans="2:27" ht="18.75" customHeight="1" thickBot="1" x14ac:dyDescent="0.35">
      <c r="B3" t="s">
        <v>1</v>
      </c>
      <c r="C3" s="3">
        <f>C2+1</f>
        <v>44544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67</v>
      </c>
      <c r="E6" s="18" t="s">
        <v>22</v>
      </c>
      <c r="F6" s="119">
        <v>24550</v>
      </c>
      <c r="G6" s="117">
        <v>13386.530283333341</v>
      </c>
      <c r="H6" s="117">
        <v>7484.198256579999</v>
      </c>
      <c r="I6" s="19">
        <f>G6+H6</f>
        <v>20870.72853991334</v>
      </c>
      <c r="J6" s="119">
        <v>23701</v>
      </c>
      <c r="K6" s="117">
        <v>15029.11803333333</v>
      </c>
      <c r="L6" s="117">
        <v>7606.3933274599967</v>
      </c>
      <c r="M6" s="19">
        <f>K6+L6</f>
        <v>22635.511360793327</v>
      </c>
      <c r="N6" s="85">
        <v>73</v>
      </c>
      <c r="O6" s="85">
        <v>74</v>
      </c>
      <c r="P6" s="85">
        <v>60</v>
      </c>
    </row>
    <row r="7" spans="2:27" x14ac:dyDescent="0.3">
      <c r="B7" s="16" t="s">
        <v>23</v>
      </c>
      <c r="C7" s="17">
        <v>1605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1597</v>
      </c>
      <c r="E8" s="140" t="s">
        <v>27</v>
      </c>
      <c r="F8" s="119">
        <v>0</v>
      </c>
      <c r="G8" s="117">
        <v>0</v>
      </c>
      <c r="H8" s="117">
        <v>3963.7292982399999</v>
      </c>
      <c r="I8" s="19">
        <f>G8+H8</f>
        <v>3963.7292982399999</v>
      </c>
      <c r="J8" s="119">
        <v>0</v>
      </c>
      <c r="K8" s="117">
        <v>0</v>
      </c>
      <c r="L8" s="117">
        <v>3995.434286019999</v>
      </c>
      <c r="M8" s="19">
        <f>K8+L8</f>
        <v>3995.434286019999</v>
      </c>
      <c r="N8" s="87">
        <v>8</v>
      </c>
      <c r="O8" s="87">
        <v>8</v>
      </c>
      <c r="P8" s="87">
        <v>6</v>
      </c>
    </row>
    <row r="9" spans="2:27" x14ac:dyDescent="0.3">
      <c r="B9" s="28" t="s">
        <v>28</v>
      </c>
      <c r="C9" s="17">
        <v>949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1166</v>
      </c>
      <c r="E10" s="18" t="s">
        <v>31</v>
      </c>
      <c r="F10" s="119">
        <v>19280</v>
      </c>
      <c r="G10" s="117">
        <v>13474.576999999999</v>
      </c>
      <c r="H10" s="117">
        <v>430.84021600000011</v>
      </c>
      <c r="I10" s="19">
        <f>G10+H10</f>
        <v>13905.417216</v>
      </c>
      <c r="J10" s="119">
        <v>18933</v>
      </c>
      <c r="K10" s="117">
        <v>14199.058499999999</v>
      </c>
      <c r="L10" s="117">
        <v>392.58244639999998</v>
      </c>
      <c r="M10" s="19">
        <f>K10+L10</f>
        <v>14591.640946399999</v>
      </c>
      <c r="N10" s="88">
        <v>47</v>
      </c>
      <c r="O10" s="88">
        <v>46</v>
      </c>
      <c r="P10" s="88">
        <v>41</v>
      </c>
    </row>
    <row r="11" spans="2:27" x14ac:dyDescent="0.3">
      <c r="B11" s="16" t="s">
        <v>38</v>
      </c>
      <c r="C11" s="17">
        <v>10105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40</v>
      </c>
      <c r="C12" s="17">
        <v>1918</v>
      </c>
      <c r="E12" s="140" t="s">
        <v>35</v>
      </c>
      <c r="F12" s="119">
        <v>13901</v>
      </c>
      <c r="G12" s="117">
        <v>11210.410250000001</v>
      </c>
      <c r="H12" s="117">
        <v>16946.46489178</v>
      </c>
      <c r="I12" s="19">
        <f>G12+H12</f>
        <v>28156.875141780001</v>
      </c>
      <c r="J12" s="119">
        <v>14653</v>
      </c>
      <c r="K12" s="117">
        <v>13755.29775</v>
      </c>
      <c r="L12" s="117">
        <v>17569.020853509999</v>
      </c>
      <c r="M12" s="19">
        <f>K12+L12</f>
        <v>31324.318603510001</v>
      </c>
      <c r="N12" s="88">
        <v>49</v>
      </c>
      <c r="O12" s="88">
        <v>47</v>
      </c>
      <c r="P12" s="88">
        <v>45</v>
      </c>
    </row>
    <row r="13" spans="2:27" x14ac:dyDescent="0.3">
      <c r="B13" s="28" t="s">
        <v>42</v>
      </c>
      <c r="C13" s="17">
        <v>29725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43" t="s">
        <v>47</v>
      </c>
      <c r="C14" s="17">
        <v>1275</v>
      </c>
      <c r="E14" s="18" t="s">
        <v>39</v>
      </c>
      <c r="F14" s="119">
        <v>15476</v>
      </c>
      <c r="G14" s="117">
        <v>12835.793</v>
      </c>
      <c r="H14" s="117">
        <v>18477.875971040019</v>
      </c>
      <c r="I14" s="19">
        <f>G14+H14</f>
        <v>31313.668971040017</v>
      </c>
      <c r="J14" s="119">
        <v>15823</v>
      </c>
      <c r="K14" s="117">
        <v>15508.67575</v>
      </c>
      <c r="L14" s="117">
        <v>19178.822729920001</v>
      </c>
      <c r="M14" s="19">
        <f>K14+L14</f>
        <v>34687.498479920003</v>
      </c>
      <c r="N14" s="88">
        <v>66</v>
      </c>
      <c r="O14" s="88">
        <v>64</v>
      </c>
      <c r="P14" s="88">
        <v>53</v>
      </c>
    </row>
    <row r="15" spans="2:27" x14ac:dyDescent="0.3">
      <c r="B15" s="43" t="s">
        <v>48</v>
      </c>
      <c r="C15" s="50">
        <v>369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16" t="s">
        <v>50</v>
      </c>
      <c r="C16" s="17">
        <v>9472</v>
      </c>
      <c r="E16" s="18" t="s">
        <v>79</v>
      </c>
      <c r="F16" s="119">
        <v>0</v>
      </c>
      <c r="G16" s="117">
        <v>0</v>
      </c>
      <c r="H16" s="117">
        <v>7952.8021539399997</v>
      </c>
      <c r="I16" s="19">
        <f>G16+H16</f>
        <v>7952.8021539399997</v>
      </c>
      <c r="J16" s="119">
        <v>0</v>
      </c>
      <c r="K16" s="117">
        <v>0</v>
      </c>
      <c r="L16" s="117">
        <v>8011.9916871400001</v>
      </c>
      <c r="M16" s="19">
        <f>K16+L16</f>
        <v>8011.9916871400001</v>
      </c>
      <c r="N16" s="88">
        <v>9</v>
      </c>
      <c r="O16" s="88">
        <v>8</v>
      </c>
      <c r="P16" s="88">
        <v>8</v>
      </c>
    </row>
    <row r="17" spans="2:28" s="4" customFormat="1" x14ac:dyDescent="0.3">
      <c r="B17" s="16" t="s">
        <v>51</v>
      </c>
      <c r="C17" s="17">
        <v>4378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1541</v>
      </c>
      <c r="E18" s="84"/>
      <c r="F18" s="135">
        <f t="shared" ref="F18:M18" si="0">SUM(F6:F17)</f>
        <v>73207</v>
      </c>
      <c r="G18" s="135">
        <f t="shared" si="0"/>
        <v>50907.310533333337</v>
      </c>
      <c r="H18" s="135">
        <f t="shared" si="0"/>
        <v>55255.910787580018</v>
      </c>
      <c r="I18" s="136">
        <f t="shared" si="0"/>
        <v>106163.22132091335</v>
      </c>
      <c r="J18" s="135">
        <f t="shared" si="0"/>
        <v>73110</v>
      </c>
      <c r="K18" s="135">
        <f t="shared" si="0"/>
        <v>58492.150033333332</v>
      </c>
      <c r="L18" s="135">
        <f t="shared" si="0"/>
        <v>56754.245330449994</v>
      </c>
      <c r="M18" s="137">
        <f t="shared" si="0"/>
        <v>115246.39536378333</v>
      </c>
      <c r="N18" s="135">
        <f>SUM(N16,N14,N12,N10,N8,N6)</f>
        <v>252</v>
      </c>
      <c r="O18" s="135">
        <f>SUM(O16,O14,O12,O10,O8,O6)</f>
        <v>247</v>
      </c>
      <c r="P18" s="135">
        <f>SUM(P16,P14,P12,P10,P8,P6)</f>
        <v>213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0.13765182186234817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11276</v>
      </c>
      <c r="D26" s="76">
        <f>C11</f>
        <v>10105</v>
      </c>
      <c r="E26" s="77">
        <f t="shared" ref="E26:E31" si="1">D26-C26</f>
        <v>-1171</v>
      </c>
      <c r="M26" s="4"/>
    </row>
    <row r="27" spans="2:28" x14ac:dyDescent="0.3">
      <c r="B27" s="74" t="s">
        <v>56</v>
      </c>
      <c r="C27" s="122">
        <v>34534</v>
      </c>
      <c r="D27" s="76">
        <f>C7+C12+C13+C14+C15</f>
        <v>34892</v>
      </c>
      <c r="E27" s="77">
        <f t="shared" si="1"/>
        <v>358</v>
      </c>
      <c r="J27" s="123"/>
      <c r="M27" s="4"/>
      <c r="Q27" s="69"/>
    </row>
    <row r="28" spans="2:28" x14ac:dyDescent="0.3">
      <c r="B28" s="74" t="s">
        <v>21</v>
      </c>
      <c r="C28" s="122">
        <v>67</v>
      </c>
      <c r="D28" s="76">
        <f>C6</f>
        <v>67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1166</v>
      </c>
      <c r="D29" s="76">
        <f>C10</f>
        <v>1166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17233</v>
      </c>
      <c r="D30" s="76">
        <f>C16+C17+C18</f>
        <v>15391</v>
      </c>
      <c r="E30" s="77">
        <f t="shared" si="1"/>
        <v>-1842</v>
      </c>
      <c r="P30" s="4"/>
    </row>
    <row r="31" spans="2:28" ht="15" customHeight="1" thickBot="1" x14ac:dyDescent="0.35">
      <c r="B31" s="78" t="s">
        <v>60</v>
      </c>
      <c r="C31" s="121">
        <v>2546</v>
      </c>
      <c r="D31" s="80">
        <f>SUM(C8+C9)</f>
        <v>2546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44544</v>
      </c>
    </row>
    <row r="3" spans="2:27" ht="18.75" customHeight="1" thickBot="1" x14ac:dyDescent="0.35">
      <c r="B3" t="s">
        <v>1</v>
      </c>
      <c r="C3" s="3">
        <f>C2+1</f>
        <v>44545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4222</v>
      </c>
      <c r="E6" s="18" t="s">
        <v>22</v>
      </c>
      <c r="F6" s="119">
        <v>26471</v>
      </c>
      <c r="G6" s="117">
        <v>14220.55633333333</v>
      </c>
      <c r="H6" s="117">
        <v>8211.2273089199971</v>
      </c>
      <c r="I6" s="19">
        <f>G6+H6</f>
        <v>22431.783642253329</v>
      </c>
      <c r="J6" s="119">
        <v>27349</v>
      </c>
      <c r="K6" s="117">
        <v>16141.767333333341</v>
      </c>
      <c r="L6" s="117">
        <v>8567.8095045999944</v>
      </c>
      <c r="M6" s="19">
        <f>K6+L6</f>
        <v>24709.576837933335</v>
      </c>
      <c r="N6" s="85">
        <v>83</v>
      </c>
      <c r="O6" s="85">
        <v>82</v>
      </c>
      <c r="P6" s="85">
        <v>73</v>
      </c>
    </row>
    <row r="7" spans="2:27" x14ac:dyDescent="0.3">
      <c r="B7" s="16" t="s">
        <v>23</v>
      </c>
      <c r="C7" s="17">
        <v>1475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1725</v>
      </c>
      <c r="E8" s="140" t="s">
        <v>27</v>
      </c>
      <c r="F8" s="119">
        <v>0</v>
      </c>
      <c r="G8" s="117">
        <v>0</v>
      </c>
      <c r="H8" s="117">
        <v>3932.1770044</v>
      </c>
      <c r="I8" s="19">
        <f>G8+H8</f>
        <v>3932.1770044</v>
      </c>
      <c r="J8" s="119">
        <v>0</v>
      </c>
      <c r="K8" s="117">
        <v>0</v>
      </c>
      <c r="L8" s="117">
        <v>3995.5484111000001</v>
      </c>
      <c r="M8" s="19">
        <f>K8+L8</f>
        <v>3995.5484111000001</v>
      </c>
      <c r="N8" s="87">
        <v>6</v>
      </c>
      <c r="O8" s="87">
        <v>6</v>
      </c>
      <c r="P8" s="87">
        <v>6</v>
      </c>
    </row>
    <row r="9" spans="2:27" x14ac:dyDescent="0.3">
      <c r="B9" s="28" t="s">
        <v>28</v>
      </c>
      <c r="C9" s="17">
        <v>880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86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1765</v>
      </c>
      <c r="E10" s="18" t="s">
        <v>31</v>
      </c>
      <c r="F10" s="119">
        <v>17982</v>
      </c>
      <c r="G10" s="117">
        <v>12422.68975</v>
      </c>
      <c r="H10" s="117">
        <v>404.04102</v>
      </c>
      <c r="I10" s="19">
        <f>G10+H10</f>
        <v>12826.73077</v>
      </c>
      <c r="J10" s="119">
        <v>18166</v>
      </c>
      <c r="K10" s="117">
        <v>13078.97975</v>
      </c>
      <c r="L10" s="117">
        <v>417.38585280000001</v>
      </c>
      <c r="M10" s="19">
        <f>K10+L10</f>
        <v>13496.3656028</v>
      </c>
      <c r="N10" s="88">
        <v>50</v>
      </c>
      <c r="O10" s="88">
        <v>50</v>
      </c>
      <c r="P10" s="88">
        <v>45</v>
      </c>
    </row>
    <row r="11" spans="2:27" x14ac:dyDescent="0.3">
      <c r="B11" s="16" t="s">
        <v>38</v>
      </c>
      <c r="C11" s="17">
        <v>10258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40</v>
      </c>
      <c r="C12" s="17">
        <v>1328</v>
      </c>
      <c r="E12" s="140" t="s">
        <v>35</v>
      </c>
      <c r="F12" s="119">
        <v>15236</v>
      </c>
      <c r="G12" s="117">
        <v>12530.36825</v>
      </c>
      <c r="H12" s="117">
        <v>18266.337818350021</v>
      </c>
      <c r="I12" s="19">
        <f>G12+H12</f>
        <v>30796.70606835002</v>
      </c>
      <c r="J12" s="119">
        <v>15033</v>
      </c>
      <c r="K12" s="117">
        <v>14799.98425</v>
      </c>
      <c r="L12" s="117">
        <v>18642.63485032001</v>
      </c>
      <c r="M12" s="19">
        <f>K12+L12</f>
        <v>33442.619100320007</v>
      </c>
      <c r="N12" s="88">
        <v>52</v>
      </c>
      <c r="O12" s="88">
        <v>49</v>
      </c>
      <c r="P12" s="88">
        <v>46</v>
      </c>
    </row>
    <row r="13" spans="2:27" x14ac:dyDescent="0.3">
      <c r="B13" s="28" t="s">
        <v>42</v>
      </c>
      <c r="C13" s="17">
        <v>23954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43" t="s">
        <v>47</v>
      </c>
      <c r="C14" s="17">
        <v>818</v>
      </c>
      <c r="E14" s="18" t="s">
        <v>39</v>
      </c>
      <c r="F14" s="119">
        <v>17478</v>
      </c>
      <c r="G14" s="117">
        <v>14334.564249999999</v>
      </c>
      <c r="H14" s="117">
        <v>21294.153349259999</v>
      </c>
      <c r="I14" s="19">
        <f>G14+H14</f>
        <v>35628.717599259995</v>
      </c>
      <c r="J14" s="119">
        <v>16318</v>
      </c>
      <c r="K14" s="117">
        <v>14415.22575</v>
      </c>
      <c r="L14" s="117">
        <v>19638.789223240001</v>
      </c>
      <c r="M14" s="19">
        <f>K14+L14</f>
        <v>34054.014973240002</v>
      </c>
      <c r="N14" s="88">
        <v>67</v>
      </c>
      <c r="O14" s="88">
        <v>65</v>
      </c>
      <c r="P14" s="88">
        <v>50</v>
      </c>
    </row>
    <row r="15" spans="2:27" x14ac:dyDescent="0.3">
      <c r="B15" s="43" t="s">
        <v>48</v>
      </c>
      <c r="C15" s="50">
        <v>176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3">
      <c r="B16" s="16" t="s">
        <v>50</v>
      </c>
      <c r="C16" s="17">
        <v>10934</v>
      </c>
      <c r="E16" s="18" t="s">
        <v>79</v>
      </c>
      <c r="F16" s="119">
        <v>0</v>
      </c>
      <c r="G16" s="117">
        <v>0</v>
      </c>
      <c r="H16" s="117">
        <v>4903.8771084399996</v>
      </c>
      <c r="I16" s="19">
        <f>G16+H16</f>
        <v>4903.8771084399996</v>
      </c>
      <c r="J16" s="119">
        <v>0</v>
      </c>
      <c r="K16" s="117">
        <v>0</v>
      </c>
      <c r="L16" s="117">
        <v>4908.1273399000002</v>
      </c>
      <c r="M16" s="19">
        <f>K16+L16</f>
        <v>4908.1273399000002</v>
      </c>
      <c r="N16" s="88">
        <v>9</v>
      </c>
      <c r="O16" s="88">
        <v>9</v>
      </c>
      <c r="P16" s="88">
        <v>9</v>
      </c>
    </row>
    <row r="17" spans="2:28" s="4" customFormat="1" x14ac:dyDescent="0.3">
      <c r="B17" s="16" t="s">
        <v>51</v>
      </c>
      <c r="C17" s="17">
        <v>1245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4770</v>
      </c>
      <c r="E18" s="84"/>
      <c r="F18" s="135">
        <f t="shared" ref="F18:M18" si="0">SUM(F6:F17)</f>
        <v>77167</v>
      </c>
      <c r="G18" s="135">
        <f t="shared" si="0"/>
        <v>53508.178583333327</v>
      </c>
      <c r="H18" s="135">
        <f t="shared" si="0"/>
        <v>57011.813609370016</v>
      </c>
      <c r="I18" s="136">
        <f t="shared" si="0"/>
        <v>110519.99219270336</v>
      </c>
      <c r="J18" s="135">
        <f t="shared" si="0"/>
        <v>76866</v>
      </c>
      <c r="K18" s="135">
        <f t="shared" si="0"/>
        <v>58435.957083333342</v>
      </c>
      <c r="L18" s="135">
        <f t="shared" si="0"/>
        <v>56170.295181960006</v>
      </c>
      <c r="M18" s="137">
        <f t="shared" si="0"/>
        <v>114606.25226529335</v>
      </c>
      <c r="N18" s="135">
        <f>SUM(N16,N14,N12,N10,N8,N6)</f>
        <v>267</v>
      </c>
      <c r="O18" s="135">
        <f>SUM(O16,O14,O12,O10,O8,O6)</f>
        <v>261</v>
      </c>
      <c r="P18" s="135">
        <f>SUM(P16,P14,P12,P10,P8,P6)</f>
        <v>229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0.12260536398467432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11561</v>
      </c>
      <c r="D26" s="76">
        <f>C11</f>
        <v>10258</v>
      </c>
      <c r="E26" s="77">
        <f t="shared" ref="E26:E31" si="1">D26-C26</f>
        <v>-1303</v>
      </c>
      <c r="M26" s="4"/>
    </row>
    <row r="27" spans="2:28" x14ac:dyDescent="0.3">
      <c r="B27" s="74" t="s">
        <v>56</v>
      </c>
      <c r="C27" s="122">
        <v>35603</v>
      </c>
      <c r="D27" s="76">
        <f>C7+C12+C13+C14+C15</f>
        <v>27751</v>
      </c>
      <c r="E27" s="77">
        <f t="shared" si="1"/>
        <v>-7852</v>
      </c>
      <c r="J27" s="123"/>
      <c r="M27" s="4"/>
      <c r="Q27" s="69"/>
    </row>
    <row r="28" spans="2:28" x14ac:dyDescent="0.3">
      <c r="B28" s="74" t="s">
        <v>21</v>
      </c>
      <c r="C28" s="122">
        <v>126</v>
      </c>
      <c r="D28" s="76">
        <f>C6</f>
        <v>4222</v>
      </c>
      <c r="E28" s="77">
        <f t="shared" si="1"/>
        <v>4096</v>
      </c>
      <c r="M28" s="4"/>
    </row>
    <row r="29" spans="2:28" x14ac:dyDescent="0.3">
      <c r="B29" s="74" t="s">
        <v>57</v>
      </c>
      <c r="C29" s="122">
        <v>1765</v>
      </c>
      <c r="D29" s="76">
        <f>C10</f>
        <v>1765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15912</v>
      </c>
      <c r="D30" s="76">
        <f>C16+C17+C18</f>
        <v>16949</v>
      </c>
      <c r="E30" s="77">
        <f t="shared" si="1"/>
        <v>1037</v>
      </c>
      <c r="P30" s="4"/>
    </row>
    <row r="31" spans="2:28" ht="15" customHeight="1" thickBot="1" x14ac:dyDescent="0.35">
      <c r="B31" s="78" t="s">
        <v>60</v>
      </c>
      <c r="C31" s="121">
        <v>3153</v>
      </c>
      <c r="D31" s="80">
        <f>SUM(C8+C9)</f>
        <v>2605</v>
      </c>
      <c r="E31" s="81">
        <f t="shared" si="1"/>
        <v>-548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44545</v>
      </c>
    </row>
    <row r="3" spans="2:27" ht="18.75" customHeight="1" thickBot="1" x14ac:dyDescent="0.35">
      <c r="B3" t="s">
        <v>1</v>
      </c>
      <c r="C3" s="3">
        <f>C2+1</f>
        <v>44546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24532</v>
      </c>
      <c r="G6" s="117">
        <v>15312.781999999999</v>
      </c>
      <c r="H6" s="117">
        <v>8554.5532613800024</v>
      </c>
      <c r="I6" s="19">
        <f>G6+H6</f>
        <v>23867.335261380002</v>
      </c>
      <c r="J6" s="119">
        <v>26126</v>
      </c>
      <c r="K6" s="117">
        <v>16664.112249999998</v>
      </c>
      <c r="L6" s="117">
        <v>8336.9628419200017</v>
      </c>
      <c r="M6" s="19">
        <f>K6+L6</f>
        <v>25001.07509192</v>
      </c>
      <c r="N6" s="85">
        <v>81</v>
      </c>
      <c r="O6" s="85">
        <v>80</v>
      </c>
      <c r="P6" s="85">
        <v>67</v>
      </c>
    </row>
    <row r="7" spans="2:27" x14ac:dyDescent="0.3">
      <c r="B7" s="16" t="s">
        <v>23</v>
      </c>
      <c r="C7" s="17">
        <v>1434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1609</v>
      </c>
      <c r="E8" s="140" t="s">
        <v>27</v>
      </c>
      <c r="F8" s="119">
        <v>0</v>
      </c>
      <c r="G8" s="117">
        <v>0</v>
      </c>
      <c r="H8" s="117">
        <v>4116.99633748</v>
      </c>
      <c r="I8" s="19">
        <f>G8+H8</f>
        <v>4116.99633748</v>
      </c>
      <c r="J8" s="119">
        <v>0</v>
      </c>
      <c r="K8" s="117">
        <v>0</v>
      </c>
      <c r="L8" s="117">
        <v>4193.4667801400001</v>
      </c>
      <c r="M8" s="19">
        <f>K8+L8</f>
        <v>4193.4667801400001</v>
      </c>
      <c r="N8" s="87">
        <v>4</v>
      </c>
      <c r="O8" s="87">
        <v>4</v>
      </c>
      <c r="P8" s="87">
        <v>2</v>
      </c>
    </row>
    <row r="9" spans="2:27" x14ac:dyDescent="0.3">
      <c r="B9" s="28" t="s">
        <v>28</v>
      </c>
      <c r="C9" s="17">
        <v>917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1908</v>
      </c>
      <c r="E10" s="18" t="s">
        <v>31</v>
      </c>
      <c r="F10" s="119">
        <v>17881</v>
      </c>
      <c r="G10" s="117">
        <v>12896.324000000001</v>
      </c>
      <c r="H10" s="117">
        <v>438.77688000000001</v>
      </c>
      <c r="I10" s="19">
        <f>G10+H10</f>
        <v>13335.10088</v>
      </c>
      <c r="J10" s="119">
        <v>17330</v>
      </c>
      <c r="K10" s="117">
        <v>13396.936</v>
      </c>
      <c r="L10" s="117">
        <v>392.98559219999999</v>
      </c>
      <c r="M10" s="19">
        <f>K10+L10</f>
        <v>13789.9215922</v>
      </c>
      <c r="N10" s="88">
        <v>47</v>
      </c>
      <c r="O10" s="88">
        <v>46</v>
      </c>
      <c r="P10" s="88">
        <v>42</v>
      </c>
    </row>
    <row r="11" spans="2:27" x14ac:dyDescent="0.3">
      <c r="B11" s="16" t="s">
        <v>38</v>
      </c>
      <c r="C11" s="17">
        <v>10710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40</v>
      </c>
      <c r="C12" s="17">
        <v>1730</v>
      </c>
      <c r="E12" s="140" t="s">
        <v>35</v>
      </c>
      <c r="F12" s="119">
        <v>13089</v>
      </c>
      <c r="G12" s="117">
        <v>11286.946</v>
      </c>
      <c r="H12" s="117">
        <v>16096.909559510001</v>
      </c>
      <c r="I12" s="19">
        <f>G12+H12</f>
        <v>27383.855559510001</v>
      </c>
      <c r="J12" s="119">
        <v>13223</v>
      </c>
      <c r="K12" s="117">
        <v>12867.093999999999</v>
      </c>
      <c r="L12" s="117">
        <v>16484.018233219998</v>
      </c>
      <c r="M12" s="19">
        <f>K12+L12</f>
        <v>29351.112233219996</v>
      </c>
      <c r="N12" s="88">
        <v>53</v>
      </c>
      <c r="O12" s="88">
        <v>50</v>
      </c>
      <c r="P12" s="88">
        <v>48</v>
      </c>
    </row>
    <row r="13" spans="2:27" x14ac:dyDescent="0.3">
      <c r="B13" s="28" t="s">
        <v>42</v>
      </c>
      <c r="C13" s="17">
        <v>27769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43" t="s">
        <v>47</v>
      </c>
      <c r="C14" s="17">
        <v>1379</v>
      </c>
      <c r="E14" s="18" t="s">
        <v>39</v>
      </c>
      <c r="F14" s="119">
        <v>16926</v>
      </c>
      <c r="G14" s="117">
        <v>13627.827499999999</v>
      </c>
      <c r="H14" s="117">
        <v>20046.071544239981</v>
      </c>
      <c r="I14" s="19">
        <f>G14+H14</f>
        <v>33673.899044239981</v>
      </c>
      <c r="J14" s="119">
        <v>16755</v>
      </c>
      <c r="K14" s="117">
        <v>15001.80975</v>
      </c>
      <c r="L14" s="117">
        <v>20044.235297759991</v>
      </c>
      <c r="M14" s="19">
        <f>K14+L14</f>
        <v>35046.045047759995</v>
      </c>
      <c r="N14" s="88">
        <v>65</v>
      </c>
      <c r="O14" s="88">
        <v>63</v>
      </c>
      <c r="P14" s="88">
        <v>52</v>
      </c>
    </row>
    <row r="15" spans="2:27" x14ac:dyDescent="0.3">
      <c r="B15" s="43" t="s">
        <v>48</v>
      </c>
      <c r="C15" s="50">
        <v>284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16" t="s">
        <v>50</v>
      </c>
      <c r="C16" s="17">
        <v>10934</v>
      </c>
      <c r="E16" s="18" t="s">
        <v>79</v>
      </c>
      <c r="F16" s="119">
        <v>0</v>
      </c>
      <c r="G16" s="117">
        <v>0</v>
      </c>
      <c r="H16" s="117">
        <v>7622.9670943800002</v>
      </c>
      <c r="I16" s="19">
        <f>G16+H16</f>
        <v>7622.9670943800002</v>
      </c>
      <c r="J16" s="119">
        <v>0</v>
      </c>
      <c r="K16" s="117">
        <v>0</v>
      </c>
      <c r="L16" s="117">
        <v>5966.5088166199994</v>
      </c>
      <c r="M16" s="19">
        <f>K16+L16</f>
        <v>5966.5088166199994</v>
      </c>
      <c r="N16" s="88">
        <v>10</v>
      </c>
      <c r="O16" s="88">
        <v>10</v>
      </c>
      <c r="P16" s="88">
        <v>10</v>
      </c>
    </row>
    <row r="17" spans="2:28" s="4" customFormat="1" x14ac:dyDescent="0.3">
      <c r="B17" s="16" t="s">
        <v>51</v>
      </c>
      <c r="C17" s="17">
        <v>1245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4770</v>
      </c>
      <c r="E18" s="84"/>
      <c r="F18" s="135">
        <f t="shared" ref="F18:M18" si="0">SUM(F6:F17)</f>
        <v>72428</v>
      </c>
      <c r="G18" s="135">
        <f t="shared" si="0"/>
        <v>53123.879499999995</v>
      </c>
      <c r="H18" s="135">
        <f t="shared" si="0"/>
        <v>56876.274676989982</v>
      </c>
      <c r="I18" s="136">
        <f t="shared" si="0"/>
        <v>110000.15417698998</v>
      </c>
      <c r="J18" s="135">
        <f t="shared" si="0"/>
        <v>73434</v>
      </c>
      <c r="K18" s="135">
        <f t="shared" si="0"/>
        <v>57929.951999999997</v>
      </c>
      <c r="L18" s="135">
        <f t="shared" si="0"/>
        <v>55418.177561859993</v>
      </c>
      <c r="M18" s="137">
        <f t="shared" si="0"/>
        <v>113348.12956186</v>
      </c>
      <c r="N18" s="135">
        <f>SUM(N16,N14,N12,N10,N8,N6)</f>
        <v>260</v>
      </c>
      <c r="O18" s="135">
        <f>SUM(O16,O14,O12,O10,O8,O6)</f>
        <v>253</v>
      </c>
      <c r="P18" s="135">
        <f>SUM(P16,P14,P12,P10,P8,P6)</f>
        <v>221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0.12648221343873517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12286</v>
      </c>
      <c r="D26" s="76">
        <f>C11</f>
        <v>10710</v>
      </c>
      <c r="E26" s="77">
        <f t="shared" ref="E26:E31" si="1">D26-C26</f>
        <v>-1576</v>
      </c>
      <c r="M26" s="4"/>
    </row>
    <row r="27" spans="2:28" x14ac:dyDescent="0.3">
      <c r="B27" s="74" t="s">
        <v>56</v>
      </c>
      <c r="C27" s="122">
        <v>32022</v>
      </c>
      <c r="D27" s="76">
        <f>C7+C12+C13+C14+C15</f>
        <v>32596</v>
      </c>
      <c r="E27" s="77">
        <f t="shared" si="1"/>
        <v>574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1908</v>
      </c>
      <c r="D29" s="76">
        <f>C10</f>
        <v>1908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18110</v>
      </c>
      <c r="D30" s="76">
        <f>C16+C17+C18</f>
        <v>16949</v>
      </c>
      <c r="E30" s="77">
        <f t="shared" si="1"/>
        <v>-1161</v>
      </c>
      <c r="P30" s="4"/>
    </row>
    <row r="31" spans="2:28" ht="15" customHeight="1" thickBot="1" x14ac:dyDescent="0.35">
      <c r="B31" s="78" t="s">
        <v>60</v>
      </c>
      <c r="C31" s="121">
        <v>2876</v>
      </c>
      <c r="D31" s="80">
        <f>SUM(C8+C9)</f>
        <v>2526</v>
      </c>
      <c r="E31" s="81">
        <f t="shared" si="1"/>
        <v>-350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>
    <tabColor theme="1"/>
    <pageSetUpPr fitToPage="1"/>
  </sheetPr>
  <dimension ref="B1:AB34"/>
  <sheetViews>
    <sheetView topLeftCell="A4" zoomScale="127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44546</v>
      </c>
    </row>
    <row r="3" spans="2:27" ht="18.75" customHeight="1" thickBot="1" x14ac:dyDescent="0.35">
      <c r="B3" t="s">
        <v>1</v>
      </c>
      <c r="C3" s="3">
        <f>C2+1</f>
        <v>44547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4530</v>
      </c>
      <c r="E6" s="18" t="s">
        <v>22</v>
      </c>
      <c r="F6" s="119">
        <v>26560</v>
      </c>
      <c r="G6" s="117">
        <v>14583.18026666667</v>
      </c>
      <c r="H6" s="117">
        <v>8342.9696104199975</v>
      </c>
      <c r="I6" s="19">
        <f>G6+H6</f>
        <v>22926.149877086667</v>
      </c>
      <c r="J6" s="119">
        <v>26411</v>
      </c>
      <c r="K6" s="117">
        <v>15877.033266666671</v>
      </c>
      <c r="L6" s="117">
        <v>8067.6116608799957</v>
      </c>
      <c r="M6" s="19"/>
      <c r="N6" s="85">
        <v>86</v>
      </c>
      <c r="O6" s="85">
        <v>83</v>
      </c>
      <c r="P6" s="85">
        <v>74</v>
      </c>
    </row>
    <row r="7" spans="2:27" x14ac:dyDescent="0.3">
      <c r="B7" s="16" t="s">
        <v>23</v>
      </c>
      <c r="C7" s="17">
        <v>1606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1532</v>
      </c>
      <c r="E8" s="140" t="s">
        <v>27</v>
      </c>
      <c r="F8" s="119">
        <v>0</v>
      </c>
      <c r="G8" s="117">
        <v>0</v>
      </c>
      <c r="H8" s="117">
        <v>4149.7971477600004</v>
      </c>
      <c r="I8" s="19">
        <f>G8+H8</f>
        <v>4149.7971477600004</v>
      </c>
      <c r="J8" s="119">
        <v>0</v>
      </c>
      <c r="K8" s="117">
        <v>0</v>
      </c>
      <c r="L8" s="117">
        <v>4121.4874855000007</v>
      </c>
      <c r="M8" s="19"/>
      <c r="N8" s="87">
        <v>5</v>
      </c>
      <c r="O8" s="87">
        <v>5</v>
      </c>
      <c r="P8" s="87">
        <v>4</v>
      </c>
    </row>
    <row r="9" spans="2:27" x14ac:dyDescent="0.3">
      <c r="B9" s="28" t="s">
        <v>28</v>
      </c>
      <c r="C9" s="17">
        <v>1065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2316</v>
      </c>
      <c r="E10" s="18" t="s">
        <v>31</v>
      </c>
      <c r="F10" s="119">
        <v>19944</v>
      </c>
      <c r="G10" s="117">
        <v>12675.892750000001</v>
      </c>
      <c r="H10" s="117">
        <v>394.64665500000001</v>
      </c>
      <c r="I10" s="19">
        <f>G10+H10</f>
        <v>13070.539405000001</v>
      </c>
      <c r="J10" s="119">
        <v>20247</v>
      </c>
      <c r="K10" s="117">
        <v>14374.70025</v>
      </c>
      <c r="L10" s="117">
        <v>376.76397359999999</v>
      </c>
      <c r="M10" s="19"/>
      <c r="N10" s="88">
        <v>55</v>
      </c>
      <c r="O10" s="88">
        <v>52</v>
      </c>
      <c r="P10" s="88">
        <v>51</v>
      </c>
    </row>
    <row r="11" spans="2:27" x14ac:dyDescent="0.3">
      <c r="B11" s="16" t="s">
        <v>38</v>
      </c>
      <c r="C11" s="17">
        <v>11060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40</v>
      </c>
      <c r="C12" s="17">
        <v>1431</v>
      </c>
      <c r="E12" s="140" t="s">
        <v>35</v>
      </c>
      <c r="F12" s="119">
        <v>13303</v>
      </c>
      <c r="G12" s="117">
        <v>10946.68225</v>
      </c>
      <c r="H12" s="117">
        <v>16959.528376819999</v>
      </c>
      <c r="I12" s="19">
        <f>G12+H12</f>
        <v>27906.21062682</v>
      </c>
      <c r="J12" s="119">
        <v>13733</v>
      </c>
      <c r="K12" s="117">
        <v>12999.588</v>
      </c>
      <c r="L12" s="117">
        <v>17373.448127750002</v>
      </c>
      <c r="M12" s="19"/>
      <c r="N12" s="88">
        <v>55</v>
      </c>
      <c r="O12" s="88">
        <v>47</v>
      </c>
      <c r="P12" s="88">
        <v>46</v>
      </c>
    </row>
    <row r="13" spans="2:27" x14ac:dyDescent="0.3">
      <c r="B13" s="28" t="s">
        <v>42</v>
      </c>
      <c r="C13" s="17">
        <v>22872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</v>
      </c>
    </row>
    <row r="14" spans="2:27" x14ac:dyDescent="0.3">
      <c r="B14" s="43" t="s">
        <v>47</v>
      </c>
      <c r="C14" s="17">
        <v>1007</v>
      </c>
      <c r="E14" s="18" t="s">
        <v>39</v>
      </c>
      <c r="F14" s="119">
        <v>17974</v>
      </c>
      <c r="G14" s="117">
        <v>13324.12</v>
      </c>
      <c r="H14" s="117">
        <v>21992.056025360009</v>
      </c>
      <c r="I14" s="19">
        <f>G14+H14</f>
        <v>35316.176025360008</v>
      </c>
      <c r="J14" s="119">
        <v>17743</v>
      </c>
      <c r="K14" s="117">
        <v>15224.427250000001</v>
      </c>
      <c r="L14" s="117">
        <v>21907.700509800012</v>
      </c>
      <c r="M14" s="19"/>
      <c r="N14" s="88">
        <v>60</v>
      </c>
      <c r="O14" s="88">
        <v>59</v>
      </c>
      <c r="P14" s="88">
        <v>45</v>
      </c>
    </row>
    <row r="15" spans="2:27" x14ac:dyDescent="0.3">
      <c r="B15" s="43" t="s">
        <v>48</v>
      </c>
      <c r="C15" s="50">
        <v>154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14</v>
      </c>
    </row>
    <row r="16" spans="2:27" x14ac:dyDescent="0.3">
      <c r="B16" s="16" t="s">
        <v>50</v>
      </c>
      <c r="C16" s="17">
        <v>9520</v>
      </c>
      <c r="E16" s="18" t="s">
        <v>79</v>
      </c>
      <c r="F16" s="119">
        <v>0</v>
      </c>
      <c r="G16" s="117">
        <v>0</v>
      </c>
      <c r="H16" s="117">
        <v>5812.0373916600001</v>
      </c>
      <c r="I16" s="19">
        <f>G16+H16</f>
        <v>5812.0373916600001</v>
      </c>
      <c r="J16" s="119">
        <v>0</v>
      </c>
      <c r="K16" s="117">
        <v>0</v>
      </c>
      <c r="L16" s="117">
        <v>6028.60037104</v>
      </c>
      <c r="M16" s="19"/>
      <c r="N16" s="88">
        <v>11</v>
      </c>
      <c r="O16" s="88">
        <v>11</v>
      </c>
      <c r="P16" s="88">
        <v>10</v>
      </c>
    </row>
    <row r="17" spans="2:28" s="4" customFormat="1" x14ac:dyDescent="0.3">
      <c r="B17" s="16" t="s">
        <v>51</v>
      </c>
      <c r="C17" s="17">
        <v>2367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4340</v>
      </c>
      <c r="E18" s="84"/>
      <c r="F18" s="135">
        <f t="shared" ref="F18:M18" si="0">SUM(F6:F17)</f>
        <v>77781</v>
      </c>
      <c r="G18" s="135">
        <f t="shared" si="0"/>
        <v>51529.87526666667</v>
      </c>
      <c r="H18" s="135">
        <f t="shared" si="0"/>
        <v>57651.03520702001</v>
      </c>
      <c r="I18" s="136">
        <f t="shared" si="0"/>
        <v>109180.91047368667</v>
      </c>
      <c r="J18" s="135">
        <f t="shared" si="0"/>
        <v>78134</v>
      </c>
      <c r="K18" s="135">
        <f t="shared" si="0"/>
        <v>58475.748766666671</v>
      </c>
      <c r="L18" s="135">
        <f t="shared" si="0"/>
        <v>57875.612128570006</v>
      </c>
      <c r="M18" s="137">
        <f t="shared" si="0"/>
        <v>0</v>
      </c>
      <c r="N18" s="135">
        <f>SUM(N16,N14,N12,N10,N8,N6)</f>
        <v>272</v>
      </c>
      <c r="O18" s="135">
        <f>SUM(O16,O14,O12,O10,O8,O6)</f>
        <v>257</v>
      </c>
      <c r="P18" s="135">
        <f>SUM(P16,P14,P12,P10,P8,P6)</f>
        <v>230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0.10116731517509728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12676</v>
      </c>
      <c r="D26" s="76">
        <f>C11</f>
        <v>11060</v>
      </c>
      <c r="E26" s="77">
        <f t="shared" ref="E26:E31" si="1">D26-C26</f>
        <v>-1616</v>
      </c>
      <c r="M26" s="4"/>
    </row>
    <row r="27" spans="2:28" x14ac:dyDescent="0.3">
      <c r="B27" s="74" t="s">
        <v>56</v>
      </c>
      <c r="C27" s="122">
        <v>33313</v>
      </c>
      <c r="D27" s="76">
        <f>C7+C12+C13+C14+C15</f>
        <v>27070</v>
      </c>
      <c r="E27" s="77">
        <f t="shared" si="1"/>
        <v>-6243</v>
      </c>
      <c r="J27" s="123"/>
      <c r="M27" s="4"/>
      <c r="Q27" s="69"/>
    </row>
    <row r="28" spans="2:28" x14ac:dyDescent="0.3">
      <c r="B28" s="74" t="s">
        <v>21</v>
      </c>
      <c r="C28" s="122">
        <v>118</v>
      </c>
      <c r="D28" s="76">
        <f>C6</f>
        <v>4530</v>
      </c>
      <c r="E28" s="77">
        <f t="shared" si="1"/>
        <v>4412</v>
      </c>
      <c r="M28" s="4"/>
    </row>
    <row r="29" spans="2:28" x14ac:dyDescent="0.3">
      <c r="B29" s="74" t="s">
        <v>57</v>
      </c>
      <c r="C29" s="122">
        <v>2316</v>
      </c>
      <c r="D29" s="76">
        <f>C10</f>
        <v>2316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15935</v>
      </c>
      <c r="D30" s="76">
        <f>C16+C17+C18</f>
        <v>16227</v>
      </c>
      <c r="E30" s="77">
        <f t="shared" si="1"/>
        <v>292</v>
      </c>
      <c r="P30" s="4"/>
    </row>
    <row r="31" spans="2:28" ht="15" customHeight="1" thickBot="1" x14ac:dyDescent="0.35">
      <c r="B31" s="78" t="s">
        <v>60</v>
      </c>
      <c r="C31" s="121">
        <v>2607</v>
      </c>
      <c r="D31" s="80">
        <f>SUM(C8+C9)</f>
        <v>2597</v>
      </c>
      <c r="E31" s="81">
        <f t="shared" si="1"/>
        <v>-10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44547</v>
      </c>
    </row>
    <row r="3" spans="2:27" ht="18.75" customHeight="1" thickBot="1" x14ac:dyDescent="0.35">
      <c r="B3" t="s">
        <v>1</v>
      </c>
      <c r="C3" s="3">
        <f>C2+1</f>
        <v>44548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21868</v>
      </c>
      <c r="G6" s="117">
        <v>14002.812250000001</v>
      </c>
      <c r="H6" s="117">
        <v>6590.7114888599936</v>
      </c>
      <c r="I6" s="19">
        <f>G6+H6</f>
        <v>20593.523738859993</v>
      </c>
      <c r="J6" s="119">
        <v>21320</v>
      </c>
      <c r="K6" s="117">
        <v>14005.947</v>
      </c>
      <c r="L6" s="117">
        <v>6286.0543130599926</v>
      </c>
      <c r="M6" s="19">
        <f>K6+L6</f>
        <v>20292.001313059991</v>
      </c>
      <c r="N6" s="85">
        <v>84</v>
      </c>
      <c r="O6" s="85">
        <v>81</v>
      </c>
      <c r="P6" s="85">
        <v>71</v>
      </c>
    </row>
    <row r="7" spans="2:27" x14ac:dyDescent="0.3">
      <c r="B7" s="16" t="s">
        <v>23</v>
      </c>
      <c r="C7" s="17">
        <v>1289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1643</v>
      </c>
      <c r="E8" s="140" t="s">
        <v>27</v>
      </c>
      <c r="F8" s="119">
        <v>0</v>
      </c>
      <c r="G8" s="117">
        <v>0</v>
      </c>
      <c r="H8" s="117">
        <v>3956.5972869399998</v>
      </c>
      <c r="I8" s="19">
        <f>G8+H8</f>
        <v>3956.5972869399998</v>
      </c>
      <c r="J8" s="119">
        <v>0</v>
      </c>
      <c r="K8" s="117">
        <v>0</v>
      </c>
      <c r="L8" s="117">
        <v>3949.08893906</v>
      </c>
      <c r="M8" s="19">
        <f>K8+L8</f>
        <v>3949.08893906</v>
      </c>
      <c r="N8" s="87">
        <v>7</v>
      </c>
      <c r="O8" s="87">
        <v>7</v>
      </c>
      <c r="P8" s="87">
        <v>6</v>
      </c>
    </row>
    <row r="9" spans="2:27" x14ac:dyDescent="0.3">
      <c r="B9" s="28" t="s">
        <v>28</v>
      </c>
      <c r="C9" s="17">
        <v>1032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4111</v>
      </c>
      <c r="E10" s="18" t="s">
        <v>31</v>
      </c>
      <c r="F10" s="119">
        <v>16337</v>
      </c>
      <c r="G10" s="117">
        <v>13376.1765</v>
      </c>
      <c r="H10" s="117">
        <v>352.768844</v>
      </c>
      <c r="I10" s="19">
        <f>G10+H10</f>
        <v>13728.945344</v>
      </c>
      <c r="J10" s="119">
        <v>14368</v>
      </c>
      <c r="K10" s="117">
        <v>11417.174999999999</v>
      </c>
      <c r="L10" s="117">
        <v>338.89130560000001</v>
      </c>
      <c r="M10" s="19">
        <f>K10+L10</f>
        <v>11756.066305599999</v>
      </c>
      <c r="N10" s="88">
        <v>54</v>
      </c>
      <c r="O10" s="88">
        <v>50</v>
      </c>
      <c r="P10" s="88">
        <v>48</v>
      </c>
    </row>
    <row r="11" spans="2:27" x14ac:dyDescent="0.3">
      <c r="B11" s="16" t="s">
        <v>38</v>
      </c>
      <c r="C11" s="17">
        <v>11533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40</v>
      </c>
      <c r="C12" s="17">
        <v>1558</v>
      </c>
      <c r="E12" s="140" t="s">
        <v>35</v>
      </c>
      <c r="F12" s="119">
        <v>12948</v>
      </c>
      <c r="G12" s="117">
        <v>11515.05725</v>
      </c>
      <c r="H12" s="117">
        <v>16434.019245970001</v>
      </c>
      <c r="I12" s="19">
        <f>G12+H12</f>
        <v>27949.076495970003</v>
      </c>
      <c r="J12" s="119">
        <v>13445</v>
      </c>
      <c r="K12" s="117">
        <v>13080.260749999999</v>
      </c>
      <c r="L12" s="117">
        <v>16760.938598689991</v>
      </c>
      <c r="M12" s="19">
        <f>K12+L12</f>
        <v>29841.199348689988</v>
      </c>
      <c r="N12" s="88">
        <v>60</v>
      </c>
      <c r="O12" s="88">
        <v>54</v>
      </c>
      <c r="P12" s="88">
        <v>52</v>
      </c>
    </row>
    <row r="13" spans="2:27" x14ac:dyDescent="0.3">
      <c r="B13" s="28" t="s">
        <v>42</v>
      </c>
      <c r="C13" s="17">
        <v>28077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43" t="s">
        <v>47</v>
      </c>
      <c r="C14" s="17">
        <v>1865</v>
      </c>
      <c r="E14" s="18" t="s">
        <v>39</v>
      </c>
      <c r="F14" s="119">
        <v>18045</v>
      </c>
      <c r="G14" s="117">
        <v>14621.549000000001</v>
      </c>
      <c r="H14" s="117">
        <v>23405.968173860001</v>
      </c>
      <c r="I14" s="19">
        <f>G14+H14</f>
        <v>38027.517173860004</v>
      </c>
      <c r="J14" s="119">
        <v>24550</v>
      </c>
      <c r="K14" s="117">
        <v>19267.226750000002</v>
      </c>
      <c r="L14" s="117">
        <v>29604.003845420011</v>
      </c>
      <c r="M14" s="19">
        <f>K14+L14</f>
        <v>48871.230595420013</v>
      </c>
      <c r="N14" s="88">
        <v>68</v>
      </c>
      <c r="O14" s="88">
        <v>70</v>
      </c>
      <c r="P14" s="88">
        <v>59</v>
      </c>
    </row>
    <row r="15" spans="2:27" x14ac:dyDescent="0.3">
      <c r="B15" s="43" t="s">
        <v>48</v>
      </c>
      <c r="C15" s="50">
        <v>270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16" t="s">
        <v>50</v>
      </c>
      <c r="C16" s="17">
        <v>8766</v>
      </c>
      <c r="E16" s="18" t="s">
        <v>79</v>
      </c>
      <c r="F16" s="119">
        <v>0</v>
      </c>
      <c r="G16" s="117">
        <v>0</v>
      </c>
      <c r="H16" s="117">
        <v>5234.8685457399997</v>
      </c>
      <c r="I16" s="19">
        <f>G16+H16</f>
        <v>5234.8685457399997</v>
      </c>
      <c r="J16" s="119">
        <v>0</v>
      </c>
      <c r="K16" s="117">
        <v>0</v>
      </c>
      <c r="L16" s="117">
        <v>5238.8616427999996</v>
      </c>
      <c r="M16" s="19">
        <f>K16+L16</f>
        <v>5238.8616427999996</v>
      </c>
      <c r="N16" s="88">
        <v>14</v>
      </c>
      <c r="O16" s="88">
        <v>13</v>
      </c>
      <c r="P16" s="88">
        <v>12</v>
      </c>
    </row>
    <row r="17" spans="2:28" s="4" customFormat="1" x14ac:dyDescent="0.3">
      <c r="B17" s="16" t="s">
        <v>51</v>
      </c>
      <c r="C17" s="17">
        <v>638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4292</v>
      </c>
      <c r="E18" s="84"/>
      <c r="F18" s="135">
        <f t="shared" ref="F18:M18" si="0">SUM(F6:F17)</f>
        <v>69198</v>
      </c>
      <c r="G18" s="135">
        <f t="shared" si="0"/>
        <v>53515.595000000001</v>
      </c>
      <c r="H18" s="135">
        <f t="shared" si="0"/>
        <v>55974.933585369989</v>
      </c>
      <c r="I18" s="136">
        <f t="shared" si="0"/>
        <v>109490.52858537</v>
      </c>
      <c r="J18" s="135">
        <f t="shared" si="0"/>
        <v>73683</v>
      </c>
      <c r="K18" s="135">
        <f t="shared" si="0"/>
        <v>57770.609499999999</v>
      </c>
      <c r="L18" s="135">
        <f t="shared" si="0"/>
        <v>62177.838644629999</v>
      </c>
      <c r="M18" s="137">
        <f t="shared" si="0"/>
        <v>119948.44814462998</v>
      </c>
      <c r="N18" s="135">
        <f>SUM(N16,N14,N12,N10,N8,N6)</f>
        <v>287</v>
      </c>
      <c r="O18" s="135">
        <f>SUM(O16,O14,O12,O10,O8,O6)</f>
        <v>275</v>
      </c>
      <c r="P18" s="135">
        <f>SUM(P16,P14,P12,P10,P8,P6)</f>
        <v>248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9.4545454545454544E-2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10374</v>
      </c>
      <c r="D26" s="76">
        <f>C11</f>
        <v>11533</v>
      </c>
      <c r="E26" s="77">
        <f t="shared" ref="E26:E31" si="1">D26-C26</f>
        <v>1159</v>
      </c>
      <c r="M26" s="4"/>
    </row>
    <row r="27" spans="2:28" x14ac:dyDescent="0.3">
      <c r="B27" s="74" t="s">
        <v>56</v>
      </c>
      <c r="C27" s="122">
        <v>32391</v>
      </c>
      <c r="D27" s="76">
        <f>C7+C12+C13+C14+C15</f>
        <v>33059</v>
      </c>
      <c r="E27" s="77">
        <f t="shared" si="1"/>
        <v>668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2207</v>
      </c>
      <c r="D29" s="76">
        <f>C10</f>
        <v>4111</v>
      </c>
      <c r="E29" s="77">
        <f t="shared" si="1"/>
        <v>1904</v>
      </c>
      <c r="P29" s="4"/>
    </row>
    <row r="30" spans="2:28" x14ac:dyDescent="0.3">
      <c r="B30" s="74" t="s">
        <v>59</v>
      </c>
      <c r="C30" s="122">
        <v>14617</v>
      </c>
      <c r="D30" s="76">
        <f>C16+C17+C18</f>
        <v>13696</v>
      </c>
      <c r="E30" s="77">
        <f t="shared" si="1"/>
        <v>-921</v>
      </c>
      <c r="P30" s="4"/>
    </row>
    <row r="31" spans="2:28" ht="15" customHeight="1" thickBot="1" x14ac:dyDescent="0.35">
      <c r="B31" s="78" t="s">
        <v>60</v>
      </c>
      <c r="C31" s="121">
        <v>4057</v>
      </c>
      <c r="D31" s="80">
        <f>SUM(C8+C9)</f>
        <v>2675</v>
      </c>
      <c r="E31" s="81">
        <f t="shared" si="1"/>
        <v>-1382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44548</v>
      </c>
    </row>
    <row r="3" spans="2:27" ht="18.75" customHeight="1" thickBot="1" x14ac:dyDescent="0.35">
      <c r="B3" t="s">
        <v>1</v>
      </c>
      <c r="C3" s="3">
        <f>C2+1</f>
        <v>44549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70</v>
      </c>
      <c r="E6" s="18" t="s">
        <v>22</v>
      </c>
      <c r="F6" s="119">
        <v>24046</v>
      </c>
      <c r="G6" s="117">
        <v>14426.75675</v>
      </c>
      <c r="H6" s="117">
        <v>7052.1317487600063</v>
      </c>
      <c r="I6" s="19">
        <f>G6+H6</f>
        <v>21478.888498760007</v>
      </c>
      <c r="J6" s="119">
        <v>25188</v>
      </c>
      <c r="K6" s="117">
        <v>15397.0388</v>
      </c>
      <c r="L6" s="117">
        <v>7743.4142108600026</v>
      </c>
      <c r="M6" s="19">
        <f>K6+L6</f>
        <v>23140.453010860001</v>
      </c>
      <c r="N6" s="85">
        <v>95</v>
      </c>
      <c r="O6" s="85">
        <v>94</v>
      </c>
      <c r="P6" s="85">
        <v>83</v>
      </c>
    </row>
    <row r="7" spans="2:27" x14ac:dyDescent="0.3">
      <c r="B7" s="16" t="s">
        <v>23</v>
      </c>
      <c r="C7" s="17">
        <v>885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2587</v>
      </c>
      <c r="E8" s="140" t="s">
        <v>27</v>
      </c>
      <c r="F8" s="119">
        <v>0</v>
      </c>
      <c r="G8" s="117">
        <v>0</v>
      </c>
      <c r="H8" s="117">
        <v>3734.46145854</v>
      </c>
      <c r="I8" s="19">
        <f>G8+H8</f>
        <v>3734.46145854</v>
      </c>
      <c r="J8" s="119">
        <v>0</v>
      </c>
      <c r="K8" s="117">
        <v>0</v>
      </c>
      <c r="L8" s="117">
        <v>3616.0657026200001</v>
      </c>
      <c r="M8" s="19">
        <f>K8+L8</f>
        <v>3616.0657026200001</v>
      </c>
      <c r="N8" s="87">
        <v>7</v>
      </c>
      <c r="O8" s="87">
        <v>7</v>
      </c>
      <c r="P8" s="87">
        <v>5</v>
      </c>
    </row>
    <row r="9" spans="2:27" x14ac:dyDescent="0.3">
      <c r="B9" s="28" t="s">
        <v>28</v>
      </c>
      <c r="C9" s="17">
        <v>913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2269</v>
      </c>
      <c r="E10" s="18" t="s">
        <v>31</v>
      </c>
      <c r="F10" s="119">
        <v>17780</v>
      </c>
      <c r="G10" s="117">
        <v>12677.121499999999</v>
      </c>
      <c r="H10" s="117">
        <v>420.01308239999997</v>
      </c>
      <c r="I10" s="19">
        <f>G10+H10</f>
        <v>13097.1345824</v>
      </c>
      <c r="J10" s="119">
        <v>18815</v>
      </c>
      <c r="K10" s="117">
        <v>14489.098249999999</v>
      </c>
      <c r="L10" s="117">
        <v>422.62353039999999</v>
      </c>
      <c r="M10" s="19">
        <f>K10+L10</f>
        <v>14911.721780399999</v>
      </c>
      <c r="N10" s="88">
        <v>54</v>
      </c>
      <c r="O10" s="88">
        <v>52</v>
      </c>
      <c r="P10" s="88">
        <v>49</v>
      </c>
    </row>
    <row r="11" spans="2:27" x14ac:dyDescent="0.3">
      <c r="B11" s="16" t="s">
        <v>38</v>
      </c>
      <c r="C11" s="17">
        <v>8335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40</v>
      </c>
      <c r="C12" s="17">
        <v>1188</v>
      </c>
      <c r="E12" s="140" t="s">
        <v>35</v>
      </c>
      <c r="F12" s="119">
        <v>13447</v>
      </c>
      <c r="G12" s="117">
        <v>11379.148499999999</v>
      </c>
      <c r="H12" s="117">
        <v>16839.38939394</v>
      </c>
      <c r="I12" s="19">
        <f>G12+H12</f>
        <v>28218.53789394</v>
      </c>
      <c r="J12" s="119">
        <v>13529</v>
      </c>
      <c r="K12" s="117">
        <v>13012.59525</v>
      </c>
      <c r="L12" s="117">
        <v>16940.332123619999</v>
      </c>
      <c r="M12" s="19">
        <f>K12+L12</f>
        <v>29952.927373619998</v>
      </c>
      <c r="N12" s="88">
        <v>63</v>
      </c>
      <c r="O12" s="88">
        <v>60</v>
      </c>
      <c r="P12" s="88">
        <v>55</v>
      </c>
    </row>
    <row r="13" spans="2:27" x14ac:dyDescent="0.3">
      <c r="B13" s="28" t="s">
        <v>42</v>
      </c>
      <c r="C13" s="17">
        <v>23360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43" t="s">
        <v>47</v>
      </c>
      <c r="C14" s="17">
        <v>926</v>
      </c>
      <c r="E14" s="18" t="s">
        <v>39</v>
      </c>
      <c r="F14" s="119">
        <v>17964</v>
      </c>
      <c r="G14" s="117">
        <v>15333.26175</v>
      </c>
      <c r="H14" s="117">
        <v>22088.077011959998</v>
      </c>
      <c r="I14" s="19">
        <f>G14+H14</f>
        <v>37421.338761959996</v>
      </c>
      <c r="J14" s="119">
        <v>17580</v>
      </c>
      <c r="K14" s="117">
        <v>15709.60275</v>
      </c>
      <c r="L14" s="117">
        <v>22490.362128840032</v>
      </c>
      <c r="M14" s="19">
        <f>K14+L14</f>
        <v>38199.96487884003</v>
      </c>
      <c r="N14" s="88">
        <v>62</v>
      </c>
      <c r="O14" s="88">
        <v>64</v>
      </c>
      <c r="P14" s="88">
        <v>49</v>
      </c>
    </row>
    <row r="15" spans="2:27" x14ac:dyDescent="0.3">
      <c r="B15" s="43" t="s">
        <v>48</v>
      </c>
      <c r="C15" s="50">
        <v>136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3">
      <c r="B16" s="16" t="s">
        <v>50</v>
      </c>
      <c r="C16" s="17">
        <v>10698</v>
      </c>
      <c r="E16" s="18" t="s">
        <v>79</v>
      </c>
      <c r="F16" s="119">
        <v>0</v>
      </c>
      <c r="G16" s="117">
        <v>0</v>
      </c>
      <c r="H16" s="117">
        <v>5453.1441024199994</v>
      </c>
      <c r="I16" s="19">
        <f>G16+H16</f>
        <v>5453.1441024199994</v>
      </c>
      <c r="J16" s="119">
        <v>0</v>
      </c>
      <c r="K16" s="117">
        <v>0</v>
      </c>
      <c r="L16" s="117">
        <v>5319.6953891000003</v>
      </c>
      <c r="M16" s="19">
        <f>K16+L16</f>
        <v>5319.6953891000003</v>
      </c>
      <c r="N16" s="88">
        <v>11</v>
      </c>
      <c r="O16" s="88">
        <v>12</v>
      </c>
      <c r="P16" s="88">
        <v>10</v>
      </c>
    </row>
    <row r="17" spans="2:28" s="4" customFormat="1" x14ac:dyDescent="0.3">
      <c r="B17" s="16" t="s">
        <v>51</v>
      </c>
      <c r="C17" s="17">
        <v>2253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4565</v>
      </c>
      <c r="E18" s="84"/>
      <c r="F18" s="135">
        <f t="shared" ref="F18:M18" si="0">SUM(F6:F17)</f>
        <v>73237</v>
      </c>
      <c r="G18" s="135">
        <f t="shared" si="0"/>
        <v>53816.288500000002</v>
      </c>
      <c r="H18" s="135">
        <f t="shared" si="0"/>
        <v>55587.216798020003</v>
      </c>
      <c r="I18" s="136">
        <f t="shared" si="0"/>
        <v>109403.50529802001</v>
      </c>
      <c r="J18" s="135">
        <f t="shared" si="0"/>
        <v>75112</v>
      </c>
      <c r="K18" s="135">
        <f t="shared" si="0"/>
        <v>58608.335049999994</v>
      </c>
      <c r="L18" s="135">
        <f t="shared" si="0"/>
        <v>56532.493085440037</v>
      </c>
      <c r="M18" s="137">
        <f t="shared" si="0"/>
        <v>115140.82813544004</v>
      </c>
      <c r="N18" s="135">
        <f>SUM(N16,N14,N12,N10,N8,N6)</f>
        <v>292</v>
      </c>
      <c r="O18" s="135">
        <f>SUM(O16,O14,O12,O10,O8,O6)</f>
        <v>289</v>
      </c>
      <c r="P18" s="135">
        <f>SUM(P16,P14,P12,P10,P8,P6)</f>
        <v>251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0.1245674740484429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11632</v>
      </c>
      <c r="D26" s="76">
        <f>C11</f>
        <v>8335</v>
      </c>
      <c r="E26" s="77">
        <f t="shared" ref="E26:E31" si="1">D26-C26</f>
        <v>-3297</v>
      </c>
      <c r="M26" s="4"/>
    </row>
    <row r="27" spans="2:28" x14ac:dyDescent="0.3">
      <c r="B27" s="74" t="s">
        <v>56</v>
      </c>
      <c r="C27" s="122">
        <v>32084</v>
      </c>
      <c r="D27" s="76">
        <f>C7+C12+C13+C14+C15</f>
        <v>26495</v>
      </c>
      <c r="E27" s="77">
        <f t="shared" si="1"/>
        <v>-5589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70</v>
      </c>
      <c r="E28" s="77">
        <f t="shared" si="1"/>
        <v>70</v>
      </c>
      <c r="M28" s="4"/>
    </row>
    <row r="29" spans="2:28" x14ac:dyDescent="0.3">
      <c r="B29" s="74" t="s">
        <v>57</v>
      </c>
      <c r="C29" s="122">
        <v>2269</v>
      </c>
      <c r="D29" s="76">
        <f>C10</f>
        <v>2269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17603</v>
      </c>
      <c r="D30" s="76">
        <f>C16+C17+C18</f>
        <v>17516</v>
      </c>
      <c r="E30" s="77">
        <f t="shared" si="1"/>
        <v>-87</v>
      </c>
      <c r="P30" s="4"/>
    </row>
    <row r="31" spans="2:28" ht="15" customHeight="1" thickBot="1" x14ac:dyDescent="0.35">
      <c r="B31" s="78" t="s">
        <v>60</v>
      </c>
      <c r="C31" s="121">
        <v>3600</v>
      </c>
      <c r="D31" s="80">
        <f>SUM(C8+C9)</f>
        <v>3500</v>
      </c>
      <c r="E31" s="81">
        <f t="shared" si="1"/>
        <v>-100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customWidth="1" collapsed="1"/>
    <col min="15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44549</v>
      </c>
    </row>
    <row r="3" spans="2:27" ht="18.75" customHeight="1" thickBot="1" x14ac:dyDescent="0.35">
      <c r="B3" t="s">
        <v>1</v>
      </c>
      <c r="C3" s="3">
        <f>C2+1</f>
        <v>44550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/>
      <c r="E6" s="18" t="s">
        <v>22</v>
      </c>
      <c r="F6" s="119">
        <v>15980</v>
      </c>
      <c r="G6" s="117">
        <v>14226.21088333333</v>
      </c>
      <c r="H6" s="117">
        <v>6732.5546159600017</v>
      </c>
      <c r="I6" s="19">
        <f>G6+H6</f>
        <v>20958.765499293331</v>
      </c>
      <c r="J6" s="119">
        <v>14845</v>
      </c>
      <c r="K6" s="117"/>
      <c r="L6" s="117"/>
      <c r="M6" s="19">
        <f>K6+L6</f>
        <v>0</v>
      </c>
      <c r="N6" s="85">
        <v>45</v>
      </c>
      <c r="O6" s="85">
        <v>45</v>
      </c>
      <c r="P6" s="85">
        <v>32</v>
      </c>
    </row>
    <row r="7" spans="2:27" x14ac:dyDescent="0.3">
      <c r="B7" s="16" t="s">
        <v>23</v>
      </c>
      <c r="C7" s="17"/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/>
      <c r="E8" s="140" t="s">
        <v>27</v>
      </c>
      <c r="F8" s="119"/>
      <c r="G8" s="117"/>
      <c r="H8" s="117"/>
      <c r="I8" s="19">
        <f>G8+H8</f>
        <v>0</v>
      </c>
      <c r="J8" s="119"/>
      <c r="K8" s="117"/>
      <c r="L8" s="117"/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28" t="s">
        <v>28</v>
      </c>
      <c r="C9" s="17"/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/>
      <c r="E10" s="18" t="s">
        <v>31</v>
      </c>
      <c r="F10" s="119"/>
      <c r="G10" s="117"/>
      <c r="H10" s="117"/>
      <c r="I10" s="19">
        <f>G10+H10</f>
        <v>0</v>
      </c>
      <c r="J10" s="119"/>
      <c r="K10" s="117"/>
      <c r="L10" s="117"/>
      <c r="M10" s="19">
        <f>K10+L10</f>
        <v>0</v>
      </c>
      <c r="N10" s="88">
        <v>0</v>
      </c>
      <c r="O10" s="88">
        <v>0</v>
      </c>
      <c r="P10" s="88">
        <v>0</v>
      </c>
    </row>
    <row r="11" spans="2:27" x14ac:dyDescent="0.3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/>
      <c r="E12" s="140" t="s">
        <v>35</v>
      </c>
      <c r="F12" s="119"/>
      <c r="G12" s="117"/>
      <c r="H12" s="117"/>
      <c r="I12" s="19">
        <f>G12+H12</f>
        <v>0</v>
      </c>
      <c r="J12" s="119"/>
      <c r="K12" s="117"/>
      <c r="L12" s="117"/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28" t="s">
        <v>42</v>
      </c>
      <c r="C13" s="17"/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43" t="s">
        <v>47</v>
      </c>
      <c r="C14" s="17"/>
      <c r="E14" s="18" t="s">
        <v>39</v>
      </c>
      <c r="F14" s="119"/>
      <c r="G14" s="117"/>
      <c r="H14" s="117"/>
      <c r="I14" s="19">
        <f>G14+H14</f>
        <v>0</v>
      </c>
      <c r="J14" s="119"/>
      <c r="K14" s="117"/>
      <c r="L14" s="117"/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43" t="s">
        <v>48</v>
      </c>
      <c r="C15" s="50"/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16" t="s">
        <v>50</v>
      </c>
      <c r="C16" s="17">
        <v>9454</v>
      </c>
      <c r="E16" s="18" t="s">
        <v>79</v>
      </c>
      <c r="F16" s="119"/>
      <c r="G16" s="117"/>
      <c r="H16" s="117"/>
      <c r="I16" s="19">
        <f>G16+H16</f>
        <v>0</v>
      </c>
      <c r="J16" s="119"/>
      <c r="K16" s="117"/>
      <c r="L16" s="117"/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51</v>
      </c>
      <c r="C17" s="17">
        <v>737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4654</v>
      </c>
      <c r="E18" s="84"/>
      <c r="F18" s="135">
        <f t="shared" ref="F18:M18" si="0">SUM(F6:F17)</f>
        <v>15980</v>
      </c>
      <c r="G18" s="135">
        <f t="shared" si="0"/>
        <v>14226.21088333333</v>
      </c>
      <c r="H18" s="135">
        <f t="shared" si="0"/>
        <v>6732.5546159600017</v>
      </c>
      <c r="I18" s="136">
        <f t="shared" si="0"/>
        <v>20958.765499293331</v>
      </c>
      <c r="J18" s="135">
        <f t="shared" si="0"/>
        <v>14845</v>
      </c>
      <c r="K18" s="135">
        <f t="shared" si="0"/>
        <v>0</v>
      </c>
      <c r="L18" s="135">
        <f t="shared" si="0"/>
        <v>0</v>
      </c>
      <c r="M18" s="137">
        <f t="shared" si="0"/>
        <v>0</v>
      </c>
      <c r="N18" s="135">
        <f>SUM(N16,N14,N12,N10,N8,N6)</f>
        <v>46</v>
      </c>
      <c r="O18" s="135">
        <f>SUM(O16,O14,O12,O10,O8,O6)</f>
        <v>45</v>
      </c>
      <c r="P18" s="135">
        <f>SUM(P16,P14,P12,P10,P8,P6)</f>
        <v>32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13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0.28888888888888886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0</v>
      </c>
      <c r="D26" s="76">
        <f>C11</f>
        <v>0</v>
      </c>
      <c r="E26" s="77">
        <f t="shared" ref="E26:E31" si="1">D26-C26</f>
        <v>0</v>
      </c>
      <c r="M26" s="4"/>
    </row>
    <row r="27" spans="2:28" x14ac:dyDescent="0.3">
      <c r="B27" s="74" t="s">
        <v>56</v>
      </c>
      <c r="C27" s="122">
        <v>0</v>
      </c>
      <c r="D27" s="76">
        <f>C7+C12+C13+C14+C15</f>
        <v>0</v>
      </c>
      <c r="E27" s="77">
        <f t="shared" si="1"/>
        <v>0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0</v>
      </c>
      <c r="D29" s="76">
        <f>C10</f>
        <v>0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15980</v>
      </c>
      <c r="D30" s="76">
        <f>C16+C17+C18</f>
        <v>14845</v>
      </c>
      <c r="E30" s="77">
        <f t="shared" si="1"/>
        <v>-1135</v>
      </c>
      <c r="P30" s="4"/>
    </row>
    <row r="31" spans="2:28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44550</v>
      </c>
    </row>
    <row r="3" spans="2:27" ht="18.75" customHeight="1" thickBot="1" x14ac:dyDescent="0.35">
      <c r="B3" t="s">
        <v>1</v>
      </c>
      <c r="C3" s="3">
        <f>C2+1</f>
        <v>44551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62</v>
      </c>
      <c r="E6" s="18" t="s">
        <v>22</v>
      </c>
      <c r="F6" s="119">
        <v>24416</v>
      </c>
      <c r="G6" s="117">
        <v>13591.394883333331</v>
      </c>
      <c r="H6" s="117">
        <v>7808.7792286399972</v>
      </c>
      <c r="I6" s="19">
        <f>G6+H6</f>
        <v>21400.174111973327</v>
      </c>
      <c r="J6" s="119">
        <v>24447</v>
      </c>
      <c r="K6" s="117">
        <v>15193.400133333331</v>
      </c>
      <c r="L6" s="117">
        <v>7491.2934043000014</v>
      </c>
      <c r="M6" s="19">
        <f>K6+L6</f>
        <v>22684.693537633331</v>
      </c>
      <c r="N6" s="85">
        <v>71</v>
      </c>
      <c r="O6" s="85">
        <v>70</v>
      </c>
      <c r="P6" s="85">
        <v>56</v>
      </c>
    </row>
    <row r="7" spans="2:27" x14ac:dyDescent="0.3">
      <c r="B7" s="16" t="s">
        <v>23</v>
      </c>
      <c r="C7" s="17">
        <v>1289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2048</v>
      </c>
      <c r="E8" s="140" t="s">
        <v>27</v>
      </c>
      <c r="F8" s="119">
        <v>0</v>
      </c>
      <c r="G8" s="117">
        <v>0</v>
      </c>
      <c r="H8" s="117">
        <v>4020.2778370599999</v>
      </c>
      <c r="I8" s="19">
        <f>G8+H8</f>
        <v>4020.2778370599999</v>
      </c>
      <c r="J8" s="119">
        <v>0</v>
      </c>
      <c r="K8" s="117">
        <v>0</v>
      </c>
      <c r="L8" s="117">
        <v>4007.3335195999998</v>
      </c>
      <c r="M8" s="19">
        <f>K8+L8</f>
        <v>4007.3335195999998</v>
      </c>
      <c r="N8" s="87">
        <v>7</v>
      </c>
      <c r="O8" s="87">
        <v>7</v>
      </c>
      <c r="P8" s="87">
        <v>6</v>
      </c>
    </row>
    <row r="9" spans="2:27" x14ac:dyDescent="0.3">
      <c r="B9" s="28" t="s">
        <v>28</v>
      </c>
      <c r="C9" s="17">
        <v>1072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1645</v>
      </c>
      <c r="E10" s="18" t="s">
        <v>31</v>
      </c>
      <c r="F10" s="119">
        <v>18786</v>
      </c>
      <c r="G10" s="117">
        <v>13809.81148129252</v>
      </c>
      <c r="H10" s="117">
        <v>404.009412</v>
      </c>
      <c r="I10" s="19">
        <f>G10+H10</f>
        <v>14213.820893292519</v>
      </c>
      <c r="J10" s="119">
        <v>18325</v>
      </c>
      <c r="K10" s="117">
        <v>13861.392250000001</v>
      </c>
      <c r="L10" s="117">
        <v>413.17755799999998</v>
      </c>
      <c r="M10" s="19">
        <f>K10+L10</f>
        <v>14274.569808</v>
      </c>
      <c r="N10" s="88">
        <v>46</v>
      </c>
      <c r="O10" s="88">
        <v>43</v>
      </c>
      <c r="P10" s="88">
        <v>35</v>
      </c>
    </row>
    <row r="11" spans="2:27" x14ac:dyDescent="0.3">
      <c r="B11" s="16" t="s">
        <v>38</v>
      </c>
      <c r="C11" s="17">
        <v>9373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40</v>
      </c>
      <c r="C12" s="17">
        <v>1558</v>
      </c>
      <c r="E12" s="140" t="s">
        <v>35</v>
      </c>
      <c r="F12" s="119">
        <v>14774</v>
      </c>
      <c r="G12" s="117">
        <v>12010.660749999999</v>
      </c>
      <c r="H12" s="117">
        <v>18100.00051301</v>
      </c>
      <c r="I12" s="19">
        <f>G12+H12</f>
        <v>30110.661263009999</v>
      </c>
      <c r="J12" s="119">
        <v>14356</v>
      </c>
      <c r="K12" s="117">
        <v>13900.123250000001</v>
      </c>
      <c r="L12" s="117">
        <v>17746.467028660001</v>
      </c>
      <c r="M12" s="19">
        <f>K12+L12</f>
        <v>31646.590278660002</v>
      </c>
      <c r="N12" s="88">
        <v>55</v>
      </c>
      <c r="O12" s="88">
        <v>52</v>
      </c>
      <c r="P12" s="88">
        <v>49</v>
      </c>
    </row>
    <row r="13" spans="2:27" x14ac:dyDescent="0.3">
      <c r="B13" s="28" t="s">
        <v>42</v>
      </c>
      <c r="C13" s="17">
        <v>28852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43" t="s">
        <v>47</v>
      </c>
      <c r="C14" s="17">
        <v>1292</v>
      </c>
      <c r="E14" s="18" t="s">
        <v>39</v>
      </c>
      <c r="F14" s="119">
        <v>17193</v>
      </c>
      <c r="G14" s="117">
        <v>14608.930625000001</v>
      </c>
      <c r="H14" s="117">
        <v>20929.124848799991</v>
      </c>
      <c r="I14" s="19">
        <f>G14+H14</f>
        <v>35538.055473799992</v>
      </c>
      <c r="J14" s="119">
        <v>15983</v>
      </c>
      <c r="K14" s="117">
        <v>15032.8675</v>
      </c>
      <c r="L14" s="117">
        <v>19212.50623176001</v>
      </c>
      <c r="M14" s="19">
        <f>K14+L14</f>
        <v>34245.37373176001</v>
      </c>
      <c r="N14" s="88">
        <v>68</v>
      </c>
      <c r="O14" s="88">
        <v>67</v>
      </c>
      <c r="P14" s="88">
        <v>56</v>
      </c>
    </row>
    <row r="15" spans="2:27" x14ac:dyDescent="0.3">
      <c r="B15" s="43" t="s">
        <v>48</v>
      </c>
      <c r="C15" s="50">
        <v>270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16" t="s">
        <v>50</v>
      </c>
      <c r="C16" s="17">
        <v>10559</v>
      </c>
      <c r="E16" s="18" t="s">
        <v>79</v>
      </c>
      <c r="F16" s="119">
        <v>0</v>
      </c>
      <c r="G16" s="117">
        <v>0</v>
      </c>
      <c r="H16" s="117">
        <v>7765.9536207599986</v>
      </c>
      <c r="I16" s="19">
        <f>G16+H16</f>
        <v>7765.9536207599986</v>
      </c>
      <c r="J16" s="119">
        <v>0</v>
      </c>
      <c r="K16" s="117">
        <v>0</v>
      </c>
      <c r="L16" s="117">
        <v>7487.4364253199992</v>
      </c>
      <c r="M16" s="19">
        <f>K16+L16</f>
        <v>7487.4364253199992</v>
      </c>
      <c r="N16" s="88">
        <v>9</v>
      </c>
      <c r="O16" s="88">
        <v>10</v>
      </c>
      <c r="P16" s="88">
        <v>9</v>
      </c>
    </row>
    <row r="17" spans="2:28" s="4" customFormat="1" x14ac:dyDescent="0.3">
      <c r="B17" s="16" t="s">
        <v>51</v>
      </c>
      <c r="C17" s="17">
        <v>1655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4656</v>
      </c>
      <c r="E18" s="84"/>
      <c r="F18" s="135">
        <f t="shared" ref="F18:M18" si="0">SUM(F6:F17)</f>
        <v>75169</v>
      </c>
      <c r="G18" s="135">
        <f t="shared" si="0"/>
        <v>54020.79773962585</v>
      </c>
      <c r="H18" s="135">
        <f t="shared" si="0"/>
        <v>59028.145460269981</v>
      </c>
      <c r="I18" s="136">
        <f t="shared" si="0"/>
        <v>113048.94319989585</v>
      </c>
      <c r="J18" s="135">
        <f t="shared" si="0"/>
        <v>73111</v>
      </c>
      <c r="K18" s="135">
        <f t="shared" si="0"/>
        <v>57987.783133333338</v>
      </c>
      <c r="L18" s="135">
        <f t="shared" si="0"/>
        <v>56358.214167640006</v>
      </c>
      <c r="M18" s="137">
        <f t="shared" si="0"/>
        <v>114345.99730097335</v>
      </c>
      <c r="N18" s="135">
        <f>SUM(N16,N14,N12,N10,N8,N6)</f>
        <v>256</v>
      </c>
      <c r="O18" s="135">
        <f>SUM(O16,O14,O12,O10,O8,O6)</f>
        <v>249</v>
      </c>
      <c r="P18" s="135">
        <f>SUM(P16,P14,P12,P10,P8,P6)</f>
        <v>211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0.15261044176706828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11884</v>
      </c>
      <c r="D26" s="76">
        <f>C11</f>
        <v>9373</v>
      </c>
      <c r="E26" s="77">
        <f t="shared" ref="E26:E31" si="1">D26-C26</f>
        <v>-2511</v>
      </c>
      <c r="I26" s="53"/>
      <c r="M26" s="4"/>
    </row>
    <row r="27" spans="2:28" x14ac:dyDescent="0.3">
      <c r="B27" s="74" t="s">
        <v>56</v>
      </c>
      <c r="C27" s="122">
        <v>35108</v>
      </c>
      <c r="D27" s="76">
        <f>C7+C12+C13+C14+C15</f>
        <v>33261</v>
      </c>
      <c r="E27" s="77">
        <f t="shared" si="1"/>
        <v>-1847</v>
      </c>
      <c r="J27" s="123"/>
      <c r="M27" s="4"/>
      <c r="Q27" s="69"/>
    </row>
    <row r="28" spans="2:28" x14ac:dyDescent="0.3">
      <c r="B28" s="74" t="s">
        <v>21</v>
      </c>
      <c r="C28" s="122">
        <v>62</v>
      </c>
      <c r="D28" s="76">
        <f>C6</f>
        <v>62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1645</v>
      </c>
      <c r="D29" s="76">
        <f>C10</f>
        <v>1645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16300</v>
      </c>
      <c r="D30" s="76">
        <f>C16+C17+C18</f>
        <v>16870</v>
      </c>
      <c r="E30" s="77">
        <f t="shared" si="1"/>
        <v>570</v>
      </c>
      <c r="P30" s="4"/>
    </row>
    <row r="31" spans="2:28" ht="15" customHeight="1" thickBot="1" x14ac:dyDescent="0.35">
      <c r="B31" s="78" t="s">
        <v>60</v>
      </c>
      <c r="C31" s="121">
        <v>3549</v>
      </c>
      <c r="D31" s="80">
        <f>SUM(C8+C9)</f>
        <v>3120</v>
      </c>
      <c r="E31" s="81">
        <f t="shared" si="1"/>
        <v>-429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44551</v>
      </c>
    </row>
    <row r="3" spans="2:27" ht="18.75" customHeight="1" thickBot="1" x14ac:dyDescent="0.35">
      <c r="B3" t="s">
        <v>1</v>
      </c>
      <c r="C3" s="3">
        <f>C2+1</f>
        <v>44552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3474</v>
      </c>
      <c r="E6" s="18" t="s">
        <v>22</v>
      </c>
      <c r="F6" s="119">
        <v>23738</v>
      </c>
      <c r="G6" s="117">
        <v>14413.71125</v>
      </c>
      <c r="H6" s="117">
        <v>7465.0120281200043</v>
      </c>
      <c r="I6" s="19">
        <f>G6+H6</f>
        <v>21878.723278120004</v>
      </c>
      <c r="J6" s="119">
        <v>23412</v>
      </c>
      <c r="K6" s="117">
        <v>13833.4985</v>
      </c>
      <c r="L6" s="117">
        <v>7487.9604783200048</v>
      </c>
      <c r="M6" s="19">
        <f>K6+L6</f>
        <v>21321.458978320006</v>
      </c>
      <c r="N6" s="85">
        <v>81</v>
      </c>
      <c r="O6" s="85">
        <v>83</v>
      </c>
      <c r="P6" s="85">
        <v>67</v>
      </c>
    </row>
    <row r="7" spans="2:27" x14ac:dyDescent="0.3">
      <c r="B7" s="16" t="s">
        <v>23</v>
      </c>
      <c r="C7" s="17">
        <v>1486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2022</v>
      </c>
      <c r="E8" s="140" t="s">
        <v>27</v>
      </c>
      <c r="F8" s="119">
        <v>0</v>
      </c>
      <c r="G8" s="117">
        <v>0</v>
      </c>
      <c r="H8" s="117">
        <v>3304.8216723199998</v>
      </c>
      <c r="I8" s="19">
        <f>G8+H8</f>
        <v>3304.8216723199998</v>
      </c>
      <c r="J8" s="119">
        <v>0</v>
      </c>
      <c r="K8" s="117">
        <v>0</v>
      </c>
      <c r="L8" s="117">
        <v>3322.0110813599999</v>
      </c>
      <c r="M8" s="19">
        <f>K8+L8</f>
        <v>3322.0110813599999</v>
      </c>
      <c r="N8" s="87">
        <v>6</v>
      </c>
      <c r="O8" s="87">
        <v>6</v>
      </c>
      <c r="P8" s="87">
        <v>6</v>
      </c>
    </row>
    <row r="9" spans="2:27" x14ac:dyDescent="0.3">
      <c r="B9" s="28" t="s">
        <v>28</v>
      </c>
      <c r="C9" s="17">
        <v>1207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1767</v>
      </c>
      <c r="E10" s="18" t="s">
        <v>31</v>
      </c>
      <c r="F10" s="119">
        <v>18827</v>
      </c>
      <c r="G10" s="117">
        <v>13925.026</v>
      </c>
      <c r="H10" s="117">
        <v>409.91443800000002</v>
      </c>
      <c r="I10" s="19">
        <f>G10+H10</f>
        <v>14334.940438</v>
      </c>
      <c r="J10" s="119">
        <v>20129</v>
      </c>
      <c r="K10" s="117">
        <v>14998.945250000001</v>
      </c>
      <c r="L10" s="117">
        <v>384.56891259999998</v>
      </c>
      <c r="M10" s="19">
        <f>K10+L10</f>
        <v>15383.5141626</v>
      </c>
      <c r="N10" s="88">
        <v>49</v>
      </c>
      <c r="O10" s="88">
        <v>48</v>
      </c>
      <c r="P10" s="88">
        <v>41</v>
      </c>
    </row>
    <row r="11" spans="2:27" x14ac:dyDescent="0.3">
      <c r="B11" s="16" t="s">
        <v>38</v>
      </c>
      <c r="C11" s="17">
        <v>10157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40</v>
      </c>
      <c r="C12" s="17">
        <v>1410</v>
      </c>
      <c r="E12" s="140" t="s">
        <v>35</v>
      </c>
      <c r="F12" s="119">
        <v>12806</v>
      </c>
      <c r="G12" s="117">
        <v>13190.903500000009</v>
      </c>
      <c r="H12" s="117">
        <v>16811.64264672999</v>
      </c>
      <c r="I12" s="19">
        <f>G12+H12</f>
        <v>30002.546146729997</v>
      </c>
      <c r="J12" s="119">
        <v>13874</v>
      </c>
      <c r="K12" s="117">
        <v>13792.532499999999</v>
      </c>
      <c r="L12" s="117">
        <v>17857.117680020001</v>
      </c>
      <c r="M12" s="19">
        <f>K12+L12</f>
        <v>31649.650180019999</v>
      </c>
      <c r="N12" s="88">
        <v>56</v>
      </c>
      <c r="O12" s="88">
        <v>54</v>
      </c>
      <c r="P12" s="88">
        <v>48</v>
      </c>
    </row>
    <row r="13" spans="2:27" x14ac:dyDescent="0.3">
      <c r="B13" s="28" t="s">
        <v>42</v>
      </c>
      <c r="C13" s="17">
        <v>26998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43" t="s">
        <v>47</v>
      </c>
      <c r="C14" s="17">
        <v>1003</v>
      </c>
      <c r="E14" s="18" t="s">
        <v>39</v>
      </c>
      <c r="F14" s="119">
        <v>15345</v>
      </c>
      <c r="G14" s="117">
        <v>13614.502500000001</v>
      </c>
      <c r="H14" s="117">
        <v>18229.63185590001</v>
      </c>
      <c r="I14" s="19">
        <f>G14+H14</f>
        <v>31844.134355900009</v>
      </c>
      <c r="J14" s="119">
        <v>15968</v>
      </c>
      <c r="K14" s="117">
        <v>14693.941500000001</v>
      </c>
      <c r="L14" s="117">
        <v>19379.94872249999</v>
      </c>
      <c r="M14" s="19">
        <f>K14+L14</f>
        <v>34073.890222499991</v>
      </c>
      <c r="N14" s="88">
        <v>66</v>
      </c>
      <c r="O14" s="88">
        <v>67</v>
      </c>
      <c r="P14" s="88">
        <v>54</v>
      </c>
    </row>
    <row r="15" spans="2:27" x14ac:dyDescent="0.3">
      <c r="B15" s="43" t="s">
        <v>48</v>
      </c>
      <c r="C15" s="50">
        <v>154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16" t="s">
        <v>50</v>
      </c>
      <c r="C16" s="17">
        <v>9734</v>
      </c>
      <c r="E16" s="18" t="s">
        <v>79</v>
      </c>
      <c r="F16" s="119">
        <v>0</v>
      </c>
      <c r="G16" s="117">
        <v>0</v>
      </c>
      <c r="H16" s="117">
        <v>5432.3211880599993</v>
      </c>
      <c r="I16" s="19">
        <f>G16+H16</f>
        <v>5432.3211880599993</v>
      </c>
      <c r="J16" s="119">
        <v>0</v>
      </c>
      <c r="K16" s="117">
        <v>0</v>
      </c>
      <c r="L16" s="117">
        <v>7590.83985072</v>
      </c>
      <c r="M16" s="19">
        <f>K16+L16</f>
        <v>7590.83985072</v>
      </c>
      <c r="N16" s="88">
        <v>11</v>
      </c>
      <c r="O16" s="88">
        <v>11</v>
      </c>
      <c r="P16" s="88">
        <v>10</v>
      </c>
    </row>
    <row r="17" spans="2:28" s="4" customFormat="1" x14ac:dyDescent="0.3">
      <c r="B17" s="16" t="s">
        <v>51</v>
      </c>
      <c r="C17" s="17">
        <v>1109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5081</v>
      </c>
      <c r="E18" s="84"/>
      <c r="F18" s="135">
        <f t="shared" ref="F18:M18" si="0">SUM(F6:F17)</f>
        <v>70716</v>
      </c>
      <c r="G18" s="135">
        <f t="shared" si="0"/>
        <v>55144.143250000008</v>
      </c>
      <c r="H18" s="135">
        <f t="shared" si="0"/>
        <v>51653.343829129997</v>
      </c>
      <c r="I18" s="136">
        <f t="shared" si="0"/>
        <v>106797.48707913001</v>
      </c>
      <c r="J18" s="135">
        <f t="shared" si="0"/>
        <v>73383</v>
      </c>
      <c r="K18" s="135">
        <f t="shared" si="0"/>
        <v>57318.917750000001</v>
      </c>
      <c r="L18" s="135">
        <f t="shared" si="0"/>
        <v>56022.44672552</v>
      </c>
      <c r="M18" s="137">
        <f t="shared" si="0"/>
        <v>113341.36447551999</v>
      </c>
      <c r="N18" s="135">
        <f>SUM(N16,N14,N12,N10,N8,N6)</f>
        <v>269</v>
      </c>
      <c r="O18" s="135">
        <f>SUM(O16,O14,O12,O10,O8,O6)</f>
        <v>269</v>
      </c>
      <c r="P18" s="135">
        <f>SUM(P16,P14,P12,P10,P8,P6)</f>
        <v>226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43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0.15985130111524162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10005</v>
      </c>
      <c r="D26" s="76">
        <f>C11</f>
        <v>10157</v>
      </c>
      <c r="E26" s="77">
        <f t="shared" ref="E26:E31" si="1">D26-C26</f>
        <v>152</v>
      </c>
      <c r="I26" s="53"/>
      <c r="M26" s="4"/>
    </row>
    <row r="27" spans="2:28" x14ac:dyDescent="0.3">
      <c r="B27" s="74" t="s">
        <v>56</v>
      </c>
      <c r="C27" s="122">
        <v>30813</v>
      </c>
      <c r="D27" s="76">
        <f>C7+C12+C13+C14+C15</f>
        <v>31051</v>
      </c>
      <c r="E27" s="77">
        <f t="shared" si="1"/>
        <v>238</v>
      </c>
      <c r="J27" s="123"/>
      <c r="M27" s="4"/>
      <c r="Q27" s="69"/>
    </row>
    <row r="28" spans="2:28" x14ac:dyDescent="0.3">
      <c r="B28" s="74" t="s">
        <v>21</v>
      </c>
      <c r="C28" s="122">
        <v>98</v>
      </c>
      <c r="D28" s="76">
        <f>C6</f>
        <v>3474</v>
      </c>
      <c r="E28" s="77">
        <f t="shared" si="1"/>
        <v>3376</v>
      </c>
      <c r="M28" s="4"/>
    </row>
    <row r="29" spans="2:28" x14ac:dyDescent="0.3">
      <c r="B29" s="74" t="s">
        <v>57</v>
      </c>
      <c r="C29" s="122">
        <v>1767</v>
      </c>
      <c r="D29" s="76">
        <f>C10</f>
        <v>1767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16520</v>
      </c>
      <c r="D30" s="76">
        <f>C16+C17+C18</f>
        <v>15924</v>
      </c>
      <c r="E30" s="77">
        <f t="shared" si="1"/>
        <v>-596</v>
      </c>
      <c r="P30" s="4"/>
    </row>
    <row r="31" spans="2:28" ht="15" customHeight="1" thickBot="1" x14ac:dyDescent="0.35">
      <c r="B31" s="78" t="s">
        <v>60</v>
      </c>
      <c r="C31" s="121">
        <v>3126</v>
      </c>
      <c r="D31" s="80">
        <f>SUM(C8+C9)</f>
        <v>3229</v>
      </c>
      <c r="E31" s="81">
        <f t="shared" si="1"/>
        <v>103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44552</v>
      </c>
    </row>
    <row r="3" spans="2:27" ht="18.75" customHeight="1" thickBot="1" x14ac:dyDescent="0.35">
      <c r="B3" t="s">
        <v>1</v>
      </c>
      <c r="C3" s="3">
        <f>C2+1</f>
        <v>44553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21315</v>
      </c>
      <c r="G6" s="117">
        <v>15161.615</v>
      </c>
      <c r="H6" s="117">
        <v>6484.7428820599998</v>
      </c>
      <c r="I6" s="19">
        <f>G6+H6</f>
        <v>21646.357882060001</v>
      </c>
      <c r="J6" s="119">
        <v>21458</v>
      </c>
      <c r="K6" s="117">
        <v>13640.401</v>
      </c>
      <c r="L6" s="117">
        <v>6688.3446096000016</v>
      </c>
      <c r="M6" s="19">
        <f>K6+L6</f>
        <v>20328.745609600002</v>
      </c>
      <c r="N6" s="85">
        <v>78</v>
      </c>
      <c r="O6" s="85">
        <v>78</v>
      </c>
      <c r="P6" s="85">
        <v>65</v>
      </c>
    </row>
    <row r="7" spans="2:27" x14ac:dyDescent="0.3">
      <c r="B7" s="16" t="s">
        <v>23</v>
      </c>
      <c r="C7" s="17">
        <v>376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2372</v>
      </c>
      <c r="E8" s="140" t="s">
        <v>27</v>
      </c>
      <c r="F8" s="119">
        <v>0</v>
      </c>
      <c r="G8" s="117">
        <v>0</v>
      </c>
      <c r="H8" s="117">
        <v>3486.5651268199999</v>
      </c>
      <c r="I8" s="19">
        <f>G8+H8</f>
        <v>3486.5651268199999</v>
      </c>
      <c r="J8" s="119">
        <v>0</v>
      </c>
      <c r="K8" s="117">
        <v>0</v>
      </c>
      <c r="L8" s="117">
        <v>3465.39604822</v>
      </c>
      <c r="M8" s="19">
        <f>K8+L8</f>
        <v>3465.39604822</v>
      </c>
      <c r="N8" s="87">
        <v>2</v>
      </c>
      <c r="O8" s="87">
        <v>3</v>
      </c>
      <c r="P8" s="87">
        <v>1</v>
      </c>
    </row>
    <row r="9" spans="2:27" x14ac:dyDescent="0.3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0</v>
      </c>
      <c r="E10" s="18" t="s">
        <v>31</v>
      </c>
      <c r="F10" s="119">
        <v>11025</v>
      </c>
      <c r="G10" s="117">
        <v>8664.5832499999997</v>
      </c>
      <c r="H10" s="117">
        <v>401.70945100000012</v>
      </c>
      <c r="I10" s="19">
        <f>G10+H10</f>
        <v>9066.2927010000003</v>
      </c>
      <c r="J10" s="119">
        <v>12197</v>
      </c>
      <c r="K10" s="117">
        <v>10027.431</v>
      </c>
      <c r="L10" s="117">
        <v>326.15271039999999</v>
      </c>
      <c r="M10" s="19">
        <f>K10+L10</f>
        <v>10353.5837104</v>
      </c>
      <c r="N10" s="88">
        <v>44</v>
      </c>
      <c r="O10" s="88">
        <v>43</v>
      </c>
      <c r="P10" s="88">
        <v>38</v>
      </c>
    </row>
    <row r="11" spans="2:27" x14ac:dyDescent="0.3">
      <c r="B11" s="16" t="s">
        <v>38</v>
      </c>
      <c r="C11" s="17">
        <v>10166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12140</v>
      </c>
      <c r="G12" s="117">
        <v>12912.819750000001</v>
      </c>
      <c r="H12" s="117">
        <v>15106.2649294</v>
      </c>
      <c r="I12" s="19">
        <f>G12+H12</f>
        <v>28019.084679400003</v>
      </c>
      <c r="J12" s="119">
        <v>13553</v>
      </c>
      <c r="K12" s="117">
        <v>13991.22075</v>
      </c>
      <c r="L12" s="117">
        <v>17177.51028594001</v>
      </c>
      <c r="M12" s="19">
        <f>K12+L12</f>
        <v>31168.731035940011</v>
      </c>
      <c r="N12" s="88">
        <v>57</v>
      </c>
      <c r="O12" s="88">
        <v>54</v>
      </c>
      <c r="P12" s="88">
        <v>48</v>
      </c>
    </row>
    <row r="13" spans="2:27" x14ac:dyDescent="0.3">
      <c r="B13" s="28" t="s">
        <v>42</v>
      </c>
      <c r="C13" s="17">
        <v>32247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7896</v>
      </c>
      <c r="G14" s="117">
        <v>11078.596250000001</v>
      </c>
      <c r="H14" s="117">
        <v>9865.2763919599929</v>
      </c>
      <c r="I14" s="19">
        <f>G14+H14</f>
        <v>20943.872641959992</v>
      </c>
      <c r="J14" s="119">
        <v>8855</v>
      </c>
      <c r="K14" s="117">
        <v>11567.6505</v>
      </c>
      <c r="L14" s="117">
        <v>11906.08025508</v>
      </c>
      <c r="M14" s="19">
        <f>K14+L14</f>
        <v>23473.73075508</v>
      </c>
      <c r="N14" s="88">
        <v>66</v>
      </c>
      <c r="O14" s="88">
        <v>65</v>
      </c>
      <c r="P14" s="88">
        <v>58</v>
      </c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16" t="s">
        <v>50</v>
      </c>
      <c r="C16" s="17">
        <v>9734</v>
      </c>
      <c r="E16" s="18" t="s">
        <v>79</v>
      </c>
      <c r="F16" s="119">
        <v>0</v>
      </c>
      <c r="G16" s="117">
        <v>0</v>
      </c>
      <c r="H16" s="117">
        <v>3599.6330580600002</v>
      </c>
      <c r="I16" s="19">
        <f>G16+H16</f>
        <v>3599.6330580600002</v>
      </c>
      <c r="J16" s="119">
        <v>0</v>
      </c>
      <c r="K16" s="117">
        <v>0</v>
      </c>
      <c r="L16" s="117">
        <v>3711.4800140000002</v>
      </c>
      <c r="M16" s="19">
        <f>K16+L16</f>
        <v>3711.4800140000002</v>
      </c>
      <c r="N16" s="88">
        <v>11</v>
      </c>
      <c r="O16" s="88">
        <v>12</v>
      </c>
      <c r="P16" s="88">
        <v>10</v>
      </c>
    </row>
    <row r="17" spans="2:28" s="4" customFormat="1" x14ac:dyDescent="0.3">
      <c r="B17" s="16" t="s">
        <v>51</v>
      </c>
      <c r="C17" s="17">
        <v>1109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5081</v>
      </c>
      <c r="E18" s="84"/>
      <c r="F18" s="135">
        <f t="shared" ref="F18:M18" si="0">SUM(F6:F17)</f>
        <v>52376</v>
      </c>
      <c r="G18" s="135">
        <f t="shared" si="0"/>
        <v>47817.614250000006</v>
      </c>
      <c r="H18" s="135">
        <f t="shared" si="0"/>
        <v>38944.191839299987</v>
      </c>
      <c r="I18" s="136">
        <f t="shared" si="0"/>
        <v>86761.806089300007</v>
      </c>
      <c r="J18" s="135">
        <f t="shared" si="0"/>
        <v>56063</v>
      </c>
      <c r="K18" s="135">
        <f t="shared" si="0"/>
        <v>49226.703250000006</v>
      </c>
      <c r="L18" s="135">
        <f t="shared" si="0"/>
        <v>43274.963923240015</v>
      </c>
      <c r="M18" s="137">
        <f t="shared" si="0"/>
        <v>92501.667173240014</v>
      </c>
      <c r="N18" s="135">
        <f>SUM(N16,N14,N12,N10,N8,N6)</f>
        <v>258</v>
      </c>
      <c r="O18" s="135">
        <f>SUM(O16,O14,O12,O10,O8,O6)</f>
        <v>255</v>
      </c>
      <c r="P18" s="135">
        <f>SUM(P16,P14,P12,P10,P8,P6)</f>
        <v>220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0.13725490196078433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8894</v>
      </c>
      <c r="D26" s="76">
        <f>C11</f>
        <v>10166</v>
      </c>
      <c r="E26" s="77">
        <f t="shared" ref="E26:E31" si="1">D26-C26</f>
        <v>1272</v>
      </c>
      <c r="I26" s="53"/>
      <c r="M26" s="4"/>
    </row>
    <row r="27" spans="2:28" x14ac:dyDescent="0.3">
      <c r="B27" s="74" t="s">
        <v>56</v>
      </c>
      <c r="C27" s="122">
        <v>23805</v>
      </c>
      <c r="D27" s="76">
        <f>C7+C12+C13+C14+C15</f>
        <v>32623</v>
      </c>
      <c r="E27" s="77">
        <f t="shared" si="1"/>
        <v>8818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0</v>
      </c>
      <c r="D29" s="76">
        <f>C10</f>
        <v>0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17010</v>
      </c>
      <c r="D30" s="76">
        <f>C16+C17+C18</f>
        <v>15924</v>
      </c>
      <c r="E30" s="77">
        <f t="shared" si="1"/>
        <v>-1086</v>
      </c>
      <c r="P30" s="4"/>
    </row>
    <row r="31" spans="2:28" ht="15" customHeight="1" thickBot="1" x14ac:dyDescent="0.35">
      <c r="B31" s="78" t="s">
        <v>60</v>
      </c>
      <c r="C31" s="121">
        <v>2186</v>
      </c>
      <c r="D31" s="80">
        <f>SUM(C8+C9)</f>
        <v>2372</v>
      </c>
      <c r="E31" s="81">
        <f t="shared" si="1"/>
        <v>186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44553</v>
      </c>
    </row>
    <row r="3" spans="2:27" ht="18.75" customHeight="1" thickBot="1" x14ac:dyDescent="0.35">
      <c r="B3" t="s">
        <v>1</v>
      </c>
      <c r="C3" s="3">
        <f>C2+1</f>
        <v>44554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154</v>
      </c>
      <c r="E6" s="18" t="s">
        <v>22</v>
      </c>
      <c r="F6" s="119">
        <v>27165</v>
      </c>
      <c r="G6" s="117">
        <v>15743.193416666671</v>
      </c>
      <c r="H6" s="117">
        <v>7251.1777047999967</v>
      </c>
      <c r="I6" s="19">
        <f>G6+H6</f>
        <v>22994.371121466669</v>
      </c>
      <c r="J6" s="119">
        <v>21194</v>
      </c>
      <c r="K6" s="117">
        <v>11930.07491666667</v>
      </c>
      <c r="L6" s="117">
        <v>6044.9113675599974</v>
      </c>
      <c r="M6" s="19">
        <f>K6+L6</f>
        <v>17974.986284226667</v>
      </c>
      <c r="N6" s="85">
        <v>82</v>
      </c>
      <c r="O6" s="85">
        <v>80</v>
      </c>
      <c r="P6" s="85">
        <v>69</v>
      </c>
    </row>
    <row r="7" spans="2:27" x14ac:dyDescent="0.3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4119.4947095999996</v>
      </c>
      <c r="I8" s="19">
        <f>G8+H8</f>
        <v>4119.4947095999996</v>
      </c>
      <c r="J8" s="119">
        <v>0</v>
      </c>
      <c r="K8" s="117">
        <v>0</v>
      </c>
      <c r="L8" s="117">
        <v>3451.2118775600002</v>
      </c>
      <c r="M8" s="19">
        <f>K8+L8</f>
        <v>3451.2118775600002</v>
      </c>
      <c r="N8" s="87">
        <v>4</v>
      </c>
      <c r="O8" s="87">
        <v>5</v>
      </c>
      <c r="P8" s="87">
        <v>3</v>
      </c>
    </row>
    <row r="9" spans="2:27" x14ac:dyDescent="0.3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16" t="s">
        <v>30</v>
      </c>
      <c r="C10" s="17">
        <v>2147</v>
      </c>
      <c r="E10" s="18" t="s">
        <v>31</v>
      </c>
      <c r="F10" s="119">
        <v>12157</v>
      </c>
      <c r="G10" s="117">
        <v>8518.9694999999992</v>
      </c>
      <c r="H10" s="117">
        <v>363.77897999999999</v>
      </c>
      <c r="I10" s="19">
        <f>G10+H10</f>
        <v>8882.7484799999984</v>
      </c>
      <c r="J10" s="119">
        <v>10467</v>
      </c>
      <c r="K10" s="117">
        <v>7331.295500000002</v>
      </c>
      <c r="L10" s="117">
        <v>237.4699578</v>
      </c>
      <c r="M10" s="19">
        <f>K10+L10</f>
        <v>7568.765457800002</v>
      </c>
      <c r="N10" s="88">
        <v>53</v>
      </c>
      <c r="O10" s="88">
        <v>51</v>
      </c>
      <c r="P10" s="88">
        <v>44</v>
      </c>
    </row>
    <row r="11" spans="2:27" x14ac:dyDescent="0.3">
      <c r="B11" s="16" t="s">
        <v>38</v>
      </c>
      <c r="C11" s="17">
        <v>6773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13717</v>
      </c>
      <c r="G12" s="117">
        <v>14118.257625</v>
      </c>
      <c r="H12" s="117">
        <v>16773.399505040001</v>
      </c>
      <c r="I12" s="19">
        <f>G12+H12</f>
        <v>30891.657130040003</v>
      </c>
      <c r="J12" s="119">
        <v>17564</v>
      </c>
      <c r="K12" s="117">
        <v>16918.05125</v>
      </c>
      <c r="L12" s="117">
        <v>19942.250283230002</v>
      </c>
      <c r="M12" s="19">
        <f>K12+L12</f>
        <v>36860.301533229998</v>
      </c>
      <c r="N12" s="88">
        <v>55</v>
      </c>
      <c r="O12" s="88">
        <v>51</v>
      </c>
      <c r="P12" s="88">
        <v>47</v>
      </c>
    </row>
    <row r="13" spans="2:27" x14ac:dyDescent="0.3">
      <c r="B13" s="28" t="s">
        <v>42</v>
      </c>
      <c r="C13" s="17">
        <v>43649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13534</v>
      </c>
      <c r="G14" s="117">
        <v>11687.463750000001</v>
      </c>
      <c r="H14" s="117">
        <v>16471.261518719981</v>
      </c>
      <c r="I14" s="19">
        <f>G14+H14</f>
        <v>28158.72526871998</v>
      </c>
      <c r="J14" s="119">
        <v>20036</v>
      </c>
      <c r="K14" s="117">
        <v>20401.918249999999</v>
      </c>
      <c r="L14" s="117">
        <v>26170.817974820009</v>
      </c>
      <c r="M14" s="19">
        <f>K14+L14</f>
        <v>46572.736224820008</v>
      </c>
      <c r="N14" s="88">
        <v>63</v>
      </c>
      <c r="O14" s="88">
        <v>64</v>
      </c>
      <c r="P14" s="88">
        <v>50</v>
      </c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14</v>
      </c>
    </row>
    <row r="16" spans="2:27" x14ac:dyDescent="0.3">
      <c r="B16" s="16" t="s">
        <v>50</v>
      </c>
      <c r="C16" s="17">
        <v>5132</v>
      </c>
      <c r="E16" s="18" t="s">
        <v>79</v>
      </c>
      <c r="F16" s="119">
        <v>0</v>
      </c>
      <c r="G16" s="117">
        <v>0</v>
      </c>
      <c r="H16" s="117">
        <v>3862.7795248399998</v>
      </c>
      <c r="I16" s="19">
        <f>G16+H16</f>
        <v>3862.7795248399998</v>
      </c>
      <c r="J16" s="119">
        <v>0</v>
      </c>
      <c r="K16" s="117">
        <v>0</v>
      </c>
      <c r="L16" s="117">
        <v>3383.0824066</v>
      </c>
      <c r="M16" s="19">
        <f>K16+L16</f>
        <v>3383.0824066</v>
      </c>
      <c r="N16" s="88">
        <v>11</v>
      </c>
      <c r="O16" s="88">
        <v>10</v>
      </c>
      <c r="P16" s="88">
        <v>9</v>
      </c>
    </row>
    <row r="17" spans="2:28" s="4" customFormat="1" x14ac:dyDescent="0.3">
      <c r="B17" s="16" t="s">
        <v>51</v>
      </c>
      <c r="C17" s="17">
        <v>2072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3064</v>
      </c>
      <c r="E18" s="84"/>
      <c r="F18" s="135">
        <f t="shared" ref="F18:M18" si="0">SUM(F6:F17)</f>
        <v>66573</v>
      </c>
      <c r="G18" s="135">
        <f t="shared" si="0"/>
        <v>50067.884291666669</v>
      </c>
      <c r="H18" s="135">
        <f t="shared" si="0"/>
        <v>48841.891942999973</v>
      </c>
      <c r="I18" s="136">
        <f t="shared" si="0"/>
        <v>98909.776234666642</v>
      </c>
      <c r="J18" s="135">
        <f t="shared" si="0"/>
        <v>69261</v>
      </c>
      <c r="K18" s="135">
        <f t="shared" si="0"/>
        <v>56581.339916666679</v>
      </c>
      <c r="L18" s="135">
        <f t="shared" si="0"/>
        <v>59229.743867570003</v>
      </c>
      <c r="M18" s="137">
        <f t="shared" si="0"/>
        <v>115811.08378423667</v>
      </c>
      <c r="N18" s="135">
        <f>SUM(N16,N14,N12,N10,N8,N6)</f>
        <v>268</v>
      </c>
      <c r="O18" s="135">
        <f>SUM(O16,O14,O12,O10,O8,O6)</f>
        <v>261</v>
      </c>
      <c r="P18" s="135">
        <f>SUM(P16,P14,P12,P10,P8,P6)</f>
        <v>222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0.14942528735632185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9381</v>
      </c>
      <c r="D26" s="76">
        <f>C11</f>
        <v>6773</v>
      </c>
      <c r="E26" s="77">
        <f t="shared" ref="E26:E31" si="1">D26-C26</f>
        <v>-2608</v>
      </c>
      <c r="I26" s="53"/>
      <c r="M26" s="4"/>
    </row>
    <row r="27" spans="2:28" x14ac:dyDescent="0.3">
      <c r="B27" s="74" t="s">
        <v>56</v>
      </c>
      <c r="C27" s="122">
        <v>28036</v>
      </c>
      <c r="D27" s="76">
        <f>C7+C12+C13+C14+C15</f>
        <v>43649</v>
      </c>
      <c r="E27" s="77">
        <f t="shared" si="1"/>
        <v>15613</v>
      </c>
      <c r="J27" s="123"/>
      <c r="M27" s="4"/>
      <c r="Q27" s="69"/>
    </row>
    <row r="28" spans="2:28" x14ac:dyDescent="0.3">
      <c r="B28" s="74" t="s">
        <v>21</v>
      </c>
      <c r="C28" s="122">
        <v>154</v>
      </c>
      <c r="D28" s="76">
        <f>C6</f>
        <v>154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2147</v>
      </c>
      <c r="D29" s="76">
        <f>C10</f>
        <v>2147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15840</v>
      </c>
      <c r="D30" s="76">
        <f>C16+C17+C18</f>
        <v>10268</v>
      </c>
      <c r="E30" s="77">
        <f t="shared" si="1"/>
        <v>-5572</v>
      </c>
      <c r="P30" s="4"/>
    </row>
    <row r="31" spans="2:28" ht="15" customHeight="1" thickBot="1" x14ac:dyDescent="0.35">
      <c r="B31" s="78" t="s">
        <v>60</v>
      </c>
      <c r="C31" s="121">
        <v>0</v>
      </c>
      <c r="D31" s="80">
        <f>SUM(C8+C9)</f>
        <v>0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44554</v>
      </c>
    </row>
    <row r="3" spans="2:27" ht="18.75" customHeight="1" thickBot="1" x14ac:dyDescent="0.35">
      <c r="B3" t="s">
        <v>1</v>
      </c>
      <c r="C3" s="3">
        <f>C2+1</f>
        <v>44555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17878</v>
      </c>
      <c r="G6" s="117">
        <v>12858.472250000001</v>
      </c>
      <c r="H6" s="117">
        <v>5604.0218371200008</v>
      </c>
      <c r="I6" s="19">
        <f>G6+H6</f>
        <v>18462.494087120001</v>
      </c>
      <c r="J6" s="119">
        <v>20275</v>
      </c>
      <c r="K6" s="117">
        <v>12134.03925</v>
      </c>
      <c r="L6" s="117">
        <v>5420.7379780599986</v>
      </c>
      <c r="M6" s="19">
        <f>K6+L6</f>
        <v>17554.777228059997</v>
      </c>
      <c r="N6" s="85">
        <v>82</v>
      </c>
      <c r="O6" s="85">
        <v>76</v>
      </c>
      <c r="P6" s="85">
        <v>71</v>
      </c>
    </row>
    <row r="7" spans="2:27" x14ac:dyDescent="0.3">
      <c r="B7" s="16" t="s">
        <v>23</v>
      </c>
      <c r="C7" s="17">
        <v>3572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2446</v>
      </c>
      <c r="E8" s="140" t="s">
        <v>27</v>
      </c>
      <c r="F8" s="119">
        <v>0</v>
      </c>
      <c r="G8" s="117">
        <v>0</v>
      </c>
      <c r="H8" s="117">
        <v>3366.7966965599999</v>
      </c>
      <c r="I8" s="19">
        <f>G8+H8</f>
        <v>3366.7966965599999</v>
      </c>
      <c r="J8" s="119">
        <v>0</v>
      </c>
      <c r="K8" s="117">
        <v>0</v>
      </c>
      <c r="L8" s="117">
        <v>3527.2901174600001</v>
      </c>
      <c r="M8" s="19">
        <f>K8+L8</f>
        <v>3527.2901174600001</v>
      </c>
      <c r="N8" s="87">
        <v>7</v>
      </c>
      <c r="O8" s="87">
        <v>5</v>
      </c>
      <c r="P8" s="87">
        <v>6</v>
      </c>
    </row>
    <row r="9" spans="2:27" x14ac:dyDescent="0.3">
      <c r="B9" s="28" t="s">
        <v>28</v>
      </c>
      <c r="C9" s="17">
        <v>2120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16" t="s">
        <v>30</v>
      </c>
      <c r="C10" s="17">
        <v>1834</v>
      </c>
      <c r="E10" s="18" t="s">
        <v>31</v>
      </c>
      <c r="F10" s="119">
        <v>23460</v>
      </c>
      <c r="G10" s="117">
        <v>19151.4565</v>
      </c>
      <c r="H10" s="117">
        <v>328.89046300000001</v>
      </c>
      <c r="I10" s="19">
        <f>G10+H10</f>
        <v>19480.346963</v>
      </c>
      <c r="J10" s="119">
        <v>23649</v>
      </c>
      <c r="K10" s="117">
        <v>17779.857</v>
      </c>
      <c r="L10" s="117">
        <v>369.02180060000012</v>
      </c>
      <c r="M10" s="19">
        <f>K10+L10</f>
        <v>18148.8788006</v>
      </c>
      <c r="N10" s="88">
        <v>54</v>
      </c>
      <c r="O10" s="88">
        <v>48</v>
      </c>
      <c r="P10" s="88">
        <v>48</v>
      </c>
    </row>
    <row r="11" spans="2:27" x14ac:dyDescent="0.3">
      <c r="B11" s="16" t="s">
        <v>38</v>
      </c>
      <c r="C11" s="17">
        <v>6613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>
        <v>4464</v>
      </c>
      <c r="E12" s="140" t="s">
        <v>35</v>
      </c>
      <c r="F12" s="119">
        <v>7619</v>
      </c>
      <c r="G12" s="117">
        <v>8763.6255000000001</v>
      </c>
      <c r="H12" s="117">
        <v>13491.625999059999</v>
      </c>
      <c r="I12" s="19">
        <f>G12+H12</f>
        <v>22255.251499059999</v>
      </c>
      <c r="J12" s="119">
        <v>9363</v>
      </c>
      <c r="K12" s="117">
        <v>10771.815500000001</v>
      </c>
      <c r="L12" s="117">
        <v>15532.67014416</v>
      </c>
      <c r="M12" s="19">
        <f>K12+L12</f>
        <v>26304.485644159999</v>
      </c>
      <c r="N12" s="88">
        <v>60</v>
      </c>
      <c r="O12" s="88">
        <v>53</v>
      </c>
      <c r="P12" s="88">
        <v>54</v>
      </c>
    </row>
    <row r="13" spans="2:27" x14ac:dyDescent="0.3">
      <c r="B13" s="28" t="s">
        <v>42</v>
      </c>
      <c r="C13" s="17">
        <v>19155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-1</v>
      </c>
    </row>
    <row r="14" spans="2:27" x14ac:dyDescent="0.3">
      <c r="B14" s="43" t="s">
        <v>47</v>
      </c>
      <c r="C14" s="17">
        <v>3027</v>
      </c>
      <c r="E14" s="18" t="s">
        <v>39</v>
      </c>
      <c r="F14" s="119">
        <v>8826</v>
      </c>
      <c r="G14" s="117">
        <v>4814.25</v>
      </c>
      <c r="H14" s="117">
        <v>9433.1286284000034</v>
      </c>
      <c r="I14" s="19">
        <f>G14+H14</f>
        <v>14247.378628400003</v>
      </c>
      <c r="J14" s="119">
        <v>8836</v>
      </c>
      <c r="K14" s="117">
        <v>4844.25</v>
      </c>
      <c r="L14" s="117">
        <v>9438.979357080003</v>
      </c>
      <c r="M14" s="19">
        <f>K14+L14</f>
        <v>14283.229357080003</v>
      </c>
      <c r="N14" s="88">
        <v>68</v>
      </c>
      <c r="O14" s="88">
        <v>70</v>
      </c>
      <c r="P14" s="88">
        <v>61</v>
      </c>
    </row>
    <row r="15" spans="2:27" x14ac:dyDescent="0.3">
      <c r="B15" s="43" t="s">
        <v>48</v>
      </c>
      <c r="C15" s="50">
        <v>834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16" t="s">
        <v>50</v>
      </c>
      <c r="C16" s="17">
        <v>9923</v>
      </c>
      <c r="E16" s="18" t="s">
        <v>79</v>
      </c>
      <c r="F16" s="119">
        <v>0</v>
      </c>
      <c r="G16" s="117">
        <v>0</v>
      </c>
      <c r="H16" s="117">
        <v>13302.880277959999</v>
      </c>
      <c r="I16" s="19">
        <f>G16+H16</f>
        <v>13302.880277959999</v>
      </c>
      <c r="J16" s="119">
        <v>0</v>
      </c>
      <c r="K16" s="117">
        <v>0</v>
      </c>
      <c r="L16" s="117">
        <v>13091.188062720001</v>
      </c>
      <c r="M16" s="19">
        <f>K16+L16</f>
        <v>13091.188062720001</v>
      </c>
      <c r="N16" s="88">
        <v>14</v>
      </c>
      <c r="O16" s="88">
        <v>13</v>
      </c>
      <c r="P16" s="88">
        <v>12</v>
      </c>
    </row>
    <row r="17" spans="2:28" s="4" customFormat="1" x14ac:dyDescent="0.3">
      <c r="B17" s="16" t="s">
        <v>51</v>
      </c>
      <c r="C17" s="17">
        <v>2106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4952</v>
      </c>
      <c r="E18" s="84"/>
      <c r="F18" s="135">
        <f t="shared" ref="F18:M18" si="0">SUM(F6:F17)</f>
        <v>57783</v>
      </c>
      <c r="G18" s="135">
        <f t="shared" si="0"/>
        <v>45587.804250000001</v>
      </c>
      <c r="H18" s="135">
        <f t="shared" si="0"/>
        <v>45527.343902100001</v>
      </c>
      <c r="I18" s="136">
        <f t="shared" si="0"/>
        <v>91115.14815210001</v>
      </c>
      <c r="J18" s="135">
        <f t="shared" si="0"/>
        <v>62123</v>
      </c>
      <c r="K18" s="135">
        <f t="shared" si="0"/>
        <v>45529.961750000002</v>
      </c>
      <c r="L18" s="135">
        <f t="shared" si="0"/>
        <v>47379.887460080005</v>
      </c>
      <c r="M18" s="137">
        <f t="shared" si="0"/>
        <v>92909.849210079992</v>
      </c>
      <c r="N18" s="135">
        <f>SUM(N16,N14,N12,N10,N8,N6)</f>
        <v>285</v>
      </c>
      <c r="O18" s="135">
        <f>SUM(O16,O14,O12,O10,O8,O6)</f>
        <v>265</v>
      </c>
      <c r="P18" s="135">
        <f>SUM(P16,P14,P12,P10,P8,P6)</f>
        <v>252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13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4.9056603773584909E-2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6429</v>
      </c>
      <c r="D26" s="76">
        <f>C11</f>
        <v>6613</v>
      </c>
      <c r="E26" s="77">
        <f t="shared" ref="E26:E31" si="1">D26-C26</f>
        <v>184</v>
      </c>
      <c r="I26" s="53"/>
      <c r="M26" s="4"/>
    </row>
    <row r="27" spans="2:28" x14ac:dyDescent="0.3">
      <c r="B27" s="74" t="s">
        <v>56</v>
      </c>
      <c r="C27" s="122">
        <v>25966</v>
      </c>
      <c r="D27" s="76">
        <f>C7+C12+C13+C14+C15</f>
        <v>31052</v>
      </c>
      <c r="E27" s="77">
        <f t="shared" si="1"/>
        <v>5086</v>
      </c>
      <c r="J27" s="123"/>
      <c r="M27" s="4"/>
      <c r="Q27" s="69"/>
    </row>
    <row r="28" spans="2:28" x14ac:dyDescent="0.3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1834</v>
      </c>
      <c r="D29" s="76">
        <f>C10</f>
        <v>1834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13830</v>
      </c>
      <c r="D30" s="76">
        <f>C16+C17+C18</f>
        <v>16981</v>
      </c>
      <c r="E30" s="77">
        <f t="shared" si="1"/>
        <v>3151</v>
      </c>
      <c r="P30" s="4"/>
    </row>
    <row r="31" spans="2:28" ht="15" customHeight="1" thickBot="1" x14ac:dyDescent="0.35">
      <c r="B31" s="78" t="s">
        <v>60</v>
      </c>
      <c r="C31" s="121">
        <v>4566</v>
      </c>
      <c r="D31" s="80">
        <f>SUM(C8+C9)</f>
        <v>4566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44556</v>
      </c>
    </row>
    <row r="3" spans="2:27" ht="18.75" customHeight="1" thickBot="1" x14ac:dyDescent="0.35">
      <c r="B3" t="s">
        <v>1</v>
      </c>
      <c r="C3" s="3">
        <f>C2+1</f>
        <v>44557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72</v>
      </c>
      <c r="E6" s="18" t="s">
        <v>22</v>
      </c>
      <c r="F6" s="119">
        <v>18941</v>
      </c>
      <c r="G6" s="117">
        <v>8371.101216666666</v>
      </c>
      <c r="H6" s="117">
        <v>4649.2252807799987</v>
      </c>
      <c r="I6" s="19">
        <f>G6+H6</f>
        <v>13020.326497446666</v>
      </c>
      <c r="J6" s="119">
        <v>19144</v>
      </c>
      <c r="K6" s="117">
        <v>8482.1754666666657</v>
      </c>
      <c r="L6" s="117">
        <v>4716.1105181000003</v>
      </c>
      <c r="M6" s="19">
        <f>K6+L6</f>
        <v>13198.285984766666</v>
      </c>
      <c r="N6" s="85">
        <v>42</v>
      </c>
      <c r="O6" s="85"/>
      <c r="P6" s="85">
        <v>37</v>
      </c>
    </row>
    <row r="7" spans="2:27" x14ac:dyDescent="0.3">
      <c r="B7" s="16" t="s">
        <v>23</v>
      </c>
      <c r="C7" s="17">
        <v>266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-37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1594</v>
      </c>
      <c r="E8" s="140" t="s">
        <v>27</v>
      </c>
      <c r="F8" s="119">
        <v>0</v>
      </c>
      <c r="G8" s="117">
        <v>0</v>
      </c>
      <c r="H8" s="117">
        <v>1806.8917154999999</v>
      </c>
      <c r="I8" s="19">
        <f>G8+H8</f>
        <v>1806.8917154999999</v>
      </c>
      <c r="J8" s="119">
        <v>0</v>
      </c>
      <c r="K8" s="117">
        <v>0</v>
      </c>
      <c r="L8" s="117">
        <v>1821.63925728</v>
      </c>
      <c r="M8" s="19">
        <f>K8+L8</f>
        <v>1821.63925728</v>
      </c>
      <c r="N8" s="87"/>
      <c r="O8" s="87"/>
      <c r="P8" s="87"/>
    </row>
    <row r="9" spans="2:27" x14ac:dyDescent="0.3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16" t="s">
        <v>30</v>
      </c>
      <c r="C10" s="17">
        <v>2210</v>
      </c>
      <c r="E10" s="18" t="s">
        <v>31</v>
      </c>
      <c r="F10" s="119">
        <v>10616</v>
      </c>
      <c r="G10" s="117">
        <v>7181.8974999999991</v>
      </c>
      <c r="H10" s="117">
        <v>391.62025000000011</v>
      </c>
      <c r="I10" s="19">
        <f>G10+H10</f>
        <v>7573.5177499999991</v>
      </c>
      <c r="J10" s="119">
        <v>11054</v>
      </c>
      <c r="K10" s="117">
        <v>7945.81</v>
      </c>
      <c r="L10" s="117">
        <v>382.11424940000012</v>
      </c>
      <c r="M10" s="19">
        <f>K10+L10</f>
        <v>8327.9242494000009</v>
      </c>
      <c r="N10" s="88"/>
      <c r="O10" s="88"/>
      <c r="P10" s="88"/>
    </row>
    <row r="11" spans="2:27" x14ac:dyDescent="0.3">
      <c r="B11" s="16" t="s">
        <v>38</v>
      </c>
      <c r="C11" s="17">
        <v>11046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>
        <v>0</v>
      </c>
      <c r="E12" s="140" t="s">
        <v>35</v>
      </c>
      <c r="F12" s="119">
        <v>6120</v>
      </c>
      <c r="G12" s="117">
        <v>4065.126999999999</v>
      </c>
      <c r="H12" s="117">
        <v>5132.6495187700011</v>
      </c>
      <c r="I12" s="19">
        <f>G12+H12</f>
        <v>9197.7765187700006</v>
      </c>
      <c r="J12" s="119">
        <v>8044</v>
      </c>
      <c r="K12" s="117">
        <v>5649.5015000000003</v>
      </c>
      <c r="L12" s="117">
        <v>6650.2441471199991</v>
      </c>
      <c r="M12" s="19">
        <f>K12+L12</f>
        <v>12299.745647119998</v>
      </c>
      <c r="N12" s="88"/>
      <c r="O12" s="88"/>
      <c r="P12" s="88"/>
    </row>
    <row r="13" spans="2:27" x14ac:dyDescent="0.3">
      <c r="B13" s="28" t="s">
        <v>42</v>
      </c>
      <c r="C13" s="17">
        <v>17340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43" t="s">
        <v>47</v>
      </c>
      <c r="C14" s="17">
        <v>0</v>
      </c>
      <c r="E14" s="18" t="s">
        <v>39</v>
      </c>
      <c r="F14" s="119">
        <v>15539</v>
      </c>
      <c r="G14" s="117">
        <v>13687.606250000001</v>
      </c>
      <c r="H14" s="117">
        <v>19746.144755260018</v>
      </c>
      <c r="I14" s="19">
        <f>G14+H14</f>
        <v>33433.751005260019</v>
      </c>
      <c r="J14" s="119">
        <v>17845</v>
      </c>
      <c r="K14" s="117">
        <v>17059.765749999999</v>
      </c>
      <c r="L14" s="117">
        <v>23158.262938719989</v>
      </c>
      <c r="M14" s="19">
        <f>K14+L14</f>
        <v>40218.028688719991</v>
      </c>
      <c r="N14" s="88">
        <v>1</v>
      </c>
      <c r="O14" s="88"/>
      <c r="P14" s="88"/>
    </row>
    <row r="15" spans="2:27" x14ac:dyDescent="0.3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16" t="s">
        <v>50</v>
      </c>
      <c r="C16" s="17">
        <v>9817</v>
      </c>
      <c r="E16" s="18" t="s">
        <v>79</v>
      </c>
      <c r="F16" s="119">
        <v>0</v>
      </c>
      <c r="G16" s="117">
        <v>0</v>
      </c>
      <c r="H16" s="117">
        <v>1579.1700312800001</v>
      </c>
      <c r="I16" s="19">
        <f>G16+H16</f>
        <v>1579.1700312800001</v>
      </c>
      <c r="J16" s="119">
        <v>0</v>
      </c>
      <c r="K16" s="117">
        <v>0</v>
      </c>
      <c r="L16" s="117">
        <v>1700.66131802</v>
      </c>
      <c r="M16" s="19">
        <f>K16+L16</f>
        <v>1700.66131802</v>
      </c>
      <c r="N16" s="88">
        <v>1</v>
      </c>
      <c r="O16" s="88"/>
      <c r="P16" s="88">
        <v>1</v>
      </c>
    </row>
    <row r="17" spans="2:28" s="4" customFormat="1" x14ac:dyDescent="0.3">
      <c r="B17" s="16" t="s">
        <v>51</v>
      </c>
      <c r="C17" s="17">
        <v>1000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4454</v>
      </c>
      <c r="E18" s="84"/>
      <c r="F18" s="135">
        <f t="shared" ref="F18:M18" si="0">SUM(F6:F17)</f>
        <v>51216</v>
      </c>
      <c r="G18" s="135">
        <f t="shared" si="0"/>
        <v>33305.731966666666</v>
      </c>
      <c r="H18" s="135">
        <f t="shared" si="0"/>
        <v>33305.70155159002</v>
      </c>
      <c r="I18" s="136">
        <f t="shared" si="0"/>
        <v>66611.433518256687</v>
      </c>
      <c r="J18" s="135">
        <f t="shared" si="0"/>
        <v>56087</v>
      </c>
      <c r="K18" s="135">
        <f t="shared" si="0"/>
        <v>39137.252716666662</v>
      </c>
      <c r="L18" s="135">
        <f t="shared" si="0"/>
        <v>38429.032428639992</v>
      </c>
      <c r="M18" s="137">
        <f t="shared" si="0"/>
        <v>77566.28514530664</v>
      </c>
      <c r="N18" s="135">
        <f>SUM(N16,N14,N12,N10,N8,N6)</f>
        <v>44</v>
      </c>
      <c r="O18" s="135">
        <f>SUM(O16,O14,O12,O10,O8,O6)</f>
        <v>0</v>
      </c>
      <c r="P18" s="135">
        <f>SUM(P16,P14,P12,P10,P8,P6)</f>
        <v>38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-38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10918</v>
      </c>
      <c r="D26" s="76">
        <f>C11</f>
        <v>11046</v>
      </c>
      <c r="E26" s="77">
        <f t="shared" ref="E26:E31" si="1">D26-C26</f>
        <v>128</v>
      </c>
      <c r="I26" s="53"/>
      <c r="M26" s="4"/>
    </row>
    <row r="27" spans="2:28" x14ac:dyDescent="0.3">
      <c r="B27" s="74" t="s">
        <v>56</v>
      </c>
      <c r="C27" s="122">
        <v>12795</v>
      </c>
      <c r="D27" s="76">
        <f>C7+C12+C13+C14+C15</f>
        <v>17606</v>
      </c>
      <c r="E27" s="77">
        <f t="shared" si="1"/>
        <v>4811</v>
      </c>
      <c r="J27" s="123"/>
      <c r="M27" s="4"/>
      <c r="Q27" s="69"/>
    </row>
    <row r="28" spans="2:28" x14ac:dyDescent="0.3">
      <c r="B28" s="74" t="s">
        <v>21</v>
      </c>
      <c r="C28" s="122">
        <v>72</v>
      </c>
      <c r="D28" s="76">
        <f>C6</f>
        <v>72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2210</v>
      </c>
      <c r="D29" s="76">
        <f>C10</f>
        <v>2210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15335</v>
      </c>
      <c r="D30" s="76">
        <f>C16+C17+C18</f>
        <v>15271</v>
      </c>
      <c r="E30" s="77">
        <f t="shared" si="1"/>
        <v>-64</v>
      </c>
      <c r="P30" s="4"/>
    </row>
    <row r="31" spans="2:28" ht="15" customHeight="1" thickBot="1" x14ac:dyDescent="0.35">
      <c r="B31" s="78" t="s">
        <v>60</v>
      </c>
      <c r="C31" s="121">
        <v>1594</v>
      </c>
      <c r="D31" s="80">
        <f>SUM(C8+C9)</f>
        <v>1594</v>
      </c>
      <c r="E31" s="81">
        <f t="shared" si="1"/>
        <v>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44557</v>
      </c>
    </row>
    <row r="3" spans="2:27" ht="18.75" customHeight="1" thickBot="1" x14ac:dyDescent="0.35">
      <c r="B3" t="s">
        <v>1</v>
      </c>
      <c r="C3" s="3">
        <f>C2+1</f>
        <v>44558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65</v>
      </c>
      <c r="E6" s="18" t="s">
        <v>22</v>
      </c>
      <c r="F6" s="119">
        <v>26208</v>
      </c>
      <c r="G6" s="117">
        <v>15711.822016666671</v>
      </c>
      <c r="H6" s="117">
        <v>8627.9083699000003</v>
      </c>
      <c r="I6" s="19">
        <f>G6+H6</f>
        <v>24339.730386566669</v>
      </c>
      <c r="J6" s="119">
        <v>24877</v>
      </c>
      <c r="K6" s="117">
        <v>16764.07701666667</v>
      </c>
      <c r="L6" s="117">
        <v>8176.0661360999984</v>
      </c>
      <c r="M6" s="19">
        <f>K6+L6</f>
        <v>24940.143152766668</v>
      </c>
      <c r="N6" s="85">
        <v>66</v>
      </c>
      <c r="O6" s="85">
        <v>65</v>
      </c>
      <c r="P6" s="85">
        <v>51</v>
      </c>
    </row>
    <row r="7" spans="2:27" x14ac:dyDescent="0.3">
      <c r="B7" s="16" t="s">
        <v>23</v>
      </c>
      <c r="C7" s="17">
        <v>2590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2161</v>
      </c>
      <c r="E8" s="140" t="s">
        <v>27</v>
      </c>
      <c r="F8" s="119">
        <v>0</v>
      </c>
      <c r="G8" s="117">
        <v>0</v>
      </c>
      <c r="H8" s="117">
        <v>4776.9301665599996</v>
      </c>
      <c r="I8" s="19">
        <f>G8+H8</f>
        <v>4776.9301665599996</v>
      </c>
      <c r="J8" s="119">
        <v>0</v>
      </c>
      <c r="K8" s="117">
        <v>0</v>
      </c>
      <c r="L8" s="117">
        <v>4727.2521085199996</v>
      </c>
      <c r="M8" s="19">
        <f>K8+L8</f>
        <v>4727.2521085199996</v>
      </c>
      <c r="N8" s="87">
        <v>4</v>
      </c>
      <c r="O8" s="87">
        <v>5</v>
      </c>
      <c r="P8" s="87">
        <v>2</v>
      </c>
    </row>
    <row r="9" spans="2:27" x14ac:dyDescent="0.3">
      <c r="B9" s="28" t="s">
        <v>28</v>
      </c>
      <c r="C9" s="17">
        <v>1046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3</v>
      </c>
    </row>
    <row r="10" spans="2:27" x14ac:dyDescent="0.3">
      <c r="B10" s="16" t="s">
        <v>30</v>
      </c>
      <c r="C10" s="17">
        <v>1391</v>
      </c>
      <c r="E10" s="18" t="s">
        <v>31</v>
      </c>
      <c r="F10" s="119">
        <v>23849</v>
      </c>
      <c r="G10" s="117">
        <v>17748.0635</v>
      </c>
      <c r="H10" s="117">
        <v>412.09341000000012</v>
      </c>
      <c r="I10" s="19">
        <f>G10+H10</f>
        <v>18160.156910000002</v>
      </c>
      <c r="J10" s="119">
        <v>19699</v>
      </c>
      <c r="K10" s="117">
        <v>15173.5365</v>
      </c>
      <c r="L10" s="117">
        <v>376.65862360000011</v>
      </c>
      <c r="M10" s="19">
        <f>K10+L10</f>
        <v>15550.1951236</v>
      </c>
      <c r="N10" s="88">
        <v>42</v>
      </c>
      <c r="O10" s="88">
        <v>43</v>
      </c>
      <c r="P10" s="88">
        <v>34</v>
      </c>
    </row>
    <row r="11" spans="2:27" x14ac:dyDescent="0.3">
      <c r="B11" s="16" t="s">
        <v>38</v>
      </c>
      <c r="C11" s="17">
        <v>9429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9</v>
      </c>
    </row>
    <row r="12" spans="2:27" x14ac:dyDescent="0.3">
      <c r="B12" s="16" t="s">
        <v>40</v>
      </c>
      <c r="C12" s="17">
        <v>3374</v>
      </c>
      <c r="E12" s="140" t="s">
        <v>35</v>
      </c>
      <c r="F12" s="119">
        <v>17484</v>
      </c>
      <c r="G12" s="117">
        <v>15601.30075</v>
      </c>
      <c r="H12" s="117">
        <v>23510.14495727</v>
      </c>
      <c r="I12" s="19">
        <f>G12+H12</f>
        <v>39111.445707270002</v>
      </c>
      <c r="J12" s="119">
        <v>16872</v>
      </c>
      <c r="K12" s="117">
        <v>17222.760999999999</v>
      </c>
      <c r="L12" s="117">
        <v>22039.80561535</v>
      </c>
      <c r="M12" s="19">
        <f>K12+L12</f>
        <v>39262.566615349999</v>
      </c>
      <c r="N12" s="88">
        <v>55</v>
      </c>
      <c r="O12" s="88">
        <v>52</v>
      </c>
      <c r="P12" s="88">
        <v>44</v>
      </c>
    </row>
    <row r="13" spans="2:27" x14ac:dyDescent="0.3">
      <c r="B13" s="28" t="s">
        <v>42</v>
      </c>
      <c r="C13" s="17">
        <v>27820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43" t="s">
        <v>47</v>
      </c>
      <c r="C14" s="17">
        <v>1296</v>
      </c>
      <c r="E14" s="18" t="s">
        <v>39</v>
      </c>
      <c r="F14" s="119">
        <v>16573</v>
      </c>
      <c r="G14" s="117">
        <v>14503.99625</v>
      </c>
      <c r="H14" s="117">
        <v>21010.36374551999</v>
      </c>
      <c r="I14" s="19">
        <f>G14+H14</f>
        <v>35514.35999551999</v>
      </c>
      <c r="J14" s="119">
        <v>14787</v>
      </c>
      <c r="K14" s="117">
        <v>13750.269749999999</v>
      </c>
      <c r="L14" s="117">
        <v>18108.52767422</v>
      </c>
      <c r="M14" s="19">
        <f>K14+L14</f>
        <v>31858.79742422</v>
      </c>
      <c r="N14" s="88">
        <v>67</v>
      </c>
      <c r="O14" s="88">
        <v>67</v>
      </c>
      <c r="P14" s="88">
        <v>54</v>
      </c>
    </row>
    <row r="15" spans="2:27" x14ac:dyDescent="0.3">
      <c r="B15" s="43" t="s">
        <v>48</v>
      </c>
      <c r="C15" s="50">
        <v>673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16" t="s">
        <v>50</v>
      </c>
      <c r="C16" s="17">
        <v>9036</v>
      </c>
      <c r="E16" s="18" t="s">
        <v>79</v>
      </c>
      <c r="F16" s="119">
        <v>0</v>
      </c>
      <c r="G16" s="117">
        <v>0</v>
      </c>
      <c r="H16" s="117">
        <v>10525.911276500001</v>
      </c>
      <c r="I16" s="19">
        <f>G16+H16</f>
        <v>10525.911276500001</v>
      </c>
      <c r="J16" s="119">
        <v>0</v>
      </c>
      <c r="K16" s="117">
        <v>0</v>
      </c>
      <c r="L16" s="117">
        <v>10425.124975979999</v>
      </c>
      <c r="M16" s="19">
        <f>K16+L16</f>
        <v>10425.124975979999</v>
      </c>
      <c r="N16" s="88">
        <v>10</v>
      </c>
      <c r="O16" s="88">
        <v>10</v>
      </c>
      <c r="P16" s="88">
        <v>9</v>
      </c>
    </row>
    <row r="17" spans="2:28" s="4" customFormat="1" x14ac:dyDescent="0.3">
      <c r="B17" s="16" t="s">
        <v>51</v>
      </c>
      <c r="C17" s="17">
        <v>1374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4546</v>
      </c>
      <c r="E18" s="84"/>
      <c r="F18" s="135">
        <f t="shared" ref="F18:M18" si="0">SUM(F6:F17)</f>
        <v>84114</v>
      </c>
      <c r="G18" s="135">
        <f t="shared" si="0"/>
        <v>63565.182516666668</v>
      </c>
      <c r="H18" s="135">
        <f t="shared" si="0"/>
        <v>68863.351925749987</v>
      </c>
      <c r="I18" s="136">
        <f t="shared" si="0"/>
        <v>132428.53444241665</v>
      </c>
      <c r="J18" s="135">
        <f t="shared" si="0"/>
        <v>76235</v>
      </c>
      <c r="K18" s="135">
        <f t="shared" si="0"/>
        <v>62910.64426666667</v>
      </c>
      <c r="L18" s="135">
        <f t="shared" si="0"/>
        <v>63853.435133769999</v>
      </c>
      <c r="M18" s="137">
        <f t="shared" si="0"/>
        <v>126764.07940043666</v>
      </c>
      <c r="N18" s="135">
        <f>SUM(N16,N14,N12,N10,N8,N6)</f>
        <v>244</v>
      </c>
      <c r="O18" s="135">
        <f>SUM(O16,O14,O12,O10,O8,O6)</f>
        <v>242</v>
      </c>
      <c r="P18" s="135">
        <f>SUM(P16,P14,P12,P10,P8,P6)</f>
        <v>194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0.19834710743801653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11600</v>
      </c>
      <c r="D26" s="76">
        <f>C11</f>
        <v>9429</v>
      </c>
      <c r="E26" s="77">
        <f t="shared" ref="E26:E31" si="1">D26-C26</f>
        <v>-2171</v>
      </c>
      <c r="I26" s="53"/>
      <c r="M26" s="4"/>
    </row>
    <row r="27" spans="2:28" x14ac:dyDescent="0.3">
      <c r="B27" s="74" t="s">
        <v>56</v>
      </c>
      <c r="C27" s="122">
        <v>33874</v>
      </c>
      <c r="D27" s="76">
        <f>C7+C12+C13+C14+C15</f>
        <v>35753</v>
      </c>
      <c r="E27" s="77">
        <f t="shared" si="1"/>
        <v>1879</v>
      </c>
      <c r="J27" s="123"/>
      <c r="M27" s="4"/>
      <c r="Q27" s="69"/>
    </row>
    <row r="28" spans="2:28" x14ac:dyDescent="0.3">
      <c r="B28" s="74" t="s">
        <v>21</v>
      </c>
      <c r="C28" s="122">
        <v>65</v>
      </c>
      <c r="D28" s="76">
        <f>C6</f>
        <v>65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1391</v>
      </c>
      <c r="D29" s="76">
        <f>C10</f>
        <v>1391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16565</v>
      </c>
      <c r="D30" s="76">
        <f>C16+C17+C18</f>
        <v>14956</v>
      </c>
      <c r="E30" s="77">
        <f t="shared" si="1"/>
        <v>-1609</v>
      </c>
      <c r="P30" s="4"/>
    </row>
    <row r="31" spans="2:28" ht="15" customHeight="1" thickBot="1" x14ac:dyDescent="0.35">
      <c r="B31" s="78" t="s">
        <v>60</v>
      </c>
      <c r="C31" s="121">
        <v>3749</v>
      </c>
      <c r="D31" s="80">
        <f>SUM(C8+C9)</f>
        <v>3207</v>
      </c>
      <c r="E31" s="81">
        <f t="shared" si="1"/>
        <v>-542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44558</v>
      </c>
    </row>
    <row r="3" spans="2:27" ht="18.75" customHeight="1" thickBot="1" x14ac:dyDescent="0.35">
      <c r="B3" t="s">
        <v>1</v>
      </c>
      <c r="C3" s="3">
        <f>C2+1</f>
        <v>44559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94</v>
      </c>
      <c r="E6" s="18" t="s">
        <v>22</v>
      </c>
      <c r="F6" s="119">
        <v>24202</v>
      </c>
      <c r="G6" s="117">
        <v>13394.546466666659</v>
      </c>
      <c r="H6" s="117">
        <v>7750.1709420600027</v>
      </c>
      <c r="I6" s="19">
        <f>G6+H6</f>
        <v>21144.717408726661</v>
      </c>
      <c r="J6" s="119">
        <v>24357</v>
      </c>
      <c r="K6" s="117">
        <v>15193.527466666659</v>
      </c>
      <c r="L6" s="117">
        <v>7979.6679123400017</v>
      </c>
      <c r="M6" s="19">
        <f>K6+L6</f>
        <v>23173.195379006662</v>
      </c>
      <c r="N6" s="85">
        <v>84</v>
      </c>
      <c r="O6" s="85">
        <v>77</v>
      </c>
      <c r="P6" s="85">
        <v>72</v>
      </c>
    </row>
    <row r="7" spans="2:27" x14ac:dyDescent="0.3">
      <c r="B7" s="16" t="s">
        <v>23</v>
      </c>
      <c r="C7" s="17">
        <v>3966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28" t="s">
        <v>26</v>
      </c>
      <c r="C8" s="17">
        <v>1745</v>
      </c>
      <c r="E8" s="140" t="s">
        <v>27</v>
      </c>
      <c r="F8" s="119">
        <v>0</v>
      </c>
      <c r="G8" s="117">
        <v>0</v>
      </c>
      <c r="H8" s="117">
        <v>3574.5141181999988</v>
      </c>
      <c r="I8" s="19">
        <f>G8+H8</f>
        <v>3574.5141181999988</v>
      </c>
      <c r="J8" s="119">
        <v>0</v>
      </c>
      <c r="K8" s="117">
        <v>0</v>
      </c>
      <c r="L8" s="117">
        <v>3573.5528233600012</v>
      </c>
      <c r="M8" s="19">
        <f>K8+L8</f>
        <v>3573.5528233600012</v>
      </c>
      <c r="N8" s="87">
        <v>4</v>
      </c>
      <c r="O8" s="87">
        <v>4</v>
      </c>
      <c r="P8" s="87">
        <v>3</v>
      </c>
    </row>
    <row r="9" spans="2:27" x14ac:dyDescent="0.3">
      <c r="B9" s="28" t="s">
        <v>28</v>
      </c>
      <c r="C9" s="17">
        <v>1471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16" t="s">
        <v>30</v>
      </c>
      <c r="C10" s="17">
        <v>2418</v>
      </c>
      <c r="E10" s="18" t="s">
        <v>31</v>
      </c>
      <c r="F10" s="119">
        <v>19307</v>
      </c>
      <c r="G10" s="117">
        <v>12696.00225</v>
      </c>
      <c r="H10" s="117">
        <v>393.59396500000003</v>
      </c>
      <c r="I10" s="19">
        <f>G10+H10</f>
        <v>13089.596215</v>
      </c>
      <c r="J10" s="119">
        <v>22123</v>
      </c>
      <c r="K10" s="117">
        <v>15841.402749999999</v>
      </c>
      <c r="L10" s="117">
        <v>383.62262520000002</v>
      </c>
      <c r="M10" s="19">
        <f>K10+L10</f>
        <v>16225.025375199999</v>
      </c>
      <c r="N10" s="88">
        <v>48</v>
      </c>
      <c r="O10" s="88">
        <v>44</v>
      </c>
      <c r="P10" s="88">
        <v>44</v>
      </c>
    </row>
    <row r="11" spans="2:27" x14ac:dyDescent="0.3">
      <c r="B11" s="16" t="s">
        <v>38</v>
      </c>
      <c r="C11" s="17">
        <v>10097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40</v>
      </c>
      <c r="C12" s="17">
        <v>4800</v>
      </c>
      <c r="E12" s="140" t="s">
        <v>35</v>
      </c>
      <c r="F12" s="119">
        <v>13496</v>
      </c>
      <c r="G12" s="117">
        <v>11510.018</v>
      </c>
      <c r="H12" s="117">
        <v>17141.59088569001</v>
      </c>
      <c r="I12" s="19">
        <f>G12+H12</f>
        <v>28651.60888569001</v>
      </c>
      <c r="J12" s="119">
        <v>13741</v>
      </c>
      <c r="K12" s="117">
        <v>13732.19</v>
      </c>
      <c r="L12" s="117">
        <v>18103.89942423001</v>
      </c>
      <c r="M12" s="19">
        <f>K12+L12</f>
        <v>31836.089424230013</v>
      </c>
      <c r="N12" s="88">
        <v>54</v>
      </c>
      <c r="O12" s="88">
        <v>53</v>
      </c>
      <c r="P12" s="88">
        <v>46</v>
      </c>
    </row>
    <row r="13" spans="2:27" x14ac:dyDescent="0.3">
      <c r="B13" s="28" t="s">
        <v>42</v>
      </c>
      <c r="C13" s="17">
        <v>22568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43" t="s">
        <v>47</v>
      </c>
      <c r="C14" s="17">
        <v>2134</v>
      </c>
      <c r="E14" s="18" t="s">
        <v>39</v>
      </c>
      <c r="F14" s="119">
        <v>19040</v>
      </c>
      <c r="G14" s="117">
        <v>14495.565000000001</v>
      </c>
      <c r="H14" s="117">
        <v>22542.670270099989</v>
      </c>
      <c r="I14" s="19">
        <f>G14+H14</f>
        <v>37038.235270099991</v>
      </c>
      <c r="J14" s="119">
        <v>19089</v>
      </c>
      <c r="K14" s="117">
        <v>16044.121499999999</v>
      </c>
      <c r="L14" s="117">
        <v>22363.129512020001</v>
      </c>
      <c r="M14" s="19">
        <f>K14+L14</f>
        <v>38407.251012020002</v>
      </c>
      <c r="N14" s="88">
        <v>69</v>
      </c>
      <c r="O14" s="88">
        <v>68</v>
      </c>
      <c r="P14" s="88">
        <v>57</v>
      </c>
    </row>
    <row r="15" spans="2:27" x14ac:dyDescent="0.3">
      <c r="B15" s="43" t="s">
        <v>48</v>
      </c>
      <c r="C15" s="50">
        <v>847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16" t="s">
        <v>50</v>
      </c>
      <c r="C16" s="17">
        <v>9993</v>
      </c>
      <c r="E16" s="18" t="s">
        <v>79</v>
      </c>
      <c r="F16" s="119">
        <v>0</v>
      </c>
      <c r="G16" s="117">
        <v>0</v>
      </c>
      <c r="H16" s="117">
        <v>5672.2723661399996</v>
      </c>
      <c r="I16" s="19">
        <f>G16+H16</f>
        <v>5672.2723661399996</v>
      </c>
      <c r="J16" s="119">
        <v>0</v>
      </c>
      <c r="K16" s="117">
        <v>0</v>
      </c>
      <c r="L16" s="117">
        <v>5540.0778368199999</v>
      </c>
      <c r="M16" s="19">
        <f>K16+L16</f>
        <v>5540.0778368199999</v>
      </c>
      <c r="N16" s="88">
        <v>10</v>
      </c>
      <c r="O16" s="88">
        <v>11</v>
      </c>
      <c r="P16" s="88">
        <v>8</v>
      </c>
    </row>
    <row r="17" spans="2:28" s="4" customFormat="1" x14ac:dyDescent="0.3">
      <c r="B17" s="16" t="s">
        <v>51</v>
      </c>
      <c r="C17" s="17">
        <v>1279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57" t="s">
        <v>52</v>
      </c>
      <c r="C18" s="58">
        <v>4764</v>
      </c>
      <c r="E18" s="84"/>
      <c r="F18" s="135">
        <f t="shared" ref="F18:M18" si="0">SUM(F6:F17)</f>
        <v>76045</v>
      </c>
      <c r="G18" s="135">
        <f t="shared" si="0"/>
        <v>52096.131716666656</v>
      </c>
      <c r="H18" s="135">
        <f t="shared" si="0"/>
        <v>57074.812547190006</v>
      </c>
      <c r="I18" s="136">
        <f t="shared" si="0"/>
        <v>109170.94426385665</v>
      </c>
      <c r="J18" s="135">
        <f t="shared" si="0"/>
        <v>79310</v>
      </c>
      <c r="K18" s="135">
        <f t="shared" si="0"/>
        <v>60811.241716666664</v>
      </c>
      <c r="L18" s="135">
        <f t="shared" si="0"/>
        <v>57943.950133970007</v>
      </c>
      <c r="M18" s="137">
        <f t="shared" si="0"/>
        <v>118755.19185063668</v>
      </c>
      <c r="N18" s="135">
        <f>SUM(N16,N14,N12,N10,N8,N6)</f>
        <v>269</v>
      </c>
      <c r="O18" s="135">
        <f>SUM(O16,O14,O12,O10,O8,O6)</f>
        <v>257</v>
      </c>
      <c r="P18" s="135">
        <f>SUM(P16,P14,P12,P10,P8,P6)</f>
        <v>230</v>
      </c>
    </row>
    <row r="19" spans="2:28" ht="15" customHeight="1" thickBot="1" x14ac:dyDescent="0.3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0.10505836575875487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ht="15" customHeight="1" thickBot="1" x14ac:dyDescent="0.35">
      <c r="M23" s="4"/>
    </row>
    <row r="24" spans="2:28" ht="15" customHeight="1" thickBot="1" x14ac:dyDescent="0.35">
      <c r="C24" s="68" t="s">
        <v>2</v>
      </c>
      <c r="D24" s="209" t="s">
        <v>3</v>
      </c>
      <c r="E24" s="210"/>
      <c r="M24" s="4"/>
    </row>
    <row r="25" spans="2:28" x14ac:dyDescent="0.3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3">
      <c r="B26" s="74" t="s">
        <v>55</v>
      </c>
      <c r="C26" s="122">
        <v>11479</v>
      </c>
      <c r="D26" s="76">
        <f>C11</f>
        <v>10097</v>
      </c>
      <c r="E26" s="77">
        <f t="shared" ref="E26:E31" si="1">D26-C26</f>
        <v>-1382</v>
      </c>
      <c r="I26" s="53"/>
      <c r="M26" s="4"/>
    </row>
    <row r="27" spans="2:28" x14ac:dyDescent="0.3">
      <c r="B27" s="74" t="s">
        <v>56</v>
      </c>
      <c r="C27" s="122">
        <v>32361</v>
      </c>
      <c r="D27" s="76">
        <f>C7+C12+C13+C14+C15</f>
        <v>34315</v>
      </c>
      <c r="E27" s="77">
        <f t="shared" si="1"/>
        <v>1954</v>
      </c>
      <c r="J27" s="123"/>
      <c r="M27" s="4"/>
      <c r="Q27" s="69"/>
    </row>
    <row r="28" spans="2:28" x14ac:dyDescent="0.3">
      <c r="B28" s="74" t="s">
        <v>21</v>
      </c>
      <c r="C28" s="122">
        <v>94</v>
      </c>
      <c r="D28" s="76">
        <f>C6</f>
        <v>94</v>
      </c>
      <c r="E28" s="77">
        <f t="shared" si="1"/>
        <v>0</v>
      </c>
      <c r="M28" s="4"/>
    </row>
    <row r="29" spans="2:28" x14ac:dyDescent="0.3">
      <c r="B29" s="74" t="s">
        <v>57</v>
      </c>
      <c r="C29" s="122">
        <v>2418</v>
      </c>
      <c r="D29" s="76">
        <f>C10</f>
        <v>2418</v>
      </c>
      <c r="E29" s="77">
        <f t="shared" si="1"/>
        <v>0</v>
      </c>
      <c r="P29" s="4"/>
    </row>
    <row r="30" spans="2:28" x14ac:dyDescent="0.3">
      <c r="B30" s="74" t="s">
        <v>59</v>
      </c>
      <c r="C30" s="122">
        <v>16165</v>
      </c>
      <c r="D30" s="76">
        <f>C16+C17+C18</f>
        <v>16036</v>
      </c>
      <c r="E30" s="77">
        <f t="shared" si="1"/>
        <v>-129</v>
      </c>
      <c r="P30" s="4"/>
    </row>
    <row r="31" spans="2:28" ht="15" customHeight="1" thickBot="1" x14ac:dyDescent="0.35">
      <c r="B31" s="78" t="s">
        <v>60</v>
      </c>
      <c r="C31" s="121">
        <v>3566</v>
      </c>
      <c r="D31" s="80">
        <f>SUM(C8+C9)</f>
        <v>3216</v>
      </c>
      <c r="E31" s="81">
        <f t="shared" si="1"/>
        <v>-350</v>
      </c>
      <c r="P31" s="4"/>
    </row>
    <row r="32" spans="2:28" x14ac:dyDescent="0.3">
      <c r="F32" s="1" t="s">
        <v>75</v>
      </c>
      <c r="J32" s="53"/>
      <c r="P32" s="4"/>
    </row>
    <row r="33" spans="10:16" x14ac:dyDescent="0.3">
      <c r="J33" s="53"/>
      <c r="K33" s="53"/>
      <c r="P33" s="4"/>
    </row>
    <row r="34" spans="10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22.4414062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44559</v>
      </c>
    </row>
    <row r="3" spans="2:27" ht="18.75" customHeight="1" thickBot="1" x14ac:dyDescent="0.35">
      <c r="B3" t="s">
        <v>1</v>
      </c>
      <c r="C3" s="3">
        <f>C2+1</f>
        <v>44560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22</v>
      </c>
      <c r="E6" s="18" t="s">
        <v>22</v>
      </c>
      <c r="F6" s="119">
        <v>23321</v>
      </c>
      <c r="G6" s="117">
        <v>13234.155000000001</v>
      </c>
      <c r="H6" s="117">
        <v>6888.0570935799969</v>
      </c>
      <c r="I6" s="19">
        <f>G6+H6</f>
        <v>20122.212093579998</v>
      </c>
      <c r="J6" s="119">
        <v>23819</v>
      </c>
      <c r="K6" s="117">
        <v>14441.355250000001</v>
      </c>
      <c r="L6" s="117">
        <v>6657.2486496199972</v>
      </c>
      <c r="M6" s="19">
        <f>K6+L6</f>
        <v>21098.603899619997</v>
      </c>
      <c r="N6" s="85">
        <v>82</v>
      </c>
      <c r="O6" s="85">
        <v>81</v>
      </c>
      <c r="P6" s="85">
        <v>69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2413</v>
      </c>
      <c r="E8" s="140" t="s">
        <v>27</v>
      </c>
      <c r="F8" s="119">
        <v>0</v>
      </c>
      <c r="G8" s="117">
        <v>0</v>
      </c>
      <c r="H8" s="117">
        <v>3910.859882719999</v>
      </c>
      <c r="I8" s="19">
        <f>G8+H8</f>
        <v>3910.859882719999</v>
      </c>
      <c r="J8" s="119">
        <v>0</v>
      </c>
      <c r="K8" s="117">
        <v>0</v>
      </c>
      <c r="L8" s="117">
        <v>4091.8712637999988</v>
      </c>
      <c r="M8" s="19">
        <f>K8+L8</f>
        <v>4091.8712637999988</v>
      </c>
      <c r="N8" s="87">
        <v>1</v>
      </c>
      <c r="O8" s="87">
        <v>2</v>
      </c>
      <c r="P8" s="87">
        <v>0</v>
      </c>
    </row>
    <row r="9" spans="2:27" x14ac:dyDescent="0.3">
      <c r="B9" s="28" t="s">
        <v>26</v>
      </c>
      <c r="C9" s="17">
        <v>2414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753</v>
      </c>
      <c r="E10" s="18" t="s">
        <v>31</v>
      </c>
      <c r="F10" s="119">
        <v>20006</v>
      </c>
      <c r="G10" s="117">
        <v>15885.106</v>
      </c>
      <c r="H10" s="117">
        <v>405.767314</v>
      </c>
      <c r="I10" s="19">
        <f>G10+H10</f>
        <v>16290.873314</v>
      </c>
      <c r="J10" s="119">
        <v>20254</v>
      </c>
      <c r="K10" s="117">
        <v>16635.537</v>
      </c>
      <c r="L10" s="117">
        <v>368.50214620000003</v>
      </c>
      <c r="M10" s="19">
        <f>K10+L10</f>
        <v>17004.039146200001</v>
      </c>
      <c r="N10" s="88">
        <v>45</v>
      </c>
      <c r="O10" s="88">
        <v>43</v>
      </c>
      <c r="P10" s="88">
        <v>38</v>
      </c>
    </row>
    <row r="11" spans="2:27" x14ac:dyDescent="0.3">
      <c r="B11" s="16" t="s">
        <v>30</v>
      </c>
      <c r="C11" s="17">
        <v>2409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38</v>
      </c>
      <c r="C12" s="17">
        <v>11453</v>
      </c>
      <c r="E12" s="140" t="s">
        <v>35</v>
      </c>
      <c r="F12" s="119">
        <v>12484</v>
      </c>
      <c r="G12" s="117">
        <v>10646.537</v>
      </c>
      <c r="H12" s="117">
        <v>15670.69274807</v>
      </c>
      <c r="I12" s="19">
        <f>G12+H12</f>
        <v>26317.22974807</v>
      </c>
      <c r="J12" s="119">
        <v>12921</v>
      </c>
      <c r="K12" s="117">
        <v>12142.155000000001</v>
      </c>
      <c r="L12" s="117">
        <v>16348.23454071</v>
      </c>
      <c r="M12" s="19">
        <f>K12+L12</f>
        <v>28490.389540709999</v>
      </c>
      <c r="N12" s="88">
        <v>55</v>
      </c>
      <c r="O12" s="88">
        <v>54</v>
      </c>
      <c r="P12" s="88">
        <v>47</v>
      </c>
    </row>
    <row r="13" spans="2:27" x14ac:dyDescent="0.3">
      <c r="B13" s="16" t="s">
        <v>40</v>
      </c>
      <c r="C13" s="17">
        <v>2987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28" t="s">
        <v>42</v>
      </c>
      <c r="C14" s="17">
        <v>28169</v>
      </c>
      <c r="E14" s="18" t="s">
        <v>39</v>
      </c>
      <c r="F14" s="119">
        <v>18550</v>
      </c>
      <c r="G14" s="117">
        <v>14352.202499999999</v>
      </c>
      <c r="H14" s="117">
        <v>21378.324748899999</v>
      </c>
      <c r="I14" s="19">
        <f>G14+H14</f>
        <v>35730.527248899998</v>
      </c>
      <c r="J14" s="119">
        <v>18581</v>
      </c>
      <c r="K14" s="117">
        <v>15985.144</v>
      </c>
      <c r="L14" s="117">
        <v>21517.381694439999</v>
      </c>
      <c r="M14" s="19">
        <f>K14+L14</f>
        <v>37502.525694440003</v>
      </c>
      <c r="N14" s="88">
        <v>66</v>
      </c>
      <c r="O14" s="88">
        <v>65</v>
      </c>
      <c r="P14" s="88">
        <v>58</v>
      </c>
    </row>
    <row r="15" spans="2:27" x14ac:dyDescent="0.3">
      <c r="B15" s="43" t="s">
        <v>47</v>
      </c>
      <c r="C15" s="17">
        <v>1443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48</v>
      </c>
      <c r="C16" s="50">
        <v>563</v>
      </c>
      <c r="E16" s="18" t="s">
        <v>79</v>
      </c>
      <c r="F16" s="119">
        <v>0</v>
      </c>
      <c r="G16" s="117">
        <v>0</v>
      </c>
      <c r="H16" s="117">
        <v>9111.7647865600011</v>
      </c>
      <c r="I16" s="19">
        <f>G16+H16</f>
        <v>9111.7647865600011</v>
      </c>
      <c r="J16" s="119">
        <v>0</v>
      </c>
      <c r="K16" s="117">
        <v>0</v>
      </c>
      <c r="L16" s="117">
        <v>9258.8217868400006</v>
      </c>
      <c r="M16" s="19">
        <f>K16+L16</f>
        <v>9258.8217868400006</v>
      </c>
      <c r="N16" s="88">
        <v>10</v>
      </c>
      <c r="O16" s="88">
        <v>11</v>
      </c>
      <c r="P16" s="88">
        <v>7</v>
      </c>
    </row>
    <row r="17" spans="2:28" s="4" customFormat="1" x14ac:dyDescent="0.3">
      <c r="B17" s="16" t="s">
        <v>50</v>
      </c>
      <c r="C17" s="17">
        <v>8223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4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2318</v>
      </c>
      <c r="E18" s="84"/>
      <c r="F18" s="135">
        <f t="shared" ref="F18:M18" si="0">SUM(F6:F17)</f>
        <v>74361</v>
      </c>
      <c r="G18" s="135">
        <f t="shared" si="0"/>
        <v>54118.000499999995</v>
      </c>
      <c r="H18" s="135">
        <f t="shared" si="0"/>
        <v>57365.466573829995</v>
      </c>
      <c r="I18" s="136">
        <f t="shared" si="0"/>
        <v>111483.46707382999</v>
      </c>
      <c r="J18" s="135">
        <f t="shared" si="0"/>
        <v>75575</v>
      </c>
      <c r="K18" s="135">
        <f t="shared" si="0"/>
        <v>59204.191250000003</v>
      </c>
      <c r="L18" s="135">
        <f t="shared" si="0"/>
        <v>58242.060081609998</v>
      </c>
      <c r="M18" s="137">
        <f t="shared" si="0"/>
        <v>117446.25133160999</v>
      </c>
      <c r="N18" s="135">
        <f>SUM(N16,N14,N12,N10,N8,N6)</f>
        <v>259</v>
      </c>
      <c r="O18" s="135">
        <f>SUM(O16,O14,O12,O10,O8,O6)</f>
        <v>256</v>
      </c>
      <c r="P18" s="135">
        <f>SUM(P16,P14,P12,P10,P8,P6)</f>
        <v>219</v>
      </c>
    </row>
    <row r="19" spans="2:28" ht="15" customHeight="1" thickBot="1" x14ac:dyDescent="0.35">
      <c r="B19" s="57" t="s">
        <v>52</v>
      </c>
      <c r="C19" s="58">
        <v>4529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0.14453125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11978</v>
      </c>
      <c r="D27" s="76">
        <f>C12</f>
        <v>11453</v>
      </c>
      <c r="E27" s="77">
        <f t="shared" ref="E27:E33" si="1">D27-C27</f>
        <v>-525</v>
      </c>
      <c r="J27" s="123"/>
      <c r="M27" s="4"/>
      <c r="Q27" s="69"/>
    </row>
    <row r="28" spans="2:28" x14ac:dyDescent="0.3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33813</v>
      </c>
      <c r="D29" s="76">
        <f>C8+C13+C14+C15+C16</f>
        <v>35575</v>
      </c>
      <c r="E29" s="77">
        <f t="shared" si="1"/>
        <v>1762</v>
      </c>
      <c r="P29" s="4"/>
    </row>
    <row r="30" spans="2:28" x14ac:dyDescent="0.3">
      <c r="B30" s="74" t="s">
        <v>21</v>
      </c>
      <c r="C30" s="122">
        <v>0</v>
      </c>
      <c r="D30" s="76">
        <f>C6</f>
        <v>22</v>
      </c>
      <c r="E30" s="77">
        <f t="shared" si="1"/>
        <v>22</v>
      </c>
      <c r="P30" s="4"/>
    </row>
    <row r="31" spans="2:28" x14ac:dyDescent="0.3">
      <c r="B31" s="74" t="s">
        <v>57</v>
      </c>
      <c r="C31" s="122">
        <v>2409</v>
      </c>
      <c r="D31" s="76">
        <f>C11</f>
        <v>2409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16200</v>
      </c>
      <c r="D32" s="76">
        <f>C17+C18+C19</f>
        <v>15070</v>
      </c>
      <c r="E32" s="77">
        <f t="shared" si="1"/>
        <v>-1130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3485</v>
      </c>
      <c r="D33" s="80">
        <f>SUM(C9+C10)</f>
        <v>3167</v>
      </c>
      <c r="E33" s="81">
        <f t="shared" si="1"/>
        <v>-318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44560</v>
      </c>
    </row>
    <row r="3" spans="2:27" ht="18.75" customHeight="1" thickBot="1" x14ac:dyDescent="0.35">
      <c r="B3" t="s">
        <v>1</v>
      </c>
      <c r="C3" s="3">
        <f>C2+1</f>
        <v>44561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87</v>
      </c>
    </row>
    <row r="6" spans="2:27" x14ac:dyDescent="0.3">
      <c r="B6" s="16" t="s">
        <v>21</v>
      </c>
      <c r="C6" s="17">
        <v>67</v>
      </c>
      <c r="E6" s="18" t="s">
        <v>22</v>
      </c>
      <c r="F6" s="119">
        <v>27893</v>
      </c>
      <c r="G6" s="117">
        <v>15161.857283333329</v>
      </c>
      <c r="H6" s="117">
        <v>8791.7091875000042</v>
      </c>
      <c r="I6" s="19">
        <f>G6+H6</f>
        <v>23953.566470833335</v>
      </c>
      <c r="J6" s="119">
        <v>26511</v>
      </c>
      <c r="K6" s="117">
        <v>16699</v>
      </c>
      <c r="L6" s="117">
        <v>8190</v>
      </c>
      <c r="M6" s="19">
        <f>K6+L6</f>
        <v>24889</v>
      </c>
      <c r="N6" s="85">
        <v>86</v>
      </c>
      <c r="O6" s="85">
        <v>80</v>
      </c>
      <c r="P6" s="85">
        <v>71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2026</v>
      </c>
      <c r="E8" s="140" t="s">
        <v>27</v>
      </c>
      <c r="F8" s="119">
        <v>0</v>
      </c>
      <c r="G8" s="117">
        <v>0</v>
      </c>
      <c r="H8" s="117">
        <v>4632.1166016200004</v>
      </c>
      <c r="I8" s="19">
        <f>G8+H8</f>
        <v>4632.1166016200004</v>
      </c>
      <c r="J8" s="119">
        <v>0</v>
      </c>
      <c r="K8" s="117">
        <v>0</v>
      </c>
      <c r="L8" s="117">
        <v>4557</v>
      </c>
      <c r="M8" s="19">
        <f>K8+L8</f>
        <v>4557</v>
      </c>
      <c r="N8" s="87">
        <v>4</v>
      </c>
      <c r="O8" s="87">
        <v>3</v>
      </c>
      <c r="P8" s="87">
        <v>4</v>
      </c>
      <c r="Q8" s="1" t="s">
        <v>88</v>
      </c>
    </row>
    <row r="9" spans="2:27" x14ac:dyDescent="0.3">
      <c r="B9" s="28" t="s">
        <v>26</v>
      </c>
      <c r="C9" s="17">
        <v>1817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28</v>
      </c>
      <c r="C10" s="17">
        <v>1077</v>
      </c>
      <c r="E10" s="18" t="s">
        <v>31</v>
      </c>
      <c r="F10" s="119">
        <v>20778</v>
      </c>
      <c r="G10" s="117">
        <v>14086.249750000001</v>
      </c>
      <c r="H10" s="117">
        <v>383.10585859999998</v>
      </c>
      <c r="I10" s="19">
        <f>G10+H10</f>
        <v>14469.355608600001</v>
      </c>
      <c r="J10" s="119">
        <v>22392</v>
      </c>
      <c r="K10" s="117">
        <v>17401</v>
      </c>
      <c r="L10" s="117">
        <v>359</v>
      </c>
      <c r="M10" s="19">
        <f>K10+L10</f>
        <v>17760</v>
      </c>
      <c r="N10" s="88">
        <v>52</v>
      </c>
      <c r="O10" s="88">
        <v>50</v>
      </c>
      <c r="P10" s="88">
        <v>41</v>
      </c>
    </row>
    <row r="11" spans="2:27" x14ac:dyDescent="0.3">
      <c r="B11" s="16" t="s">
        <v>30</v>
      </c>
      <c r="C11" s="17">
        <v>2389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9</v>
      </c>
    </row>
    <row r="12" spans="2:27" x14ac:dyDescent="0.3">
      <c r="B12" s="16" t="s">
        <v>38</v>
      </c>
      <c r="C12" s="17">
        <v>10390</v>
      </c>
      <c r="E12" s="140" t="s">
        <v>35</v>
      </c>
      <c r="F12" s="119">
        <v>15878</v>
      </c>
      <c r="G12" s="117">
        <v>12191.758750000001</v>
      </c>
      <c r="H12" s="117">
        <v>20365.959343650011</v>
      </c>
      <c r="I12" s="19">
        <f>G12+H12</f>
        <v>32557.718093650012</v>
      </c>
      <c r="J12" s="119">
        <v>17097</v>
      </c>
      <c r="K12" s="117">
        <v>16426</v>
      </c>
      <c r="L12" s="117">
        <v>21901</v>
      </c>
      <c r="M12" s="19">
        <f>K12+L12</f>
        <v>38327</v>
      </c>
      <c r="N12" s="88">
        <v>51</v>
      </c>
      <c r="O12" s="88">
        <v>50</v>
      </c>
      <c r="P12" s="88">
        <v>37</v>
      </c>
    </row>
    <row r="13" spans="2:27" x14ac:dyDescent="0.3">
      <c r="B13" s="16" t="s">
        <v>40</v>
      </c>
      <c r="C13" s="17">
        <v>2638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3">
      <c r="B14" s="28" t="s">
        <v>42</v>
      </c>
      <c r="C14" s="17">
        <v>26240</v>
      </c>
      <c r="E14" s="18" t="s">
        <v>39</v>
      </c>
      <c r="F14" s="119">
        <v>18983</v>
      </c>
      <c r="G14" s="117">
        <v>13111.057500000001</v>
      </c>
      <c r="H14" s="117">
        <v>23013.170077900009</v>
      </c>
      <c r="I14" s="19">
        <f>G14+H14</f>
        <v>36124.227577900012</v>
      </c>
      <c r="J14" s="119">
        <v>20109</v>
      </c>
      <c r="K14" s="117">
        <v>18980</v>
      </c>
      <c r="L14" s="117">
        <v>25200</v>
      </c>
      <c r="M14" s="19">
        <f>K14+L14</f>
        <v>44180</v>
      </c>
      <c r="N14" s="88">
        <v>65</v>
      </c>
      <c r="O14" s="88">
        <v>63</v>
      </c>
      <c r="P14" s="88">
        <v>54</v>
      </c>
    </row>
    <row r="15" spans="2:27" x14ac:dyDescent="0.3">
      <c r="B15" s="43" t="s">
        <v>47</v>
      </c>
      <c r="C15" s="17">
        <v>1041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48</v>
      </c>
      <c r="C16" s="50">
        <v>432</v>
      </c>
      <c r="E16" s="18" t="s">
        <v>79</v>
      </c>
      <c r="F16" s="119">
        <v>0</v>
      </c>
      <c r="G16" s="117">
        <v>0</v>
      </c>
      <c r="H16" s="117">
        <v>6605.2179555599996</v>
      </c>
      <c r="I16" s="19">
        <f>G16+H16</f>
        <v>6605.2179555599996</v>
      </c>
      <c r="J16" s="119" t="s">
        <v>89</v>
      </c>
      <c r="K16" s="117">
        <v>0</v>
      </c>
      <c r="L16" s="117">
        <v>6518</v>
      </c>
      <c r="M16" s="19">
        <f>K16+L16</f>
        <v>6518</v>
      </c>
      <c r="N16" s="88">
        <v>12</v>
      </c>
      <c r="O16" s="88">
        <v>11</v>
      </c>
      <c r="P16" s="88">
        <v>10</v>
      </c>
    </row>
    <row r="17" spans="2:28" s="4" customFormat="1" x14ac:dyDescent="0.3">
      <c r="B17" s="16" t="s">
        <v>50</v>
      </c>
      <c r="C17" s="17">
        <v>8500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2119</v>
      </c>
      <c r="E18" s="84"/>
      <c r="F18" s="135">
        <f t="shared" ref="F18:M18" si="0">SUM(F6:F17)</f>
        <v>83532</v>
      </c>
      <c r="G18" s="135">
        <f t="shared" si="0"/>
        <v>54550.92328333333</v>
      </c>
      <c r="H18" s="135">
        <f t="shared" si="0"/>
        <v>63791.27902483003</v>
      </c>
      <c r="I18" s="136">
        <f t="shared" si="0"/>
        <v>118342.20230816335</v>
      </c>
      <c r="J18" s="135">
        <f t="shared" si="0"/>
        <v>86109</v>
      </c>
      <c r="K18" s="135">
        <f t="shared" si="0"/>
        <v>69506</v>
      </c>
      <c r="L18" s="135">
        <f t="shared" si="0"/>
        <v>66725</v>
      </c>
      <c r="M18" s="137">
        <f t="shared" si="0"/>
        <v>136231</v>
      </c>
      <c r="N18" s="135">
        <f>SUM(N16,N14,N12,N10,N8,N6)</f>
        <v>270</v>
      </c>
      <c r="O18" s="135">
        <f>SUM(O16,O14,O12,O10,O8,O6)</f>
        <v>257</v>
      </c>
      <c r="P18" s="135">
        <f>SUM(P16,P14,P12,P10,P8,P6)</f>
        <v>217</v>
      </c>
    </row>
    <row r="19" spans="2:28" ht="15" customHeight="1" thickBot="1" x14ac:dyDescent="0.35">
      <c r="B19" s="57" t="s">
        <v>52</v>
      </c>
      <c r="C19" s="58">
        <v>4129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40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0.1556420233463035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14408</v>
      </c>
      <c r="D27" s="76">
        <f>C12</f>
        <v>10390</v>
      </c>
      <c r="E27" s="77">
        <f t="shared" ref="E27:E33" si="1">D27-C27</f>
        <v>-4018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37650</v>
      </c>
      <c r="D29" s="76">
        <f>C8+C13+C14+C15+C16</f>
        <v>32377</v>
      </c>
      <c r="E29" s="77">
        <f t="shared" si="1"/>
        <v>-5273</v>
      </c>
      <c r="P29" s="4"/>
    </row>
    <row r="30" spans="2:28" x14ac:dyDescent="0.3">
      <c r="B30" s="74" t="s">
        <v>21</v>
      </c>
      <c r="C30" s="122">
        <v>67</v>
      </c>
      <c r="D30" s="76">
        <f>C6</f>
        <v>67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2389</v>
      </c>
      <c r="D31" s="76">
        <f>C11</f>
        <v>2389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16227</v>
      </c>
      <c r="D32" s="76">
        <f>C17+C18+C19</f>
        <v>14748</v>
      </c>
      <c r="E32" s="77">
        <f t="shared" si="1"/>
        <v>-1479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3589</v>
      </c>
      <c r="D33" s="80">
        <f>SUM(C9+C10)</f>
        <v>2894</v>
      </c>
      <c r="E33" s="81">
        <f t="shared" si="1"/>
        <v>-695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44561</v>
      </c>
    </row>
    <row r="3" spans="2:27" ht="18.75" customHeight="1" thickBot="1" x14ac:dyDescent="0.35">
      <c r="B3" t="s">
        <v>1</v>
      </c>
      <c r="C3" s="3">
        <f>C2+1</f>
        <v>44562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19753</v>
      </c>
      <c r="G6" s="117">
        <v>9360.3469999999998</v>
      </c>
      <c r="H6" s="117">
        <v>5342.1969833800013</v>
      </c>
      <c r="I6" s="19">
        <f>G6+H6</f>
        <v>14702.543983380001</v>
      </c>
      <c r="J6" s="119">
        <v>20100</v>
      </c>
      <c r="K6" s="117">
        <v>13315.4755</v>
      </c>
      <c r="L6" s="117">
        <v>5352.6322300400016</v>
      </c>
      <c r="M6" s="19">
        <f>K6+L6</f>
        <v>18668.107730040003</v>
      </c>
      <c r="N6" s="85">
        <v>86</v>
      </c>
      <c r="O6" s="85">
        <v>81</v>
      </c>
      <c r="P6" s="85">
        <v>63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1738</v>
      </c>
      <c r="E8" s="140" t="s">
        <v>27</v>
      </c>
      <c r="F8" s="119">
        <v>0</v>
      </c>
      <c r="G8" s="117">
        <v>0</v>
      </c>
      <c r="H8" s="117">
        <v>3637.1523895200012</v>
      </c>
      <c r="I8" s="19">
        <f>G8+H8</f>
        <v>3637.1523895200012</v>
      </c>
      <c r="J8" s="119">
        <v>0</v>
      </c>
      <c r="K8" s="117">
        <v>0</v>
      </c>
      <c r="L8" s="117">
        <v>3659.6868555800011</v>
      </c>
      <c r="M8" s="19">
        <f>K8+L8</f>
        <v>3659.6868555800011</v>
      </c>
      <c r="N8" s="87">
        <v>4</v>
      </c>
      <c r="O8" s="87">
        <v>3</v>
      </c>
      <c r="P8" s="87">
        <v>3</v>
      </c>
    </row>
    <row r="9" spans="2:27" x14ac:dyDescent="0.3">
      <c r="B9" s="28" t="s">
        <v>26</v>
      </c>
      <c r="C9" s="17">
        <v>2049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1119</v>
      </c>
      <c r="E10" s="18" t="s">
        <v>31</v>
      </c>
      <c r="F10" s="119">
        <v>16949</v>
      </c>
      <c r="G10" s="117">
        <v>10838.300999999999</v>
      </c>
      <c r="H10" s="117">
        <v>348.67405000000002</v>
      </c>
      <c r="I10" s="19">
        <f>G10+H10</f>
        <v>11186.975049999999</v>
      </c>
      <c r="J10" s="119">
        <v>16957</v>
      </c>
      <c r="K10" s="117">
        <v>13445.110500000001</v>
      </c>
      <c r="L10" s="117">
        <v>330.54196239999999</v>
      </c>
      <c r="M10" s="19">
        <f>K10+L10</f>
        <v>13775.652462400001</v>
      </c>
      <c r="N10" s="88">
        <v>52</v>
      </c>
      <c r="O10" s="88">
        <v>46</v>
      </c>
      <c r="P10" s="88">
        <v>36</v>
      </c>
    </row>
    <row r="11" spans="2:27" x14ac:dyDescent="0.3">
      <c r="B11" s="16" t="s">
        <v>30</v>
      </c>
      <c r="C11" s="17">
        <v>4150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13662</v>
      </c>
      <c r="G12" s="117">
        <v>11610.546</v>
      </c>
      <c r="H12" s="117">
        <v>17035.299646610001</v>
      </c>
      <c r="I12" s="19">
        <f>G12+H12</f>
        <v>28645.845646610003</v>
      </c>
      <c r="J12" s="119">
        <v>13651</v>
      </c>
      <c r="K12" s="117">
        <v>13302.052250000001</v>
      </c>
      <c r="L12" s="117">
        <v>17161.855589769992</v>
      </c>
      <c r="M12" s="19">
        <f>K12+L12</f>
        <v>30463.907839769992</v>
      </c>
      <c r="N12" s="88">
        <v>51</v>
      </c>
      <c r="O12" s="88">
        <v>53</v>
      </c>
      <c r="P12" s="88">
        <v>42</v>
      </c>
    </row>
    <row r="13" spans="2:27" x14ac:dyDescent="0.3">
      <c r="B13" s="16" t="s">
        <v>40</v>
      </c>
      <c r="C13" s="17">
        <v>1889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11</v>
      </c>
    </row>
    <row r="14" spans="2:27" x14ac:dyDescent="0.3">
      <c r="B14" s="28" t="s">
        <v>42</v>
      </c>
      <c r="C14" s="17">
        <v>29822</v>
      </c>
      <c r="E14" s="18" t="s">
        <v>39</v>
      </c>
      <c r="F14" s="119">
        <v>17012</v>
      </c>
      <c r="G14" s="117">
        <v>14159.9915</v>
      </c>
      <c r="H14" s="117">
        <v>20738.492375559988</v>
      </c>
      <c r="I14" s="19">
        <f>G14+H14</f>
        <v>34898.483875559992</v>
      </c>
      <c r="J14" s="119">
        <v>24209</v>
      </c>
      <c r="K14" s="117">
        <v>18316.697250000001</v>
      </c>
      <c r="L14" s="117">
        <v>28611.72931192</v>
      </c>
      <c r="M14" s="19">
        <f>K14+L14</f>
        <v>46928.426561920001</v>
      </c>
      <c r="N14" s="88">
        <v>65</v>
      </c>
      <c r="O14" s="88">
        <v>70</v>
      </c>
      <c r="P14" s="88">
        <v>49</v>
      </c>
    </row>
    <row r="15" spans="2:27" x14ac:dyDescent="0.3">
      <c r="B15" s="43" t="s">
        <v>47</v>
      </c>
      <c r="C15" s="17">
        <v>1973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21</v>
      </c>
    </row>
    <row r="16" spans="2:27" x14ac:dyDescent="0.3">
      <c r="B16" s="43" t="s">
        <v>48</v>
      </c>
      <c r="C16" s="50">
        <v>338</v>
      </c>
      <c r="E16" s="18" t="s">
        <v>79</v>
      </c>
      <c r="F16" s="119">
        <v>0</v>
      </c>
      <c r="G16" s="117">
        <v>0</v>
      </c>
      <c r="H16" s="117">
        <v>8743.9966465799989</v>
      </c>
      <c r="I16" s="19">
        <f>G16+H16</f>
        <v>8743.9966465799989</v>
      </c>
      <c r="J16" s="119">
        <v>0</v>
      </c>
      <c r="K16" s="117">
        <v>0</v>
      </c>
      <c r="L16" s="117">
        <v>8753.9966465799989</v>
      </c>
      <c r="M16" s="19">
        <f>K16+L16</f>
        <v>8753.9966465799989</v>
      </c>
      <c r="N16" s="88">
        <v>12</v>
      </c>
      <c r="O16" s="88">
        <v>12</v>
      </c>
      <c r="P16" s="88">
        <v>10</v>
      </c>
    </row>
    <row r="17" spans="2:28" s="4" customFormat="1" x14ac:dyDescent="0.3">
      <c r="B17" s="16" t="s">
        <v>50</v>
      </c>
      <c r="C17" s="17">
        <v>7980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1959</v>
      </c>
      <c r="E18" s="84"/>
      <c r="F18" s="135">
        <f t="shared" ref="F18:M18" si="0">SUM(F6:F17)</f>
        <v>67376</v>
      </c>
      <c r="G18" s="135">
        <f t="shared" si="0"/>
        <v>45969.185500000007</v>
      </c>
      <c r="H18" s="135">
        <f t="shared" si="0"/>
        <v>55845.81209164999</v>
      </c>
      <c r="I18" s="136">
        <f t="shared" si="0"/>
        <v>101814.99759165</v>
      </c>
      <c r="J18" s="135">
        <f t="shared" si="0"/>
        <v>74917</v>
      </c>
      <c r="K18" s="135">
        <f t="shared" si="0"/>
        <v>58379.335500000001</v>
      </c>
      <c r="L18" s="135">
        <f t="shared" si="0"/>
        <v>63870.442596289984</v>
      </c>
      <c r="M18" s="137">
        <f t="shared" si="0"/>
        <v>122249.77809628999</v>
      </c>
      <c r="N18" s="135">
        <f>SUM(N16,N14,N12,N10,N8,N6)</f>
        <v>270</v>
      </c>
      <c r="O18" s="135">
        <f>SUM(O16,O14,O12,O10,O8,O6)</f>
        <v>265</v>
      </c>
      <c r="P18" s="135">
        <f>SUM(P16,P14,P12,P10,P8,P6)</f>
        <v>203</v>
      </c>
    </row>
    <row r="19" spans="2:28" ht="15" customHeight="1" thickBot="1" x14ac:dyDescent="0.35">
      <c r="B19" s="57" t="s">
        <v>52</v>
      </c>
      <c r="C19" s="58">
        <v>4131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62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0.2339622641509434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6865</v>
      </c>
      <c r="D27" s="76">
        <f>C12</f>
        <v>0</v>
      </c>
      <c r="E27" s="77">
        <f t="shared" ref="E27:E33" si="1">D27-C27</f>
        <v>-6865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35190</v>
      </c>
      <c r="D29" s="76">
        <f>C8+C13+C14+C15+C16</f>
        <v>35760</v>
      </c>
      <c r="E29" s="77">
        <f t="shared" si="1"/>
        <v>570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1975</v>
      </c>
      <c r="D31" s="76">
        <f>C11</f>
        <v>4150</v>
      </c>
      <c r="E31" s="77">
        <f t="shared" si="1"/>
        <v>2175</v>
      </c>
      <c r="P31" s="4"/>
    </row>
    <row r="32" spans="2:28" x14ac:dyDescent="0.3">
      <c r="B32" s="74" t="s">
        <v>59</v>
      </c>
      <c r="C32" s="122">
        <v>14290</v>
      </c>
      <c r="D32" s="76">
        <f>C17+C18+C19</f>
        <v>14070</v>
      </c>
      <c r="E32" s="77">
        <f t="shared" si="1"/>
        <v>-220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3679</v>
      </c>
      <c r="D33" s="80">
        <f>SUM(C9+C10)</f>
        <v>3168</v>
      </c>
      <c r="E33" s="81">
        <f t="shared" si="1"/>
        <v>-511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44562</v>
      </c>
    </row>
    <row r="3" spans="2:27" ht="18.75" customHeight="1" thickBot="1" x14ac:dyDescent="0.35">
      <c r="B3" t="s">
        <v>1</v>
      </c>
      <c r="C3" s="3">
        <f>C2+1</f>
        <v>44563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23348</v>
      </c>
      <c r="G6" s="117">
        <v>12211.622499999999</v>
      </c>
      <c r="H6" s="117">
        <v>6918.2529995800023</v>
      </c>
      <c r="I6" s="19">
        <f>G6+H6</f>
        <v>19129.875499580001</v>
      </c>
      <c r="J6" s="119">
        <v>23384</v>
      </c>
      <c r="K6" s="117">
        <v>15124.638000000001</v>
      </c>
      <c r="L6" s="117">
        <v>7565.2082747800014</v>
      </c>
      <c r="M6" s="19">
        <f>K6+L6</f>
        <v>22689.84627478</v>
      </c>
      <c r="N6" s="85">
        <v>96</v>
      </c>
      <c r="O6" s="85">
        <v>93</v>
      </c>
      <c r="P6" s="85">
        <v>58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35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1429</v>
      </c>
      <c r="E8" s="140" t="s">
        <v>27</v>
      </c>
      <c r="F8" s="119">
        <v>0</v>
      </c>
      <c r="G8" s="117">
        <v>0</v>
      </c>
      <c r="H8" s="117">
        <v>3973.2327916800009</v>
      </c>
      <c r="I8" s="19">
        <f>G8+H8</f>
        <v>3973.2327916800009</v>
      </c>
      <c r="J8" s="119">
        <v>0</v>
      </c>
      <c r="K8" s="117">
        <v>0</v>
      </c>
      <c r="L8" s="117">
        <v>3857.76720312</v>
      </c>
      <c r="M8" s="19">
        <f>K8+L8</f>
        <v>3857.76720312</v>
      </c>
      <c r="N8" s="87">
        <v>5</v>
      </c>
      <c r="O8" s="87">
        <v>2</v>
      </c>
      <c r="P8" s="87">
        <v>2</v>
      </c>
    </row>
    <row r="9" spans="2:27" x14ac:dyDescent="0.3">
      <c r="B9" s="28" t="s">
        <v>26</v>
      </c>
      <c r="C9" s="17">
        <v>2300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980</v>
      </c>
      <c r="E10" s="18" t="s">
        <v>31</v>
      </c>
      <c r="F10" s="119">
        <v>19061</v>
      </c>
      <c r="G10" s="117">
        <v>12683.467000000001</v>
      </c>
      <c r="H10" s="117">
        <v>417.93540000000002</v>
      </c>
      <c r="I10" s="19">
        <f>G10+H10</f>
        <v>13101.402400000001</v>
      </c>
      <c r="J10" s="119">
        <v>21556</v>
      </c>
      <c r="K10" s="117">
        <v>15429.679249999999</v>
      </c>
      <c r="L10" s="117">
        <v>369.62527040000009</v>
      </c>
      <c r="M10" s="19">
        <f>K10+L10</f>
        <v>15799.304520399999</v>
      </c>
      <c r="N10" s="88">
        <v>52</v>
      </c>
      <c r="O10" s="88">
        <v>46</v>
      </c>
      <c r="P10" s="88">
        <v>33</v>
      </c>
    </row>
    <row r="11" spans="2:27" x14ac:dyDescent="0.3">
      <c r="B11" s="16" t="s">
        <v>30</v>
      </c>
      <c r="C11" s="17">
        <v>1888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13</v>
      </c>
    </row>
    <row r="12" spans="2:27" x14ac:dyDescent="0.3">
      <c r="B12" s="16" t="s">
        <v>38</v>
      </c>
      <c r="C12" s="17">
        <v>7909</v>
      </c>
      <c r="E12" s="140" t="s">
        <v>35</v>
      </c>
      <c r="F12" s="119">
        <v>16017</v>
      </c>
      <c r="G12" s="117">
        <v>11140.414000000001</v>
      </c>
      <c r="H12" s="117">
        <v>19069.839293780002</v>
      </c>
      <c r="I12" s="19">
        <f>G12+H12</f>
        <v>30210.253293780002</v>
      </c>
      <c r="J12" s="119">
        <v>17352</v>
      </c>
      <c r="K12" s="117">
        <v>16106.739750000001</v>
      </c>
      <c r="L12" s="117">
        <v>20339.342187700011</v>
      </c>
      <c r="M12" s="19">
        <f>K12+L12</f>
        <v>36446.081937700015</v>
      </c>
      <c r="N12" s="88">
        <v>59</v>
      </c>
      <c r="O12" s="88">
        <v>59</v>
      </c>
      <c r="P12" s="88">
        <v>38</v>
      </c>
    </row>
    <row r="13" spans="2:27" x14ac:dyDescent="0.3">
      <c r="B13" s="16" t="s">
        <v>40</v>
      </c>
      <c r="C13" s="17">
        <v>2038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21</v>
      </c>
    </row>
    <row r="14" spans="2:27" x14ac:dyDescent="0.3">
      <c r="B14" s="28" t="s">
        <v>42</v>
      </c>
      <c r="C14" s="17">
        <v>24933</v>
      </c>
      <c r="E14" s="18" t="s">
        <v>39</v>
      </c>
      <c r="F14" s="119">
        <v>18638</v>
      </c>
      <c r="G14" s="117">
        <v>13794.1715</v>
      </c>
      <c r="H14" s="117">
        <v>22698.370456799988</v>
      </c>
      <c r="I14" s="19">
        <f>G14+H14</f>
        <v>36492.541956799992</v>
      </c>
      <c r="J14" s="119">
        <v>19824</v>
      </c>
      <c r="K14" s="117">
        <v>19386.514500000001</v>
      </c>
      <c r="L14" s="117">
        <v>24571.859943659991</v>
      </c>
      <c r="M14" s="19">
        <f>K14+L14</f>
        <v>43958.374443659995</v>
      </c>
      <c r="N14" s="88">
        <v>65</v>
      </c>
      <c r="O14" s="88">
        <v>65</v>
      </c>
      <c r="P14" s="88">
        <v>43</v>
      </c>
    </row>
    <row r="15" spans="2:27" x14ac:dyDescent="0.3">
      <c r="B15" s="43" t="s">
        <v>47</v>
      </c>
      <c r="C15" s="17">
        <v>952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22</v>
      </c>
    </row>
    <row r="16" spans="2:27" x14ac:dyDescent="0.3">
      <c r="B16" s="43" t="s">
        <v>48</v>
      </c>
      <c r="C16" s="50">
        <v>323</v>
      </c>
      <c r="E16" s="18" t="s">
        <v>79</v>
      </c>
      <c r="F16" s="119">
        <v>0</v>
      </c>
      <c r="G16" s="117">
        <v>0</v>
      </c>
      <c r="H16" s="117">
        <v>5730.1790893199995</v>
      </c>
      <c r="I16" s="19">
        <f>G16+H16</f>
        <v>5730.1790893199995</v>
      </c>
      <c r="J16" s="119">
        <v>0</v>
      </c>
      <c r="K16" s="117">
        <v>0</v>
      </c>
      <c r="L16" s="117">
        <v>5620.88239884</v>
      </c>
      <c r="M16" s="19">
        <f>K16+L16</f>
        <v>5620.88239884</v>
      </c>
      <c r="N16" s="88">
        <v>11</v>
      </c>
      <c r="O16" s="88">
        <v>10</v>
      </c>
      <c r="P16" s="88">
        <v>7</v>
      </c>
    </row>
    <row r="17" spans="2:28" s="4" customFormat="1" x14ac:dyDescent="0.3">
      <c r="B17" s="16" t="s">
        <v>50</v>
      </c>
      <c r="C17" s="17">
        <v>9614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0</v>
      </c>
      <c r="E18" s="84"/>
      <c r="F18" s="135">
        <f t="shared" ref="F18:M18" si="0">SUM(F6:F17)</f>
        <v>77064</v>
      </c>
      <c r="G18" s="135">
        <f t="shared" si="0"/>
        <v>49829.675000000003</v>
      </c>
      <c r="H18" s="135">
        <f t="shared" si="0"/>
        <v>58807.810031159992</v>
      </c>
      <c r="I18" s="136">
        <f t="shared" si="0"/>
        <v>108637.48503115999</v>
      </c>
      <c r="J18" s="135">
        <f t="shared" si="0"/>
        <v>82116</v>
      </c>
      <c r="K18" s="135">
        <f t="shared" si="0"/>
        <v>66047.571500000005</v>
      </c>
      <c r="L18" s="135">
        <f t="shared" si="0"/>
        <v>62324.685278500008</v>
      </c>
      <c r="M18" s="137">
        <f t="shared" si="0"/>
        <v>128372.2567785</v>
      </c>
      <c r="N18" s="135">
        <f>SUM(N16,N14,N12,N10,N8,N6)</f>
        <v>288</v>
      </c>
      <c r="O18" s="135">
        <f>SUM(O16,O14,O12,O10,O8,O6)</f>
        <v>275</v>
      </c>
      <c r="P18" s="135">
        <f>SUM(P16,P14,P12,P10,P8,P6)</f>
        <v>181</v>
      </c>
    </row>
    <row r="19" spans="2:28" ht="15" customHeight="1" thickBot="1" x14ac:dyDescent="0.35">
      <c r="B19" s="57" t="s">
        <v>52</v>
      </c>
      <c r="C19" s="58">
        <v>4365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94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0.3418181818181818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14043</v>
      </c>
      <c r="D27" s="76">
        <f>C12</f>
        <v>7909</v>
      </c>
      <c r="E27" s="77">
        <f t="shared" ref="E27:E33" si="1">D27-C27</f>
        <v>-6134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35829</v>
      </c>
      <c r="D29" s="76">
        <f>C8+C13+C14+C15+C16</f>
        <v>29675</v>
      </c>
      <c r="E29" s="77">
        <f t="shared" si="1"/>
        <v>-6154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1888</v>
      </c>
      <c r="D31" s="76">
        <f>C11</f>
        <v>1888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16035</v>
      </c>
      <c r="D32" s="76">
        <f>C17+C18+C19</f>
        <v>13979</v>
      </c>
      <c r="E32" s="77">
        <f t="shared" si="1"/>
        <v>-2056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3587</v>
      </c>
      <c r="D33" s="80">
        <f>SUM(C9+C10)</f>
        <v>3280</v>
      </c>
      <c r="E33" s="81">
        <f t="shared" si="1"/>
        <v>-307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44563</v>
      </c>
    </row>
    <row r="3" spans="2:27" ht="18.75" customHeight="1" thickBot="1" x14ac:dyDescent="0.35">
      <c r="B3" t="s">
        <v>1</v>
      </c>
      <c r="C3" s="3">
        <f>C2+1</f>
        <v>44564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15026</v>
      </c>
      <c r="G6" s="117">
        <v>13641.883449999999</v>
      </c>
      <c r="H6" s="117">
        <v>6133.4844269199994</v>
      </c>
      <c r="I6" s="19">
        <f>G6+H6</f>
        <v>19775.367876919998</v>
      </c>
      <c r="J6" s="119">
        <v>14433</v>
      </c>
      <c r="K6" s="117">
        <v>11284</v>
      </c>
      <c r="L6" s="117">
        <v>1548.93364142</v>
      </c>
      <c r="M6" s="19">
        <f>K6+L6</f>
        <v>12832.933641420001</v>
      </c>
      <c r="N6" s="85">
        <v>45</v>
      </c>
      <c r="O6" s="85">
        <v>43</v>
      </c>
      <c r="P6" s="85">
        <v>35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88">
        <v>0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50</v>
      </c>
      <c r="C17" s="17">
        <v>8646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1513</v>
      </c>
      <c r="E18" s="84"/>
      <c r="F18" s="135">
        <f t="shared" ref="F18:M18" si="0">SUM(F6:F17)</f>
        <v>15026</v>
      </c>
      <c r="G18" s="135">
        <f t="shared" si="0"/>
        <v>13641.883449999999</v>
      </c>
      <c r="H18" s="135">
        <f t="shared" si="0"/>
        <v>6133.4844269199994</v>
      </c>
      <c r="I18" s="136">
        <f t="shared" si="0"/>
        <v>19775.367876919998</v>
      </c>
      <c r="J18" s="135">
        <f t="shared" si="0"/>
        <v>14433</v>
      </c>
      <c r="K18" s="135">
        <f t="shared" si="0"/>
        <v>11284</v>
      </c>
      <c r="L18" s="135">
        <f t="shared" si="0"/>
        <v>1548.93364142</v>
      </c>
      <c r="M18" s="137">
        <f t="shared" si="0"/>
        <v>12832.933641420001</v>
      </c>
      <c r="N18" s="135">
        <f>SUM(N16,N14,N12,N10,N8,N6)</f>
        <v>46</v>
      </c>
      <c r="O18" s="135">
        <f>SUM(O16,O14,O12,O10,O8,O6)</f>
        <v>43</v>
      </c>
      <c r="P18" s="135">
        <f>SUM(P16,P14,P12,P10,P8,P6)</f>
        <v>35</v>
      </c>
    </row>
    <row r="19" spans="2:28" ht="15" customHeight="1" thickBot="1" x14ac:dyDescent="0.35">
      <c r="B19" s="57" t="s">
        <v>52</v>
      </c>
      <c r="C19" s="58">
        <v>4274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0.18604651162790697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/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/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/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/>
      <c r="D31" s="76">
        <f>C11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15026</v>
      </c>
      <c r="D32" s="76">
        <f>C17+C18+C19</f>
        <v>14433</v>
      </c>
      <c r="E32" s="77">
        <f t="shared" si="1"/>
        <v>-593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/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44564</v>
      </c>
    </row>
    <row r="3" spans="2:27" ht="18.75" customHeight="1" thickBot="1" x14ac:dyDescent="0.35">
      <c r="B3" t="s">
        <v>1</v>
      </c>
      <c r="C3" s="3">
        <f>C2+1</f>
        <v>44565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59</v>
      </c>
      <c r="E6" s="18" t="s">
        <v>22</v>
      </c>
      <c r="F6" s="119">
        <v>22696</v>
      </c>
      <c r="G6" s="117">
        <v>12471.96988333333</v>
      </c>
      <c r="H6" s="117">
        <v>6706.4268693799941</v>
      </c>
      <c r="I6" s="19">
        <f>G6+H6</f>
        <v>19178.396752713325</v>
      </c>
      <c r="J6" s="119">
        <v>23852</v>
      </c>
      <c r="K6" s="117">
        <v>14550.793133333331</v>
      </c>
      <c r="L6" s="117">
        <v>6889.6710560999936</v>
      </c>
      <c r="M6" s="19">
        <f>K6+L6</f>
        <v>21440.464189433325</v>
      </c>
      <c r="N6" s="85">
        <v>72</v>
      </c>
      <c r="O6" s="85">
        <v>75</v>
      </c>
      <c r="P6" s="85">
        <v>52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1946</v>
      </c>
      <c r="E8" s="140" t="s">
        <v>27</v>
      </c>
      <c r="F8" s="119">
        <v>0</v>
      </c>
      <c r="G8" s="117">
        <v>0</v>
      </c>
      <c r="H8" s="117">
        <v>3916.12095284</v>
      </c>
      <c r="I8" s="19">
        <f>G8+H8</f>
        <v>3916.12095284</v>
      </c>
      <c r="J8" s="119">
        <v>0</v>
      </c>
      <c r="K8" s="117">
        <v>0</v>
      </c>
      <c r="L8" s="117">
        <v>3974.4833966599999</v>
      </c>
      <c r="M8" s="19">
        <f>K8+L8</f>
        <v>3974.4833966599999</v>
      </c>
      <c r="N8" s="87">
        <v>5</v>
      </c>
      <c r="O8" s="87">
        <v>3</v>
      </c>
      <c r="P8" s="87">
        <v>3</v>
      </c>
    </row>
    <row r="9" spans="2:27" x14ac:dyDescent="0.3">
      <c r="B9" s="28" t="s">
        <v>26</v>
      </c>
      <c r="C9" s="17">
        <v>1900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923</v>
      </c>
      <c r="E10" s="18" t="s">
        <v>31</v>
      </c>
      <c r="F10" s="119">
        <v>20211</v>
      </c>
      <c r="G10" s="117">
        <v>14399.70775</v>
      </c>
      <c r="H10" s="117">
        <v>395.96228500000001</v>
      </c>
      <c r="I10" s="19">
        <f>G10+H10</f>
        <v>14795.670034999999</v>
      </c>
      <c r="J10" s="119">
        <v>20466</v>
      </c>
      <c r="K10" s="117">
        <v>15480.10225</v>
      </c>
      <c r="L10" s="117">
        <v>403.62837080000003</v>
      </c>
      <c r="M10" s="19">
        <f>K10+L10</f>
        <v>15883.730620799999</v>
      </c>
      <c r="N10" s="88">
        <v>44</v>
      </c>
      <c r="O10" s="88">
        <v>40</v>
      </c>
      <c r="P10" s="88">
        <v>34</v>
      </c>
    </row>
    <row r="11" spans="2:27" x14ac:dyDescent="0.3">
      <c r="B11" s="16" t="s">
        <v>30</v>
      </c>
      <c r="C11" s="17">
        <v>1300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38</v>
      </c>
      <c r="C12" s="17">
        <v>10110</v>
      </c>
      <c r="E12" s="140" t="s">
        <v>35</v>
      </c>
      <c r="F12" s="119">
        <v>13343</v>
      </c>
      <c r="G12" s="117">
        <v>10701.195250000001</v>
      </c>
      <c r="H12" s="117">
        <v>16392.43636462999</v>
      </c>
      <c r="I12" s="19">
        <f>G12+H12</f>
        <v>27093.631614629991</v>
      </c>
      <c r="J12" s="119">
        <v>13947</v>
      </c>
      <c r="K12" s="117">
        <v>12916.294250000001</v>
      </c>
      <c r="L12" s="117">
        <v>16806.594412859991</v>
      </c>
      <c r="M12" s="19">
        <f>K12+L12</f>
        <v>29722.888662859994</v>
      </c>
      <c r="N12" s="88">
        <v>52</v>
      </c>
      <c r="O12" s="88">
        <v>51</v>
      </c>
      <c r="P12" s="88">
        <v>41</v>
      </c>
    </row>
    <row r="13" spans="2:27" x14ac:dyDescent="0.3">
      <c r="B13" s="16" t="s">
        <v>40</v>
      </c>
      <c r="C13" s="17">
        <v>2409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28" t="s">
        <v>42</v>
      </c>
      <c r="C14" s="17">
        <v>25130</v>
      </c>
      <c r="E14" s="18" t="s">
        <v>39</v>
      </c>
      <c r="F14" s="119">
        <v>14992</v>
      </c>
      <c r="G14" s="117">
        <v>11914.07725</v>
      </c>
      <c r="H14" s="117">
        <v>17311.375966279989</v>
      </c>
      <c r="I14" s="19">
        <f>G14+H14</f>
        <v>29225.453216279988</v>
      </c>
      <c r="J14" s="119">
        <v>15718</v>
      </c>
      <c r="K14" s="117">
        <v>14900.160250000001</v>
      </c>
      <c r="L14" s="117">
        <v>18367.789909480001</v>
      </c>
      <c r="M14" s="19">
        <f>K14+L14</f>
        <v>33267.950159480002</v>
      </c>
      <c r="N14" s="88">
        <v>69</v>
      </c>
      <c r="O14" s="88">
        <v>68</v>
      </c>
      <c r="P14" s="88">
        <v>50</v>
      </c>
    </row>
    <row r="15" spans="2:27" x14ac:dyDescent="0.3">
      <c r="B15" s="43" t="s">
        <v>47</v>
      </c>
      <c r="C15" s="17">
        <v>1387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18</v>
      </c>
    </row>
    <row r="16" spans="2:27" x14ac:dyDescent="0.3">
      <c r="B16" s="43" t="s">
        <v>48</v>
      </c>
      <c r="C16" s="50">
        <v>431</v>
      </c>
      <c r="E16" s="18" t="s">
        <v>79</v>
      </c>
      <c r="F16" s="119">
        <v>0</v>
      </c>
      <c r="G16" s="117">
        <v>0</v>
      </c>
      <c r="H16" s="117">
        <v>8746.1954405800006</v>
      </c>
      <c r="I16" s="19">
        <f>G16+H16</f>
        <v>8746.1954405800006</v>
      </c>
      <c r="J16" s="119">
        <v>0</v>
      </c>
      <c r="K16" s="117">
        <v>0</v>
      </c>
      <c r="L16" s="117">
        <v>8893.1819593199998</v>
      </c>
      <c r="M16" s="19">
        <f>K16+L16</f>
        <v>8893.1819593199998</v>
      </c>
      <c r="N16" s="88">
        <v>9</v>
      </c>
      <c r="O16" s="88">
        <v>10</v>
      </c>
      <c r="P16" s="88">
        <v>9</v>
      </c>
    </row>
    <row r="17" spans="2:28" s="4" customFormat="1" x14ac:dyDescent="0.3">
      <c r="B17" s="16" t="s">
        <v>50</v>
      </c>
      <c r="C17" s="17">
        <v>10013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1364</v>
      </c>
      <c r="E18" s="84"/>
      <c r="F18" s="135">
        <f t="shared" ref="F18:M18" si="0">SUM(F6:F17)</f>
        <v>71242</v>
      </c>
      <c r="G18" s="135">
        <f t="shared" si="0"/>
        <v>49486.950133333332</v>
      </c>
      <c r="H18" s="135">
        <f t="shared" si="0"/>
        <v>53468.517878709972</v>
      </c>
      <c r="I18" s="136">
        <f t="shared" si="0"/>
        <v>102955.4680120433</v>
      </c>
      <c r="J18" s="135">
        <f t="shared" si="0"/>
        <v>73983</v>
      </c>
      <c r="K18" s="135">
        <f t="shared" si="0"/>
        <v>57847.349883333329</v>
      </c>
      <c r="L18" s="135">
        <f t="shared" si="0"/>
        <v>55335.349105219982</v>
      </c>
      <c r="M18" s="137">
        <f t="shared" si="0"/>
        <v>113182.69898855334</v>
      </c>
      <c r="N18" s="135">
        <f>SUM(N16,N14,N12,N10,N8,N6)</f>
        <v>251</v>
      </c>
      <c r="O18" s="135">
        <f>SUM(O16,O14,O12,O10,O8,O6)</f>
        <v>247</v>
      </c>
      <c r="P18" s="135">
        <f>SUM(P16,P14,P12,P10,P8,P6)</f>
        <v>189</v>
      </c>
    </row>
    <row r="19" spans="2:28" ht="15" customHeight="1" thickBot="1" x14ac:dyDescent="0.35">
      <c r="B19" s="57" t="s">
        <v>52</v>
      </c>
      <c r="C19" s="58">
        <v>4663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58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0.23481781376518218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11339</v>
      </c>
      <c r="D27" s="76">
        <f>C12</f>
        <v>10110</v>
      </c>
      <c r="E27" s="77">
        <f t="shared" ref="E27:E33" si="1">D27-C27</f>
        <v>-1229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33780</v>
      </c>
      <c r="D29" s="76">
        <f>C8+C13+C14+C15+C16</f>
        <v>31303</v>
      </c>
      <c r="E29" s="77">
        <f t="shared" si="1"/>
        <v>-2477</v>
      </c>
      <c r="P29" s="4"/>
    </row>
    <row r="30" spans="2:28" x14ac:dyDescent="0.3">
      <c r="B30" s="74" t="s">
        <v>21</v>
      </c>
      <c r="C30" s="122">
        <v>59</v>
      </c>
      <c r="D30" s="76">
        <f>C6</f>
        <v>59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1300</v>
      </c>
      <c r="D31" s="76">
        <f>C11</f>
        <v>1300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15351</v>
      </c>
      <c r="D32" s="76">
        <f>C17+C18+C19</f>
        <v>16040</v>
      </c>
      <c r="E32" s="77">
        <f t="shared" si="1"/>
        <v>689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2823</v>
      </c>
      <c r="D33" s="80">
        <f>SUM(C9+C10)</f>
        <v>2823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3.44140625" style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44565</v>
      </c>
    </row>
    <row r="3" spans="2:27" ht="18.75" customHeight="1" thickBot="1" x14ac:dyDescent="0.35">
      <c r="B3" t="s">
        <v>1</v>
      </c>
      <c r="C3" s="3">
        <f>C2+1</f>
        <v>44566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3550</v>
      </c>
      <c r="E6" s="18" t="s">
        <v>22</v>
      </c>
      <c r="F6" s="119">
        <v>26343</v>
      </c>
      <c r="G6" s="117">
        <v>12703.65601666667</v>
      </c>
      <c r="H6" s="117">
        <v>7463.930288399999</v>
      </c>
      <c r="I6" s="19">
        <f>G6+H6</f>
        <v>20167.586305066667</v>
      </c>
      <c r="J6" s="119">
        <v>26989</v>
      </c>
      <c r="K6" s="117">
        <v>15198.589516666671</v>
      </c>
      <c r="L6" s="117">
        <v>8123.6731350399987</v>
      </c>
      <c r="M6" s="19">
        <f>K6+L6</f>
        <v>23322.262651706667</v>
      </c>
      <c r="N6" s="85">
        <v>87</v>
      </c>
      <c r="O6" s="85">
        <v>84</v>
      </c>
      <c r="P6" s="85">
        <v>73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1670</v>
      </c>
      <c r="E8" s="140" t="s">
        <v>27</v>
      </c>
      <c r="F8" s="119">
        <v>0</v>
      </c>
      <c r="G8" s="117">
        <v>0</v>
      </c>
      <c r="H8" s="117">
        <v>3698.7566797200011</v>
      </c>
      <c r="I8" s="19">
        <f>G8+H8</f>
        <v>3698.7566797200011</v>
      </c>
      <c r="J8" s="119">
        <v>0</v>
      </c>
      <c r="K8" s="117">
        <v>0</v>
      </c>
      <c r="L8" s="117">
        <v>3687.4147794600008</v>
      </c>
      <c r="M8" s="19">
        <f>K8+L8</f>
        <v>3687.4147794600008</v>
      </c>
      <c r="N8" s="87">
        <v>5</v>
      </c>
      <c r="O8" s="87">
        <v>3</v>
      </c>
      <c r="P8" s="87">
        <v>1</v>
      </c>
    </row>
    <row r="9" spans="2:27" x14ac:dyDescent="0.3">
      <c r="B9" s="28" t="s">
        <v>26</v>
      </c>
      <c r="C9" s="17">
        <v>1897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1090</v>
      </c>
      <c r="E10" s="18" t="s">
        <v>31</v>
      </c>
      <c r="F10" s="119">
        <v>19014</v>
      </c>
      <c r="G10" s="117">
        <v>13114.651</v>
      </c>
      <c r="H10" s="117">
        <v>396.30441000000002</v>
      </c>
      <c r="I10" s="19">
        <f>G10+H10</f>
        <v>13510.95541</v>
      </c>
      <c r="J10" s="119">
        <v>19259</v>
      </c>
      <c r="K10" s="117">
        <v>14088.8655</v>
      </c>
      <c r="L10" s="117">
        <v>393.53715460000001</v>
      </c>
      <c r="M10" s="19">
        <f>K10+L10</f>
        <v>14482.4026546</v>
      </c>
      <c r="N10" s="88">
        <v>47</v>
      </c>
      <c r="O10" s="88">
        <v>43</v>
      </c>
      <c r="P10" s="88">
        <v>40</v>
      </c>
    </row>
    <row r="11" spans="2:27" x14ac:dyDescent="0.3">
      <c r="B11" s="16" t="s">
        <v>30</v>
      </c>
      <c r="C11" s="17">
        <v>2373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38</v>
      </c>
      <c r="C12" s="17">
        <v>10183</v>
      </c>
      <c r="E12" s="140" t="s">
        <v>35</v>
      </c>
      <c r="F12" s="119">
        <v>13642</v>
      </c>
      <c r="G12" s="117">
        <v>10744.080749999999</v>
      </c>
      <c r="H12" s="117">
        <v>16738.70466394</v>
      </c>
      <c r="I12" s="19">
        <f>G12+H12</f>
        <v>27482.785413940001</v>
      </c>
      <c r="J12" s="119">
        <v>14056</v>
      </c>
      <c r="K12" s="117">
        <v>12932.663</v>
      </c>
      <c r="L12" s="117">
        <v>16912.616735060012</v>
      </c>
      <c r="M12" s="19">
        <f>K12+L12</f>
        <v>29845.279735060012</v>
      </c>
      <c r="N12" s="88">
        <v>53</v>
      </c>
      <c r="O12" s="88">
        <v>52</v>
      </c>
      <c r="P12" s="88">
        <v>42</v>
      </c>
    </row>
    <row r="13" spans="2:27" x14ac:dyDescent="0.3">
      <c r="B13" s="16" t="s">
        <v>40</v>
      </c>
      <c r="C13" s="17">
        <v>1712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28" t="s">
        <v>42</v>
      </c>
      <c r="C14" s="17">
        <v>24044</v>
      </c>
      <c r="E14" s="18" t="s">
        <v>39</v>
      </c>
      <c r="F14" s="119">
        <v>18705</v>
      </c>
      <c r="G14" s="117">
        <v>14066.942999999999</v>
      </c>
      <c r="H14" s="117">
        <v>22419.07585066</v>
      </c>
      <c r="I14" s="19">
        <f>G14+H14</f>
        <v>36486.018850659995</v>
      </c>
      <c r="J14" s="119">
        <v>19522</v>
      </c>
      <c r="K14" s="117">
        <v>16971.379499999999</v>
      </c>
      <c r="L14" s="117">
        <v>23475.045465880012</v>
      </c>
      <c r="M14" s="19">
        <f>K14+L14</f>
        <v>40446.424965880011</v>
      </c>
      <c r="N14" s="88">
        <v>69</v>
      </c>
      <c r="O14" s="88">
        <v>68</v>
      </c>
      <c r="P14" s="88">
        <v>61</v>
      </c>
    </row>
    <row r="15" spans="2:27" x14ac:dyDescent="0.3">
      <c r="B15" s="43" t="s">
        <v>47</v>
      </c>
      <c r="C15" s="17">
        <v>1024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48</v>
      </c>
      <c r="C16" s="50">
        <v>217</v>
      </c>
      <c r="E16" s="18" t="s">
        <v>79</v>
      </c>
      <c r="F16" s="119">
        <v>0</v>
      </c>
      <c r="G16" s="117">
        <v>0</v>
      </c>
      <c r="H16" s="117">
        <v>5373.0656535399994</v>
      </c>
      <c r="I16" s="19">
        <f>G16+H16</f>
        <v>5373.0656535399994</v>
      </c>
      <c r="J16" s="119">
        <v>0</v>
      </c>
      <c r="K16" s="117">
        <v>0</v>
      </c>
      <c r="L16" s="117">
        <v>5319.1650600799994</v>
      </c>
      <c r="M16" s="19">
        <f>K16+L16</f>
        <v>5319.1650600799994</v>
      </c>
      <c r="N16" s="88">
        <v>11</v>
      </c>
      <c r="O16" s="88">
        <v>10</v>
      </c>
      <c r="P16" s="88">
        <v>8</v>
      </c>
    </row>
    <row r="17" spans="2:28" s="4" customFormat="1" x14ac:dyDescent="0.3">
      <c r="B17" s="16" t="s">
        <v>50</v>
      </c>
      <c r="C17" s="17">
        <v>9738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1524</v>
      </c>
      <c r="E18" s="84"/>
      <c r="F18" s="135">
        <f t="shared" ref="F18:M18" si="0">SUM(F6:F17)</f>
        <v>77704</v>
      </c>
      <c r="G18" s="135">
        <f t="shared" si="0"/>
        <v>50629.330766666666</v>
      </c>
      <c r="H18" s="135">
        <f t="shared" si="0"/>
        <v>56089.837546260002</v>
      </c>
      <c r="I18" s="136">
        <f t="shared" si="0"/>
        <v>106719.16831292667</v>
      </c>
      <c r="J18" s="135">
        <f t="shared" si="0"/>
        <v>79826</v>
      </c>
      <c r="K18" s="135">
        <f t="shared" si="0"/>
        <v>59191.49751666667</v>
      </c>
      <c r="L18" s="135">
        <f t="shared" si="0"/>
        <v>57911.452330120017</v>
      </c>
      <c r="M18" s="137">
        <f t="shared" si="0"/>
        <v>117102.94984678669</v>
      </c>
      <c r="N18" s="135">
        <f>SUM(N16,N14,N12,N10,N8,N6)</f>
        <v>272</v>
      </c>
      <c r="O18" s="135">
        <f>SUM(O16,O14,O12,O10,O8,O6)</f>
        <v>260</v>
      </c>
      <c r="P18" s="135">
        <f>SUM(P16,P14,P12,P10,P8,P6)</f>
        <v>225</v>
      </c>
    </row>
    <row r="19" spans="2:28" ht="15" customHeight="1" thickBot="1" x14ac:dyDescent="0.35">
      <c r="B19" s="57" t="s">
        <v>52</v>
      </c>
      <c r="C19" s="58">
        <v>4793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0.13461538461538461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12111</v>
      </c>
      <c r="D27" s="76">
        <f>C12</f>
        <v>10183</v>
      </c>
      <c r="E27" s="77">
        <f t="shared" ref="E27:E33" si="1">D27-C27</f>
        <v>-1928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34075</v>
      </c>
      <c r="D29" s="76">
        <f>C8+C13+C14+C15+C16</f>
        <v>28667</v>
      </c>
      <c r="E29" s="77">
        <f t="shared" si="1"/>
        <v>-5408</v>
      </c>
      <c r="P29" s="4"/>
    </row>
    <row r="30" spans="2:28" x14ac:dyDescent="0.3">
      <c r="B30" s="74" t="s">
        <v>21</v>
      </c>
      <c r="C30" s="122">
        <v>104</v>
      </c>
      <c r="D30" s="76">
        <f>C6</f>
        <v>3550</v>
      </c>
      <c r="E30" s="77">
        <f t="shared" si="1"/>
        <v>3446</v>
      </c>
      <c r="P30" s="4"/>
    </row>
    <row r="31" spans="2:28" x14ac:dyDescent="0.3">
      <c r="B31" s="74" t="s">
        <v>57</v>
      </c>
      <c r="C31" s="122">
        <v>2373</v>
      </c>
      <c r="D31" s="76">
        <f>C11</f>
        <v>2373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15598</v>
      </c>
      <c r="D32" s="76">
        <f>C17+C18+C19</f>
        <v>16055</v>
      </c>
      <c r="E32" s="77">
        <f t="shared" si="1"/>
        <v>457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3304</v>
      </c>
      <c r="D33" s="80">
        <f>SUM(C9+C10)</f>
        <v>2987</v>
      </c>
      <c r="E33" s="81">
        <f t="shared" si="1"/>
        <v>-317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44566</v>
      </c>
    </row>
    <row r="3" spans="2:27" ht="18.75" customHeight="1" thickBot="1" x14ac:dyDescent="0.35">
      <c r="B3" t="s">
        <v>1</v>
      </c>
      <c r="C3" s="3">
        <f>C2+1</f>
        <v>44567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1824</v>
      </c>
      <c r="E6" s="18" t="s">
        <v>22</v>
      </c>
      <c r="F6" s="119">
        <v>24086</v>
      </c>
      <c r="G6" s="117">
        <v>13538.19375</v>
      </c>
      <c r="H6" s="117">
        <v>7019.1203134999942</v>
      </c>
      <c r="I6" s="19">
        <f>G6+H6</f>
        <v>20557.314063499995</v>
      </c>
      <c r="J6" s="119">
        <v>27007</v>
      </c>
      <c r="K6" s="117">
        <v>16022.7315</v>
      </c>
      <c r="L6" s="117">
        <v>7223.8925911999941</v>
      </c>
      <c r="M6" s="19">
        <f>K6+L6</f>
        <v>23246.624091199992</v>
      </c>
      <c r="N6" s="85">
        <v>83</v>
      </c>
      <c r="O6" s="85">
        <v>79</v>
      </c>
      <c r="P6" s="85">
        <v>68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1690</v>
      </c>
      <c r="E8" s="140" t="s">
        <v>27</v>
      </c>
      <c r="F8" s="119">
        <v>0</v>
      </c>
      <c r="G8" s="117">
        <v>0</v>
      </c>
      <c r="H8" s="117">
        <v>4430.3155924399998</v>
      </c>
      <c r="I8" s="19">
        <f>G8+H8</f>
        <v>4430.3155924399998</v>
      </c>
      <c r="J8" s="119">
        <v>0</v>
      </c>
      <c r="K8" s="117">
        <v>0</v>
      </c>
      <c r="L8" s="117">
        <v>4539.4038528599986</v>
      </c>
      <c r="M8" s="19">
        <f>K8+L8</f>
        <v>4539.4038528599986</v>
      </c>
      <c r="N8" s="87">
        <v>1</v>
      </c>
      <c r="O8" s="87">
        <v>1</v>
      </c>
      <c r="P8" s="87">
        <v>0</v>
      </c>
    </row>
    <row r="9" spans="2:27" x14ac:dyDescent="0.3">
      <c r="B9" s="28" t="s">
        <v>26</v>
      </c>
      <c r="C9" s="17">
        <v>1944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1207</v>
      </c>
      <c r="E10" s="18" t="s">
        <v>31</v>
      </c>
      <c r="F10" s="119">
        <v>18511</v>
      </c>
      <c r="G10" s="117">
        <v>14262.314</v>
      </c>
      <c r="H10" s="117">
        <v>377.547078</v>
      </c>
      <c r="I10" s="19">
        <f>G10+H10</f>
        <v>14639.861078</v>
      </c>
      <c r="J10" s="119">
        <v>18651</v>
      </c>
      <c r="K10" s="117">
        <v>14774.779500000001</v>
      </c>
      <c r="L10" s="117">
        <v>381.42696160000003</v>
      </c>
      <c r="M10" s="19">
        <f>K10+L10</f>
        <v>15156.206461600001</v>
      </c>
      <c r="N10" s="88">
        <v>48</v>
      </c>
      <c r="O10" s="88">
        <v>45</v>
      </c>
      <c r="P10" s="88">
        <v>42</v>
      </c>
    </row>
    <row r="11" spans="2:27" x14ac:dyDescent="0.3">
      <c r="B11" s="16" t="s">
        <v>30</v>
      </c>
      <c r="C11" s="17">
        <v>2255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38</v>
      </c>
      <c r="C12" s="17">
        <v>11195</v>
      </c>
      <c r="E12" s="140" t="s">
        <v>35</v>
      </c>
      <c r="F12" s="119">
        <v>15153</v>
      </c>
      <c r="G12" s="117">
        <v>11614.065500000001</v>
      </c>
      <c r="H12" s="117">
        <v>18262.33369128</v>
      </c>
      <c r="I12" s="19">
        <f>G12+H12</f>
        <v>29876.399191280001</v>
      </c>
      <c r="J12" s="119">
        <v>15296</v>
      </c>
      <c r="K12" s="117">
        <v>14287.76275</v>
      </c>
      <c r="L12" s="117">
        <v>18381.432014230009</v>
      </c>
      <c r="M12" s="19">
        <f>K12+L12</f>
        <v>32669.194764230007</v>
      </c>
      <c r="N12" s="88">
        <v>55</v>
      </c>
      <c r="O12" s="88">
        <v>52</v>
      </c>
      <c r="P12" s="88">
        <v>46</v>
      </c>
    </row>
    <row r="13" spans="2:27" x14ac:dyDescent="0.3">
      <c r="B13" s="16" t="s">
        <v>40</v>
      </c>
      <c r="C13" s="17">
        <v>1932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28" t="s">
        <v>42</v>
      </c>
      <c r="C14" s="17">
        <v>30520</v>
      </c>
      <c r="E14" s="18" t="s">
        <v>39</v>
      </c>
      <c r="F14" s="119">
        <v>18614</v>
      </c>
      <c r="G14" s="117">
        <v>14665.18375</v>
      </c>
      <c r="H14" s="117">
        <v>22805.123480260001</v>
      </c>
      <c r="I14" s="19">
        <f>G14+H14</f>
        <v>37470.307230260005</v>
      </c>
      <c r="J14" s="119">
        <v>19368</v>
      </c>
      <c r="K14" s="117">
        <v>17545.784</v>
      </c>
      <c r="L14" s="117">
        <v>23618.327736820022</v>
      </c>
      <c r="M14" s="19">
        <f>K14+L14</f>
        <v>41164.111736820021</v>
      </c>
      <c r="N14" s="88">
        <v>66</v>
      </c>
      <c r="O14" s="88">
        <v>65</v>
      </c>
      <c r="P14" s="88">
        <v>52</v>
      </c>
    </row>
    <row r="15" spans="2:27" x14ac:dyDescent="0.3">
      <c r="B15" s="43" t="s">
        <v>47</v>
      </c>
      <c r="C15" s="17">
        <v>1379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48</v>
      </c>
      <c r="C16" s="50">
        <v>362</v>
      </c>
      <c r="E16" s="18" t="s">
        <v>79</v>
      </c>
      <c r="F16" s="119">
        <v>0</v>
      </c>
      <c r="G16" s="117">
        <v>0</v>
      </c>
      <c r="H16" s="117">
        <v>9315.3060033600013</v>
      </c>
      <c r="I16" s="19">
        <f>G16+H16</f>
        <v>9315.3060033600013</v>
      </c>
      <c r="J16" s="119">
        <v>0</v>
      </c>
      <c r="K16" s="117">
        <v>0</v>
      </c>
      <c r="L16" s="117">
        <v>9450.1314168999997</v>
      </c>
      <c r="M16" s="19">
        <f>K16+L16</f>
        <v>9450.1314168999997</v>
      </c>
      <c r="N16" s="88">
        <v>12</v>
      </c>
      <c r="O16" s="88">
        <v>12</v>
      </c>
      <c r="P16" s="88">
        <v>11</v>
      </c>
    </row>
    <row r="17" spans="2:28" s="4" customFormat="1" x14ac:dyDescent="0.3">
      <c r="B17" s="16" t="s">
        <v>50</v>
      </c>
      <c r="C17" s="17">
        <v>10200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1503</v>
      </c>
      <c r="E18" s="84"/>
      <c r="F18" s="135">
        <f t="shared" ref="F18:M18" si="0">SUM(F6:F17)</f>
        <v>76364</v>
      </c>
      <c r="G18" s="135">
        <f t="shared" si="0"/>
        <v>54079.756999999998</v>
      </c>
      <c r="H18" s="135">
        <f t="shared" si="0"/>
        <v>62209.746158840004</v>
      </c>
      <c r="I18" s="136">
        <f t="shared" si="0"/>
        <v>116289.50315884</v>
      </c>
      <c r="J18" s="135">
        <f t="shared" si="0"/>
        <v>80322</v>
      </c>
      <c r="K18" s="135">
        <f t="shared" si="0"/>
        <v>62631.05775</v>
      </c>
      <c r="L18" s="135">
        <f t="shared" si="0"/>
        <v>63594.61457361003</v>
      </c>
      <c r="M18" s="137">
        <f t="shared" si="0"/>
        <v>126225.67232361002</v>
      </c>
      <c r="N18" s="135">
        <f>SUM(N16,N14,N12,N10,N8,N6)</f>
        <v>265</v>
      </c>
      <c r="O18" s="135">
        <f>SUM(O16,O14,O12,O10,O8,O6)</f>
        <v>254</v>
      </c>
      <c r="P18" s="135">
        <f>SUM(P16,P14,P12,P10,P8,P6)</f>
        <v>219</v>
      </c>
    </row>
    <row r="19" spans="2:28" ht="15" customHeight="1" thickBot="1" x14ac:dyDescent="0.35">
      <c r="B19" s="57" t="s">
        <v>52</v>
      </c>
      <c r="C19" s="58">
        <v>4616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0.13779527559055119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12665</v>
      </c>
      <c r="D27" s="76">
        <f>C12</f>
        <v>11195</v>
      </c>
      <c r="E27" s="77">
        <f t="shared" ref="E27:E33" si="1">D27-C27</f>
        <v>-1470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36200</v>
      </c>
      <c r="D29" s="76">
        <f>C8+C13+C14+C15+C16</f>
        <v>35883</v>
      </c>
      <c r="E29" s="77">
        <f t="shared" si="1"/>
        <v>-317</v>
      </c>
      <c r="P29" s="4"/>
    </row>
    <row r="30" spans="2:28" x14ac:dyDescent="0.3">
      <c r="B30" s="74" t="s">
        <v>21</v>
      </c>
      <c r="C30" s="122">
        <v>0</v>
      </c>
      <c r="D30" s="76">
        <f>C6</f>
        <v>1824</v>
      </c>
      <c r="E30" s="77">
        <f t="shared" si="1"/>
        <v>1824</v>
      </c>
      <c r="P30" s="4"/>
    </row>
    <row r="31" spans="2:28" x14ac:dyDescent="0.3">
      <c r="B31" s="74" t="s">
        <v>57</v>
      </c>
      <c r="C31" s="122">
        <v>2255</v>
      </c>
      <c r="D31" s="76">
        <f>C11</f>
        <v>2255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15155</v>
      </c>
      <c r="D32" s="76">
        <f>C17+C18+C19</f>
        <v>16319</v>
      </c>
      <c r="E32" s="77">
        <f t="shared" si="1"/>
        <v>1164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3742</v>
      </c>
      <c r="D33" s="80">
        <f>SUM(C9+C10)</f>
        <v>3151</v>
      </c>
      <c r="E33" s="81">
        <f t="shared" si="1"/>
        <v>-591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44567</v>
      </c>
    </row>
    <row r="3" spans="2:27" ht="18.75" customHeight="1" thickBot="1" x14ac:dyDescent="0.35">
      <c r="B3" t="s">
        <v>1</v>
      </c>
      <c r="C3" s="3">
        <f>C2+1</f>
        <v>44568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96</v>
      </c>
      <c r="E6" s="18" t="s">
        <v>22</v>
      </c>
      <c r="F6" s="119">
        <v>25604</v>
      </c>
      <c r="G6" s="117">
        <v>12864.54585</v>
      </c>
      <c r="H6" s="117">
        <v>6855.9005863999982</v>
      </c>
      <c r="I6" s="19">
        <f>G6+H6</f>
        <v>19720.446436399998</v>
      </c>
      <c r="J6" s="119">
        <v>27476</v>
      </c>
      <c r="K6" s="117">
        <v>15232.0936</v>
      </c>
      <c r="L6" s="117">
        <v>7210.5774194599953</v>
      </c>
      <c r="M6" s="19">
        <f>K6+L6</f>
        <v>22442.671019459995</v>
      </c>
      <c r="N6" s="85">
        <v>83</v>
      </c>
      <c r="O6" s="85">
        <v>80</v>
      </c>
      <c r="P6" s="85">
        <v>66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1882</v>
      </c>
      <c r="E8" s="140" t="s">
        <v>27</v>
      </c>
      <c r="F8" s="119">
        <v>0</v>
      </c>
      <c r="G8" s="117">
        <v>0</v>
      </c>
      <c r="H8" s="117">
        <v>3877.0144097800012</v>
      </c>
      <c r="I8" s="19">
        <f>G8+H8</f>
        <v>3877.0144097800012</v>
      </c>
      <c r="J8" s="119">
        <v>0</v>
      </c>
      <c r="K8" s="117">
        <v>0</v>
      </c>
      <c r="L8" s="117">
        <v>4061.9245891800001</v>
      </c>
      <c r="M8" s="19">
        <f>K8+L8</f>
        <v>4061.9245891800001</v>
      </c>
      <c r="N8" s="87">
        <v>3</v>
      </c>
      <c r="O8" s="87">
        <v>2</v>
      </c>
      <c r="P8" s="87">
        <v>3</v>
      </c>
      <c r="Q8" s="1" t="s">
        <v>90</v>
      </c>
    </row>
    <row r="9" spans="2:27" x14ac:dyDescent="0.3">
      <c r="B9" s="28" t="s">
        <v>26</v>
      </c>
      <c r="C9" s="17">
        <v>1771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28</v>
      </c>
      <c r="C10" s="17">
        <v>1115</v>
      </c>
      <c r="E10" s="18" t="s">
        <v>31</v>
      </c>
      <c r="F10" s="119">
        <v>21140</v>
      </c>
      <c r="G10" s="117">
        <v>14308.671249999999</v>
      </c>
      <c r="H10" s="117">
        <v>359.31508339999999</v>
      </c>
      <c r="I10" s="19">
        <f>G10+H10</f>
        <v>14667.9863334</v>
      </c>
      <c r="J10" s="119">
        <v>22101</v>
      </c>
      <c r="K10" s="117">
        <v>15698.77925</v>
      </c>
      <c r="L10" s="117">
        <v>372.31261819999997</v>
      </c>
      <c r="M10" s="19">
        <f>K10+L10</f>
        <v>16071.091868199999</v>
      </c>
      <c r="N10" s="88">
        <v>56</v>
      </c>
      <c r="O10" s="88">
        <v>53</v>
      </c>
      <c r="P10" s="88">
        <v>50</v>
      </c>
    </row>
    <row r="11" spans="2:27" x14ac:dyDescent="0.3">
      <c r="B11" s="16" t="s">
        <v>30</v>
      </c>
      <c r="C11" s="17">
        <v>2379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38</v>
      </c>
      <c r="C12" s="17">
        <v>11073</v>
      </c>
      <c r="E12" s="140" t="s">
        <v>35</v>
      </c>
      <c r="F12" s="119">
        <v>13440</v>
      </c>
      <c r="G12" s="117">
        <v>10843.799000000001</v>
      </c>
      <c r="H12" s="117">
        <v>17065.523703900009</v>
      </c>
      <c r="I12" s="19">
        <f>G12+H12</f>
        <v>27909.322703900012</v>
      </c>
      <c r="J12" s="119">
        <v>13175</v>
      </c>
      <c r="K12" s="117">
        <v>12169.089</v>
      </c>
      <c r="L12" s="117">
        <v>16908.540692319999</v>
      </c>
      <c r="M12" s="19">
        <f>K12+L12</f>
        <v>29077.629692319999</v>
      </c>
      <c r="N12" s="88">
        <v>51</v>
      </c>
      <c r="O12" s="88">
        <v>49</v>
      </c>
      <c r="P12" s="88">
        <v>43</v>
      </c>
    </row>
    <row r="13" spans="2:27" x14ac:dyDescent="0.3">
      <c r="B13" s="16" t="s">
        <v>40</v>
      </c>
      <c r="C13" s="17">
        <v>2279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28" t="s">
        <v>42</v>
      </c>
      <c r="C14" s="17">
        <v>23335</v>
      </c>
      <c r="E14" s="18" t="s">
        <v>39</v>
      </c>
      <c r="F14" s="119">
        <v>18686</v>
      </c>
      <c r="G14" s="117">
        <v>15099.477500000001</v>
      </c>
      <c r="H14" s="117">
        <v>22769.237008200009</v>
      </c>
      <c r="I14" s="19">
        <f>G14+H14</f>
        <v>37868.714508200006</v>
      </c>
      <c r="J14" s="119">
        <v>19300</v>
      </c>
      <c r="K14" s="117">
        <v>16239.241</v>
      </c>
      <c r="L14" s="117">
        <v>22670.75592982001</v>
      </c>
      <c r="M14" s="19">
        <f>K14+L14</f>
        <v>38909.996929820009</v>
      </c>
      <c r="N14" s="88">
        <v>65</v>
      </c>
      <c r="O14" s="88">
        <v>65</v>
      </c>
      <c r="P14" s="88">
        <v>52</v>
      </c>
    </row>
    <row r="15" spans="2:27" x14ac:dyDescent="0.3">
      <c r="B15" s="43" t="s">
        <v>47</v>
      </c>
      <c r="C15" s="17">
        <v>1019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48</v>
      </c>
      <c r="C16" s="50">
        <v>354</v>
      </c>
      <c r="E16" s="18" t="s">
        <v>79</v>
      </c>
      <c r="F16" s="119">
        <v>0</v>
      </c>
      <c r="G16" s="117">
        <v>0</v>
      </c>
      <c r="H16" s="117">
        <v>5820.0235736399991</v>
      </c>
      <c r="I16" s="19">
        <f>G16+H16</f>
        <v>5820.0235736399991</v>
      </c>
      <c r="J16" s="119">
        <v>0</v>
      </c>
      <c r="K16" s="117">
        <v>0</v>
      </c>
      <c r="L16" s="117">
        <v>5920.0426145999991</v>
      </c>
      <c r="M16" s="19">
        <f>K16+L16</f>
        <v>5920.0426145999991</v>
      </c>
      <c r="N16" s="88">
        <v>10</v>
      </c>
      <c r="O16" s="88">
        <v>9</v>
      </c>
      <c r="P16" s="88">
        <v>9</v>
      </c>
    </row>
    <row r="17" spans="2:28" s="4" customFormat="1" x14ac:dyDescent="0.3">
      <c r="B17" s="16" t="s">
        <v>50</v>
      </c>
      <c r="C17" s="17">
        <v>9360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2276</v>
      </c>
      <c r="E18" s="84"/>
      <c r="F18" s="135">
        <f t="shared" ref="F18:M18" si="0">SUM(F6:F17)</f>
        <v>78870</v>
      </c>
      <c r="G18" s="135">
        <f t="shared" si="0"/>
        <v>53116.493600000002</v>
      </c>
      <c r="H18" s="135">
        <f t="shared" si="0"/>
        <v>56747.014365320014</v>
      </c>
      <c r="I18" s="136">
        <f t="shared" si="0"/>
        <v>109863.50796532002</v>
      </c>
      <c r="J18" s="135">
        <f t="shared" si="0"/>
        <v>82052</v>
      </c>
      <c r="K18" s="135">
        <f t="shared" si="0"/>
        <v>59339.202850000001</v>
      </c>
      <c r="L18" s="135">
        <f t="shared" si="0"/>
        <v>57144.153863579995</v>
      </c>
      <c r="M18" s="137">
        <f t="shared" si="0"/>
        <v>116483.35671358001</v>
      </c>
      <c r="N18" s="135">
        <f>SUM(N16,N14,N12,N10,N8,N6)</f>
        <v>268</v>
      </c>
      <c r="O18" s="135">
        <f>SUM(O16,O14,O12,O10,O8,O6)</f>
        <v>258</v>
      </c>
      <c r="P18" s="135">
        <f>SUM(P16,P14,P12,P10,P8,P6)</f>
        <v>223</v>
      </c>
    </row>
    <row r="19" spans="2:28" ht="15" customHeight="1" thickBot="1" x14ac:dyDescent="0.35">
      <c r="B19" s="57" t="s">
        <v>52</v>
      </c>
      <c r="C19" s="58">
        <v>4638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0.13565891472868216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12782</v>
      </c>
      <c r="D27" s="76">
        <f>C12</f>
        <v>11073</v>
      </c>
      <c r="E27" s="77">
        <f t="shared" ref="E27:E33" si="1">D27-C27</f>
        <v>-1709</v>
      </c>
      <c r="J27" s="123"/>
      <c r="M27" s="4"/>
      <c r="Q27" s="69"/>
    </row>
    <row r="28" spans="2:28" x14ac:dyDescent="0.3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35619</v>
      </c>
      <c r="D29" s="76">
        <f>C8+C13+C14+C15+C16</f>
        <v>28869</v>
      </c>
      <c r="E29" s="77">
        <f t="shared" si="1"/>
        <v>-6750</v>
      </c>
      <c r="P29" s="4"/>
    </row>
    <row r="30" spans="2:28" x14ac:dyDescent="0.3">
      <c r="B30" s="74" t="s">
        <v>21</v>
      </c>
      <c r="C30" s="122">
        <v>96</v>
      </c>
      <c r="D30" s="76">
        <f>C6</f>
        <v>96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2379</v>
      </c>
      <c r="D31" s="76">
        <f>C11</f>
        <v>2379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14748</v>
      </c>
      <c r="D32" s="76">
        <f>C17+C18+C19</f>
        <v>16274</v>
      </c>
      <c r="E32" s="77">
        <f t="shared" si="1"/>
        <v>1526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3070</v>
      </c>
      <c r="D33" s="80">
        <f>SUM(C9+C10)</f>
        <v>2886</v>
      </c>
      <c r="E33" s="81">
        <f t="shared" si="1"/>
        <v>-184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44568</v>
      </c>
    </row>
    <row r="3" spans="2:27" ht="18.75" customHeight="1" thickBot="1" x14ac:dyDescent="0.35">
      <c r="B3" t="s">
        <v>1</v>
      </c>
      <c r="C3" s="3">
        <f>C2+1</f>
        <v>44569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22674</v>
      </c>
      <c r="G6" s="117">
        <v>14190.26325</v>
      </c>
      <c r="H6" s="117">
        <v>6136.6076320599996</v>
      </c>
      <c r="I6" s="19">
        <f>G6+H6</f>
        <v>20326.87088206</v>
      </c>
      <c r="J6" s="119">
        <v>22373</v>
      </c>
      <c r="K6" s="117">
        <v>14725.688</v>
      </c>
      <c r="L6" s="117">
        <v>5933.9875003200004</v>
      </c>
      <c r="M6" s="19">
        <f>K6+L6</f>
        <v>20659.675500320001</v>
      </c>
      <c r="N6" s="85">
        <v>80</v>
      </c>
      <c r="O6" s="85">
        <v>77</v>
      </c>
      <c r="P6" s="85">
        <v>63</v>
      </c>
      <c r="Q6" s="1" t="s">
        <v>91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1349</v>
      </c>
      <c r="E8" s="140" t="s">
        <v>27</v>
      </c>
      <c r="F8" s="119">
        <v>0</v>
      </c>
      <c r="G8" s="117">
        <v>0</v>
      </c>
      <c r="H8" s="117">
        <v>4128.8060632999996</v>
      </c>
      <c r="I8" s="19">
        <f>G8+H8</f>
        <v>4128.8060632999996</v>
      </c>
      <c r="J8" s="119">
        <v>0</v>
      </c>
      <c r="K8" s="117">
        <v>0</v>
      </c>
      <c r="L8" s="117">
        <v>4075.42677736</v>
      </c>
      <c r="M8" s="19">
        <f>K8+L8</f>
        <v>4075.42677736</v>
      </c>
      <c r="N8" s="87">
        <v>3</v>
      </c>
      <c r="O8" s="87">
        <v>3</v>
      </c>
      <c r="P8" s="87">
        <v>2</v>
      </c>
    </row>
    <row r="9" spans="2:27" x14ac:dyDescent="0.3">
      <c r="B9" s="28" t="s">
        <v>26</v>
      </c>
      <c r="C9" s="17">
        <v>1848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1104</v>
      </c>
      <c r="E10" s="18" t="s">
        <v>31</v>
      </c>
      <c r="F10" s="119">
        <v>15874</v>
      </c>
      <c r="G10" s="117">
        <v>12216.485000000001</v>
      </c>
      <c r="H10" s="117">
        <v>353.32669199999998</v>
      </c>
      <c r="I10" s="19">
        <f>G10+H10</f>
        <v>12569.811692000001</v>
      </c>
      <c r="J10" s="119">
        <v>15745</v>
      </c>
      <c r="K10" s="117">
        <v>13100.9825</v>
      </c>
      <c r="L10" s="117">
        <v>337.1260954</v>
      </c>
      <c r="M10" s="19">
        <f>K10+L10</f>
        <v>13438.108595400001</v>
      </c>
      <c r="N10" s="88">
        <v>53</v>
      </c>
      <c r="O10" s="88">
        <v>48</v>
      </c>
      <c r="P10" s="88">
        <v>44</v>
      </c>
    </row>
    <row r="11" spans="2:27" x14ac:dyDescent="0.3">
      <c r="B11" s="16" t="s">
        <v>30</v>
      </c>
      <c r="C11" s="17">
        <v>4652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38</v>
      </c>
      <c r="C12" s="17">
        <v>10556</v>
      </c>
      <c r="E12" s="140" t="s">
        <v>35</v>
      </c>
      <c r="F12" s="119">
        <v>13014</v>
      </c>
      <c r="G12" s="117">
        <v>11071.88175</v>
      </c>
      <c r="H12" s="117">
        <v>16952.094253259998</v>
      </c>
      <c r="I12" s="19">
        <f>G12+H12</f>
        <v>28023.976003259999</v>
      </c>
      <c r="J12" s="119">
        <v>13545</v>
      </c>
      <c r="K12" s="117">
        <v>12991.534750000001</v>
      </c>
      <c r="L12" s="117">
        <v>17347.730800469999</v>
      </c>
      <c r="M12" s="19">
        <f>K12+L12</f>
        <v>30339.265550470001</v>
      </c>
      <c r="N12" s="88">
        <v>56</v>
      </c>
      <c r="O12" s="88">
        <v>52</v>
      </c>
      <c r="P12" s="88">
        <v>47</v>
      </c>
    </row>
    <row r="13" spans="2:27" x14ac:dyDescent="0.3">
      <c r="B13" s="16" t="s">
        <v>40</v>
      </c>
      <c r="C13" s="17">
        <v>1279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28" t="s">
        <v>42</v>
      </c>
      <c r="C14" s="17">
        <v>29644</v>
      </c>
      <c r="E14" s="18" t="s">
        <v>39</v>
      </c>
      <c r="F14" s="119">
        <v>27802</v>
      </c>
      <c r="G14" s="117">
        <v>16712.037499999999</v>
      </c>
      <c r="H14" s="117">
        <v>30753.20847507997</v>
      </c>
      <c r="I14" s="19">
        <f>G14+H14</f>
        <v>47465.245975079968</v>
      </c>
      <c r="J14" s="119">
        <v>29005</v>
      </c>
      <c r="K14" s="117">
        <v>21518.49525</v>
      </c>
      <c r="L14" s="117">
        <v>31934.35533117997</v>
      </c>
      <c r="M14" s="19">
        <f>K14+L14</f>
        <v>53452.85058117997</v>
      </c>
      <c r="N14" s="88">
        <v>68</v>
      </c>
      <c r="O14" s="88">
        <v>67</v>
      </c>
      <c r="P14" s="88">
        <v>57</v>
      </c>
    </row>
    <row r="15" spans="2:27" x14ac:dyDescent="0.3">
      <c r="B15" s="43" t="s">
        <v>47</v>
      </c>
      <c r="C15" s="17">
        <v>1402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48</v>
      </c>
      <c r="C16" s="50">
        <v>231</v>
      </c>
      <c r="E16" s="18" t="s">
        <v>79</v>
      </c>
      <c r="F16" s="119">
        <v>0</v>
      </c>
      <c r="G16" s="117">
        <v>0</v>
      </c>
      <c r="H16" s="117">
        <v>6403.6027712199993</v>
      </c>
      <c r="I16" s="19">
        <f>G16+H16</f>
        <v>6403.6027712199993</v>
      </c>
      <c r="J16" s="119">
        <v>0</v>
      </c>
      <c r="K16" s="117">
        <v>0</v>
      </c>
      <c r="L16" s="117">
        <v>6402.1158193800002</v>
      </c>
      <c r="M16" s="19">
        <f>K16+L16</f>
        <v>6402.1158193800002</v>
      </c>
      <c r="N16" s="88">
        <v>13</v>
      </c>
      <c r="O16" s="88">
        <v>12</v>
      </c>
      <c r="P16" s="88">
        <v>13</v>
      </c>
    </row>
    <row r="17" spans="2:28" s="4" customFormat="1" x14ac:dyDescent="0.3">
      <c r="B17" s="16" t="s">
        <v>50</v>
      </c>
      <c r="C17" s="17">
        <v>9734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480</v>
      </c>
      <c r="E18" s="84"/>
      <c r="F18" s="135">
        <f t="shared" ref="F18:M18" si="0">SUM(F6:F17)</f>
        <v>79364</v>
      </c>
      <c r="G18" s="135">
        <f t="shared" si="0"/>
        <v>54190.667500000003</v>
      </c>
      <c r="H18" s="135">
        <f t="shared" si="0"/>
        <v>64727.645886919971</v>
      </c>
      <c r="I18" s="136">
        <f t="shared" si="0"/>
        <v>118918.31338691997</v>
      </c>
      <c r="J18" s="135">
        <f t="shared" si="0"/>
        <v>80668</v>
      </c>
      <c r="K18" s="135">
        <f t="shared" si="0"/>
        <v>62336.700499999999</v>
      </c>
      <c r="L18" s="135">
        <f t="shared" si="0"/>
        <v>66030.742324109975</v>
      </c>
      <c r="M18" s="137">
        <f t="shared" si="0"/>
        <v>128367.44282410998</v>
      </c>
      <c r="N18" s="135">
        <f>SUM(N16,N14,N12,N10,N8,N6)</f>
        <v>273</v>
      </c>
      <c r="O18" s="135">
        <f>SUM(O16,O14,O12,O10,O8,O6)</f>
        <v>259</v>
      </c>
      <c r="P18" s="135">
        <f>SUM(P16,P14,P12,P10,P8,P6)</f>
        <v>226</v>
      </c>
    </row>
    <row r="19" spans="2:28" ht="15" customHeight="1" thickBot="1" x14ac:dyDescent="0.35">
      <c r="B19" s="57" t="s">
        <v>52</v>
      </c>
      <c r="C19" s="58">
        <v>4411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33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0.12741312741312741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11185</v>
      </c>
      <c r="D27" s="76">
        <f>C12</f>
        <v>10556</v>
      </c>
      <c r="E27" s="77">
        <f t="shared" ref="E27:E33" si="1">D27-C27</f>
        <v>-629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32076</v>
      </c>
      <c r="D29" s="76">
        <f>C8+C13+C14+C15+C16</f>
        <v>33905</v>
      </c>
      <c r="E29" s="77">
        <f t="shared" si="1"/>
        <v>1829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4652</v>
      </c>
      <c r="D31" s="76">
        <f>C11</f>
        <v>4652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14699</v>
      </c>
      <c r="D32" s="76">
        <f>C17+C18+C19</f>
        <v>14625</v>
      </c>
      <c r="E32" s="77">
        <f t="shared" si="1"/>
        <v>-74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4186</v>
      </c>
      <c r="D33" s="80">
        <f>SUM(C9+C10)</f>
        <v>2952</v>
      </c>
      <c r="E33" s="81">
        <f t="shared" si="1"/>
        <v>-1234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44569</v>
      </c>
    </row>
    <row r="3" spans="2:27" ht="18.75" customHeight="1" thickBot="1" x14ac:dyDescent="0.35">
      <c r="B3" t="s">
        <v>1</v>
      </c>
      <c r="C3" s="3">
        <f>C2+1</f>
        <v>44570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84</v>
      </c>
      <c r="E6" s="18" t="s">
        <v>22</v>
      </c>
      <c r="F6" s="119">
        <v>20496</v>
      </c>
      <c r="G6" s="117">
        <v>11582.519</v>
      </c>
      <c r="H6" s="117">
        <v>5664.694788359996</v>
      </c>
      <c r="I6" s="19">
        <f>G6+H6</f>
        <v>17247.213788359997</v>
      </c>
      <c r="J6" s="119">
        <v>26552</v>
      </c>
      <c r="K6" s="117">
        <v>15146.397999999999</v>
      </c>
      <c r="L6" s="117">
        <v>6894.0954317799951</v>
      </c>
      <c r="M6" s="19">
        <f>K6+L6</f>
        <v>22040.493431779993</v>
      </c>
      <c r="N6" s="85">
        <v>82</v>
      </c>
      <c r="O6" s="85">
        <v>79</v>
      </c>
      <c r="P6" s="85">
        <v>60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19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906</v>
      </c>
      <c r="E8" s="140" t="s">
        <v>27</v>
      </c>
      <c r="F8" s="119">
        <v>0</v>
      </c>
      <c r="G8" s="117">
        <v>0</v>
      </c>
      <c r="H8" s="117">
        <v>3673.1964318999999</v>
      </c>
      <c r="I8" s="19">
        <f>G8+H8</f>
        <v>3673.1964318999999</v>
      </c>
      <c r="J8" s="119">
        <v>0</v>
      </c>
      <c r="K8" s="117">
        <v>0</v>
      </c>
      <c r="L8" s="117">
        <v>3825.7052691399999</v>
      </c>
      <c r="M8" s="19">
        <f>K8+L8</f>
        <v>3825.7052691399999</v>
      </c>
      <c r="N8" s="87">
        <v>2</v>
      </c>
      <c r="O8" s="87">
        <v>3</v>
      </c>
      <c r="P8" s="87">
        <v>1</v>
      </c>
    </row>
    <row r="9" spans="2:27" x14ac:dyDescent="0.3">
      <c r="B9" s="28" t="s">
        <v>26</v>
      </c>
      <c r="C9" s="17">
        <v>3834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1695</v>
      </c>
      <c r="E10" s="18" t="s">
        <v>31</v>
      </c>
      <c r="F10" s="119">
        <v>18077</v>
      </c>
      <c r="G10" s="117">
        <v>13354.778</v>
      </c>
      <c r="H10" s="117">
        <v>314.46481999999997</v>
      </c>
      <c r="I10" s="19">
        <f>G10+H10</f>
        <v>13669.242819999999</v>
      </c>
      <c r="J10" s="119">
        <v>18748</v>
      </c>
      <c r="K10" s="117">
        <v>13765.974749999999</v>
      </c>
      <c r="L10" s="117">
        <v>360.1182172</v>
      </c>
      <c r="M10" s="19">
        <f>K10+L10</f>
        <v>14126.0929672</v>
      </c>
      <c r="N10" s="88">
        <v>54</v>
      </c>
      <c r="O10" s="88">
        <v>52</v>
      </c>
      <c r="P10" s="88">
        <v>47</v>
      </c>
    </row>
    <row r="11" spans="2:27" x14ac:dyDescent="0.3">
      <c r="B11" s="16" t="s">
        <v>30</v>
      </c>
      <c r="C11" s="17">
        <v>2440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38</v>
      </c>
      <c r="C12" s="17">
        <v>8560</v>
      </c>
      <c r="E12" s="140" t="s">
        <v>35</v>
      </c>
      <c r="F12" s="119">
        <v>14227</v>
      </c>
      <c r="G12" s="117">
        <v>11184.445250000001</v>
      </c>
      <c r="H12" s="117">
        <v>17655.724906500011</v>
      </c>
      <c r="I12" s="19">
        <f>G12+H12</f>
        <v>28840.170156500011</v>
      </c>
      <c r="J12" s="119">
        <v>14696</v>
      </c>
      <c r="K12" s="117">
        <v>13932.108</v>
      </c>
      <c r="L12" s="117">
        <v>17735.669008680012</v>
      </c>
      <c r="M12" s="19">
        <f>K12+L12</f>
        <v>31667.777008680012</v>
      </c>
      <c r="N12" s="88">
        <v>61</v>
      </c>
      <c r="O12" s="88">
        <v>60</v>
      </c>
      <c r="P12" s="88">
        <v>47</v>
      </c>
    </row>
    <row r="13" spans="2:27" x14ac:dyDescent="0.3">
      <c r="B13" s="16" t="s">
        <v>40</v>
      </c>
      <c r="C13" s="17">
        <v>1163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3">
      <c r="B14" s="28" t="s">
        <v>42</v>
      </c>
      <c r="C14" s="17">
        <v>25452</v>
      </c>
      <c r="E14" s="18" t="s">
        <v>39</v>
      </c>
      <c r="F14" s="119">
        <v>22482</v>
      </c>
      <c r="G14" s="117">
        <v>16647.376250000001</v>
      </c>
      <c r="H14" s="117">
        <v>26069.89180862001</v>
      </c>
      <c r="I14" s="19">
        <f>G14+H14</f>
        <v>42717.268058620015</v>
      </c>
      <c r="J14" s="119">
        <v>20162</v>
      </c>
      <c r="K14" s="117">
        <v>18033.918000000001</v>
      </c>
      <c r="L14" s="117">
        <v>24260.406850020001</v>
      </c>
      <c r="M14" s="19">
        <f>K14+L14</f>
        <v>42294.324850019999</v>
      </c>
      <c r="N14" s="88">
        <v>65</v>
      </c>
      <c r="O14" s="88">
        <v>64</v>
      </c>
      <c r="P14" s="88">
        <v>51</v>
      </c>
    </row>
    <row r="15" spans="2:27" x14ac:dyDescent="0.3">
      <c r="B15" s="43" t="s">
        <v>47</v>
      </c>
      <c r="C15" s="17">
        <v>598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48</v>
      </c>
      <c r="C16" s="50">
        <v>300</v>
      </c>
      <c r="E16" s="18" t="s">
        <v>79</v>
      </c>
      <c r="F16" s="119">
        <v>0</v>
      </c>
      <c r="G16" s="117">
        <v>0</v>
      </c>
      <c r="H16" s="117">
        <v>5444.6942079999999</v>
      </c>
      <c r="I16" s="19">
        <f>G16+H16</f>
        <v>5444.6942079999999</v>
      </c>
      <c r="J16" s="119">
        <v>0</v>
      </c>
      <c r="K16" s="117">
        <v>0</v>
      </c>
      <c r="L16" s="117">
        <v>4558.2791012600001</v>
      </c>
      <c r="M16" s="19">
        <f>K16+L16</f>
        <v>4558.2791012600001</v>
      </c>
      <c r="N16" s="88">
        <v>10</v>
      </c>
      <c r="O16" s="88">
        <v>9</v>
      </c>
      <c r="P16" s="88">
        <v>8</v>
      </c>
    </row>
    <row r="17" spans="2:28" s="4" customFormat="1" x14ac:dyDescent="0.3">
      <c r="B17" s="16" t="s">
        <v>50</v>
      </c>
      <c r="C17" s="17">
        <v>9989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1569</v>
      </c>
      <c r="E18" s="84"/>
      <c r="F18" s="135">
        <f t="shared" ref="F18:M18" si="0">SUM(F6:F17)</f>
        <v>75282</v>
      </c>
      <c r="G18" s="135">
        <f t="shared" si="0"/>
        <v>52769.118499999997</v>
      </c>
      <c r="H18" s="135">
        <f t="shared" si="0"/>
        <v>58822.666963380019</v>
      </c>
      <c r="I18" s="136">
        <f t="shared" si="0"/>
        <v>111591.78546338002</v>
      </c>
      <c r="J18" s="135">
        <f t="shared" si="0"/>
        <v>80158</v>
      </c>
      <c r="K18" s="135">
        <f t="shared" si="0"/>
        <v>60878.398750000008</v>
      </c>
      <c r="L18" s="135">
        <f t="shared" si="0"/>
        <v>57634.273878080006</v>
      </c>
      <c r="M18" s="137">
        <f t="shared" si="0"/>
        <v>118512.67262808001</v>
      </c>
      <c r="N18" s="135">
        <f>SUM(N16,N14,N12,N10,N8,N6)</f>
        <v>274</v>
      </c>
      <c r="O18" s="135">
        <f>SUM(O16,O14,O12,O10,O8,O6)</f>
        <v>267</v>
      </c>
      <c r="P18" s="135">
        <f>SUM(P16,P14,P12,P10,P8,P6)</f>
        <v>214</v>
      </c>
    </row>
    <row r="19" spans="2:28" ht="15" customHeight="1" thickBot="1" x14ac:dyDescent="0.35">
      <c r="B19" s="57" t="s">
        <v>52</v>
      </c>
      <c r="C19" s="58">
        <v>4447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53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0.19850187265917604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12025</v>
      </c>
      <c r="D27" s="76">
        <f>C12</f>
        <v>8560</v>
      </c>
      <c r="E27" s="77">
        <f t="shared" ref="E27:E33" si="1">D27-C27</f>
        <v>-3465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36502</v>
      </c>
      <c r="D29" s="76">
        <f>C8+C13+C14+C15+C16</f>
        <v>28419</v>
      </c>
      <c r="E29" s="77">
        <f t="shared" si="1"/>
        <v>-8083</v>
      </c>
      <c r="P29" s="4"/>
    </row>
    <row r="30" spans="2:28" x14ac:dyDescent="0.3">
      <c r="B30" s="74" t="s">
        <v>21</v>
      </c>
      <c r="C30" s="122">
        <v>0</v>
      </c>
      <c r="D30" s="76">
        <f>C6</f>
        <v>84</v>
      </c>
      <c r="E30" s="77">
        <f t="shared" si="1"/>
        <v>84</v>
      </c>
      <c r="P30" s="4"/>
    </row>
    <row r="31" spans="2:28" x14ac:dyDescent="0.3">
      <c r="B31" s="74" t="s">
        <v>57</v>
      </c>
      <c r="C31" s="122">
        <v>3212</v>
      </c>
      <c r="D31" s="76">
        <f>C11</f>
        <v>2440</v>
      </c>
      <c r="E31" s="77">
        <f t="shared" si="1"/>
        <v>-772</v>
      </c>
      <c r="P31" s="4"/>
    </row>
    <row r="32" spans="2:28" x14ac:dyDescent="0.3">
      <c r="B32" s="74" t="s">
        <v>59</v>
      </c>
      <c r="C32" s="122">
        <v>11543</v>
      </c>
      <c r="D32" s="76">
        <f>C17+C18+C19</f>
        <v>16005</v>
      </c>
      <c r="E32" s="77">
        <f t="shared" si="1"/>
        <v>4462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3298</v>
      </c>
      <c r="D33" s="80">
        <f>SUM(C9+C10)</f>
        <v>5529</v>
      </c>
      <c r="E33" s="81">
        <f t="shared" si="1"/>
        <v>2231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44570</v>
      </c>
    </row>
    <row r="3" spans="2:27" ht="18.75" customHeight="1" thickBot="1" x14ac:dyDescent="0.35">
      <c r="B3" t="s">
        <v>1</v>
      </c>
      <c r="C3" s="3">
        <f>C2+1</f>
        <v>44571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10001</v>
      </c>
      <c r="G6" s="117">
        <v>13659.869849999999</v>
      </c>
      <c r="H6" s="117">
        <v>701.16317499999991</v>
      </c>
      <c r="I6" s="19">
        <f>G6+H6</f>
        <v>14361.033024999999</v>
      </c>
      <c r="J6" s="119">
        <v>9758</v>
      </c>
      <c r="K6" s="117">
        <v>13300</v>
      </c>
      <c r="L6" s="117">
        <v>685</v>
      </c>
      <c r="M6" s="19">
        <f>K6+L6</f>
        <v>13985</v>
      </c>
      <c r="N6" s="85">
        <v>42</v>
      </c>
      <c r="O6" s="85">
        <v>42</v>
      </c>
      <c r="P6" s="85">
        <v>31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406.81937399999998</v>
      </c>
      <c r="I8" s="19">
        <f>G8+H8</f>
        <v>406.81937399999998</v>
      </c>
      <c r="J8" s="119">
        <v>0</v>
      </c>
      <c r="K8" s="117">
        <v>0</v>
      </c>
      <c r="L8" s="117">
        <v>145</v>
      </c>
      <c r="M8" s="19">
        <f>K8+L8</f>
        <v>145</v>
      </c>
      <c r="N8" s="87">
        <v>0</v>
      </c>
      <c r="O8" s="87">
        <v>0</v>
      </c>
      <c r="P8" s="87">
        <v>0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5322</v>
      </c>
      <c r="G10" s="117">
        <v>8295.4902500000007</v>
      </c>
      <c r="H10" s="117">
        <v>326.62809560000011</v>
      </c>
      <c r="I10" s="19">
        <f>G10+H10</f>
        <v>8622.1183456000017</v>
      </c>
      <c r="J10" s="119">
        <v>5830</v>
      </c>
      <c r="K10" s="117">
        <v>8537</v>
      </c>
      <c r="L10" s="117">
        <v>450</v>
      </c>
      <c r="M10" s="19">
        <f>K10+L10</f>
        <v>8987</v>
      </c>
      <c r="N10" s="88">
        <v>0</v>
      </c>
      <c r="O10" s="88">
        <v>0</v>
      </c>
      <c r="P10" s="88">
        <v>0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116.44387500000001</v>
      </c>
      <c r="I12" s="19">
        <f>G12+H12</f>
        <v>116.44387500000001</v>
      </c>
      <c r="J12" s="119">
        <v>0</v>
      </c>
      <c r="K12" s="117">
        <v>0</v>
      </c>
      <c r="L12" s="117">
        <v>109</v>
      </c>
      <c r="M12" s="19">
        <f>K12+L12</f>
        <v>109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50</v>
      </c>
      <c r="C17" s="17">
        <v>10404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571</v>
      </c>
      <c r="E18" s="84"/>
      <c r="F18" s="135">
        <f t="shared" ref="F18:M18" si="0">SUM(F6:F17)</f>
        <v>15323</v>
      </c>
      <c r="G18" s="135">
        <f t="shared" si="0"/>
        <v>21955.360099999998</v>
      </c>
      <c r="H18" s="135">
        <f t="shared" si="0"/>
        <v>1551.0545195999998</v>
      </c>
      <c r="I18" s="136">
        <f t="shared" si="0"/>
        <v>23506.414619600004</v>
      </c>
      <c r="J18" s="135">
        <f t="shared" si="0"/>
        <v>15588</v>
      </c>
      <c r="K18" s="135">
        <f t="shared" si="0"/>
        <v>21837</v>
      </c>
      <c r="L18" s="135">
        <f t="shared" si="0"/>
        <v>1389</v>
      </c>
      <c r="M18" s="137">
        <f t="shared" si="0"/>
        <v>23226</v>
      </c>
      <c r="N18" s="135">
        <f>SUM(N16,N14,N12,N10,N8,N6)</f>
        <v>43</v>
      </c>
      <c r="O18" s="135">
        <f>SUM(O16,O14,O12,O10,O8,O6)</f>
        <v>42</v>
      </c>
      <c r="P18" s="135">
        <f>SUM(P16,P14,P12,P10,P8,P6)</f>
        <v>31</v>
      </c>
    </row>
    <row r="19" spans="2:28" ht="15" customHeight="1" thickBot="1" x14ac:dyDescent="0.35">
      <c r="B19" s="57" t="s">
        <v>52</v>
      </c>
      <c r="C19" s="58">
        <v>4613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0.26190476190476192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/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/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/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/>
      <c r="D31" s="76">
        <f>C11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15323</v>
      </c>
      <c r="D32" s="76">
        <f>C17+C18+C19</f>
        <v>15588</v>
      </c>
      <c r="E32" s="77">
        <f t="shared" si="1"/>
        <v>265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/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44571</v>
      </c>
    </row>
    <row r="3" spans="2:27" ht="18.75" customHeight="1" thickBot="1" x14ac:dyDescent="0.35">
      <c r="B3" t="s">
        <v>1</v>
      </c>
      <c r="C3" s="3">
        <f>C2+1</f>
        <v>44572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72</v>
      </c>
      <c r="E6" s="18" t="s">
        <v>22</v>
      </c>
      <c r="F6" s="119">
        <v>26162</v>
      </c>
      <c r="G6" s="117">
        <v>12935.872183333329</v>
      </c>
      <c r="H6" s="117">
        <v>6885.1918241399999</v>
      </c>
      <c r="I6" s="19">
        <f>G6+H6</f>
        <v>19821.064007473331</v>
      </c>
      <c r="J6" s="119">
        <v>26942</v>
      </c>
      <c r="K6" s="117">
        <v>15522.99368333333</v>
      </c>
      <c r="L6" s="117">
        <v>6965.6793041800001</v>
      </c>
      <c r="M6" s="19">
        <f>K6+L6</f>
        <v>22488.672987513331</v>
      </c>
      <c r="N6" s="85">
        <v>76</v>
      </c>
      <c r="O6" s="85">
        <v>76</v>
      </c>
      <c r="P6" s="85">
        <v>52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24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1690</v>
      </c>
      <c r="E8" s="140" t="s">
        <v>27</v>
      </c>
      <c r="F8" s="119">
        <v>0</v>
      </c>
      <c r="G8" s="117">
        <v>0</v>
      </c>
      <c r="H8" s="117">
        <v>4330.4512994400002</v>
      </c>
      <c r="I8" s="19">
        <f>G8+H8</f>
        <v>4330.4512994400002</v>
      </c>
      <c r="J8" s="119">
        <v>0</v>
      </c>
      <c r="K8" s="117">
        <v>0</v>
      </c>
      <c r="L8" s="117">
        <v>4352.2577741599998</v>
      </c>
      <c r="M8" s="19">
        <f>K8+L8</f>
        <v>4352.2577741599998</v>
      </c>
      <c r="N8" s="87">
        <v>3</v>
      </c>
      <c r="O8" s="87">
        <v>4</v>
      </c>
      <c r="P8" s="87">
        <v>2</v>
      </c>
    </row>
    <row r="9" spans="2:27" x14ac:dyDescent="0.3">
      <c r="B9" s="28" t="s">
        <v>26</v>
      </c>
      <c r="C9" s="17">
        <v>1673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979</v>
      </c>
      <c r="E10" s="18" t="s">
        <v>31</v>
      </c>
      <c r="F10" s="119">
        <v>18306</v>
      </c>
      <c r="G10" s="117">
        <v>12774.44025</v>
      </c>
      <c r="H10" s="117">
        <v>409.57772599999998</v>
      </c>
      <c r="I10" s="19">
        <f>G10+H10</f>
        <v>13184.017975999999</v>
      </c>
      <c r="J10" s="119">
        <v>17755</v>
      </c>
      <c r="K10" s="117">
        <v>13193.31675</v>
      </c>
      <c r="L10" s="117">
        <v>381.00279380000012</v>
      </c>
      <c r="M10" s="19">
        <f>K10+L10</f>
        <v>13574.3195438</v>
      </c>
      <c r="N10" s="88">
        <v>47</v>
      </c>
      <c r="O10" s="88">
        <v>43</v>
      </c>
      <c r="P10" s="88">
        <v>36</v>
      </c>
    </row>
    <row r="11" spans="2:27" x14ac:dyDescent="0.3">
      <c r="B11" s="16" t="s">
        <v>30</v>
      </c>
      <c r="C11" s="17">
        <v>1192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38</v>
      </c>
      <c r="C12" s="17">
        <v>9536</v>
      </c>
      <c r="E12" s="140" t="s">
        <v>35</v>
      </c>
      <c r="F12" s="119">
        <v>16132</v>
      </c>
      <c r="G12" s="117">
        <v>11832.032999999999</v>
      </c>
      <c r="H12" s="117">
        <v>18779.027480330002</v>
      </c>
      <c r="I12" s="19">
        <f>G12+H12</f>
        <v>30611.060480330001</v>
      </c>
      <c r="J12" s="119">
        <v>16795</v>
      </c>
      <c r="K12" s="117">
        <v>15265.849749999999</v>
      </c>
      <c r="L12" s="117">
        <v>19356.140683469999</v>
      </c>
      <c r="M12" s="19">
        <f>K12+L12</f>
        <v>34621.990433469997</v>
      </c>
      <c r="N12" s="88">
        <v>55</v>
      </c>
      <c r="O12" s="88">
        <v>53</v>
      </c>
      <c r="P12" s="88">
        <v>45</v>
      </c>
    </row>
    <row r="13" spans="2:27" x14ac:dyDescent="0.3">
      <c r="B13" s="16" t="s">
        <v>40</v>
      </c>
      <c r="C13" s="17">
        <v>1932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28" t="s">
        <v>42</v>
      </c>
      <c r="C14" s="17">
        <v>27105</v>
      </c>
      <c r="E14" s="18" t="s">
        <v>39</v>
      </c>
      <c r="F14" s="119">
        <v>15876</v>
      </c>
      <c r="G14" s="117">
        <v>12613.764999999999</v>
      </c>
      <c r="H14" s="117">
        <v>19931.569203120001</v>
      </c>
      <c r="I14" s="19">
        <f>G14+H14</f>
        <v>32545.334203120001</v>
      </c>
      <c r="J14" s="119">
        <v>16684</v>
      </c>
      <c r="K14" s="117">
        <v>16936.193500000001</v>
      </c>
      <c r="L14" s="117">
        <v>20878.987291959998</v>
      </c>
      <c r="M14" s="19">
        <f>K14+L14</f>
        <v>37815.180791959996</v>
      </c>
      <c r="N14" s="88">
        <v>69</v>
      </c>
      <c r="O14" s="88">
        <v>69</v>
      </c>
      <c r="P14" s="88">
        <v>55</v>
      </c>
    </row>
    <row r="15" spans="2:27" x14ac:dyDescent="0.3">
      <c r="B15" s="43" t="s">
        <v>47</v>
      </c>
      <c r="C15" s="17">
        <v>1356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14</v>
      </c>
    </row>
    <row r="16" spans="2:27" x14ac:dyDescent="0.3">
      <c r="B16" s="43" t="s">
        <v>48</v>
      </c>
      <c r="C16" s="50">
        <v>362</v>
      </c>
      <c r="E16" s="18" t="s">
        <v>79</v>
      </c>
      <c r="F16" s="119">
        <v>0</v>
      </c>
      <c r="G16" s="117">
        <v>0</v>
      </c>
      <c r="H16" s="117">
        <v>9554.0755412399994</v>
      </c>
      <c r="I16" s="19">
        <f>G16+H16</f>
        <v>9554.0755412399994</v>
      </c>
      <c r="J16" s="119">
        <v>0</v>
      </c>
      <c r="K16" s="117">
        <v>0</v>
      </c>
      <c r="L16" s="117">
        <v>9393.047863759999</v>
      </c>
      <c r="M16" s="19">
        <f>K16+L16</f>
        <v>9393.047863759999</v>
      </c>
      <c r="N16" s="88">
        <v>11</v>
      </c>
      <c r="O16" s="88">
        <v>10</v>
      </c>
      <c r="P16" s="88">
        <v>9</v>
      </c>
    </row>
    <row r="17" spans="2:28" s="4" customFormat="1" x14ac:dyDescent="0.3">
      <c r="B17" s="16" t="s">
        <v>50</v>
      </c>
      <c r="C17" s="17">
        <v>10707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978</v>
      </c>
      <c r="E18" s="84"/>
      <c r="F18" s="135">
        <f t="shared" ref="F18:M18" si="0">SUM(F6:F17)</f>
        <v>76476</v>
      </c>
      <c r="G18" s="135">
        <f t="shared" si="0"/>
        <v>50156.110433333328</v>
      </c>
      <c r="H18" s="135">
        <f t="shared" si="0"/>
        <v>59889.893074270003</v>
      </c>
      <c r="I18" s="136">
        <f t="shared" si="0"/>
        <v>110046.00350760332</v>
      </c>
      <c r="J18" s="135">
        <f t="shared" si="0"/>
        <v>78176</v>
      </c>
      <c r="K18" s="135">
        <f t="shared" si="0"/>
        <v>60918.353683333335</v>
      </c>
      <c r="L18" s="135">
        <f t="shared" si="0"/>
        <v>61327.11571133</v>
      </c>
      <c r="M18" s="137">
        <f t="shared" si="0"/>
        <v>122245.46939466333</v>
      </c>
      <c r="N18" s="135">
        <f>SUM(N16,N14,N12,N10,N8,N6)</f>
        <v>261</v>
      </c>
      <c r="O18" s="135">
        <f>SUM(O16,O14,O12,O10,O8,O6)</f>
        <v>255</v>
      </c>
      <c r="P18" s="135">
        <f>SUM(P16,P14,P12,P10,P8,P6)</f>
        <v>199</v>
      </c>
    </row>
    <row r="19" spans="2:28" ht="15" customHeight="1" thickBot="1" x14ac:dyDescent="0.35">
      <c r="B19" s="57" t="s">
        <v>52</v>
      </c>
      <c r="C19" s="58">
        <v>4719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56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0.2196078431372549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12457</v>
      </c>
      <c r="D27" s="76">
        <f>C12</f>
        <v>9536</v>
      </c>
      <c r="E27" s="77">
        <f t="shared" ref="E27:E33" si="1">D27-C27</f>
        <v>-2921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36424</v>
      </c>
      <c r="D29" s="76">
        <f>C8+C13+C14+C15+C16</f>
        <v>32445</v>
      </c>
      <c r="E29" s="77">
        <f t="shared" si="1"/>
        <v>-3979</v>
      </c>
      <c r="P29" s="4"/>
    </row>
    <row r="30" spans="2:28" x14ac:dyDescent="0.3">
      <c r="B30" s="74" t="s">
        <v>21</v>
      </c>
      <c r="C30" s="122">
        <v>72</v>
      </c>
      <c r="D30" s="76">
        <f>C6</f>
        <v>72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1192</v>
      </c>
      <c r="D31" s="76">
        <f>C11</f>
        <v>1192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16145</v>
      </c>
      <c r="D32" s="76">
        <f>C17+C18+C19</f>
        <v>16404</v>
      </c>
      <c r="E32" s="77">
        <f t="shared" si="1"/>
        <v>259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2652</v>
      </c>
      <c r="D33" s="80">
        <f>SUM(C9+C10)</f>
        <v>2652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44572</v>
      </c>
    </row>
    <row r="3" spans="2:27" ht="18.75" customHeight="1" thickBot="1" x14ac:dyDescent="0.35">
      <c r="B3" t="s">
        <v>1</v>
      </c>
      <c r="C3" s="3">
        <f>C2+1</f>
        <v>44573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92</v>
      </c>
    </row>
    <row r="6" spans="2:27" x14ac:dyDescent="0.3">
      <c r="B6" s="16" t="s">
        <v>21</v>
      </c>
      <c r="C6" s="17">
        <v>84</v>
      </c>
      <c r="E6" s="18" t="s">
        <v>22</v>
      </c>
      <c r="F6" s="119">
        <v>25371</v>
      </c>
      <c r="G6" s="117">
        <v>13269.195716666671</v>
      </c>
      <c r="H6" s="117">
        <v>7299.0161233799981</v>
      </c>
      <c r="I6" s="19">
        <f>G6+H6</f>
        <v>20568.211840046668</v>
      </c>
      <c r="J6" s="119">
        <v>26750</v>
      </c>
      <c r="K6" s="117">
        <v>14844.458466666671</v>
      </c>
      <c r="L6" s="117">
        <v>7432.7566181400007</v>
      </c>
      <c r="M6" s="19">
        <f>K6+L6</f>
        <v>22277.21508480667</v>
      </c>
      <c r="N6" s="85">
        <v>83</v>
      </c>
      <c r="O6" s="85">
        <v>81</v>
      </c>
      <c r="P6" s="85">
        <v>65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1914</v>
      </c>
      <c r="E8" s="140" t="s">
        <v>27</v>
      </c>
      <c r="F8" s="119">
        <v>0</v>
      </c>
      <c r="G8" s="117">
        <v>0</v>
      </c>
      <c r="H8" s="117">
        <v>3748.063467259999</v>
      </c>
      <c r="I8" s="19">
        <f>G8+H8</f>
        <v>3748.063467259999</v>
      </c>
      <c r="J8" s="119">
        <v>0</v>
      </c>
      <c r="K8" s="117">
        <v>0</v>
      </c>
      <c r="L8" s="117">
        <v>3820.3008105599988</v>
      </c>
      <c r="M8" s="19">
        <f>K8+L8</f>
        <v>3820.3008105599988</v>
      </c>
      <c r="N8" s="87">
        <v>3</v>
      </c>
      <c r="O8" s="87">
        <v>4</v>
      </c>
      <c r="P8" s="87">
        <v>2</v>
      </c>
    </row>
    <row r="9" spans="2:27" x14ac:dyDescent="0.3">
      <c r="B9" s="28" t="s">
        <v>26</v>
      </c>
      <c r="C9" s="17">
        <v>1827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1085</v>
      </c>
      <c r="E10" s="18" t="s">
        <v>31</v>
      </c>
      <c r="F10" s="119">
        <v>19228</v>
      </c>
      <c r="G10" s="117">
        <v>13578.746999999999</v>
      </c>
      <c r="H10" s="117">
        <v>393.69290940000002</v>
      </c>
      <c r="I10" s="19">
        <f>G10+H10</f>
        <v>13972.4399094</v>
      </c>
      <c r="J10" s="119">
        <v>19028</v>
      </c>
      <c r="K10" s="117">
        <v>14012.5015</v>
      </c>
      <c r="L10" s="117">
        <v>397.01491499999997</v>
      </c>
      <c r="M10" s="19">
        <f>K10+L10</f>
        <v>14409.516415</v>
      </c>
      <c r="N10" s="88">
        <v>48</v>
      </c>
      <c r="O10" s="88">
        <v>47</v>
      </c>
      <c r="P10" s="88">
        <v>42</v>
      </c>
    </row>
    <row r="11" spans="2:27" x14ac:dyDescent="0.3">
      <c r="B11" s="16" t="s">
        <v>30</v>
      </c>
      <c r="C11" s="17">
        <v>1999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38</v>
      </c>
      <c r="C12" s="17">
        <v>10457</v>
      </c>
      <c r="E12" s="140" t="s">
        <v>35</v>
      </c>
      <c r="F12" s="119">
        <v>13980</v>
      </c>
      <c r="G12" s="117">
        <v>11793.208000000001</v>
      </c>
      <c r="H12" s="117">
        <v>16834.56965436001</v>
      </c>
      <c r="I12" s="19">
        <f>G12+H12</f>
        <v>28627.777654360012</v>
      </c>
      <c r="J12" s="119">
        <v>14780</v>
      </c>
      <c r="K12" s="117">
        <v>13412.71025</v>
      </c>
      <c r="L12" s="117">
        <v>17464.200721440011</v>
      </c>
      <c r="M12" s="19">
        <f>K12+L12</f>
        <v>30876.910971440011</v>
      </c>
      <c r="N12" s="88">
        <v>54</v>
      </c>
      <c r="O12" s="88">
        <v>54</v>
      </c>
      <c r="P12" s="88">
        <v>44</v>
      </c>
    </row>
    <row r="13" spans="2:27" x14ac:dyDescent="0.3">
      <c r="B13" s="16" t="s">
        <v>40</v>
      </c>
      <c r="C13" s="17">
        <v>2279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28" t="s">
        <v>42</v>
      </c>
      <c r="C14" s="17">
        <v>28731</v>
      </c>
      <c r="E14" s="18" t="s">
        <v>39</v>
      </c>
      <c r="F14" s="119">
        <v>18060</v>
      </c>
      <c r="G14" s="117">
        <v>14516.1525</v>
      </c>
      <c r="H14" s="117">
        <v>22049.594407400022</v>
      </c>
      <c r="I14" s="19">
        <f>G14+H14</f>
        <v>36565.746907400026</v>
      </c>
      <c r="J14" s="119">
        <v>18894</v>
      </c>
      <c r="K14" s="117">
        <v>17351.188750000001</v>
      </c>
      <c r="L14" s="117">
        <v>23753.13897892</v>
      </c>
      <c r="M14" s="19">
        <f>K14+L14</f>
        <v>41104.327728920005</v>
      </c>
      <c r="N14" s="88">
        <v>70</v>
      </c>
      <c r="O14" s="88">
        <v>68</v>
      </c>
      <c r="P14" s="88">
        <v>58</v>
      </c>
    </row>
    <row r="15" spans="2:27" x14ac:dyDescent="0.3">
      <c r="B15" s="43" t="s">
        <v>47</v>
      </c>
      <c r="C15" s="17">
        <v>1020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48</v>
      </c>
      <c r="C16" s="50">
        <v>354</v>
      </c>
      <c r="E16" s="18" t="s">
        <v>79</v>
      </c>
      <c r="F16" s="119">
        <v>0</v>
      </c>
      <c r="G16" s="117">
        <v>0</v>
      </c>
      <c r="H16" s="117">
        <v>5230.5769294600004</v>
      </c>
      <c r="I16" s="19">
        <f>G16+H16</f>
        <v>5230.5769294600004</v>
      </c>
      <c r="J16" s="119">
        <v>0</v>
      </c>
      <c r="K16" s="117">
        <v>0</v>
      </c>
      <c r="L16" s="117">
        <v>5263.9627089200003</v>
      </c>
      <c r="M16" s="19">
        <f>K16+L16</f>
        <v>5263.9627089200003</v>
      </c>
      <c r="N16" s="88">
        <v>10</v>
      </c>
      <c r="O16" s="88">
        <v>10</v>
      </c>
      <c r="P16" s="88">
        <v>8</v>
      </c>
    </row>
    <row r="17" spans="2:28" s="4" customFormat="1" x14ac:dyDescent="0.3">
      <c r="B17" s="16" t="s">
        <v>50</v>
      </c>
      <c r="C17" s="17">
        <v>11736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789</v>
      </c>
      <c r="E18" s="84"/>
      <c r="F18" s="135">
        <f>SUM(F6:F17)</f>
        <v>76639</v>
      </c>
      <c r="G18" s="135">
        <f>SUM(G6:G17)</f>
        <v>53157.303216666667</v>
      </c>
      <c r="H18" s="135">
        <f>SUM(H6:H17)</f>
        <v>55555.513491260033</v>
      </c>
      <c r="I18" s="136">
        <f>SUM(I6:I17)</f>
        <v>108712.8167079267</v>
      </c>
      <c r="J18" s="135">
        <v>79452</v>
      </c>
      <c r="K18" s="135">
        <v>59620.858966666667</v>
      </c>
      <c r="L18" s="135">
        <v>58131.374752980009</v>
      </c>
      <c r="M18" s="137">
        <f>SUM(M6:M17)</f>
        <v>117752.2337196467</v>
      </c>
      <c r="N18" s="135">
        <f>SUM(N16,N14,N12,N10,N8,N6)</f>
        <v>268</v>
      </c>
      <c r="O18" s="135">
        <f>SUM(O16,O14,O12,O10,O8,O6)</f>
        <v>264</v>
      </c>
      <c r="P18" s="135">
        <f>SUM(P16,P14,P12,P10,P8,P6)</f>
        <v>219</v>
      </c>
    </row>
    <row r="19" spans="2:28" ht="15" customHeight="1" thickBot="1" x14ac:dyDescent="0.35">
      <c r="B19" s="57" t="s">
        <v>52</v>
      </c>
      <c r="C19" s="58">
        <v>4914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0.17045454545454544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11297</v>
      </c>
      <c r="D27" s="76">
        <f>C12</f>
        <v>10457</v>
      </c>
      <c r="E27" s="77">
        <f t="shared" ref="E27:E33" si="0">D27-C27</f>
        <v>-840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0"/>
        <v>0</v>
      </c>
      <c r="M28" s="4"/>
    </row>
    <row r="29" spans="2:28" x14ac:dyDescent="0.3">
      <c r="B29" s="74" t="s">
        <v>56</v>
      </c>
      <c r="C29" s="122">
        <v>34672</v>
      </c>
      <c r="D29" s="76">
        <f>C8+C13+C14+C15+C16</f>
        <v>34298</v>
      </c>
      <c r="E29" s="77">
        <f t="shared" si="0"/>
        <v>-374</v>
      </c>
      <c r="P29" s="4"/>
    </row>
    <row r="30" spans="2:28" x14ac:dyDescent="0.3">
      <c r="B30" s="74" t="s">
        <v>21</v>
      </c>
      <c r="C30" s="122">
        <v>84</v>
      </c>
      <c r="D30" s="76">
        <f>C6</f>
        <v>84</v>
      </c>
      <c r="E30" s="77">
        <f t="shared" si="0"/>
        <v>0</v>
      </c>
      <c r="P30" s="4"/>
    </row>
    <row r="31" spans="2:28" x14ac:dyDescent="0.3">
      <c r="B31" s="74" t="s">
        <v>57</v>
      </c>
      <c r="C31" s="122">
        <v>1999</v>
      </c>
      <c r="D31" s="76">
        <f>C11</f>
        <v>1999</v>
      </c>
      <c r="E31" s="77">
        <f t="shared" si="0"/>
        <v>0</v>
      </c>
      <c r="P31" s="4"/>
    </row>
    <row r="32" spans="2:28" x14ac:dyDescent="0.3">
      <c r="B32" s="74" t="s">
        <v>59</v>
      </c>
      <c r="C32" s="122">
        <v>16007</v>
      </c>
      <c r="D32" s="76">
        <f>C17+C18+C19</f>
        <v>17439</v>
      </c>
      <c r="E32" s="77">
        <f t="shared" si="0"/>
        <v>1432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3057</v>
      </c>
      <c r="D33" s="80">
        <f>SUM(C9+C10)</f>
        <v>2912</v>
      </c>
      <c r="E33" s="81">
        <f t="shared" si="0"/>
        <v>-145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44573</v>
      </c>
    </row>
    <row r="3" spans="2:27" ht="18.75" customHeight="1" thickBot="1" x14ac:dyDescent="0.35">
      <c r="B3" t="s">
        <v>1</v>
      </c>
      <c r="C3" s="3">
        <f>C2+1</f>
        <v>44574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43</v>
      </c>
      <c r="E6" s="18" t="s">
        <v>22</v>
      </c>
      <c r="F6" s="119">
        <v>24438</v>
      </c>
      <c r="G6" s="117">
        <v>13596.96075</v>
      </c>
      <c r="H6" s="117">
        <v>6329.3952622599963</v>
      </c>
      <c r="I6" s="19">
        <f>G6+H6</f>
        <v>19926.356012259996</v>
      </c>
      <c r="J6" s="119">
        <v>25608</v>
      </c>
      <c r="K6" s="117">
        <v>14959.4395</v>
      </c>
      <c r="L6" s="117">
        <v>6039.547642159996</v>
      </c>
      <c r="M6" s="19">
        <f>K6+L6</f>
        <v>20998.987142159996</v>
      </c>
      <c r="N6" s="85">
        <v>76</v>
      </c>
      <c r="O6" s="85">
        <v>74</v>
      </c>
      <c r="P6" s="85">
        <v>61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2113</v>
      </c>
      <c r="E8" s="140" t="s">
        <v>27</v>
      </c>
      <c r="F8" s="119">
        <v>0</v>
      </c>
      <c r="G8" s="117">
        <v>0</v>
      </c>
      <c r="H8" s="117">
        <v>4464.0874961000009</v>
      </c>
      <c r="I8" s="19">
        <f>G8+H8</f>
        <v>4464.0874961000009</v>
      </c>
      <c r="J8" s="119">
        <v>0</v>
      </c>
      <c r="K8" s="117">
        <v>0</v>
      </c>
      <c r="L8" s="117">
        <v>4398.8585519600001</v>
      </c>
      <c r="M8" s="19">
        <f>K8+L8</f>
        <v>4398.8585519600001</v>
      </c>
      <c r="N8" s="87">
        <v>2</v>
      </c>
      <c r="O8" s="87">
        <v>2</v>
      </c>
      <c r="P8" s="87">
        <v>1</v>
      </c>
    </row>
    <row r="9" spans="2:27" x14ac:dyDescent="0.3">
      <c r="B9" s="28" t="s">
        <v>26</v>
      </c>
      <c r="C9" s="17">
        <v>1890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1155</v>
      </c>
      <c r="E10" s="18" t="s">
        <v>31</v>
      </c>
      <c r="F10" s="119">
        <v>17965</v>
      </c>
      <c r="G10" s="117">
        <v>14553.888499999999</v>
      </c>
      <c r="H10" s="117">
        <v>389.15728600000011</v>
      </c>
      <c r="I10" s="19">
        <f>G10+H10</f>
        <v>14943.045785999999</v>
      </c>
      <c r="J10" s="119">
        <v>17862</v>
      </c>
      <c r="K10" s="117">
        <v>13770.486999999999</v>
      </c>
      <c r="L10" s="117">
        <v>355.34879660000001</v>
      </c>
      <c r="M10" s="19">
        <f>K10+L10</f>
        <v>14125.835796599999</v>
      </c>
      <c r="N10" s="88">
        <v>42</v>
      </c>
      <c r="O10" s="88">
        <v>41</v>
      </c>
      <c r="P10" s="88">
        <v>37</v>
      </c>
    </row>
    <row r="11" spans="2:27" x14ac:dyDescent="0.3">
      <c r="B11" s="16" t="s">
        <v>30</v>
      </c>
      <c r="C11" s="17">
        <v>2131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38</v>
      </c>
      <c r="C12" s="17">
        <v>10077</v>
      </c>
      <c r="E12" s="140" t="s">
        <v>35</v>
      </c>
      <c r="F12" s="119">
        <v>15574</v>
      </c>
      <c r="G12" s="117">
        <v>12257.723749999999</v>
      </c>
      <c r="H12" s="117">
        <v>18331.285516169999</v>
      </c>
      <c r="I12" s="19">
        <f>G12+H12</f>
        <v>30589.009266169996</v>
      </c>
      <c r="J12" s="119">
        <v>14335</v>
      </c>
      <c r="K12" s="117">
        <v>13318.71875</v>
      </c>
      <c r="L12" s="117">
        <v>17431.467052690001</v>
      </c>
      <c r="M12" s="19">
        <f>K12+L12</f>
        <v>30750.185802690001</v>
      </c>
      <c r="N12" s="88">
        <v>56</v>
      </c>
      <c r="O12" s="88">
        <v>53</v>
      </c>
      <c r="P12" s="88">
        <v>45</v>
      </c>
    </row>
    <row r="13" spans="2:27" x14ac:dyDescent="0.3">
      <c r="B13" s="16" t="s">
        <v>40</v>
      </c>
      <c r="C13" s="17">
        <v>2587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28" t="s">
        <v>42</v>
      </c>
      <c r="C14" s="17">
        <v>25513</v>
      </c>
      <c r="E14" s="18" t="s">
        <v>39</v>
      </c>
      <c r="F14" s="119">
        <v>18568</v>
      </c>
      <c r="G14" s="117">
        <v>14732.83</v>
      </c>
      <c r="H14" s="117">
        <v>21872.954525680008</v>
      </c>
      <c r="I14" s="19">
        <f>G14+H14</f>
        <v>36605.784525680006</v>
      </c>
      <c r="J14" s="119">
        <v>18713</v>
      </c>
      <c r="K14" s="117">
        <v>16209.179249999999</v>
      </c>
      <c r="L14" s="117">
        <v>21608.036928279998</v>
      </c>
      <c r="M14" s="19">
        <f>K14+L14</f>
        <v>37817.216178279996</v>
      </c>
      <c r="N14" s="88">
        <v>67</v>
      </c>
      <c r="O14" s="88">
        <v>66</v>
      </c>
      <c r="P14" s="88">
        <v>57</v>
      </c>
    </row>
    <row r="15" spans="2:27" x14ac:dyDescent="0.3">
      <c r="B15" s="43" t="s">
        <v>47</v>
      </c>
      <c r="C15" s="17">
        <v>1415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48</v>
      </c>
      <c r="C16" s="50">
        <v>471</v>
      </c>
      <c r="E16" s="18" t="s">
        <v>79</v>
      </c>
      <c r="F16" s="119">
        <v>0</v>
      </c>
      <c r="G16" s="117">
        <v>0</v>
      </c>
      <c r="H16" s="117">
        <v>8413.1912896800004</v>
      </c>
      <c r="I16" s="19">
        <f>G16+H16</f>
        <v>8413.1912896800004</v>
      </c>
      <c r="J16" s="119">
        <v>0</v>
      </c>
      <c r="K16" s="117">
        <v>0</v>
      </c>
      <c r="L16" s="117">
        <v>8258.7814915199997</v>
      </c>
      <c r="M16" s="19">
        <f>K16+L16</f>
        <v>8258.7814915199997</v>
      </c>
      <c r="N16" s="88">
        <v>13</v>
      </c>
      <c r="O16" s="88">
        <v>12</v>
      </c>
      <c r="P16" s="88">
        <v>10</v>
      </c>
    </row>
    <row r="17" spans="2:28" s="4" customFormat="1" x14ac:dyDescent="0.3">
      <c r="B17" s="16" t="s">
        <v>50</v>
      </c>
      <c r="C17" s="17">
        <v>10081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1202</v>
      </c>
      <c r="E18" s="84"/>
      <c r="F18" s="135">
        <f t="shared" ref="F18:M18" si="0">SUM(F6:F17)</f>
        <v>76545</v>
      </c>
      <c r="G18" s="135">
        <f t="shared" si="0"/>
        <v>55141.402999999998</v>
      </c>
      <c r="H18" s="135">
        <f t="shared" si="0"/>
        <v>59800.071375890002</v>
      </c>
      <c r="I18" s="136">
        <f t="shared" si="0"/>
        <v>114941.47437589</v>
      </c>
      <c r="J18" s="135">
        <f t="shared" si="0"/>
        <v>76518</v>
      </c>
      <c r="K18" s="135">
        <f t="shared" si="0"/>
        <v>58257.824500000002</v>
      </c>
      <c r="L18" s="135">
        <f t="shared" si="0"/>
        <v>58092.040463209996</v>
      </c>
      <c r="M18" s="137">
        <f t="shared" si="0"/>
        <v>116349.86496321</v>
      </c>
      <c r="N18" s="135">
        <f>SUM(N16,N14,N12,N10,N8,N6)</f>
        <v>256</v>
      </c>
      <c r="O18" s="135">
        <f>SUM(O16,O14,O12,O10,O8,O6)</f>
        <v>248</v>
      </c>
      <c r="P18" s="135">
        <f>SUM(P16,P14,P12,P10,P8,P6)</f>
        <v>211</v>
      </c>
    </row>
    <row r="19" spans="2:28" ht="15" customHeight="1" thickBot="1" x14ac:dyDescent="0.35">
      <c r="B19" s="57" t="s">
        <v>52</v>
      </c>
      <c r="C19" s="58">
        <v>4720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0.14919354838709678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12668</v>
      </c>
      <c r="D27" s="76">
        <v>11566</v>
      </c>
      <c r="E27" s="77">
        <f t="shared" ref="E27:E33" si="1">D27-C27</f>
        <v>-1102</v>
      </c>
      <c r="J27" s="123"/>
      <c r="M27" s="4"/>
      <c r="Q27" s="69"/>
    </row>
    <row r="28" spans="2:28" x14ac:dyDescent="0.3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36645</v>
      </c>
      <c r="D29" s="76">
        <v>35071</v>
      </c>
      <c r="E29" s="77">
        <f t="shared" si="1"/>
        <v>-1574</v>
      </c>
      <c r="P29" s="4"/>
    </row>
    <row r="30" spans="2:28" x14ac:dyDescent="0.3">
      <c r="B30" s="74" t="s">
        <v>21</v>
      </c>
      <c r="C30" s="122">
        <v>43</v>
      </c>
      <c r="D30" s="76">
        <f>C6</f>
        <v>43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2131</v>
      </c>
      <c r="D31" s="76">
        <f>C11</f>
        <v>2131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15790</v>
      </c>
      <c r="D32" s="76">
        <f>C17+C18+C19</f>
        <v>16003</v>
      </c>
      <c r="E32" s="77">
        <f t="shared" si="1"/>
        <v>213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2">
        <v>3045</v>
      </c>
      <c r="D33" s="80">
        <f>SUM(C9+C10)</f>
        <v>3045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>
    <tabColor theme="1"/>
    <pageSetUpPr fitToPage="1"/>
  </sheetPr>
  <dimension ref="A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44574</v>
      </c>
    </row>
    <row r="3" spans="1:27" ht="18.75" customHeight="1" thickBot="1" x14ac:dyDescent="0.35">
      <c r="B3" t="s">
        <v>1</v>
      </c>
      <c r="C3" s="3">
        <f>C2+1</f>
        <v>44575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93</v>
      </c>
    </row>
    <row r="6" spans="1:27" x14ac:dyDescent="0.3">
      <c r="A6" s="1" t="s">
        <v>94</v>
      </c>
      <c r="B6" s="16" t="s">
        <v>21</v>
      </c>
      <c r="C6" s="17">
        <v>146</v>
      </c>
      <c r="E6" s="18" t="s">
        <v>22</v>
      </c>
      <c r="F6" s="119">
        <v>25528</v>
      </c>
      <c r="G6" s="117">
        <v>14252.53435</v>
      </c>
      <c r="H6" s="117">
        <v>7396.6998480000011</v>
      </c>
      <c r="I6" s="19">
        <f>G6+H6</f>
        <v>21649.234198000002</v>
      </c>
      <c r="J6" s="119">
        <v>26609</v>
      </c>
      <c r="K6" s="117">
        <v>15911.981066666671</v>
      </c>
      <c r="L6" s="117">
        <v>7496.1666056800004</v>
      </c>
      <c r="M6" s="19">
        <f>K6+L6</f>
        <v>23408.147672346669</v>
      </c>
      <c r="N6" s="85">
        <v>87</v>
      </c>
      <c r="O6" s="85">
        <v>80</v>
      </c>
      <c r="P6" s="85">
        <v>68</v>
      </c>
    </row>
    <row r="7" spans="1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1:27" x14ac:dyDescent="0.3">
      <c r="B8" s="16" t="s">
        <v>23</v>
      </c>
      <c r="C8" s="17">
        <v>1659</v>
      </c>
      <c r="E8" s="140" t="s">
        <v>27</v>
      </c>
      <c r="F8" s="119">
        <v>0</v>
      </c>
      <c r="G8" s="117">
        <v>0</v>
      </c>
      <c r="H8" s="117">
        <v>3834.2790716999989</v>
      </c>
      <c r="I8" s="19">
        <f>G8+H8</f>
        <v>3834.2790716999989</v>
      </c>
      <c r="J8" s="119">
        <v>0</v>
      </c>
      <c r="K8" s="117">
        <v>0</v>
      </c>
      <c r="L8" s="117">
        <v>3778.134274</v>
      </c>
      <c r="M8" s="19">
        <f>K8+L8</f>
        <v>3778.134274</v>
      </c>
      <c r="N8" s="87">
        <v>5</v>
      </c>
      <c r="O8" s="87">
        <v>3</v>
      </c>
      <c r="P8" s="87">
        <v>3</v>
      </c>
    </row>
    <row r="9" spans="1:27" x14ac:dyDescent="0.3">
      <c r="B9" s="28" t="s">
        <v>26</v>
      </c>
      <c r="C9" s="17">
        <v>1821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28</v>
      </c>
      <c r="C10" s="17">
        <v>1064</v>
      </c>
      <c r="E10" s="18" t="s">
        <v>31</v>
      </c>
      <c r="F10" s="119">
        <v>19521</v>
      </c>
      <c r="G10" s="117">
        <v>12301.876249999999</v>
      </c>
      <c r="H10" s="117">
        <v>360.30549000000002</v>
      </c>
      <c r="I10" s="19">
        <f>G10+H10</f>
        <v>12662.18174</v>
      </c>
      <c r="J10" s="119">
        <v>19581</v>
      </c>
      <c r="K10" s="117">
        <v>12912.795249999999</v>
      </c>
      <c r="L10" s="117">
        <v>341.43871760000002</v>
      </c>
      <c r="M10" s="19">
        <f>K10+L10</f>
        <v>13254.233967599999</v>
      </c>
      <c r="N10" s="88">
        <v>54</v>
      </c>
      <c r="O10" s="88">
        <v>53</v>
      </c>
      <c r="P10" s="88">
        <v>48</v>
      </c>
    </row>
    <row r="11" spans="1:27" x14ac:dyDescent="0.3">
      <c r="B11" s="16" t="s">
        <v>30</v>
      </c>
      <c r="C11" s="17">
        <v>2157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1:27" x14ac:dyDescent="0.3">
      <c r="B12" s="16" t="s">
        <v>38</v>
      </c>
      <c r="C12" s="17">
        <v>10482</v>
      </c>
      <c r="E12" s="140" t="s">
        <v>35</v>
      </c>
      <c r="F12" s="119">
        <v>14193</v>
      </c>
      <c r="G12" s="117">
        <v>11373.514499999999</v>
      </c>
      <c r="H12" s="117">
        <v>17708.14110917001</v>
      </c>
      <c r="I12" s="19">
        <f>G12+H12</f>
        <v>29081.655609170011</v>
      </c>
      <c r="J12" s="119">
        <v>14830</v>
      </c>
      <c r="K12" s="117">
        <v>13787.4995</v>
      </c>
      <c r="L12" s="117">
        <v>18289.890390590019</v>
      </c>
      <c r="M12" s="19">
        <f>K12+L12</f>
        <v>32077.389890590021</v>
      </c>
      <c r="N12" s="88">
        <v>51</v>
      </c>
      <c r="O12" s="88">
        <v>49</v>
      </c>
      <c r="P12" s="88">
        <v>42</v>
      </c>
    </row>
    <row r="13" spans="1:27" x14ac:dyDescent="0.3">
      <c r="B13" s="16" t="s">
        <v>40</v>
      </c>
      <c r="C13" s="17">
        <v>1736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28" t="s">
        <v>42</v>
      </c>
      <c r="C14" s="17">
        <v>24733</v>
      </c>
      <c r="E14" s="18" t="s">
        <v>39</v>
      </c>
      <c r="F14" s="119">
        <v>18230</v>
      </c>
      <c r="G14" s="117">
        <v>14490.97875</v>
      </c>
      <c r="H14" s="117">
        <v>21895.9184375</v>
      </c>
      <c r="I14" s="19">
        <f>G14+H14</f>
        <v>36386.897187499999</v>
      </c>
      <c r="J14" s="119">
        <v>18983</v>
      </c>
      <c r="K14" s="117">
        <v>17061.853999999999</v>
      </c>
      <c r="L14" s="117">
        <v>23333.96001720001</v>
      </c>
      <c r="M14" s="19">
        <f>K14+L14</f>
        <v>40395.814017200013</v>
      </c>
      <c r="N14" s="88">
        <v>68</v>
      </c>
      <c r="O14" s="88">
        <v>67</v>
      </c>
      <c r="P14" s="88">
        <v>56</v>
      </c>
    </row>
    <row r="15" spans="1:27" x14ac:dyDescent="0.3">
      <c r="B15" s="43" t="s">
        <v>47</v>
      </c>
      <c r="C15" s="17">
        <v>1030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48</v>
      </c>
      <c r="C16" s="50">
        <v>221</v>
      </c>
      <c r="E16" s="18" t="s">
        <v>79</v>
      </c>
      <c r="F16" s="119">
        <v>0</v>
      </c>
      <c r="G16" s="117">
        <v>0</v>
      </c>
      <c r="H16" s="117">
        <v>5769.2995575599998</v>
      </c>
      <c r="I16" s="19">
        <f>G16+H16</f>
        <v>5769.2995575599998</v>
      </c>
      <c r="J16" s="119">
        <v>0</v>
      </c>
      <c r="K16" s="117">
        <v>0</v>
      </c>
      <c r="L16" s="117">
        <v>5853.6475960199996</v>
      </c>
      <c r="M16" s="19">
        <f>K16+L16</f>
        <v>5853.6475960199996</v>
      </c>
      <c r="N16" s="88">
        <v>12</v>
      </c>
      <c r="O16" s="88">
        <v>9</v>
      </c>
      <c r="P16" s="88">
        <v>10</v>
      </c>
    </row>
    <row r="17" spans="2:28" s="4" customFormat="1" x14ac:dyDescent="0.3">
      <c r="B17" s="16" t="s">
        <v>50</v>
      </c>
      <c r="C17" s="17">
        <v>9970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1603</v>
      </c>
      <c r="E18" s="84"/>
      <c r="F18" s="135">
        <f t="shared" ref="F18:M18" si="0">SUM(F6:F17)</f>
        <v>77472</v>
      </c>
      <c r="G18" s="135">
        <f t="shared" si="0"/>
        <v>52418.903850000002</v>
      </c>
      <c r="H18" s="135">
        <f t="shared" si="0"/>
        <v>56964.643513930008</v>
      </c>
      <c r="I18" s="136">
        <f t="shared" si="0"/>
        <v>109383.54736393</v>
      </c>
      <c r="J18" s="135">
        <f t="shared" si="0"/>
        <v>80003</v>
      </c>
      <c r="K18" s="135">
        <f t="shared" si="0"/>
        <v>59674.129816666667</v>
      </c>
      <c r="L18" s="135">
        <f t="shared" si="0"/>
        <v>59093.237601090026</v>
      </c>
      <c r="M18" s="137">
        <f t="shared" si="0"/>
        <v>118767.3674177567</v>
      </c>
      <c r="N18" s="135">
        <f>SUM(N16,N14,N12,N10,N8,N6)</f>
        <v>277</v>
      </c>
      <c r="O18" s="135">
        <f>SUM(O16,O14,O12,O10,O8,O6)</f>
        <v>261</v>
      </c>
      <c r="P18" s="135">
        <f>SUM(P16,P14,P12,P10,P8,P6)</f>
        <v>227</v>
      </c>
    </row>
    <row r="19" spans="2:28" ht="15" customHeight="1" thickBot="1" x14ac:dyDescent="0.35">
      <c r="B19" s="57" t="s">
        <v>52</v>
      </c>
      <c r="C19" s="58">
        <v>4184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0.13026819923371646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12151</v>
      </c>
      <c r="D27" s="76">
        <f>C12</f>
        <v>10482</v>
      </c>
      <c r="E27" s="77">
        <f t="shared" ref="E27:E33" si="1">D27-C27</f>
        <v>-1669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33548</v>
      </c>
      <c r="D29" s="76">
        <f>C8+C13+C14+C15+C16</f>
        <v>29379</v>
      </c>
      <c r="E29" s="77">
        <f t="shared" si="1"/>
        <v>-4169</v>
      </c>
      <c r="P29" s="4"/>
    </row>
    <row r="30" spans="2:28" x14ac:dyDescent="0.3">
      <c r="B30" s="74" t="s">
        <v>21</v>
      </c>
      <c r="C30" s="122">
        <v>101</v>
      </c>
      <c r="D30" s="76">
        <f>C6</f>
        <v>146</v>
      </c>
      <c r="E30" s="77">
        <f t="shared" si="1"/>
        <v>45</v>
      </c>
      <c r="P30" s="4"/>
    </row>
    <row r="31" spans="2:28" x14ac:dyDescent="0.3">
      <c r="B31" s="74" t="s">
        <v>57</v>
      </c>
      <c r="C31" s="122">
        <v>2157</v>
      </c>
      <c r="D31" s="76">
        <f>C11</f>
        <v>2157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15485</v>
      </c>
      <c r="D32" s="76">
        <f>C17+C18+C19</f>
        <v>15757</v>
      </c>
      <c r="E32" s="77">
        <f t="shared" si="1"/>
        <v>272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3389</v>
      </c>
      <c r="D33" s="80">
        <f>SUM(C9+C10)</f>
        <v>2885</v>
      </c>
      <c r="E33" s="81">
        <f t="shared" si="1"/>
        <v>-504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>
    <tabColor theme="1"/>
    <pageSetUpPr fitToPage="1"/>
  </sheetPr>
  <dimension ref="A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44575</v>
      </c>
    </row>
    <row r="3" spans="1:27" ht="18.75" customHeight="1" thickBot="1" x14ac:dyDescent="0.35">
      <c r="B3" t="s">
        <v>1</v>
      </c>
      <c r="C3" s="3">
        <f>C2+1</f>
        <v>44576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1:27" x14ac:dyDescent="0.3">
      <c r="A6" s="1" t="s">
        <v>94</v>
      </c>
      <c r="B6" s="16" t="s">
        <v>21</v>
      </c>
      <c r="C6" s="17">
        <v>0</v>
      </c>
      <c r="E6" s="18" t="s">
        <v>22</v>
      </c>
      <c r="F6" s="119">
        <v>23296</v>
      </c>
      <c r="G6" s="117">
        <v>14702.4475</v>
      </c>
      <c r="H6" s="117">
        <v>7106.0974811199994</v>
      </c>
      <c r="I6" s="19">
        <f>G6+H6</f>
        <v>21808.544981120001</v>
      </c>
      <c r="J6" s="119">
        <v>22539</v>
      </c>
      <c r="K6" s="117">
        <v>15184.6705</v>
      </c>
      <c r="L6" s="117">
        <v>6971.5611823200006</v>
      </c>
      <c r="M6" s="19">
        <f>K6+L6</f>
        <v>22156.231682320002</v>
      </c>
      <c r="N6" s="85">
        <v>84</v>
      </c>
      <c r="O6" s="85">
        <v>81</v>
      </c>
      <c r="P6" s="85">
        <v>67</v>
      </c>
    </row>
    <row r="7" spans="1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1:27" x14ac:dyDescent="0.3">
      <c r="B8" s="16" t="s">
        <v>23</v>
      </c>
      <c r="C8" s="17">
        <v>2330</v>
      </c>
      <c r="E8" s="140" t="s">
        <v>27</v>
      </c>
      <c r="F8" s="119">
        <v>0</v>
      </c>
      <c r="G8" s="117">
        <v>0</v>
      </c>
      <c r="H8" s="117">
        <v>4331.679624379999</v>
      </c>
      <c r="I8" s="19">
        <f>G8+H8</f>
        <v>4331.679624379999</v>
      </c>
      <c r="J8" s="119">
        <v>0</v>
      </c>
      <c r="K8" s="117">
        <v>0</v>
      </c>
      <c r="L8" s="117">
        <v>4222.2777372399996</v>
      </c>
      <c r="M8" s="19">
        <f>K8+L8</f>
        <v>4222.2777372399996</v>
      </c>
      <c r="N8" s="87">
        <v>8</v>
      </c>
      <c r="O8" s="87">
        <v>8</v>
      </c>
      <c r="P8" s="87">
        <v>7</v>
      </c>
    </row>
    <row r="9" spans="1:27" x14ac:dyDescent="0.3">
      <c r="B9" s="28" t="s">
        <v>26</v>
      </c>
      <c r="C9" s="17">
        <v>1760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28</v>
      </c>
      <c r="C10" s="17">
        <v>1114</v>
      </c>
      <c r="E10" s="18" t="s">
        <v>31</v>
      </c>
      <c r="F10" s="119">
        <v>18243</v>
      </c>
      <c r="G10" s="117">
        <v>14686.380999999999</v>
      </c>
      <c r="H10" s="117">
        <v>346.33225499999998</v>
      </c>
      <c r="I10" s="19">
        <f>G10+H10</f>
        <v>15032.713254999999</v>
      </c>
      <c r="J10" s="119">
        <v>17825</v>
      </c>
      <c r="K10" s="117">
        <v>14483.846</v>
      </c>
      <c r="L10" s="117">
        <v>315.08059100000003</v>
      </c>
      <c r="M10" s="19">
        <f>K10+L10</f>
        <v>14798.926590999999</v>
      </c>
      <c r="N10" s="88">
        <v>51</v>
      </c>
      <c r="O10" s="88">
        <v>49</v>
      </c>
      <c r="P10" s="88">
        <v>48</v>
      </c>
    </row>
    <row r="11" spans="1:27" x14ac:dyDescent="0.3">
      <c r="B11" s="16" t="s">
        <v>30</v>
      </c>
      <c r="C11" s="17">
        <v>3111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1:27" x14ac:dyDescent="0.3">
      <c r="B12" s="16" t="s">
        <v>38</v>
      </c>
      <c r="C12" s="17">
        <v>10193</v>
      </c>
      <c r="E12" s="140" t="s">
        <v>35</v>
      </c>
      <c r="F12" s="119">
        <v>15760</v>
      </c>
      <c r="G12" s="117">
        <v>12786.342000000001</v>
      </c>
      <c r="H12" s="117">
        <v>19501.09782558</v>
      </c>
      <c r="I12" s="19">
        <f>G12+H12</f>
        <v>32287.439825580001</v>
      </c>
      <c r="J12" s="119">
        <v>15238</v>
      </c>
      <c r="K12" s="117">
        <v>14350.026750000001</v>
      </c>
      <c r="L12" s="117">
        <v>19193.638838250012</v>
      </c>
      <c r="M12" s="19">
        <f>K12+L12</f>
        <v>33543.665588250013</v>
      </c>
      <c r="N12" s="88">
        <v>58</v>
      </c>
      <c r="O12" s="88">
        <v>57</v>
      </c>
      <c r="P12" s="88">
        <v>46</v>
      </c>
    </row>
    <row r="13" spans="1:27" x14ac:dyDescent="0.3">
      <c r="B13" s="16" t="s">
        <v>40</v>
      </c>
      <c r="C13" s="17">
        <v>2587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11</v>
      </c>
    </row>
    <row r="14" spans="1:27" x14ac:dyDescent="0.3">
      <c r="B14" s="28" t="s">
        <v>42</v>
      </c>
      <c r="C14" s="17">
        <v>29755</v>
      </c>
      <c r="E14" s="18" t="s">
        <v>39</v>
      </c>
      <c r="F14" s="119">
        <v>18378</v>
      </c>
      <c r="G14" s="117">
        <v>13233.496499999999</v>
      </c>
      <c r="H14" s="117">
        <v>22734.2931675</v>
      </c>
      <c r="I14" s="19">
        <f>G14+H14</f>
        <v>35967.789667500001</v>
      </c>
      <c r="J14" s="119">
        <v>24128</v>
      </c>
      <c r="K14" s="117">
        <v>21270.224750000001</v>
      </c>
      <c r="L14" s="117">
        <v>28976.47776250001</v>
      </c>
      <c r="M14" s="19">
        <f>K14+L14</f>
        <v>50246.702512500007</v>
      </c>
      <c r="N14" s="88">
        <v>69</v>
      </c>
      <c r="O14" s="88">
        <v>68</v>
      </c>
      <c r="P14" s="88">
        <v>53</v>
      </c>
    </row>
    <row r="15" spans="1:27" x14ac:dyDescent="0.3">
      <c r="B15" s="43" t="s">
        <v>47</v>
      </c>
      <c r="C15" s="17">
        <v>1960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1:27" x14ac:dyDescent="0.3">
      <c r="B16" s="43" t="s">
        <v>48</v>
      </c>
      <c r="C16" s="50">
        <v>471</v>
      </c>
      <c r="E16" s="18" t="s">
        <v>79</v>
      </c>
      <c r="F16" s="119">
        <v>0</v>
      </c>
      <c r="G16" s="117">
        <v>0</v>
      </c>
      <c r="H16" s="117">
        <v>10105.133456080001</v>
      </c>
      <c r="I16" s="19">
        <f>G16+H16</f>
        <v>10105.133456080001</v>
      </c>
      <c r="J16" s="119">
        <v>0</v>
      </c>
      <c r="K16" s="117">
        <v>0</v>
      </c>
      <c r="L16" s="117">
        <v>10052.301237400001</v>
      </c>
      <c r="M16" s="19">
        <f>K16+L16</f>
        <v>10052.301237400001</v>
      </c>
      <c r="N16" s="88">
        <v>12</v>
      </c>
      <c r="O16" s="88">
        <v>14</v>
      </c>
      <c r="P16" s="88">
        <v>10</v>
      </c>
    </row>
    <row r="17" spans="2:28" s="4" customFormat="1" x14ac:dyDescent="0.3">
      <c r="B17" s="16" t="s">
        <v>50</v>
      </c>
      <c r="C17" s="17">
        <v>8846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4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478</v>
      </c>
      <c r="E18" s="84"/>
      <c r="F18" s="135">
        <f t="shared" ref="F18:M18" si="0">SUM(F6:F17)</f>
        <v>75677</v>
      </c>
      <c r="G18" s="135">
        <f t="shared" si="0"/>
        <v>55408.667000000001</v>
      </c>
      <c r="H18" s="135">
        <f t="shared" si="0"/>
        <v>64124.633809660001</v>
      </c>
      <c r="I18" s="136">
        <f t="shared" si="0"/>
        <v>119533.30080966001</v>
      </c>
      <c r="J18" s="135">
        <f t="shared" si="0"/>
        <v>79730</v>
      </c>
      <c r="K18" s="135">
        <f t="shared" si="0"/>
        <v>65288.768000000004</v>
      </c>
      <c r="L18" s="135">
        <f t="shared" si="0"/>
        <v>69731.337348710018</v>
      </c>
      <c r="M18" s="137">
        <f t="shared" si="0"/>
        <v>135020.10534871003</v>
      </c>
      <c r="N18" s="135">
        <f>SUM(N16,N14,N12,N10,N8,N6)</f>
        <v>282</v>
      </c>
      <c r="O18" s="135">
        <f>SUM(O16,O14,O12,O10,O8,O6)</f>
        <v>277</v>
      </c>
      <c r="P18" s="135">
        <f>SUM(P16,P14,P12,P10,P8,P6)</f>
        <v>231</v>
      </c>
    </row>
    <row r="19" spans="2:28" ht="15" customHeight="1" thickBot="1" x14ac:dyDescent="0.35">
      <c r="B19" s="57" t="s">
        <v>52</v>
      </c>
      <c r="C19" s="58">
        <v>4427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0.16606498194945848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11059</v>
      </c>
      <c r="D27" s="76">
        <f>C12</f>
        <v>10193</v>
      </c>
      <c r="E27" s="77">
        <f t="shared" ref="E27:E33" si="1">D27-C27</f>
        <v>-866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39690</v>
      </c>
      <c r="D29" s="76">
        <f>C8+C13+C14+C15+C16</f>
        <v>37103</v>
      </c>
      <c r="E29" s="77">
        <f t="shared" si="1"/>
        <v>-2587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1667</v>
      </c>
      <c r="D31" s="76">
        <f>C11</f>
        <v>3111</v>
      </c>
      <c r="E31" s="77">
        <f t="shared" si="1"/>
        <v>1444</v>
      </c>
      <c r="P31" s="4"/>
    </row>
    <row r="32" spans="2:28" x14ac:dyDescent="0.3">
      <c r="B32" s="74" t="s">
        <v>59</v>
      </c>
      <c r="C32" s="122">
        <v>14731</v>
      </c>
      <c r="D32" s="76">
        <f>C17+C18+C19</f>
        <v>13751</v>
      </c>
      <c r="E32" s="77">
        <f t="shared" si="1"/>
        <v>-980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3726</v>
      </c>
      <c r="D33" s="80">
        <f>SUM(C9+C10)</f>
        <v>2874</v>
      </c>
      <c r="E33" s="81">
        <f t="shared" si="1"/>
        <v>-852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44576</v>
      </c>
    </row>
    <row r="3" spans="2:27" ht="18.75" customHeight="1" thickBot="1" x14ac:dyDescent="0.35">
      <c r="B3" t="s">
        <v>1</v>
      </c>
      <c r="C3" s="3">
        <f>C2+1</f>
        <v>44577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108</v>
      </c>
      <c r="E6" s="18" t="s">
        <v>22</v>
      </c>
      <c r="F6" s="119">
        <v>24291</v>
      </c>
      <c r="G6" s="117">
        <v>12955.463750000001</v>
      </c>
      <c r="H6" s="117">
        <v>6454.4653427999974</v>
      </c>
      <c r="I6" s="19">
        <f>G6+H6</f>
        <v>19409.929092799997</v>
      </c>
      <c r="J6" s="119">
        <v>27512</v>
      </c>
      <c r="K6" s="117">
        <v>16019.22706666667</v>
      </c>
      <c r="L6" s="117">
        <v>7159.2803183999949</v>
      </c>
      <c r="M6" s="19">
        <f>K6+L6</f>
        <v>23178.507385066667</v>
      </c>
      <c r="N6" s="85">
        <v>86</v>
      </c>
      <c r="O6" s="85">
        <v>84</v>
      </c>
      <c r="P6" s="85">
        <v>67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1115</v>
      </c>
      <c r="E8" s="140" t="s">
        <v>27</v>
      </c>
      <c r="F8" s="119">
        <v>0</v>
      </c>
      <c r="G8" s="117">
        <v>0</v>
      </c>
      <c r="H8" s="117">
        <v>3993.2376841</v>
      </c>
      <c r="I8" s="19">
        <f>G8+H8</f>
        <v>3993.2376841</v>
      </c>
      <c r="J8" s="119">
        <v>0</v>
      </c>
      <c r="K8" s="117">
        <v>0</v>
      </c>
      <c r="L8" s="117">
        <v>4109.442829999999</v>
      </c>
      <c r="M8" s="19">
        <f>K8+L8</f>
        <v>4109.442829999999</v>
      </c>
      <c r="N8" s="87">
        <v>7</v>
      </c>
      <c r="O8" s="87">
        <v>7</v>
      </c>
      <c r="P8" s="87">
        <v>6</v>
      </c>
    </row>
    <row r="9" spans="2:27" x14ac:dyDescent="0.3">
      <c r="B9" s="28" t="s">
        <v>26</v>
      </c>
      <c r="C9" s="17">
        <v>2390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963</v>
      </c>
      <c r="E10" s="18" t="s">
        <v>31</v>
      </c>
      <c r="F10" s="119">
        <v>17070</v>
      </c>
      <c r="G10" s="117">
        <v>11802.603499999999</v>
      </c>
      <c r="H10" s="117">
        <v>357.28982100000002</v>
      </c>
      <c r="I10" s="19">
        <f>G10+H10</f>
        <v>12159.893321</v>
      </c>
      <c r="J10" s="119">
        <v>18245</v>
      </c>
      <c r="K10" s="117">
        <v>12974.9185</v>
      </c>
      <c r="L10" s="117">
        <v>367.34945920000001</v>
      </c>
      <c r="M10" s="19">
        <f>K10+L10</f>
        <v>13342.2679592</v>
      </c>
      <c r="N10" s="88">
        <v>54</v>
      </c>
      <c r="O10" s="88">
        <v>52</v>
      </c>
      <c r="P10" s="88">
        <v>50</v>
      </c>
    </row>
    <row r="11" spans="2:27" x14ac:dyDescent="0.3">
      <c r="B11" s="16" t="s">
        <v>30</v>
      </c>
      <c r="C11" s="17">
        <v>2113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38</v>
      </c>
      <c r="C12" s="17">
        <v>7400</v>
      </c>
      <c r="E12" s="140" t="s">
        <v>35</v>
      </c>
      <c r="F12" s="119">
        <v>16025</v>
      </c>
      <c r="G12" s="117">
        <v>12391.341249999999</v>
      </c>
      <c r="H12" s="117">
        <v>18689.183971220002</v>
      </c>
      <c r="I12" s="19">
        <f>G12+H12</f>
        <v>31080.525221219999</v>
      </c>
      <c r="J12" s="119">
        <v>16849</v>
      </c>
      <c r="K12" s="117">
        <v>15699.86825</v>
      </c>
      <c r="L12" s="117">
        <v>20275.32512406999</v>
      </c>
      <c r="M12" s="19">
        <f>K12+L12</f>
        <v>35975.19337406999</v>
      </c>
      <c r="N12" s="88">
        <v>62</v>
      </c>
      <c r="O12" s="88">
        <v>61</v>
      </c>
      <c r="P12" s="88">
        <v>49</v>
      </c>
    </row>
    <row r="13" spans="2:27" x14ac:dyDescent="0.3">
      <c r="B13" s="16" t="s">
        <v>40</v>
      </c>
      <c r="C13" s="17">
        <v>1514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12</v>
      </c>
    </row>
    <row r="14" spans="2:27" x14ac:dyDescent="0.3">
      <c r="B14" s="28" t="s">
        <v>42</v>
      </c>
      <c r="C14" s="17">
        <v>26701</v>
      </c>
      <c r="E14" s="18" t="s">
        <v>39</v>
      </c>
      <c r="F14" s="119">
        <v>20642</v>
      </c>
      <c r="G14" s="117">
        <v>16439.43175</v>
      </c>
      <c r="H14" s="117">
        <v>24388.704890680001</v>
      </c>
      <c r="I14" s="19">
        <f>G14+H14</f>
        <v>40828.136640680001</v>
      </c>
      <c r="J14" s="119">
        <v>19428</v>
      </c>
      <c r="K14" s="117">
        <v>17905.849999999999</v>
      </c>
      <c r="L14" s="117">
        <v>23284.583985199999</v>
      </c>
      <c r="M14" s="19">
        <f>K14+L14</f>
        <v>41190.433985199998</v>
      </c>
      <c r="N14" s="88">
        <v>66</v>
      </c>
      <c r="O14" s="88">
        <v>65</v>
      </c>
      <c r="P14" s="88">
        <v>52</v>
      </c>
    </row>
    <row r="15" spans="2:27" x14ac:dyDescent="0.3">
      <c r="B15" s="43" t="s">
        <v>47</v>
      </c>
      <c r="C15" s="17">
        <v>971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48</v>
      </c>
      <c r="C16" s="50">
        <v>203</v>
      </c>
      <c r="E16" s="18" t="s">
        <v>79</v>
      </c>
      <c r="F16" s="119">
        <v>0</v>
      </c>
      <c r="G16" s="117">
        <v>0</v>
      </c>
      <c r="H16" s="117">
        <v>5726.9727968799998</v>
      </c>
      <c r="I16" s="19">
        <f>G16+H16</f>
        <v>5726.9727968799998</v>
      </c>
      <c r="J16" s="119">
        <v>0</v>
      </c>
      <c r="K16" s="117">
        <v>0</v>
      </c>
      <c r="L16" s="117">
        <v>5945.82410196</v>
      </c>
      <c r="M16" s="19">
        <f>K16+L16</f>
        <v>5945.82410196</v>
      </c>
      <c r="N16" s="88">
        <v>11</v>
      </c>
      <c r="O16" s="88">
        <v>11</v>
      </c>
      <c r="P16" s="88">
        <v>8</v>
      </c>
    </row>
    <row r="17" spans="2:28" s="4" customFormat="1" x14ac:dyDescent="0.3">
      <c r="B17" s="16" t="s">
        <v>50</v>
      </c>
      <c r="C17" s="17">
        <v>11328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1113</v>
      </c>
      <c r="E18" s="84"/>
      <c r="F18" s="135">
        <f t="shared" ref="F18:M18" si="0">SUM(F6:F17)</f>
        <v>78028</v>
      </c>
      <c r="G18" s="135">
        <f t="shared" si="0"/>
        <v>53588.840249999994</v>
      </c>
      <c r="H18" s="135">
        <f t="shared" si="0"/>
        <v>59609.85450668</v>
      </c>
      <c r="I18" s="136">
        <f t="shared" si="0"/>
        <v>113198.69475667999</v>
      </c>
      <c r="J18" s="135">
        <f t="shared" si="0"/>
        <v>82034</v>
      </c>
      <c r="K18" s="135">
        <f t="shared" si="0"/>
        <v>62599.863816666671</v>
      </c>
      <c r="L18" s="135">
        <f t="shared" si="0"/>
        <v>61141.805818829984</v>
      </c>
      <c r="M18" s="137">
        <f t="shared" si="0"/>
        <v>123741.66963549664</v>
      </c>
      <c r="N18" s="135">
        <f>SUM(N16,N14,N12,N10,N8,N6)</f>
        <v>286</v>
      </c>
      <c r="O18" s="135">
        <f>SUM(O16,O14,O12,O10,O8,O6)</f>
        <v>280</v>
      </c>
      <c r="P18" s="135">
        <f>SUM(P16,P14,P12,P10,P8,P6)</f>
        <v>232</v>
      </c>
    </row>
    <row r="19" spans="2:28" ht="15" customHeight="1" thickBot="1" x14ac:dyDescent="0.35">
      <c r="B19" s="57" t="s">
        <v>52</v>
      </c>
      <c r="C19" s="58">
        <v>4508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0.17142857142857143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12422</v>
      </c>
      <c r="D27" s="76">
        <f>C12</f>
        <v>7400</v>
      </c>
      <c r="E27" s="77">
        <f t="shared" ref="E27:E33" si="1">D27-C27</f>
        <v>-5022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36267</v>
      </c>
      <c r="D29" s="76">
        <f>C8+C13+C14+C15+C16</f>
        <v>30504</v>
      </c>
      <c r="E29" s="77">
        <f t="shared" si="1"/>
        <v>-5763</v>
      </c>
      <c r="P29" s="4"/>
    </row>
    <row r="30" spans="2:28" x14ac:dyDescent="0.3">
      <c r="B30" s="74" t="s">
        <v>21</v>
      </c>
      <c r="C30" s="122">
        <v>0</v>
      </c>
      <c r="D30" s="76">
        <f>C6</f>
        <v>108</v>
      </c>
      <c r="E30" s="77">
        <f t="shared" si="1"/>
        <v>108</v>
      </c>
      <c r="P30" s="4"/>
    </row>
    <row r="31" spans="2:28" x14ac:dyDescent="0.3">
      <c r="B31" s="74" t="s">
        <v>57</v>
      </c>
      <c r="C31" s="122">
        <v>2386</v>
      </c>
      <c r="D31" s="76">
        <f>C11</f>
        <v>2113</v>
      </c>
      <c r="E31" s="77">
        <f t="shared" si="1"/>
        <v>-273</v>
      </c>
      <c r="P31" s="4"/>
    </row>
    <row r="32" spans="2:28" x14ac:dyDescent="0.3">
      <c r="B32" s="74" t="s">
        <v>59</v>
      </c>
      <c r="C32" s="122">
        <v>15741</v>
      </c>
      <c r="D32" s="76">
        <f>C17+C18+C19</f>
        <v>16949</v>
      </c>
      <c r="E32" s="77">
        <f t="shared" si="1"/>
        <v>1208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3378</v>
      </c>
      <c r="D33" s="80">
        <f>SUM(C9+C10)</f>
        <v>3353</v>
      </c>
      <c r="E33" s="81">
        <f t="shared" si="1"/>
        <v>-25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44577</v>
      </c>
    </row>
    <row r="3" spans="2:27" ht="18.75" customHeight="1" thickBot="1" x14ac:dyDescent="0.35">
      <c r="B3" t="s">
        <v>1</v>
      </c>
      <c r="C3" s="3">
        <f>C2+1</f>
        <v>44578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9627</v>
      </c>
      <c r="G6" s="117">
        <v>3400</v>
      </c>
      <c r="H6" s="117">
        <v>1384</v>
      </c>
      <c r="I6" s="19">
        <f>G6+H6</f>
        <v>4784</v>
      </c>
      <c r="J6" s="119">
        <v>10354</v>
      </c>
      <c r="K6" s="117">
        <v>3661</v>
      </c>
      <c r="L6" s="117">
        <v>1524</v>
      </c>
      <c r="M6" s="19">
        <f>K6+L6</f>
        <v>5185</v>
      </c>
      <c r="N6" s="85">
        <v>45</v>
      </c>
      <c r="O6" s="85">
        <v>43</v>
      </c>
      <c r="P6" s="85">
        <v>37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5635</v>
      </c>
      <c r="G10" s="117">
        <v>2931</v>
      </c>
      <c r="H10" s="117">
        <v>330</v>
      </c>
      <c r="I10" s="19">
        <f>G10+H10</f>
        <v>3261</v>
      </c>
      <c r="J10" s="119">
        <v>5189</v>
      </c>
      <c r="K10" s="117">
        <v>2700</v>
      </c>
      <c r="L10" s="117">
        <v>387</v>
      </c>
      <c r="M10" s="19">
        <f>K10+L10</f>
        <v>3087</v>
      </c>
      <c r="N10" s="88">
        <v>2</v>
      </c>
      <c r="O10" s="88">
        <v>0</v>
      </c>
      <c r="P10" s="88">
        <v>0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0</v>
      </c>
      <c r="O14" s="88">
        <v>0</v>
      </c>
      <c r="P14" s="88">
        <v>0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50</v>
      </c>
      <c r="C17" s="17">
        <v>10012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695</v>
      </c>
      <c r="E18" s="84"/>
      <c r="F18" s="135">
        <f t="shared" ref="F18:M18" si="0">SUM(F6:F17)</f>
        <v>15262</v>
      </c>
      <c r="G18" s="135">
        <f t="shared" si="0"/>
        <v>6331</v>
      </c>
      <c r="H18" s="135">
        <f t="shared" si="0"/>
        <v>1714</v>
      </c>
      <c r="I18" s="136">
        <f t="shared" si="0"/>
        <v>8045</v>
      </c>
      <c r="J18" s="135">
        <f t="shared" si="0"/>
        <v>15543</v>
      </c>
      <c r="K18" s="135">
        <f t="shared" si="0"/>
        <v>6361</v>
      </c>
      <c r="L18" s="135">
        <f t="shared" si="0"/>
        <v>1911</v>
      </c>
      <c r="M18" s="137">
        <f t="shared" si="0"/>
        <v>8272</v>
      </c>
      <c r="N18" s="135">
        <f>SUM(N16,N14,N12,N10,N8,N6)</f>
        <v>47</v>
      </c>
      <c r="O18" s="135">
        <f>SUM(O16,O14,O12,O10,O8,O6)</f>
        <v>43</v>
      </c>
      <c r="P18" s="135">
        <f>SUM(P16,P14,P12,P10,P8,P6)</f>
        <v>37</v>
      </c>
    </row>
    <row r="19" spans="2:28" ht="15" customHeight="1" thickBot="1" x14ac:dyDescent="0.35">
      <c r="B19" s="57" t="s">
        <v>52</v>
      </c>
      <c r="C19" s="58">
        <v>4836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0.13953488372093023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15262</v>
      </c>
      <c r="D32" s="76">
        <f>C17+C18+C19</f>
        <v>15543</v>
      </c>
      <c r="E32" s="77">
        <f t="shared" si="1"/>
        <v>281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0</v>
      </c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44578</v>
      </c>
    </row>
    <row r="3" spans="2:27" ht="18.75" customHeight="1" thickBot="1" x14ac:dyDescent="0.35">
      <c r="B3" t="s">
        <v>1</v>
      </c>
      <c r="C3" s="3">
        <f>C2+1</f>
        <v>44579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67</v>
      </c>
      <c r="E6" s="18" t="s">
        <v>22</v>
      </c>
      <c r="F6" s="119">
        <v>25702</v>
      </c>
      <c r="G6" s="117">
        <v>13105.7649</v>
      </c>
      <c r="H6" s="117">
        <v>6556.6105280000002</v>
      </c>
      <c r="I6" s="19">
        <f>G6+H6</f>
        <v>19662.375427999999</v>
      </c>
      <c r="J6" s="119">
        <v>35682</v>
      </c>
      <c r="K6" s="117">
        <v>18170.459650000001</v>
      </c>
      <c r="L6" s="117">
        <v>7281.8007716399989</v>
      </c>
      <c r="M6" s="19">
        <f>K6+L6</f>
        <v>25452.26042164</v>
      </c>
      <c r="N6" s="85">
        <v>79</v>
      </c>
      <c r="O6" s="85">
        <v>77</v>
      </c>
      <c r="P6" s="85">
        <v>64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2113</v>
      </c>
      <c r="E8" s="140" t="s">
        <v>27</v>
      </c>
      <c r="F8" s="119">
        <v>0</v>
      </c>
      <c r="G8" s="117">
        <v>0</v>
      </c>
      <c r="H8" s="117">
        <v>4252.7508253800006</v>
      </c>
      <c r="I8" s="19">
        <f>G8+H8</f>
        <v>4252.7508253800006</v>
      </c>
      <c r="J8" s="119">
        <v>0</v>
      </c>
      <c r="K8" s="117">
        <v>0</v>
      </c>
      <c r="L8" s="117">
        <v>4678.6786324400018</v>
      </c>
      <c r="M8" s="19">
        <f>K8+L8</f>
        <v>4678.6786324400018</v>
      </c>
      <c r="N8" s="87">
        <v>8</v>
      </c>
      <c r="O8" s="87">
        <v>8</v>
      </c>
      <c r="P8" s="87">
        <v>7</v>
      </c>
    </row>
    <row r="9" spans="2:27" x14ac:dyDescent="0.3">
      <c r="B9" s="28" t="s">
        <v>26</v>
      </c>
      <c r="C9" s="17">
        <v>1883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1037</v>
      </c>
      <c r="E10" s="18" t="s">
        <v>31</v>
      </c>
      <c r="F10" s="119">
        <v>19263</v>
      </c>
      <c r="G10" s="117">
        <v>13935.611500000001</v>
      </c>
      <c r="H10" s="117">
        <v>384.35739999999998</v>
      </c>
      <c r="I10" s="19">
        <f>G10+H10</f>
        <v>14319.968900000002</v>
      </c>
      <c r="J10" s="119">
        <v>24622</v>
      </c>
      <c r="K10" s="117">
        <v>17581.050500000001</v>
      </c>
      <c r="L10" s="117">
        <v>700.5594926</v>
      </c>
      <c r="M10" s="19">
        <f>K10+L10</f>
        <v>18281.609992600002</v>
      </c>
      <c r="N10" s="88">
        <v>47</v>
      </c>
      <c r="O10" s="88">
        <v>46</v>
      </c>
      <c r="P10" s="88">
        <v>39</v>
      </c>
    </row>
    <row r="11" spans="2:27" x14ac:dyDescent="0.3">
      <c r="B11" s="16" t="s">
        <v>30</v>
      </c>
      <c r="C11" s="17">
        <v>2268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38</v>
      </c>
      <c r="C12" s="17">
        <v>10192</v>
      </c>
      <c r="E12" s="140" t="s">
        <v>35</v>
      </c>
      <c r="F12" s="119">
        <v>16198</v>
      </c>
      <c r="G12" s="117">
        <v>12761.74575</v>
      </c>
      <c r="H12" s="117">
        <v>18779.34354093</v>
      </c>
      <c r="I12" s="19">
        <f>G12+H12</f>
        <v>31541.089290930002</v>
      </c>
      <c r="J12" s="119">
        <v>16285</v>
      </c>
      <c r="K12" s="117">
        <v>14890.4565</v>
      </c>
      <c r="L12" s="117">
        <v>19161.753740020009</v>
      </c>
      <c r="M12" s="19">
        <f>K12+L12</f>
        <v>34052.210240020009</v>
      </c>
      <c r="N12" s="88">
        <v>57</v>
      </c>
      <c r="O12" s="88">
        <v>54</v>
      </c>
      <c r="P12" s="88">
        <v>41</v>
      </c>
    </row>
    <row r="13" spans="2:27" x14ac:dyDescent="0.3">
      <c r="B13" s="16" t="s">
        <v>40</v>
      </c>
      <c r="C13" s="17">
        <v>2587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3">
      <c r="B14" s="28" t="s">
        <v>42</v>
      </c>
      <c r="C14" s="17">
        <v>28057</v>
      </c>
      <c r="E14" s="18" t="s">
        <v>39</v>
      </c>
      <c r="F14" s="119">
        <v>18940</v>
      </c>
      <c r="G14" s="117">
        <v>14923.891250000001</v>
      </c>
      <c r="H14" s="117">
        <v>22979.61228071999</v>
      </c>
      <c r="I14" s="19">
        <f>G14+H14</f>
        <v>37903.503530719987</v>
      </c>
      <c r="J14" s="119">
        <v>19770</v>
      </c>
      <c r="K14" s="117">
        <v>18298.83725</v>
      </c>
      <c r="L14" s="117">
        <v>24390.552219379999</v>
      </c>
      <c r="M14" s="19">
        <f>K14+L14</f>
        <v>42689.389469379996</v>
      </c>
      <c r="N14" s="88">
        <v>69</v>
      </c>
      <c r="O14" s="88">
        <v>68</v>
      </c>
      <c r="P14" s="88">
        <v>60</v>
      </c>
    </row>
    <row r="15" spans="2:27" x14ac:dyDescent="0.3">
      <c r="B15" s="43" t="s">
        <v>47</v>
      </c>
      <c r="C15" s="17">
        <v>1397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48</v>
      </c>
      <c r="C16" s="50">
        <v>471</v>
      </c>
      <c r="E16" s="18" t="s">
        <v>79</v>
      </c>
      <c r="F16" s="119">
        <v>0</v>
      </c>
      <c r="G16" s="117">
        <v>0</v>
      </c>
      <c r="H16" s="117">
        <v>9362.9083044799991</v>
      </c>
      <c r="I16" s="19">
        <f>G16+H16</f>
        <v>9362.9083044799991</v>
      </c>
      <c r="J16" s="119">
        <v>0</v>
      </c>
      <c r="K16" s="117">
        <v>0</v>
      </c>
      <c r="L16" s="117">
        <v>9589.708200359999</v>
      </c>
      <c r="M16" s="19">
        <f>K16+L16</f>
        <v>9589.708200359999</v>
      </c>
      <c r="N16" s="88">
        <v>10</v>
      </c>
      <c r="O16" s="88">
        <v>11</v>
      </c>
      <c r="P16" s="88">
        <v>8</v>
      </c>
    </row>
    <row r="17" spans="2:28" s="4" customFormat="1" x14ac:dyDescent="0.3">
      <c r="B17" s="16" t="s">
        <v>50</v>
      </c>
      <c r="C17" s="17">
        <v>21308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974</v>
      </c>
      <c r="E18" s="84"/>
      <c r="F18" s="135">
        <f t="shared" ref="F18:M18" si="0">SUM(F6:F17)</f>
        <v>80103</v>
      </c>
      <c r="G18" s="135">
        <f t="shared" si="0"/>
        <v>54727.013400000003</v>
      </c>
      <c r="H18" s="135">
        <f t="shared" si="0"/>
        <v>62315.582879509988</v>
      </c>
      <c r="I18" s="136">
        <f t="shared" si="0"/>
        <v>117042.59627950998</v>
      </c>
      <c r="J18" s="135">
        <f t="shared" si="0"/>
        <v>96359</v>
      </c>
      <c r="K18" s="135">
        <f t="shared" si="0"/>
        <v>68940.803899999999</v>
      </c>
      <c r="L18" s="135">
        <f t="shared" si="0"/>
        <v>65803.053056440011</v>
      </c>
      <c r="M18" s="137">
        <f t="shared" si="0"/>
        <v>134743.85695644002</v>
      </c>
      <c r="N18" s="135">
        <f>SUM(N16,N14,N12,N10,N8,N6)</f>
        <v>270</v>
      </c>
      <c r="O18" s="135">
        <f>SUM(O16,O14,O12,O10,O8,O6)</f>
        <v>264</v>
      </c>
      <c r="P18" s="135">
        <f>SUM(P16,P14,P12,P10,P8,P6)</f>
        <v>219</v>
      </c>
    </row>
    <row r="19" spans="2:28" ht="15" customHeight="1" thickBot="1" x14ac:dyDescent="0.35">
      <c r="B19" s="57" t="s">
        <v>52</v>
      </c>
      <c r="C19" s="58">
        <v>8706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0.17045454545454544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11357</v>
      </c>
      <c r="D27" s="76">
        <f>C12</f>
        <v>10192</v>
      </c>
      <c r="E27" s="77">
        <f t="shared" ref="E27:E33" si="1">D27-C27</f>
        <v>-1165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38211</v>
      </c>
      <c r="D29" s="76">
        <v>38897</v>
      </c>
      <c r="E29" s="77">
        <f t="shared" si="1"/>
        <v>686</v>
      </c>
      <c r="P29" s="4"/>
    </row>
    <row r="30" spans="2:28" x14ac:dyDescent="0.3">
      <c r="B30" s="74" t="s">
        <v>21</v>
      </c>
      <c r="C30" s="122">
        <v>67</v>
      </c>
      <c r="D30" s="76">
        <f>C6</f>
        <v>67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2268</v>
      </c>
      <c r="D31" s="76">
        <f>C11</f>
        <v>2268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16303</v>
      </c>
      <c r="D32" s="76">
        <f>C17+C18+C19</f>
        <v>30988</v>
      </c>
      <c r="E32" s="77">
        <f t="shared" si="1"/>
        <v>14685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2920</v>
      </c>
      <c r="D33" s="80">
        <f>SUM(C9+C10)</f>
        <v>2920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44579</v>
      </c>
    </row>
    <row r="3" spans="2:27" ht="18.75" customHeight="1" thickBot="1" x14ac:dyDescent="0.35">
      <c r="B3" t="s">
        <v>1</v>
      </c>
      <c r="C3" s="3">
        <f>C2+1</f>
        <v>44580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108</v>
      </c>
      <c r="E6" s="18" t="s">
        <v>22</v>
      </c>
      <c r="F6" s="119">
        <v>26932</v>
      </c>
      <c r="G6" s="117">
        <v>13791.117383333331</v>
      </c>
      <c r="H6" s="117">
        <v>7748.6603523999966</v>
      </c>
      <c r="I6" s="19">
        <f>G6+H6</f>
        <v>21539.777735733325</v>
      </c>
      <c r="J6" s="119">
        <v>22263</v>
      </c>
      <c r="K6" s="117">
        <v>13515.877633333341</v>
      </c>
      <c r="L6" s="117">
        <v>7348.4830756999982</v>
      </c>
      <c r="M6" s="19">
        <f>K6+L6</f>
        <v>20864.360709033339</v>
      </c>
      <c r="N6" s="85">
        <v>88</v>
      </c>
      <c r="O6" s="85">
        <v>84</v>
      </c>
      <c r="P6" s="85">
        <v>77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3625</v>
      </c>
      <c r="E8" s="140" t="s">
        <v>27</v>
      </c>
      <c r="F8" s="119">
        <v>0</v>
      </c>
      <c r="G8" s="117">
        <v>0</v>
      </c>
      <c r="H8" s="117">
        <v>3859.2006437999999</v>
      </c>
      <c r="I8" s="19">
        <f>G8+H8</f>
        <v>3859.2006437999999</v>
      </c>
      <c r="J8" s="119">
        <v>0</v>
      </c>
      <c r="K8" s="117">
        <v>0</v>
      </c>
      <c r="L8" s="117">
        <v>4023.50688072</v>
      </c>
      <c r="M8" s="19">
        <f>K8+L8</f>
        <v>4023.50688072</v>
      </c>
      <c r="N8" s="87">
        <v>7</v>
      </c>
      <c r="O8" s="87">
        <v>7</v>
      </c>
      <c r="P8" s="87">
        <v>7</v>
      </c>
    </row>
    <row r="9" spans="2:27" x14ac:dyDescent="0.3">
      <c r="B9" s="28" t="s">
        <v>26</v>
      </c>
      <c r="C9" s="17">
        <v>1834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1181</v>
      </c>
      <c r="E10" s="18" t="s">
        <v>31</v>
      </c>
      <c r="F10" s="119">
        <v>18333</v>
      </c>
      <c r="G10" s="117">
        <v>12947.318499999999</v>
      </c>
      <c r="H10" s="117">
        <v>400.78325300000012</v>
      </c>
      <c r="I10" s="19">
        <f>G10+H10</f>
        <v>13348.101752999999</v>
      </c>
      <c r="J10" s="119">
        <v>24381</v>
      </c>
      <c r="K10" s="117">
        <v>19496.745999999999</v>
      </c>
      <c r="L10" s="117">
        <v>215.72354179999999</v>
      </c>
      <c r="M10" s="19">
        <f>K10+L10</f>
        <v>19712.469541799997</v>
      </c>
      <c r="N10" s="88">
        <v>51</v>
      </c>
      <c r="O10" s="88">
        <v>49</v>
      </c>
      <c r="P10" s="88">
        <v>48</v>
      </c>
    </row>
    <row r="11" spans="2:27" x14ac:dyDescent="0.3">
      <c r="B11" s="16" t="s">
        <v>30</v>
      </c>
      <c r="C11" s="17">
        <v>2316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38</v>
      </c>
      <c r="C12" s="17">
        <v>9986</v>
      </c>
      <c r="E12" s="140" t="s">
        <v>35</v>
      </c>
      <c r="F12" s="119">
        <v>15105</v>
      </c>
      <c r="G12" s="117">
        <v>12620.02975</v>
      </c>
      <c r="H12" s="117">
        <v>17852.98127032</v>
      </c>
      <c r="I12" s="19">
        <f>G12+H12</f>
        <v>30473.011020320002</v>
      </c>
      <c r="J12" s="119">
        <v>15335</v>
      </c>
      <c r="K12" s="117">
        <v>14127.491</v>
      </c>
      <c r="L12" s="117">
        <v>19605.691648439992</v>
      </c>
      <c r="M12" s="19">
        <f>K12+L12</f>
        <v>33733.182648439993</v>
      </c>
      <c r="N12" s="88">
        <v>56</v>
      </c>
      <c r="O12" s="88">
        <v>53</v>
      </c>
      <c r="P12" s="88">
        <v>43</v>
      </c>
    </row>
    <row r="13" spans="2:27" x14ac:dyDescent="0.3">
      <c r="B13" s="16" t="s">
        <v>40</v>
      </c>
      <c r="C13" s="17">
        <v>4323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28" t="s">
        <v>42</v>
      </c>
      <c r="C14" s="17">
        <v>26671</v>
      </c>
      <c r="E14" s="18" t="s">
        <v>39</v>
      </c>
      <c r="F14" s="119">
        <v>19687</v>
      </c>
      <c r="G14" s="117">
        <v>15642.965749999999</v>
      </c>
      <c r="H14" s="117">
        <v>23801.064951380009</v>
      </c>
      <c r="I14" s="19">
        <f>G14+H14</f>
        <v>39444.030701380005</v>
      </c>
      <c r="J14" s="119">
        <v>20605</v>
      </c>
      <c r="K14" s="117">
        <v>18709.424500000001</v>
      </c>
      <c r="L14" s="117">
        <v>25492.14672238001</v>
      </c>
      <c r="M14" s="19">
        <f>K14+L14</f>
        <v>44201.571222380007</v>
      </c>
      <c r="N14" s="88">
        <v>70</v>
      </c>
      <c r="O14" s="88">
        <v>68</v>
      </c>
      <c r="P14" s="88">
        <v>58</v>
      </c>
    </row>
    <row r="15" spans="2:27" x14ac:dyDescent="0.3">
      <c r="B15" s="43" t="s">
        <v>47</v>
      </c>
      <c r="C15" s="17">
        <v>2433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48</v>
      </c>
      <c r="C16" s="50">
        <v>692</v>
      </c>
      <c r="E16" s="18" t="s">
        <v>79</v>
      </c>
      <c r="F16" s="119">
        <v>0</v>
      </c>
      <c r="G16" s="117">
        <v>0</v>
      </c>
      <c r="H16" s="117">
        <v>5583.8509389199999</v>
      </c>
      <c r="I16" s="19">
        <f>G16+H16</f>
        <v>5583.8509389199999</v>
      </c>
      <c r="J16" s="119">
        <v>0</v>
      </c>
      <c r="K16" s="117">
        <v>0</v>
      </c>
      <c r="L16" s="117">
        <v>11519.0987234</v>
      </c>
      <c r="M16" s="19">
        <f>K16+L16</f>
        <v>11519.0987234</v>
      </c>
      <c r="N16" s="88">
        <v>11</v>
      </c>
      <c r="O16" s="88">
        <v>12</v>
      </c>
      <c r="P16" s="88">
        <v>10</v>
      </c>
    </row>
    <row r="17" spans="2:28" s="4" customFormat="1" x14ac:dyDescent="0.3">
      <c r="B17" s="16" t="s">
        <v>50</v>
      </c>
      <c r="C17" s="17">
        <v>6396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705</v>
      </c>
      <c r="E18" s="84"/>
      <c r="F18" s="135">
        <f t="shared" ref="F18:M18" si="0">SUM(F6:F17)</f>
        <v>80057</v>
      </c>
      <c r="G18" s="135">
        <f t="shared" si="0"/>
        <v>55001.431383333329</v>
      </c>
      <c r="H18" s="135">
        <f t="shared" si="0"/>
        <v>59246.541409820005</v>
      </c>
      <c r="I18" s="136">
        <f t="shared" si="0"/>
        <v>114247.97279315334</v>
      </c>
      <c r="J18" s="135">
        <f t="shared" si="0"/>
        <v>82584</v>
      </c>
      <c r="K18" s="135">
        <f t="shared" si="0"/>
        <v>65849.539133333339</v>
      </c>
      <c r="L18" s="135">
        <f t="shared" si="0"/>
        <v>68204.650592440012</v>
      </c>
      <c r="M18" s="137">
        <f t="shared" si="0"/>
        <v>134054.18972577335</v>
      </c>
      <c r="N18" s="135">
        <f>SUM(N16,N14,N12,N10,N8,N6)</f>
        <v>283</v>
      </c>
      <c r="O18" s="135">
        <f>SUM(O16,O14,O12,O10,O8,O6)</f>
        <v>273</v>
      </c>
      <c r="P18" s="135">
        <f>SUM(P16,P14,P12,P10,P8,P6)</f>
        <v>243</v>
      </c>
    </row>
    <row r="19" spans="2:28" ht="15" customHeight="1" thickBot="1" x14ac:dyDescent="0.35">
      <c r="B19" s="57" t="s">
        <v>52</v>
      </c>
      <c r="C19" s="58">
        <v>2682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30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0.10989010989010989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11458</v>
      </c>
      <c r="D27" s="76">
        <f>C12</f>
        <v>9986</v>
      </c>
      <c r="E27" s="77">
        <f t="shared" ref="E27:E33" si="1">D27-C27</f>
        <v>-1472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35872</v>
      </c>
      <c r="D29" s="76">
        <f>C8+C13+C14+C15+C16</f>
        <v>37744</v>
      </c>
      <c r="E29" s="77">
        <f t="shared" si="1"/>
        <v>1872</v>
      </c>
      <c r="P29" s="4"/>
    </row>
    <row r="30" spans="2:28" x14ac:dyDescent="0.3">
      <c r="B30" s="74" t="s">
        <v>21</v>
      </c>
      <c r="C30" s="122">
        <v>108</v>
      </c>
      <c r="D30" s="76">
        <f>C6</f>
        <v>108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2316</v>
      </c>
      <c r="D31" s="76">
        <f>C11</f>
        <v>2316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16680</v>
      </c>
      <c r="D32" s="76">
        <f>C17+C18+C19</f>
        <v>9783</v>
      </c>
      <c r="E32" s="77">
        <f t="shared" si="1"/>
        <v>-6897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3015</v>
      </c>
      <c r="D33" s="80">
        <f>SUM(C9+C10)</f>
        <v>3015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44580</v>
      </c>
    </row>
    <row r="3" spans="2:27" ht="18.75" customHeight="1" thickBot="1" x14ac:dyDescent="0.35">
      <c r="B3" t="s">
        <v>1</v>
      </c>
      <c r="C3" s="3">
        <f>C2+1</f>
        <v>44581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95</v>
      </c>
    </row>
    <row r="6" spans="2:27" x14ac:dyDescent="0.3">
      <c r="B6" s="16" t="s">
        <v>21</v>
      </c>
      <c r="C6" s="17">
        <v>63</v>
      </c>
      <c r="E6" s="18" t="s">
        <v>22</v>
      </c>
      <c r="F6" s="119">
        <v>24128</v>
      </c>
      <c r="G6" s="117">
        <v>13261.961499999999</v>
      </c>
      <c r="H6" s="117">
        <v>6711.0965528999996</v>
      </c>
      <c r="I6" s="19">
        <f>G6+H6</f>
        <v>19973.0580529</v>
      </c>
      <c r="J6" s="119">
        <v>29626</v>
      </c>
      <c r="K6" s="117">
        <v>16556.7245</v>
      </c>
      <c r="L6" s="117">
        <v>6855.86652546</v>
      </c>
      <c r="M6" s="19">
        <f>K6+L6</f>
        <v>23412.591025460002</v>
      </c>
      <c r="N6" s="85">
        <v>78</v>
      </c>
      <c r="O6" s="85">
        <v>79</v>
      </c>
      <c r="P6" s="85">
        <v>66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2173</v>
      </c>
      <c r="E8" s="140" t="s">
        <v>27</v>
      </c>
      <c r="F8" s="119">
        <v>0</v>
      </c>
      <c r="G8" s="117">
        <v>0</v>
      </c>
      <c r="H8" s="117">
        <v>4100.1375471600004</v>
      </c>
      <c r="I8" s="19">
        <f>G8+H8</f>
        <v>4100.1375471600004</v>
      </c>
      <c r="J8" s="119">
        <v>0</v>
      </c>
      <c r="K8" s="117">
        <v>0</v>
      </c>
      <c r="L8" s="117">
        <v>4312.9323062799986</v>
      </c>
      <c r="M8" s="19">
        <f>K8+L8</f>
        <v>4312.9323062799986</v>
      </c>
      <c r="N8" s="87">
        <v>5</v>
      </c>
      <c r="O8" s="87">
        <v>5</v>
      </c>
      <c r="P8" s="87">
        <v>3</v>
      </c>
    </row>
    <row r="9" spans="2:27" x14ac:dyDescent="0.3">
      <c r="B9" s="28" t="s">
        <v>26</v>
      </c>
      <c r="C9" s="17">
        <v>1969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1173</v>
      </c>
      <c r="E10" s="18" t="s">
        <v>31</v>
      </c>
      <c r="F10" s="119">
        <v>18925</v>
      </c>
      <c r="G10" s="117">
        <v>14211.457</v>
      </c>
      <c r="H10" s="117">
        <v>352.15316300000001</v>
      </c>
      <c r="I10" s="19">
        <f>G10+H10</f>
        <v>14563.610163000001</v>
      </c>
      <c r="J10" s="119">
        <v>20318</v>
      </c>
      <c r="K10" s="117">
        <v>15416.190500000001</v>
      </c>
      <c r="L10" s="117">
        <v>452.83330039999998</v>
      </c>
      <c r="M10" s="19">
        <f>K10+L10</f>
        <v>15869.0238004</v>
      </c>
      <c r="N10" s="88">
        <v>43</v>
      </c>
      <c r="O10" s="88">
        <v>43</v>
      </c>
      <c r="P10" s="88">
        <v>38</v>
      </c>
    </row>
    <row r="11" spans="2:27" x14ac:dyDescent="0.3">
      <c r="B11" s="16" t="s">
        <v>30</v>
      </c>
      <c r="C11" s="17">
        <v>2266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38</v>
      </c>
      <c r="C12" s="17">
        <v>10564</v>
      </c>
      <c r="E12" s="140" t="s">
        <v>35</v>
      </c>
      <c r="F12" s="119">
        <v>14343</v>
      </c>
      <c r="G12" s="117">
        <v>10924.62775</v>
      </c>
      <c r="H12" s="117">
        <v>16795.36444102</v>
      </c>
      <c r="I12" s="19">
        <f>G12+H12</f>
        <v>27719.992191019999</v>
      </c>
      <c r="J12" s="119">
        <v>14406</v>
      </c>
      <c r="K12" s="117">
        <v>12865.4935</v>
      </c>
      <c r="L12" s="117">
        <v>17217.63231248999</v>
      </c>
      <c r="M12" s="19">
        <f>K12+L12</f>
        <v>30083.12581248999</v>
      </c>
      <c r="N12" s="88">
        <v>54</v>
      </c>
      <c r="O12" s="88">
        <v>53</v>
      </c>
      <c r="P12" s="88">
        <v>43</v>
      </c>
    </row>
    <row r="13" spans="2:27" x14ac:dyDescent="0.3">
      <c r="B13" s="16" t="s">
        <v>40</v>
      </c>
      <c r="C13" s="17">
        <v>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28" t="s">
        <v>42</v>
      </c>
      <c r="C14" s="17">
        <v>28634</v>
      </c>
      <c r="E14" s="18" t="s">
        <v>39</v>
      </c>
      <c r="F14" s="119">
        <v>19942</v>
      </c>
      <c r="G14" s="117">
        <v>14580.592500000001</v>
      </c>
      <c r="H14" s="117">
        <v>23246.745934099999</v>
      </c>
      <c r="I14" s="19">
        <f>G14+H14</f>
        <v>37827.338434099998</v>
      </c>
      <c r="J14" s="119">
        <v>20504</v>
      </c>
      <c r="K14" s="117">
        <v>18411.815500000001</v>
      </c>
      <c r="L14" s="117">
        <v>23961.994793540001</v>
      </c>
      <c r="M14" s="19">
        <f>K14+L14</f>
        <v>42373.810293540002</v>
      </c>
      <c r="N14" s="88">
        <v>67</v>
      </c>
      <c r="O14" s="88">
        <v>65</v>
      </c>
      <c r="P14" s="88">
        <v>54</v>
      </c>
    </row>
    <row r="15" spans="2:27" x14ac:dyDescent="0.3">
      <c r="B15" s="43" t="s">
        <v>47</v>
      </c>
      <c r="C15" s="17">
        <v>1477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48</v>
      </c>
      <c r="C16" s="50">
        <v>521</v>
      </c>
      <c r="E16" s="18" t="s">
        <v>79</v>
      </c>
      <c r="F16" s="119">
        <v>0</v>
      </c>
      <c r="G16" s="117">
        <v>0</v>
      </c>
      <c r="H16" s="117">
        <v>9464.6862581799996</v>
      </c>
      <c r="I16" s="19">
        <f>G16+H16</f>
        <v>9464.6862581799996</v>
      </c>
      <c r="J16" s="119">
        <v>0</v>
      </c>
      <c r="K16" s="117">
        <v>0</v>
      </c>
      <c r="L16" s="117">
        <v>9825.2168087999999</v>
      </c>
      <c r="M16" s="19">
        <f>K16+L16</f>
        <v>9825.2168087999999</v>
      </c>
      <c r="N16" s="88">
        <v>10</v>
      </c>
      <c r="O16" s="88">
        <v>12</v>
      </c>
      <c r="P16" s="88">
        <v>9</v>
      </c>
    </row>
    <row r="17" spans="2:28" s="4" customFormat="1" x14ac:dyDescent="0.3">
      <c r="B17" s="16" t="s">
        <v>50</v>
      </c>
      <c r="C17" s="17">
        <v>13401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1197</v>
      </c>
      <c r="E18" s="84"/>
      <c r="F18" s="135">
        <f t="shared" ref="F18:M18" si="0">SUM(F6:F17)</f>
        <v>77338</v>
      </c>
      <c r="G18" s="135">
        <f t="shared" si="0"/>
        <v>52978.638749999998</v>
      </c>
      <c r="H18" s="135">
        <f t="shared" si="0"/>
        <v>60670.183896360002</v>
      </c>
      <c r="I18" s="136">
        <f t="shared" si="0"/>
        <v>113648.82264635999</v>
      </c>
      <c r="J18" s="135">
        <f t="shared" si="0"/>
        <v>84854</v>
      </c>
      <c r="K18" s="135">
        <f t="shared" si="0"/>
        <v>63250.224000000002</v>
      </c>
      <c r="L18" s="135">
        <f t="shared" si="0"/>
        <v>62626.476046969998</v>
      </c>
      <c r="M18" s="137">
        <f t="shared" si="0"/>
        <v>125876.70004697001</v>
      </c>
      <c r="N18" s="135">
        <f>SUM(N16,N14,N12,N10,N8,N6)</f>
        <v>257</v>
      </c>
      <c r="O18" s="135">
        <f>SUM(O16,O14,O12,O10,O8,O6)</f>
        <v>257</v>
      </c>
      <c r="P18" s="135">
        <f>SUM(P16,P14,P12,P10,P8,P6)</f>
        <v>213</v>
      </c>
    </row>
    <row r="19" spans="2:28" ht="15" customHeight="1" thickBot="1" x14ac:dyDescent="0.35">
      <c r="B19" s="57" t="s">
        <v>52</v>
      </c>
      <c r="C19" s="58">
        <v>6018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0.17120622568093385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11877</v>
      </c>
      <c r="D27" s="76">
        <f>C12</f>
        <v>10564</v>
      </c>
      <c r="E27" s="77">
        <f t="shared" ref="E27:E33" si="1">D27-C27</f>
        <v>-1313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20</v>
      </c>
      <c r="E28" s="77">
        <f t="shared" si="1"/>
        <v>20</v>
      </c>
      <c r="M28" s="4"/>
    </row>
    <row r="29" spans="2:28" x14ac:dyDescent="0.3">
      <c r="B29" s="74" t="s">
        <v>56</v>
      </c>
      <c r="C29" s="122">
        <v>36232</v>
      </c>
      <c r="D29" s="76">
        <f>C8+C13+C14+C15+C16</f>
        <v>35373</v>
      </c>
      <c r="E29" s="77">
        <f t="shared" si="1"/>
        <v>-859</v>
      </c>
      <c r="P29" s="4"/>
    </row>
    <row r="30" spans="2:28" x14ac:dyDescent="0.3">
      <c r="B30" s="74" t="s">
        <v>21</v>
      </c>
      <c r="C30" s="122">
        <v>0</v>
      </c>
      <c r="D30" s="76">
        <f>C6</f>
        <v>63</v>
      </c>
      <c r="E30" s="77">
        <f t="shared" si="1"/>
        <v>63</v>
      </c>
      <c r="P30" s="4"/>
    </row>
    <row r="31" spans="2:28" x14ac:dyDescent="0.3">
      <c r="B31" s="74" t="s">
        <v>57</v>
      </c>
      <c r="C31" s="122">
        <v>2266</v>
      </c>
      <c r="D31" s="76">
        <f>C11</f>
        <v>2266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15905</v>
      </c>
      <c r="D32" s="76">
        <f>C17+C18+C19</f>
        <v>20616</v>
      </c>
      <c r="E32" s="77">
        <f t="shared" si="1"/>
        <v>4711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3651</v>
      </c>
      <c r="D33" s="80">
        <f>SUM(C9+C10)</f>
        <v>3142</v>
      </c>
      <c r="E33" s="81">
        <f t="shared" si="1"/>
        <v>-509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44581</v>
      </c>
    </row>
    <row r="3" spans="2:27" ht="18.75" customHeight="1" thickBot="1" x14ac:dyDescent="0.35">
      <c r="B3" t="s">
        <v>1</v>
      </c>
      <c r="C3" s="3">
        <f>C2+1</f>
        <v>44582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96</v>
      </c>
    </row>
    <row r="6" spans="2:27" x14ac:dyDescent="0.3">
      <c r="B6" s="16" t="s">
        <v>21</v>
      </c>
      <c r="C6" s="17">
        <v>85</v>
      </c>
      <c r="E6" s="18" t="s">
        <v>22</v>
      </c>
      <c r="F6" s="119">
        <v>26022</v>
      </c>
      <c r="G6" s="117">
        <v>14015.824166666671</v>
      </c>
      <c r="H6" s="117">
        <v>7460.7869663199926</v>
      </c>
      <c r="I6" s="19">
        <f>G6+H6</f>
        <v>21476.611132986662</v>
      </c>
      <c r="J6" s="119">
        <v>27771</v>
      </c>
      <c r="K6" s="117">
        <v>14785.82616666666</v>
      </c>
      <c r="L6" s="117">
        <v>7455.4739485999971</v>
      </c>
      <c r="M6" s="19">
        <f>K6+L6</f>
        <v>22241.300115266658</v>
      </c>
      <c r="N6" s="85">
        <v>82</v>
      </c>
      <c r="O6" s="85">
        <v>79</v>
      </c>
      <c r="P6" s="85">
        <v>73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1649</v>
      </c>
      <c r="E8" s="140" t="s">
        <v>27</v>
      </c>
      <c r="F8" s="119">
        <v>0</v>
      </c>
      <c r="G8" s="117">
        <v>0</v>
      </c>
      <c r="H8" s="117">
        <v>3898.2681360799988</v>
      </c>
      <c r="I8" s="19">
        <f>G8+H8</f>
        <v>3898.2681360799988</v>
      </c>
      <c r="J8" s="119">
        <v>0</v>
      </c>
      <c r="K8" s="117">
        <v>0</v>
      </c>
      <c r="L8" s="117">
        <v>3975.3124682799989</v>
      </c>
      <c r="M8" s="19">
        <f>K8+L8</f>
        <v>3975.3124682799989</v>
      </c>
      <c r="N8" s="87">
        <v>5</v>
      </c>
      <c r="O8" s="87">
        <v>5</v>
      </c>
      <c r="P8" s="87">
        <v>5</v>
      </c>
    </row>
    <row r="9" spans="2:27" x14ac:dyDescent="0.3">
      <c r="B9" s="28" t="s">
        <v>26</v>
      </c>
      <c r="C9" s="17">
        <v>1802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1248</v>
      </c>
      <c r="E10" s="18" t="s">
        <v>31</v>
      </c>
      <c r="F10" s="119">
        <v>18445</v>
      </c>
      <c r="G10" s="117">
        <v>12639.922</v>
      </c>
      <c r="H10" s="117">
        <v>357.30563999999998</v>
      </c>
      <c r="I10" s="19">
        <f>G10+H10</f>
        <v>12997.227640000001</v>
      </c>
      <c r="J10" s="119">
        <v>18119</v>
      </c>
      <c r="K10" s="117">
        <v>13193.406000000001</v>
      </c>
      <c r="L10" s="117">
        <v>329.48436939999999</v>
      </c>
      <c r="M10" s="19">
        <f>K10+L10</f>
        <v>13522.8903694</v>
      </c>
      <c r="N10" s="88">
        <v>52</v>
      </c>
      <c r="O10" s="88">
        <v>53</v>
      </c>
      <c r="P10" s="88">
        <v>45</v>
      </c>
    </row>
    <row r="11" spans="2:27" x14ac:dyDescent="0.3">
      <c r="B11" s="16" t="s">
        <v>30</v>
      </c>
      <c r="C11" s="17">
        <v>3692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38</v>
      </c>
      <c r="C12" s="17">
        <v>10614</v>
      </c>
      <c r="E12" s="140" t="s">
        <v>35</v>
      </c>
      <c r="F12" s="119">
        <v>14799</v>
      </c>
      <c r="G12" s="117">
        <v>11528.236999999999</v>
      </c>
      <c r="H12" s="117">
        <v>17604.497281690001</v>
      </c>
      <c r="I12" s="19">
        <f>G12+H12</f>
        <v>29132.734281689998</v>
      </c>
      <c r="J12" s="119">
        <v>14804</v>
      </c>
      <c r="K12" s="117">
        <v>13395.568499999999</v>
      </c>
      <c r="L12" s="117">
        <v>17791.21627914999</v>
      </c>
      <c r="M12" s="19">
        <f>K12+L12</f>
        <v>31186.784779149988</v>
      </c>
      <c r="N12" s="88">
        <v>52</v>
      </c>
      <c r="O12" s="88">
        <v>45</v>
      </c>
      <c r="P12" s="88">
        <v>41</v>
      </c>
    </row>
    <row r="13" spans="2:27" x14ac:dyDescent="0.3">
      <c r="B13" s="16" t="s">
        <v>40</v>
      </c>
      <c r="C13" s="17">
        <v>1802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28" t="s">
        <v>42</v>
      </c>
      <c r="C14" s="17">
        <v>24342</v>
      </c>
      <c r="E14" s="18" t="s">
        <v>39</v>
      </c>
      <c r="F14" s="119">
        <v>23778</v>
      </c>
      <c r="G14" s="117">
        <v>17162.843250000002</v>
      </c>
      <c r="H14" s="117">
        <v>27907.284332019979</v>
      </c>
      <c r="I14" s="19">
        <f>G14+H14</f>
        <v>45070.127582019981</v>
      </c>
      <c r="J14" s="119">
        <v>23687</v>
      </c>
      <c r="K14" s="117">
        <v>17729.263749999998</v>
      </c>
      <c r="L14" s="117">
        <v>27839.58207471998</v>
      </c>
      <c r="M14" s="19">
        <f>K14+L14</f>
        <v>45568.845824719974</v>
      </c>
      <c r="N14" s="88">
        <v>68</v>
      </c>
      <c r="O14" s="88">
        <v>66</v>
      </c>
      <c r="P14" s="88">
        <v>56</v>
      </c>
    </row>
    <row r="15" spans="2:27" x14ac:dyDescent="0.3">
      <c r="B15" s="43" t="s">
        <v>47</v>
      </c>
      <c r="C15" s="17">
        <v>1043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48</v>
      </c>
      <c r="C16" s="50">
        <v>262</v>
      </c>
      <c r="E16" s="18" t="s">
        <v>79</v>
      </c>
      <c r="F16" s="119">
        <v>0</v>
      </c>
      <c r="G16" s="117">
        <v>0</v>
      </c>
      <c r="H16" s="117">
        <v>5836.6953429599998</v>
      </c>
      <c r="I16" s="19">
        <f>G16+H16</f>
        <v>5836.6953429599998</v>
      </c>
      <c r="J16" s="119">
        <v>0</v>
      </c>
      <c r="K16" s="117">
        <v>0</v>
      </c>
      <c r="L16" s="117">
        <v>5937.1897559400004</v>
      </c>
      <c r="M16" s="19">
        <f>K16+L16</f>
        <v>5937.1897559400004</v>
      </c>
      <c r="N16" s="88">
        <v>13</v>
      </c>
      <c r="O16" s="88">
        <v>10</v>
      </c>
      <c r="P16" s="88">
        <v>11</v>
      </c>
    </row>
    <row r="17" spans="2:28" s="4" customFormat="1" x14ac:dyDescent="0.3">
      <c r="B17" s="16" t="s">
        <v>50</v>
      </c>
      <c r="C17" s="17">
        <v>8831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1634</v>
      </c>
      <c r="E18" s="84"/>
      <c r="F18" s="135">
        <f t="shared" ref="F18:M18" si="0">SUM(F6:F17)</f>
        <v>83044</v>
      </c>
      <c r="G18" s="135">
        <f t="shared" si="0"/>
        <v>55346.826416666678</v>
      </c>
      <c r="H18" s="135">
        <f t="shared" si="0"/>
        <v>63064.837699069962</v>
      </c>
      <c r="I18" s="136">
        <f t="shared" si="0"/>
        <v>118411.66411573662</v>
      </c>
      <c r="J18" s="135">
        <f t="shared" si="0"/>
        <v>84381</v>
      </c>
      <c r="K18" s="135">
        <f t="shared" si="0"/>
        <v>59104.064416666661</v>
      </c>
      <c r="L18" s="135">
        <f t="shared" si="0"/>
        <v>63328.258896089967</v>
      </c>
      <c r="M18" s="137">
        <f t="shared" si="0"/>
        <v>122432.32331275662</v>
      </c>
      <c r="N18" s="135">
        <f>SUM(N16,N14,N12,N10,N8,N6)</f>
        <v>272</v>
      </c>
      <c r="O18" s="135">
        <f>SUM(O16,O14,O12,O10,O8,O6)</f>
        <v>258</v>
      </c>
      <c r="P18" s="135">
        <f>SUM(P16,P14,P12,P10,P8,P6)</f>
        <v>231</v>
      </c>
    </row>
    <row r="19" spans="2:28" ht="15" customHeight="1" thickBot="1" x14ac:dyDescent="0.35">
      <c r="B19" s="57" t="s">
        <v>52</v>
      </c>
      <c r="C19" s="58">
        <v>4418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0.10465116279069768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11892</v>
      </c>
      <c r="D27" s="76">
        <f>C12</f>
        <v>10614</v>
      </c>
      <c r="E27" s="77">
        <f t="shared" ref="E27:E33" si="1">D27-C27</f>
        <v>-1278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34558</v>
      </c>
      <c r="D29" s="76">
        <f>C8+C13+C14+C15+C16</f>
        <v>29098</v>
      </c>
      <c r="E29" s="77">
        <f t="shared" si="1"/>
        <v>-5460</v>
      </c>
      <c r="P29" s="4"/>
    </row>
    <row r="30" spans="2:28" x14ac:dyDescent="0.3">
      <c r="B30" s="74" t="s">
        <v>21</v>
      </c>
      <c r="C30" s="122">
        <v>85</v>
      </c>
      <c r="D30" s="76">
        <f>C6</f>
        <v>85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3692</v>
      </c>
      <c r="D31" s="76">
        <f>C11</f>
        <v>3692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15740</v>
      </c>
      <c r="D32" s="76">
        <f>C17+C18+C19</f>
        <v>14883</v>
      </c>
      <c r="E32" s="77">
        <f t="shared" si="1"/>
        <v>-857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3618</v>
      </c>
      <c r="D33" s="80">
        <f>SUM(C9+C10)</f>
        <v>3050</v>
      </c>
      <c r="E33" s="81">
        <f t="shared" si="1"/>
        <v>-568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44582</v>
      </c>
    </row>
    <row r="3" spans="2:27" ht="18.75" customHeight="1" thickBot="1" x14ac:dyDescent="0.35">
      <c r="B3" t="s">
        <v>1</v>
      </c>
      <c r="C3" s="3">
        <f>C2+1</f>
        <v>44583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97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21892</v>
      </c>
      <c r="G6" s="117">
        <v>13023.8845</v>
      </c>
      <c r="H6" s="117">
        <v>5428.5874359000036</v>
      </c>
      <c r="I6" s="19">
        <f>G6+H6</f>
        <v>18452.471935900005</v>
      </c>
      <c r="J6" s="119">
        <v>21938</v>
      </c>
      <c r="K6" s="117">
        <v>13732.676750000001</v>
      </c>
      <c r="L6" s="117">
        <v>5172.7090072200017</v>
      </c>
      <c r="M6" s="19">
        <f>K6+L6</f>
        <v>18905.385757220003</v>
      </c>
      <c r="N6" s="85">
        <v>79</v>
      </c>
      <c r="O6" s="85">
        <v>76</v>
      </c>
      <c r="P6" s="85">
        <v>65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2373</v>
      </c>
      <c r="E8" s="140" t="s">
        <v>27</v>
      </c>
      <c r="F8" s="119">
        <v>0</v>
      </c>
      <c r="G8" s="117">
        <v>0</v>
      </c>
      <c r="H8" s="117">
        <v>4080.3368390999999</v>
      </c>
      <c r="I8" s="19">
        <f>G8+H8</f>
        <v>4080.3368390999999</v>
      </c>
      <c r="J8" s="119">
        <v>0</v>
      </c>
      <c r="K8" s="117">
        <v>0</v>
      </c>
      <c r="L8" s="117">
        <v>3990.0253448399999</v>
      </c>
      <c r="M8" s="19">
        <f>K8+L8</f>
        <v>3990.0253448399999</v>
      </c>
      <c r="N8" s="87">
        <v>8</v>
      </c>
      <c r="O8" s="87">
        <v>8</v>
      </c>
      <c r="P8" s="87">
        <v>8</v>
      </c>
    </row>
    <row r="9" spans="2:27" x14ac:dyDescent="0.3">
      <c r="B9" s="28" t="s">
        <v>26</v>
      </c>
      <c r="C9" s="17">
        <v>1968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1176</v>
      </c>
      <c r="E10" s="18" t="s">
        <v>31</v>
      </c>
      <c r="F10" s="119">
        <v>17868</v>
      </c>
      <c r="G10" s="117">
        <v>14421.92</v>
      </c>
      <c r="H10" s="117">
        <v>319.64030420000012</v>
      </c>
      <c r="I10" s="19">
        <f>G10+H10</f>
        <v>14741.5603042</v>
      </c>
      <c r="J10" s="119">
        <v>18059</v>
      </c>
      <c r="K10" s="117">
        <v>14582.276</v>
      </c>
      <c r="L10" s="117">
        <v>323.45799440000002</v>
      </c>
      <c r="M10" s="19">
        <f>K10+L10</f>
        <v>14905.7339944</v>
      </c>
      <c r="N10" s="88">
        <v>49</v>
      </c>
      <c r="O10" s="88">
        <v>49</v>
      </c>
      <c r="P10" s="88">
        <v>42</v>
      </c>
    </row>
    <row r="11" spans="2:27" x14ac:dyDescent="0.3">
      <c r="B11" s="16" t="s">
        <v>30</v>
      </c>
      <c r="C11" s="17">
        <v>3091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38</v>
      </c>
      <c r="C12" s="17">
        <v>10136</v>
      </c>
      <c r="E12" s="140" t="s">
        <v>35</v>
      </c>
      <c r="F12" s="119">
        <v>15257</v>
      </c>
      <c r="G12" s="117">
        <v>11834.142750000001</v>
      </c>
      <c r="H12" s="117">
        <v>18244.931182560009</v>
      </c>
      <c r="I12" s="19">
        <f>G12+H12</f>
        <v>30079.073932560008</v>
      </c>
      <c r="J12" s="119">
        <v>15362</v>
      </c>
      <c r="K12" s="117">
        <v>14429.0285</v>
      </c>
      <c r="L12" s="117">
        <v>18359.213398339991</v>
      </c>
      <c r="M12" s="19">
        <f>K12+L12</f>
        <v>32788.241898339991</v>
      </c>
      <c r="N12" s="88">
        <v>57</v>
      </c>
      <c r="O12" s="88">
        <v>52</v>
      </c>
      <c r="P12" s="88">
        <v>44</v>
      </c>
    </row>
    <row r="13" spans="2:27" x14ac:dyDescent="0.3">
      <c r="B13" s="16" t="s">
        <v>40</v>
      </c>
      <c r="C13" s="17">
        <v>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28" t="s">
        <v>42</v>
      </c>
      <c r="C14" s="17"/>
      <c r="E14" s="18" t="s">
        <v>39</v>
      </c>
      <c r="F14" s="119">
        <v>22790</v>
      </c>
      <c r="G14" s="117">
        <v>16181.95875</v>
      </c>
      <c r="H14" s="117">
        <v>26869.90927987999</v>
      </c>
      <c r="I14" s="19">
        <f>G14+H14</f>
        <v>43051.868029879988</v>
      </c>
      <c r="J14" s="119">
        <v>23599</v>
      </c>
      <c r="K14" s="117">
        <v>20701.90725</v>
      </c>
      <c r="L14" s="117">
        <v>27989.847416439989</v>
      </c>
      <c r="M14" s="19">
        <f>K14+L14</f>
        <v>48691.754666439985</v>
      </c>
      <c r="N14" s="88">
        <v>69</v>
      </c>
      <c r="O14" s="88">
        <v>68</v>
      </c>
      <c r="P14" s="88">
        <v>53</v>
      </c>
    </row>
    <row r="15" spans="2:27" x14ac:dyDescent="0.3">
      <c r="B15" s="43" t="s">
        <v>47</v>
      </c>
      <c r="C15" s="17">
        <v>2036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3">
      <c r="B16" s="43" t="s">
        <v>48</v>
      </c>
      <c r="C16" s="50">
        <v>521</v>
      </c>
      <c r="E16" s="18" t="s">
        <v>79</v>
      </c>
      <c r="F16" s="119">
        <v>0</v>
      </c>
      <c r="G16" s="117">
        <v>0</v>
      </c>
      <c r="H16" s="117">
        <v>10048.513968720001</v>
      </c>
      <c r="I16" s="19">
        <f>G16+H16</f>
        <v>10048.513968720001</v>
      </c>
      <c r="J16" s="119">
        <v>0</v>
      </c>
      <c r="K16" s="117">
        <v>0</v>
      </c>
      <c r="L16" s="117">
        <v>10170.6798805</v>
      </c>
      <c r="M16" s="19">
        <f>K16+L16</f>
        <v>10170.6798805</v>
      </c>
      <c r="N16" s="88">
        <v>14</v>
      </c>
      <c r="O16" s="88">
        <v>13</v>
      </c>
      <c r="P16" s="88">
        <v>12</v>
      </c>
    </row>
    <row r="17" spans="2:28" s="4" customFormat="1" x14ac:dyDescent="0.3">
      <c r="B17" s="16" t="s">
        <v>50</v>
      </c>
      <c r="C17" s="17">
        <v>9897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392</v>
      </c>
      <c r="E18" s="84"/>
      <c r="F18" s="135">
        <f t="shared" ref="F18:M18" si="0">SUM(F6:F17)</f>
        <v>77807</v>
      </c>
      <c r="G18" s="135">
        <f t="shared" si="0"/>
        <v>55461.905999999995</v>
      </c>
      <c r="H18" s="135">
        <f t="shared" si="0"/>
        <v>64991.919010359998</v>
      </c>
      <c r="I18" s="136">
        <f t="shared" si="0"/>
        <v>120453.82501036</v>
      </c>
      <c r="J18" s="135">
        <f t="shared" si="0"/>
        <v>78958</v>
      </c>
      <c r="K18" s="135">
        <f t="shared" si="0"/>
        <v>63445.888500000001</v>
      </c>
      <c r="L18" s="135">
        <f t="shared" si="0"/>
        <v>66005.933041739976</v>
      </c>
      <c r="M18" s="137">
        <f t="shared" si="0"/>
        <v>129451.82154173998</v>
      </c>
      <c r="N18" s="135">
        <f>SUM(N16,N14,N12,N10,N8,N6)</f>
        <v>276</v>
      </c>
      <c r="O18" s="135">
        <f>SUM(O16,O14,O12,O10,O8,O6)</f>
        <v>266</v>
      </c>
      <c r="P18" s="135">
        <f>SUM(P16,P14,P12,P10,P8,P6)</f>
        <v>224</v>
      </c>
    </row>
    <row r="19" spans="2:28" ht="15" customHeight="1" thickBot="1" x14ac:dyDescent="0.35">
      <c r="B19" s="57" t="s">
        <v>52</v>
      </c>
      <c r="C19" s="58">
        <v>4438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0.15789473684210525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9598</v>
      </c>
      <c r="D27" s="76">
        <f>C12</f>
        <v>10136</v>
      </c>
      <c r="E27" s="77">
        <f t="shared" ref="E27:E33" si="1">D27-C27</f>
        <v>538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38478</v>
      </c>
      <c r="D29" s="76">
        <f>C8+C13+C14+C15+C16</f>
        <v>7498</v>
      </c>
      <c r="E29" s="77">
        <f t="shared" si="1"/>
        <v>-30980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3091</v>
      </c>
      <c r="D31" s="76">
        <f>C11</f>
        <v>3091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14163</v>
      </c>
      <c r="D32" s="76">
        <f>C17+C18+C19</f>
        <v>14727</v>
      </c>
      <c r="E32" s="77">
        <f t="shared" si="1"/>
        <v>564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4092</v>
      </c>
      <c r="D33" s="80">
        <f>SUM(C9+C10)</f>
        <v>3144</v>
      </c>
      <c r="E33" s="81">
        <f t="shared" si="1"/>
        <v>-948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44583</v>
      </c>
    </row>
    <row r="3" spans="2:27" ht="18.75" customHeight="1" thickBot="1" x14ac:dyDescent="0.35">
      <c r="B3" t="s">
        <v>1</v>
      </c>
      <c r="C3" s="3">
        <f>C2+1</f>
        <v>44584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69</v>
      </c>
      <c r="E6" s="18" t="s">
        <v>22</v>
      </c>
      <c r="F6" s="119">
        <v>25282</v>
      </c>
      <c r="G6" s="117">
        <v>12301.552933333331</v>
      </c>
      <c r="H6" s="117">
        <v>5973.576998600005</v>
      </c>
      <c r="I6" s="19">
        <f>G6+H6</f>
        <v>18275.129931933334</v>
      </c>
      <c r="J6" s="119">
        <v>24406</v>
      </c>
      <c r="K6" s="117">
        <v>13853.33843333334</v>
      </c>
      <c r="L6" s="117">
        <v>6017.9315626600046</v>
      </c>
      <c r="M6" s="19">
        <f>K6+L6</f>
        <v>19871.269995993345</v>
      </c>
      <c r="N6" s="85">
        <v>82</v>
      </c>
      <c r="O6" s="85">
        <v>84</v>
      </c>
      <c r="P6" s="85">
        <v>64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20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1153</v>
      </c>
      <c r="E8" s="140" t="s">
        <v>27</v>
      </c>
      <c r="F8" s="119">
        <v>0</v>
      </c>
      <c r="G8" s="117">
        <v>0</v>
      </c>
      <c r="H8" s="117">
        <v>3691.84755236</v>
      </c>
      <c r="I8" s="19">
        <f>G8+H8</f>
        <v>3691.84755236</v>
      </c>
      <c r="J8" s="119">
        <v>0</v>
      </c>
      <c r="K8" s="117">
        <v>0</v>
      </c>
      <c r="L8" s="117">
        <v>3630.9507167000002</v>
      </c>
      <c r="M8" s="19">
        <f>K8+L8</f>
        <v>3630.9507167000002</v>
      </c>
      <c r="N8" s="87">
        <v>7</v>
      </c>
      <c r="O8" s="87">
        <v>7</v>
      </c>
      <c r="P8" s="87">
        <v>7</v>
      </c>
    </row>
    <row r="9" spans="2:27" x14ac:dyDescent="0.3">
      <c r="B9" s="28" t="s">
        <v>26</v>
      </c>
      <c r="C9" s="17">
        <v>2353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920</v>
      </c>
      <c r="E10" s="18" t="s">
        <v>31</v>
      </c>
      <c r="F10" s="119">
        <v>17359</v>
      </c>
      <c r="G10" s="117">
        <v>11666.8665</v>
      </c>
      <c r="H10" s="117">
        <v>372.14720999999997</v>
      </c>
      <c r="I10" s="19">
        <f>G10+H10</f>
        <v>12039.013709999999</v>
      </c>
      <c r="J10" s="119">
        <v>16418</v>
      </c>
      <c r="K10" s="117">
        <v>12373.3565</v>
      </c>
      <c r="L10" s="117">
        <v>330.38954539999997</v>
      </c>
      <c r="M10" s="19">
        <f>K10+L10</f>
        <v>12703.746045399999</v>
      </c>
      <c r="N10" s="88">
        <v>52</v>
      </c>
      <c r="O10" s="88">
        <v>52</v>
      </c>
      <c r="P10" s="88">
        <v>44</v>
      </c>
    </row>
    <row r="11" spans="2:27" x14ac:dyDescent="0.3">
      <c r="B11" s="16" t="s">
        <v>30</v>
      </c>
      <c r="C11" s="17">
        <v>1634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38</v>
      </c>
      <c r="C12" s="17">
        <v>8106</v>
      </c>
      <c r="E12" s="140" t="s">
        <v>35</v>
      </c>
      <c r="F12" s="119">
        <v>15547</v>
      </c>
      <c r="G12" s="117">
        <v>12534.98525</v>
      </c>
      <c r="H12" s="117">
        <v>18147.175828639989</v>
      </c>
      <c r="I12" s="19">
        <f>G12+H12</f>
        <v>30682.161078639991</v>
      </c>
      <c r="J12" s="119">
        <v>15687</v>
      </c>
      <c r="K12" s="117">
        <v>14157.2745</v>
      </c>
      <c r="L12" s="117">
        <v>18281.334107369999</v>
      </c>
      <c r="M12" s="19">
        <f>K12+L12</f>
        <v>32438.608607369999</v>
      </c>
      <c r="N12" s="88">
        <v>60</v>
      </c>
      <c r="O12" s="88">
        <v>61</v>
      </c>
      <c r="P12" s="88">
        <v>43</v>
      </c>
    </row>
    <row r="13" spans="2:27" x14ac:dyDescent="0.3">
      <c r="B13" s="16" t="s">
        <v>40</v>
      </c>
      <c r="C13" s="17">
        <v>1283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18</v>
      </c>
    </row>
    <row r="14" spans="2:27" x14ac:dyDescent="0.3">
      <c r="B14" s="28" t="s">
        <v>42</v>
      </c>
      <c r="C14" s="17">
        <v>28205</v>
      </c>
      <c r="E14" s="18" t="s">
        <v>39</v>
      </c>
      <c r="F14" s="119">
        <v>17730</v>
      </c>
      <c r="G14" s="117">
        <v>15751.52375</v>
      </c>
      <c r="H14" s="117">
        <v>22125.002824660009</v>
      </c>
      <c r="I14" s="19">
        <f>G14+H14</f>
        <v>37876.526574660005</v>
      </c>
      <c r="J14" s="119">
        <v>17920</v>
      </c>
      <c r="K14" s="117">
        <v>17724.976999999999</v>
      </c>
      <c r="L14" s="117">
        <v>22257.278583100018</v>
      </c>
      <c r="M14" s="19">
        <f>K14+L14</f>
        <v>39982.255583100021</v>
      </c>
      <c r="N14" s="88">
        <v>66</v>
      </c>
      <c r="O14" s="88">
        <v>65</v>
      </c>
      <c r="P14" s="88">
        <v>49</v>
      </c>
    </row>
    <row r="15" spans="2:27" x14ac:dyDescent="0.3">
      <c r="B15" s="43" t="s">
        <v>47</v>
      </c>
      <c r="C15" s="17">
        <v>990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16</v>
      </c>
    </row>
    <row r="16" spans="2:27" x14ac:dyDescent="0.3">
      <c r="B16" s="43" t="s">
        <v>48</v>
      </c>
      <c r="C16" s="50">
        <v>244</v>
      </c>
      <c r="E16" s="18" t="s">
        <v>79</v>
      </c>
      <c r="F16" s="119">
        <v>0</v>
      </c>
      <c r="G16" s="117">
        <v>0</v>
      </c>
      <c r="H16" s="117">
        <v>5544.8759188399999</v>
      </c>
      <c r="I16" s="19">
        <f>G16+H16</f>
        <v>5544.8759188399999</v>
      </c>
      <c r="J16" s="119">
        <v>0</v>
      </c>
      <c r="K16" s="117">
        <v>0</v>
      </c>
      <c r="L16" s="117">
        <v>5566.8605940599991</v>
      </c>
      <c r="M16" s="19">
        <f>K16+L16</f>
        <v>5566.8605940599991</v>
      </c>
      <c r="N16" s="88">
        <v>12</v>
      </c>
      <c r="O16" s="88">
        <v>11</v>
      </c>
      <c r="P16" s="88">
        <v>11</v>
      </c>
    </row>
    <row r="17" spans="2:28" s="4" customFormat="1" x14ac:dyDescent="0.3">
      <c r="B17" s="16" t="s">
        <v>50</v>
      </c>
      <c r="C17" s="17">
        <v>9515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999</v>
      </c>
      <c r="E18" s="84"/>
      <c r="F18" s="135">
        <f t="shared" ref="F18:M18" si="0">SUM(F6:F17)</f>
        <v>75918</v>
      </c>
      <c r="G18" s="135">
        <f t="shared" si="0"/>
        <v>52254.928433333327</v>
      </c>
      <c r="H18" s="135">
        <f t="shared" si="0"/>
        <v>55854.626333100001</v>
      </c>
      <c r="I18" s="136">
        <f t="shared" si="0"/>
        <v>108109.55476643333</v>
      </c>
      <c r="J18" s="135">
        <f t="shared" si="0"/>
        <v>74431</v>
      </c>
      <c r="K18" s="135">
        <f t="shared" si="0"/>
        <v>58108.946433333338</v>
      </c>
      <c r="L18" s="135">
        <f t="shared" si="0"/>
        <v>56084.745109290016</v>
      </c>
      <c r="M18" s="137">
        <f t="shared" si="0"/>
        <v>114193.69154262336</v>
      </c>
      <c r="N18" s="135">
        <f>SUM(N16,N14,N12,N10,N8,N6)</f>
        <v>279</v>
      </c>
      <c r="O18" s="135">
        <f>SUM(O16,O14,O12,O10,O8,O6)</f>
        <v>280</v>
      </c>
      <c r="P18" s="135">
        <f>SUM(P16,P14,P12,P10,P8,P6)</f>
        <v>218</v>
      </c>
    </row>
    <row r="19" spans="2:28" ht="15" customHeight="1" thickBot="1" x14ac:dyDescent="0.35">
      <c r="B19" s="57" t="s">
        <v>52</v>
      </c>
      <c r="C19" s="58">
        <v>4487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62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0.22142857142857142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11285</v>
      </c>
      <c r="D27" s="76">
        <f>C12</f>
        <v>8106</v>
      </c>
      <c r="E27" s="77">
        <f t="shared" ref="E27:E33" si="1">D27-C27</f>
        <v>-3179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35789</v>
      </c>
      <c r="D29" s="76">
        <f>C8+C13+C14+C15+C16</f>
        <v>31875</v>
      </c>
      <c r="E29" s="77">
        <f t="shared" si="1"/>
        <v>-3914</v>
      </c>
      <c r="P29" s="4"/>
    </row>
    <row r="30" spans="2:28" x14ac:dyDescent="0.3">
      <c r="B30" s="74" t="s">
        <v>21</v>
      </c>
      <c r="C30" s="122">
        <v>69</v>
      </c>
      <c r="D30" s="76">
        <f>C6</f>
        <v>69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1634</v>
      </c>
      <c r="D31" s="76">
        <f>C11</f>
        <v>1634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16749</v>
      </c>
      <c r="D32" s="76">
        <f>C17+C18+C19</f>
        <v>15001</v>
      </c>
      <c r="E32" s="77">
        <f t="shared" si="1"/>
        <v>-1748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3273</v>
      </c>
      <c r="D33" s="80">
        <f>SUM(C9+C10)</f>
        <v>3273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44584</v>
      </c>
    </row>
    <row r="3" spans="2:27" ht="18.75" customHeight="1" thickBot="1" x14ac:dyDescent="0.35">
      <c r="B3" t="s">
        <v>1</v>
      </c>
      <c r="C3" s="3">
        <f>C2+1</f>
        <v>44585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10213</v>
      </c>
      <c r="G6" s="117">
        <v>9852</v>
      </c>
      <c r="H6" s="117">
        <v>1120</v>
      </c>
      <c r="I6" s="19">
        <f>G6+H6</f>
        <v>10972</v>
      </c>
      <c r="J6" s="119">
        <v>10566</v>
      </c>
      <c r="K6" s="117">
        <v>10135</v>
      </c>
      <c r="L6" s="117">
        <v>1283</v>
      </c>
      <c r="M6" s="19">
        <f>K6+L6</f>
        <v>11418</v>
      </c>
      <c r="N6" s="85">
        <v>46</v>
      </c>
      <c r="O6" s="85">
        <v>47</v>
      </c>
      <c r="P6" s="85">
        <v>36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5367</v>
      </c>
      <c r="G10" s="117">
        <v>2759</v>
      </c>
      <c r="H10" s="117">
        <v>285</v>
      </c>
      <c r="I10" s="19">
        <f>G10+H10</f>
        <v>3044</v>
      </c>
      <c r="J10" s="119">
        <v>5389</v>
      </c>
      <c r="K10" s="117">
        <v>2833</v>
      </c>
      <c r="L10" s="117">
        <v>297</v>
      </c>
      <c r="M10" s="19">
        <f>K10+L10</f>
        <v>3130</v>
      </c>
      <c r="N10" s="88">
        <v>1</v>
      </c>
      <c r="O10" s="88">
        <v>0</v>
      </c>
      <c r="P10" s="88">
        <v>1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-1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1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-1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50</v>
      </c>
      <c r="C17" s="17">
        <v>10681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567</v>
      </c>
      <c r="E18" s="84"/>
      <c r="F18" s="135">
        <f t="shared" ref="F18:M18" si="0">SUM(F6:F17)</f>
        <v>15580</v>
      </c>
      <c r="G18" s="135">
        <f t="shared" si="0"/>
        <v>12611</v>
      </c>
      <c r="H18" s="135">
        <f t="shared" si="0"/>
        <v>1405</v>
      </c>
      <c r="I18" s="136">
        <f t="shared" si="0"/>
        <v>14016</v>
      </c>
      <c r="J18" s="135">
        <f t="shared" si="0"/>
        <v>15955</v>
      </c>
      <c r="K18" s="135">
        <f t="shared" si="0"/>
        <v>12968</v>
      </c>
      <c r="L18" s="135">
        <f t="shared" si="0"/>
        <v>1580</v>
      </c>
      <c r="M18" s="137">
        <f t="shared" si="0"/>
        <v>14548</v>
      </c>
      <c r="N18" s="135">
        <f>SUM(N16,N14,N12,N10,N8,N6)</f>
        <v>48</v>
      </c>
      <c r="O18" s="135">
        <f>SUM(O16,O14,O12,O10,O8,O6)</f>
        <v>47</v>
      </c>
      <c r="P18" s="135">
        <f>SUM(P16,P14,P12,P10,P8,P6)</f>
        <v>38</v>
      </c>
    </row>
    <row r="19" spans="2:28" ht="15" customHeight="1" thickBot="1" x14ac:dyDescent="0.35">
      <c r="B19" s="57" t="s">
        <v>52</v>
      </c>
      <c r="C19" s="58">
        <v>4707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0.19148936170212766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15580</v>
      </c>
      <c r="D32" s="76">
        <f>C17+C18+C19</f>
        <v>15955</v>
      </c>
      <c r="E32" s="77">
        <f t="shared" si="1"/>
        <v>375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0</v>
      </c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44585</v>
      </c>
    </row>
    <row r="3" spans="2:27" ht="18.75" customHeight="1" thickBot="1" x14ac:dyDescent="0.35">
      <c r="B3" t="s">
        <v>1</v>
      </c>
      <c r="C3" s="3">
        <f>C2+1</f>
        <v>44586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63</v>
      </c>
      <c r="E6" s="18" t="s">
        <v>22</v>
      </c>
      <c r="F6" s="119">
        <v>24326</v>
      </c>
      <c r="G6" s="117">
        <v>12867.387633333339</v>
      </c>
      <c r="H6" s="117">
        <v>6451.5217950799979</v>
      </c>
      <c r="I6" s="19">
        <f>G6+H6</f>
        <v>19318.909428413339</v>
      </c>
      <c r="J6" s="119">
        <v>24310</v>
      </c>
      <c r="K6" s="117">
        <v>14133.083883333329</v>
      </c>
      <c r="L6" s="117">
        <v>6310.6270746800001</v>
      </c>
      <c r="M6" s="19">
        <f>K6+L6</f>
        <v>20443.710958013329</v>
      </c>
      <c r="N6" s="85">
        <v>76</v>
      </c>
      <c r="O6" s="85">
        <v>77</v>
      </c>
      <c r="P6" s="85">
        <v>62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2173</v>
      </c>
      <c r="E8" s="140" t="s">
        <v>27</v>
      </c>
      <c r="F8" s="119">
        <v>0</v>
      </c>
      <c r="G8" s="117">
        <v>0</v>
      </c>
      <c r="H8" s="117">
        <v>4136.4368643399994</v>
      </c>
      <c r="I8" s="19">
        <f>G8+H8</f>
        <v>4136.4368643399994</v>
      </c>
      <c r="J8" s="119">
        <v>0</v>
      </c>
      <c r="K8" s="117">
        <v>0</v>
      </c>
      <c r="L8" s="117">
        <v>4102.20034356</v>
      </c>
      <c r="M8" s="19">
        <f>K8+L8</f>
        <v>4102.20034356</v>
      </c>
      <c r="N8" s="87">
        <v>8</v>
      </c>
      <c r="O8" s="87">
        <v>8</v>
      </c>
      <c r="P8" s="87">
        <v>6</v>
      </c>
    </row>
    <row r="9" spans="2:27" x14ac:dyDescent="0.3">
      <c r="B9" s="28" t="s">
        <v>26</v>
      </c>
      <c r="C9" s="17">
        <v>1864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945</v>
      </c>
      <c r="E10" s="18" t="s">
        <v>31</v>
      </c>
      <c r="F10" s="119">
        <v>19606</v>
      </c>
      <c r="G10" s="117">
        <v>14231.8565</v>
      </c>
      <c r="H10" s="117">
        <v>385.02577100000002</v>
      </c>
      <c r="I10" s="19">
        <f>G10+H10</f>
        <v>14616.882271</v>
      </c>
      <c r="J10" s="119">
        <v>19315</v>
      </c>
      <c r="K10" s="117">
        <v>14801.130999999999</v>
      </c>
      <c r="L10" s="117">
        <v>345.59751019999999</v>
      </c>
      <c r="M10" s="19">
        <f>K10+L10</f>
        <v>15146.728510199999</v>
      </c>
      <c r="N10" s="88">
        <v>45</v>
      </c>
      <c r="O10" s="88">
        <v>46</v>
      </c>
      <c r="P10" s="88">
        <v>36</v>
      </c>
    </row>
    <row r="11" spans="2:27" x14ac:dyDescent="0.3">
      <c r="B11" s="16" t="s">
        <v>30</v>
      </c>
      <c r="C11" s="17">
        <v>2225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10</v>
      </c>
    </row>
    <row r="12" spans="2:27" x14ac:dyDescent="0.3">
      <c r="B12" s="16" t="s">
        <v>38</v>
      </c>
      <c r="C12" s="17">
        <v>9521</v>
      </c>
      <c r="E12" s="140" t="s">
        <v>35</v>
      </c>
      <c r="F12" s="119">
        <v>15591</v>
      </c>
      <c r="G12" s="117">
        <v>12304.7875</v>
      </c>
      <c r="H12" s="117">
        <v>18221.433640370011</v>
      </c>
      <c r="I12" s="19">
        <f>G12+H12</f>
        <v>30526.221140370013</v>
      </c>
      <c r="J12" s="119">
        <v>15112</v>
      </c>
      <c r="K12" s="117">
        <v>13913.2775</v>
      </c>
      <c r="L12" s="117">
        <v>17795.748183250009</v>
      </c>
      <c r="M12" s="19">
        <f>K12+L12</f>
        <v>31709.025683250009</v>
      </c>
      <c r="N12" s="88">
        <v>55</v>
      </c>
      <c r="O12" s="88">
        <v>50</v>
      </c>
      <c r="P12" s="88">
        <v>48</v>
      </c>
    </row>
    <row r="13" spans="2:27" x14ac:dyDescent="0.3">
      <c r="B13" s="16" t="s">
        <v>40</v>
      </c>
      <c r="C13" s="17">
        <v>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28" t="s">
        <v>42</v>
      </c>
      <c r="C14" s="17">
        <v>25712</v>
      </c>
      <c r="E14" s="18" t="s">
        <v>39</v>
      </c>
      <c r="F14" s="119">
        <v>19766</v>
      </c>
      <c r="G14" s="117">
        <v>16202.113499999999</v>
      </c>
      <c r="H14" s="117">
        <v>25278.348209659991</v>
      </c>
      <c r="I14" s="19">
        <f>G14+H14</f>
        <v>41480.46170965999</v>
      </c>
      <c r="J14" s="119">
        <v>19043</v>
      </c>
      <c r="K14" s="117">
        <v>17436.739000000001</v>
      </c>
      <c r="L14" s="117">
        <v>24300.71254600001</v>
      </c>
      <c r="M14" s="19">
        <f>K14+L14</f>
        <v>41737.451546000011</v>
      </c>
      <c r="N14" s="88">
        <v>69</v>
      </c>
      <c r="O14" s="88">
        <v>68</v>
      </c>
      <c r="P14" s="88">
        <v>56</v>
      </c>
    </row>
    <row r="15" spans="2:27" x14ac:dyDescent="0.3">
      <c r="B15" s="43" t="s">
        <v>47</v>
      </c>
      <c r="C15" s="17">
        <v>1469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12</v>
      </c>
    </row>
    <row r="16" spans="2:27" x14ac:dyDescent="0.3">
      <c r="B16" s="43" t="s">
        <v>48</v>
      </c>
      <c r="C16" s="50">
        <v>521</v>
      </c>
      <c r="E16" s="18" t="s">
        <v>79</v>
      </c>
      <c r="F16" s="119">
        <v>0</v>
      </c>
      <c r="G16" s="117">
        <v>0</v>
      </c>
      <c r="H16" s="117">
        <v>9679.6497118400002</v>
      </c>
      <c r="I16" s="19">
        <f>G16+H16</f>
        <v>9679.6497118400002</v>
      </c>
      <c r="J16" s="119">
        <v>0</v>
      </c>
      <c r="K16" s="117">
        <v>0</v>
      </c>
      <c r="L16" s="117">
        <v>9678.5594729799996</v>
      </c>
      <c r="M16" s="19">
        <f>K16+L16</f>
        <v>9678.5594729799996</v>
      </c>
      <c r="N16" s="88">
        <v>10</v>
      </c>
      <c r="O16" s="88">
        <v>10</v>
      </c>
      <c r="P16" s="88">
        <v>10</v>
      </c>
    </row>
    <row r="17" spans="2:28" s="4" customFormat="1" x14ac:dyDescent="0.3">
      <c r="B17" s="16" t="s">
        <v>50</v>
      </c>
      <c r="C17" s="17">
        <v>10557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902</v>
      </c>
      <c r="E18" s="84"/>
      <c r="F18" s="135">
        <v>79289</v>
      </c>
      <c r="G18" s="135">
        <v>55606.145133333332</v>
      </c>
      <c r="H18" s="135">
        <v>64152.41599229</v>
      </c>
      <c r="I18" s="136">
        <f>SUM(I6:I17)</f>
        <v>119758.56112562335</v>
      </c>
      <c r="J18" s="135">
        <f>SUM(J6:J17)</f>
        <v>77780</v>
      </c>
      <c r="K18" s="135">
        <f>SUM(K6:K17)</f>
        <v>60284.231383333332</v>
      </c>
      <c r="L18" s="135">
        <f>SUM(L6:L17)</f>
        <v>62533.445130670014</v>
      </c>
      <c r="M18" s="137">
        <f>SUM(M6:M17)</f>
        <v>122817.67651400334</v>
      </c>
      <c r="N18" s="135">
        <f>SUM(N16,N14,N12,N10,N8,N6)</f>
        <v>263</v>
      </c>
      <c r="O18" s="135">
        <f>SUM(O16,O14,O12,O10,O8,O6)</f>
        <v>259</v>
      </c>
      <c r="P18" s="135">
        <f>SUM(P16,P14,P12,P10,P8,P6)</f>
        <v>218</v>
      </c>
    </row>
    <row r="19" spans="2:28" ht="15" customHeight="1" thickBot="1" x14ac:dyDescent="0.35">
      <c r="B19" s="57" t="s">
        <v>52</v>
      </c>
      <c r="C19" s="58">
        <v>4627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0.15830115830115829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11622</v>
      </c>
      <c r="D27" s="76">
        <f>C12</f>
        <v>9521</v>
      </c>
      <c r="E27" s="77">
        <f t="shared" ref="E27:E33" si="0">D27-C27</f>
        <v>-2101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0"/>
        <v>0</v>
      </c>
      <c r="M28" s="4"/>
    </row>
    <row r="29" spans="2:28" x14ac:dyDescent="0.3">
      <c r="B29" s="74" t="s">
        <v>56</v>
      </c>
      <c r="C29" s="122">
        <v>37805</v>
      </c>
      <c r="D29" s="76">
        <v>36629</v>
      </c>
      <c r="E29" s="77">
        <f t="shared" si="0"/>
        <v>-1176</v>
      </c>
      <c r="P29" s="4"/>
    </row>
    <row r="30" spans="2:28" x14ac:dyDescent="0.3">
      <c r="B30" s="74" t="s">
        <v>21</v>
      </c>
      <c r="C30" s="122">
        <v>63</v>
      </c>
      <c r="D30" s="76">
        <f>C6</f>
        <v>63</v>
      </c>
      <c r="E30" s="77">
        <f t="shared" si="0"/>
        <v>0</v>
      </c>
      <c r="P30" s="4"/>
    </row>
    <row r="31" spans="2:28" x14ac:dyDescent="0.3">
      <c r="B31" s="74" t="s">
        <v>57</v>
      </c>
      <c r="C31" s="122">
        <v>2225</v>
      </c>
      <c r="D31" s="76">
        <f>C11</f>
        <v>2225</v>
      </c>
      <c r="E31" s="77">
        <f t="shared" si="0"/>
        <v>0</v>
      </c>
      <c r="P31" s="4"/>
    </row>
    <row r="32" spans="2:28" x14ac:dyDescent="0.3">
      <c r="B32" s="74" t="s">
        <v>59</v>
      </c>
      <c r="C32" s="122">
        <v>16045</v>
      </c>
      <c r="D32" s="76">
        <f>C17+C18+C19</f>
        <v>16086</v>
      </c>
      <c r="E32" s="77">
        <f t="shared" si="0"/>
        <v>41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3349</v>
      </c>
      <c r="D33" s="80">
        <v>3349</v>
      </c>
      <c r="E33" s="81">
        <f t="shared" si="0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44586</v>
      </c>
    </row>
    <row r="3" spans="2:27" ht="18.75" customHeight="1" thickBot="1" x14ac:dyDescent="0.35">
      <c r="B3" t="s">
        <v>1</v>
      </c>
      <c r="C3" s="3">
        <f>C2+1</f>
        <v>44587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120</v>
      </c>
      <c r="E6" s="18" t="s">
        <v>22</v>
      </c>
      <c r="F6" s="119">
        <v>25732</v>
      </c>
      <c r="G6" s="117">
        <v>13001.45481666667</v>
      </c>
      <c r="H6" s="117">
        <v>6469.1487920599993</v>
      </c>
      <c r="I6" s="19">
        <f>G6+H6</f>
        <v>19470.603608726669</v>
      </c>
      <c r="J6" s="119">
        <v>26821</v>
      </c>
      <c r="K6" s="117">
        <v>13872.031566666659</v>
      </c>
      <c r="L6" s="117">
        <v>6138.9994812799978</v>
      </c>
      <c r="M6" s="19">
        <f>K6+L6</f>
        <v>20011.031047946657</v>
      </c>
      <c r="N6" s="85">
        <v>88</v>
      </c>
      <c r="O6" s="85">
        <v>86</v>
      </c>
      <c r="P6" s="85">
        <v>75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1645</v>
      </c>
      <c r="E8" s="140" t="s">
        <v>27</v>
      </c>
      <c r="F8" s="119">
        <v>0</v>
      </c>
      <c r="G8" s="117">
        <v>0</v>
      </c>
      <c r="H8" s="117">
        <v>3604.6172259199998</v>
      </c>
      <c r="I8" s="19">
        <f>G8+H8</f>
        <v>3604.6172259199998</v>
      </c>
      <c r="J8" s="119">
        <v>0</v>
      </c>
      <c r="K8" s="117">
        <v>0</v>
      </c>
      <c r="L8" s="117">
        <v>3628.8642505399998</v>
      </c>
      <c r="M8" s="19">
        <f>K8+L8</f>
        <v>3628.8642505399998</v>
      </c>
      <c r="N8" s="87">
        <v>7</v>
      </c>
      <c r="O8" s="87">
        <v>7</v>
      </c>
      <c r="P8" s="87">
        <v>3</v>
      </c>
    </row>
    <row r="9" spans="2:27" x14ac:dyDescent="0.3">
      <c r="B9" s="28" t="s">
        <v>26</v>
      </c>
      <c r="C9" s="17">
        <v>1536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4</v>
      </c>
    </row>
    <row r="10" spans="2:27" x14ac:dyDescent="0.3">
      <c r="B10" s="28" t="s">
        <v>28</v>
      </c>
      <c r="C10" s="17">
        <v>1047</v>
      </c>
      <c r="E10" s="18" t="s">
        <v>31</v>
      </c>
      <c r="F10" s="119">
        <v>18324</v>
      </c>
      <c r="G10" s="117">
        <v>12665.4545</v>
      </c>
      <c r="H10" s="117">
        <v>380.920571</v>
      </c>
      <c r="I10" s="19">
        <f>G10+H10</f>
        <v>13046.375071</v>
      </c>
      <c r="J10" s="119">
        <v>18572</v>
      </c>
      <c r="K10" s="117">
        <v>13227.505499999999</v>
      </c>
      <c r="L10" s="117">
        <v>375.32173160000002</v>
      </c>
      <c r="M10" s="19">
        <f>K10+L10</f>
        <v>13602.8272316</v>
      </c>
      <c r="N10" s="88">
        <v>49</v>
      </c>
      <c r="O10" s="88">
        <v>49</v>
      </c>
      <c r="P10" s="88">
        <v>46</v>
      </c>
    </row>
    <row r="11" spans="2:27" x14ac:dyDescent="0.3">
      <c r="B11" s="16" t="s">
        <v>30</v>
      </c>
      <c r="C11" s="17">
        <v>2205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38</v>
      </c>
      <c r="C12" s="17">
        <v>9663</v>
      </c>
      <c r="E12" s="140" t="s">
        <v>35</v>
      </c>
      <c r="F12" s="119">
        <v>14656</v>
      </c>
      <c r="G12" s="117">
        <v>12247.647999999999</v>
      </c>
      <c r="H12" s="117">
        <v>17044.452216979989</v>
      </c>
      <c r="I12" s="19">
        <f>G12+H12</f>
        <v>29292.10021697999</v>
      </c>
      <c r="J12" s="119">
        <v>13302</v>
      </c>
      <c r="K12" s="117">
        <v>12344.1965</v>
      </c>
      <c r="L12" s="117">
        <v>15922.56057802999</v>
      </c>
      <c r="M12" s="19">
        <f>K12+L12</f>
        <v>28266.75707802999</v>
      </c>
      <c r="N12" s="88">
        <v>55</v>
      </c>
      <c r="O12" s="88">
        <v>48</v>
      </c>
      <c r="P12" s="88">
        <v>49</v>
      </c>
    </row>
    <row r="13" spans="2:27" x14ac:dyDescent="0.3">
      <c r="B13" s="16" t="s">
        <v>40</v>
      </c>
      <c r="C13" s="17">
        <v>1802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-1</v>
      </c>
    </row>
    <row r="14" spans="2:27" x14ac:dyDescent="0.3">
      <c r="B14" s="28" t="s">
        <v>42</v>
      </c>
      <c r="C14" s="17">
        <v>12544</v>
      </c>
      <c r="E14" s="18" t="s">
        <v>39</v>
      </c>
      <c r="F14" s="119">
        <v>19170</v>
      </c>
      <c r="G14" s="117">
        <v>15524.2695</v>
      </c>
      <c r="H14" s="117">
        <v>23474.0257757</v>
      </c>
      <c r="I14" s="19">
        <f>G14+H14</f>
        <v>38998.295275700002</v>
      </c>
      <c r="J14" s="119">
        <v>18106</v>
      </c>
      <c r="K14" s="117">
        <v>15604.875</v>
      </c>
      <c r="L14" s="117">
        <v>22102.661832860009</v>
      </c>
      <c r="M14" s="19">
        <f>K14+L14</f>
        <v>37707.536832860009</v>
      </c>
      <c r="N14" s="88">
        <v>70</v>
      </c>
      <c r="O14" s="88">
        <v>68</v>
      </c>
      <c r="P14" s="88">
        <v>59</v>
      </c>
    </row>
    <row r="15" spans="2:27" x14ac:dyDescent="0.3">
      <c r="B15" s="43" t="s">
        <v>47</v>
      </c>
      <c r="C15" s="17">
        <v>1053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48</v>
      </c>
      <c r="C16" s="50">
        <v>262</v>
      </c>
      <c r="E16" s="18" t="s">
        <v>79</v>
      </c>
      <c r="F16" s="119">
        <v>0</v>
      </c>
      <c r="G16" s="117">
        <v>0</v>
      </c>
      <c r="H16" s="117">
        <v>5646.5114832199997</v>
      </c>
      <c r="I16" s="19">
        <f>G16+H16</f>
        <v>5646.5114832199997</v>
      </c>
      <c r="J16" s="119">
        <v>0</v>
      </c>
      <c r="K16" s="117">
        <v>0</v>
      </c>
      <c r="L16" s="117">
        <v>5541.2242508799991</v>
      </c>
      <c r="M16" s="19">
        <f>K16+L16</f>
        <v>5541.2242508799991</v>
      </c>
      <c r="N16" s="88">
        <v>10</v>
      </c>
      <c r="O16" s="88">
        <v>12</v>
      </c>
      <c r="P16" s="88">
        <v>9</v>
      </c>
    </row>
    <row r="17" spans="2:28" s="4" customFormat="1" x14ac:dyDescent="0.3">
      <c r="B17" s="16" t="s">
        <v>50</v>
      </c>
      <c r="C17" s="17">
        <v>11575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714</v>
      </c>
      <c r="E18" s="84"/>
      <c r="F18" s="135">
        <f t="shared" ref="F18:M18" si="0">SUM(F6:F17)</f>
        <v>77882</v>
      </c>
      <c r="G18" s="135">
        <f t="shared" si="0"/>
        <v>53438.826816666675</v>
      </c>
      <c r="H18" s="135">
        <f t="shared" si="0"/>
        <v>56619.67606487999</v>
      </c>
      <c r="I18" s="136">
        <f t="shared" si="0"/>
        <v>110058.50288154666</v>
      </c>
      <c r="J18" s="135">
        <f t="shared" si="0"/>
        <v>76801</v>
      </c>
      <c r="K18" s="135">
        <f t="shared" si="0"/>
        <v>55048.608566666655</v>
      </c>
      <c r="L18" s="135">
        <f t="shared" si="0"/>
        <v>53709.632125189994</v>
      </c>
      <c r="M18" s="137">
        <f t="shared" si="0"/>
        <v>108758.24069185664</v>
      </c>
      <c r="N18" s="135">
        <f>SUM(N16,N14,N12,N10,N8,N6)</f>
        <v>279</v>
      </c>
      <c r="O18" s="135">
        <f>SUM(O16,O14,O12,O10,O8,O6)</f>
        <v>270</v>
      </c>
      <c r="P18" s="135">
        <f>SUM(P16,P14,P12,P10,P8,P6)</f>
        <v>241</v>
      </c>
    </row>
    <row r="19" spans="2:28" ht="15" customHeight="1" thickBot="1" x14ac:dyDescent="0.35">
      <c r="B19" s="57" t="s">
        <v>52</v>
      </c>
      <c r="C19" s="58">
        <v>5030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0.10740740740740741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11516</v>
      </c>
      <c r="D27" s="76">
        <f>C12</f>
        <v>9663</v>
      </c>
      <c r="E27" s="77">
        <f t="shared" ref="E27:E33" si="1">D27-C27</f>
        <v>-1853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34783</v>
      </c>
      <c r="D29" s="76">
        <v>32457</v>
      </c>
      <c r="E29" s="77">
        <f t="shared" si="1"/>
        <v>-2326</v>
      </c>
      <c r="P29" s="4"/>
    </row>
    <row r="30" spans="2:28" x14ac:dyDescent="0.3">
      <c r="B30" s="74" t="s">
        <v>21</v>
      </c>
      <c r="C30" s="122">
        <v>120</v>
      </c>
      <c r="D30" s="76">
        <f>C6</f>
        <v>120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2205</v>
      </c>
      <c r="D31" s="76">
        <f>C11</f>
        <v>2205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15855</v>
      </c>
      <c r="D32" s="76">
        <f>C17+C18+C19</f>
        <v>17319</v>
      </c>
      <c r="E32" s="77">
        <f t="shared" si="1"/>
        <v>1464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3165</v>
      </c>
      <c r="D33" s="80">
        <v>3165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>
    <tabColor theme="1"/>
    <pageSetUpPr fitToPage="1"/>
  </sheetPr>
  <dimension ref="B1:AB34"/>
  <sheetViews>
    <sheetView topLeftCell="A4" zoomScale="130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44587</v>
      </c>
    </row>
    <row r="3" spans="2:27" ht="18.75" customHeight="1" thickBot="1" x14ac:dyDescent="0.35">
      <c r="B3" t="s">
        <v>1</v>
      </c>
      <c r="C3" s="3">
        <f>C2+1</f>
        <v>44588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97</v>
      </c>
    </row>
    <row r="6" spans="2:27" x14ac:dyDescent="0.3">
      <c r="B6" s="16" t="s">
        <v>21</v>
      </c>
      <c r="C6" s="17">
        <v>64</v>
      </c>
      <c r="E6" s="18" t="s">
        <v>22</v>
      </c>
      <c r="F6" s="119">
        <v>23463</v>
      </c>
      <c r="G6" s="117">
        <v>12544.192999999999</v>
      </c>
      <c r="H6" s="117">
        <v>5875.8259280400016</v>
      </c>
      <c r="I6" s="19">
        <f>G6+H6</f>
        <v>18420.018928040001</v>
      </c>
      <c r="J6" s="119">
        <v>25441</v>
      </c>
      <c r="K6" s="117">
        <v>13966.119000000001</v>
      </c>
      <c r="L6" s="117">
        <v>5604.181446040001</v>
      </c>
      <c r="M6" s="19">
        <f>K6+L6</f>
        <v>19570.300446040001</v>
      </c>
      <c r="N6" s="85">
        <v>78</v>
      </c>
      <c r="O6" s="85">
        <v>76</v>
      </c>
      <c r="P6" s="85">
        <v>69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1879</v>
      </c>
      <c r="E8" s="140" t="s">
        <v>27</v>
      </c>
      <c r="F8" s="119">
        <v>0</v>
      </c>
      <c r="G8" s="117">
        <v>0</v>
      </c>
      <c r="H8" s="117">
        <v>4157.7054642399999</v>
      </c>
      <c r="I8" s="19">
        <f>G8+H8</f>
        <v>4157.7054642399999</v>
      </c>
      <c r="J8" s="119">
        <v>0</v>
      </c>
      <c r="K8" s="117">
        <v>0</v>
      </c>
      <c r="L8" s="117">
        <v>4141.0676786399999</v>
      </c>
      <c r="M8" s="19">
        <f>K8+L8</f>
        <v>4141.0676786399999</v>
      </c>
      <c r="N8" s="87">
        <v>5</v>
      </c>
      <c r="O8" s="87">
        <v>5</v>
      </c>
      <c r="P8" s="87">
        <v>4</v>
      </c>
    </row>
    <row r="9" spans="2:27" x14ac:dyDescent="0.3">
      <c r="B9" s="28" t="s">
        <v>26</v>
      </c>
      <c r="C9" s="17">
        <v>1824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1176</v>
      </c>
      <c r="E10" s="18" t="s">
        <v>31</v>
      </c>
      <c r="F10" s="119">
        <v>17906</v>
      </c>
      <c r="G10" s="117">
        <v>13271.4195</v>
      </c>
      <c r="H10" s="117">
        <v>353.33733799999999</v>
      </c>
      <c r="I10" s="19">
        <f>G10+H10</f>
        <v>13624.756837999999</v>
      </c>
      <c r="J10" s="119">
        <v>17601</v>
      </c>
      <c r="K10" s="117">
        <v>13547.0275</v>
      </c>
      <c r="L10" s="117">
        <v>343.05761639999997</v>
      </c>
      <c r="M10" s="19">
        <f>K10+L10</f>
        <v>13890.0851164</v>
      </c>
      <c r="N10" s="88">
        <v>45</v>
      </c>
      <c r="O10" s="88">
        <v>43</v>
      </c>
      <c r="P10" s="88">
        <v>44</v>
      </c>
    </row>
    <row r="11" spans="2:27" x14ac:dyDescent="0.3">
      <c r="B11" s="16" t="s">
        <v>30</v>
      </c>
      <c r="C11" s="17">
        <v>1947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-1</v>
      </c>
    </row>
    <row r="12" spans="2:27" x14ac:dyDescent="0.3">
      <c r="B12" s="16" t="s">
        <v>38</v>
      </c>
      <c r="C12" s="17">
        <v>9746</v>
      </c>
      <c r="E12" s="140" t="s">
        <v>35</v>
      </c>
      <c r="F12" s="119">
        <v>13906</v>
      </c>
      <c r="G12" s="117">
        <v>11134.766250000001</v>
      </c>
      <c r="H12" s="117">
        <v>16164.71437944002</v>
      </c>
      <c r="I12" s="19">
        <f>G12+H12</f>
        <v>27299.480629440019</v>
      </c>
      <c r="J12" s="119">
        <v>13587</v>
      </c>
      <c r="K12" s="117">
        <v>12523.9735</v>
      </c>
      <c r="L12" s="117">
        <v>15979.745140499999</v>
      </c>
      <c r="M12" s="19">
        <f>K12+L12</f>
        <v>28503.718640499999</v>
      </c>
      <c r="N12" s="88">
        <v>54</v>
      </c>
      <c r="O12" s="88">
        <v>49</v>
      </c>
      <c r="P12" s="88">
        <v>48</v>
      </c>
    </row>
    <row r="13" spans="2:27" x14ac:dyDescent="0.3">
      <c r="B13" s="16" t="s">
        <v>40</v>
      </c>
      <c r="C13" s="17">
        <v>2051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</v>
      </c>
    </row>
    <row r="14" spans="2:27" x14ac:dyDescent="0.3">
      <c r="B14" s="28" t="s">
        <v>42</v>
      </c>
      <c r="C14" s="17">
        <v>27176</v>
      </c>
      <c r="E14" s="18" t="s">
        <v>39</v>
      </c>
      <c r="F14" s="119">
        <v>18420</v>
      </c>
      <c r="G14" s="117">
        <v>14411.30975</v>
      </c>
      <c r="H14" s="117">
        <v>21183.462498500001</v>
      </c>
      <c r="I14" s="19">
        <f>G14+H14</f>
        <v>35594.772248499998</v>
      </c>
      <c r="J14" s="119">
        <v>17800</v>
      </c>
      <c r="K14" s="117">
        <v>15614.235500000001</v>
      </c>
      <c r="L14" s="117">
        <v>20510.63134638</v>
      </c>
      <c r="M14" s="19">
        <f>K14+L14</f>
        <v>36124.866846379999</v>
      </c>
      <c r="N14" s="88">
        <v>67</v>
      </c>
      <c r="O14" s="88">
        <v>66</v>
      </c>
      <c r="P14" s="88">
        <v>58</v>
      </c>
    </row>
    <row r="15" spans="2:27" x14ac:dyDescent="0.3">
      <c r="B15" s="43" t="s">
        <v>47</v>
      </c>
      <c r="C15" s="17">
        <v>1518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48</v>
      </c>
      <c r="C16" s="50">
        <v>398</v>
      </c>
      <c r="E16" s="18" t="s">
        <v>79</v>
      </c>
      <c r="F16" s="119">
        <v>0</v>
      </c>
      <c r="G16" s="117">
        <v>0</v>
      </c>
      <c r="H16" s="117">
        <v>8843.1977001999985</v>
      </c>
      <c r="I16" s="19">
        <f>G16+H16</f>
        <v>8843.1977001999985</v>
      </c>
      <c r="J16" s="119">
        <v>0</v>
      </c>
      <c r="K16" s="117">
        <v>0</v>
      </c>
      <c r="L16" s="117">
        <v>8711.3718666599998</v>
      </c>
      <c r="M16" s="19">
        <f>K16+L16</f>
        <v>8711.3718666599998</v>
      </c>
      <c r="N16" s="88">
        <v>12</v>
      </c>
      <c r="O16" s="88">
        <v>12</v>
      </c>
      <c r="P16" s="88">
        <v>11</v>
      </c>
    </row>
    <row r="17" spans="2:28" s="4" customFormat="1" x14ac:dyDescent="0.3">
      <c r="B17" s="16" t="s">
        <v>50</v>
      </c>
      <c r="C17" s="17">
        <v>10043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1255</v>
      </c>
      <c r="E18" s="84"/>
      <c r="F18" s="135">
        <f t="shared" ref="F18:M18" si="0">SUM(F6:F17)</f>
        <v>73695</v>
      </c>
      <c r="G18" s="135">
        <f t="shared" si="0"/>
        <v>51361.688500000004</v>
      </c>
      <c r="H18" s="135">
        <f t="shared" si="0"/>
        <v>56578.243308420024</v>
      </c>
      <c r="I18" s="136">
        <f t="shared" si="0"/>
        <v>107939.93180842002</v>
      </c>
      <c r="J18" s="135">
        <f t="shared" si="0"/>
        <v>74429</v>
      </c>
      <c r="K18" s="135">
        <f t="shared" si="0"/>
        <v>55651.355500000005</v>
      </c>
      <c r="L18" s="135">
        <f t="shared" si="0"/>
        <v>55290.055094620009</v>
      </c>
      <c r="M18" s="137">
        <f t="shared" si="0"/>
        <v>110941.41059462</v>
      </c>
      <c r="N18" s="135">
        <f>SUM(N16,N14,N12,N10,N8,N6)</f>
        <v>261</v>
      </c>
      <c r="O18" s="135">
        <f>SUM(O16,O14,O12,O10,O8,O6)</f>
        <v>251</v>
      </c>
      <c r="P18" s="135">
        <f>SUM(P16,P14,P12,P10,P8,P6)</f>
        <v>234</v>
      </c>
    </row>
    <row r="19" spans="2:28" ht="15" customHeight="1" thickBot="1" x14ac:dyDescent="0.35">
      <c r="B19" s="57" t="s">
        <v>52</v>
      </c>
      <c r="C19" s="58">
        <v>4894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6.7729083665338641E-2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11893</v>
      </c>
      <c r="D27" s="76">
        <f>C12</f>
        <v>9746</v>
      </c>
      <c r="E27" s="77">
        <f t="shared" ref="E27:E33" si="1">D27-C27</f>
        <v>-2147</v>
      </c>
      <c r="J27" s="123"/>
      <c r="M27" s="4"/>
      <c r="Q27" s="69"/>
    </row>
    <row r="28" spans="2:28" x14ac:dyDescent="0.3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33749</v>
      </c>
      <c r="D29" s="76">
        <f>C8+C13+C14+C15+C16</f>
        <v>33022</v>
      </c>
      <c r="E29" s="77">
        <f t="shared" si="1"/>
        <v>-727</v>
      </c>
      <c r="P29" s="4"/>
    </row>
    <row r="30" spans="2:28" x14ac:dyDescent="0.3">
      <c r="B30" s="74" t="s">
        <v>21</v>
      </c>
      <c r="C30" s="122">
        <v>0</v>
      </c>
      <c r="D30" s="76">
        <f>C9</f>
        <v>1824</v>
      </c>
      <c r="E30" s="77">
        <f t="shared" si="1"/>
        <v>1824</v>
      </c>
      <c r="P30" s="4"/>
    </row>
    <row r="31" spans="2:28" x14ac:dyDescent="0.3">
      <c r="B31" s="74" t="s">
        <v>57</v>
      </c>
      <c r="C31" s="122">
        <v>1947</v>
      </c>
      <c r="D31" s="76">
        <f>C10</f>
        <v>1176</v>
      </c>
      <c r="E31" s="77">
        <f t="shared" si="1"/>
        <v>-771</v>
      </c>
      <c r="P31" s="4"/>
    </row>
    <row r="32" spans="2:28" x14ac:dyDescent="0.3">
      <c r="B32" s="74" t="s">
        <v>59</v>
      </c>
      <c r="C32" s="122">
        <v>15905</v>
      </c>
      <c r="D32" s="76">
        <f>C17+C18+C19</f>
        <v>16192</v>
      </c>
      <c r="E32" s="77">
        <f t="shared" si="1"/>
        <v>287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3527</v>
      </c>
      <c r="D33" s="76">
        <f>C9+C10</f>
        <v>3000</v>
      </c>
      <c r="E33" s="81">
        <f t="shared" si="1"/>
        <v>-527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44588</v>
      </c>
    </row>
    <row r="3" spans="2:27" ht="18.75" customHeight="1" thickBot="1" x14ac:dyDescent="0.35">
      <c r="B3" t="s">
        <v>1</v>
      </c>
      <c r="C3" s="3">
        <f>C2+1</f>
        <v>44589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98</v>
      </c>
    </row>
    <row r="6" spans="2:27" x14ac:dyDescent="0.3">
      <c r="B6" s="16" t="s">
        <v>21</v>
      </c>
      <c r="C6" s="17">
        <v>136</v>
      </c>
      <c r="E6" s="18" t="s">
        <v>22</v>
      </c>
      <c r="F6" s="119">
        <v>27940</v>
      </c>
      <c r="G6" s="117">
        <v>13059.32701666667</v>
      </c>
      <c r="H6" s="117">
        <v>6595.4314989799977</v>
      </c>
      <c r="I6" s="19">
        <f>G6+H6</f>
        <v>19654.758515646667</v>
      </c>
      <c r="J6" s="119">
        <v>26581</v>
      </c>
      <c r="K6" s="117">
        <v>14201.058766666671</v>
      </c>
      <c r="L6" s="117">
        <v>6588.8690642799957</v>
      </c>
      <c r="M6" s="19">
        <f>K6+L6</f>
        <v>20789.927830946668</v>
      </c>
      <c r="N6" s="85">
        <v>81</v>
      </c>
      <c r="O6" s="85">
        <v>79</v>
      </c>
      <c r="P6" s="85">
        <v>75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1447</v>
      </c>
      <c r="E8" s="140" t="s">
        <v>27</v>
      </c>
      <c r="F8" s="119">
        <v>0</v>
      </c>
      <c r="G8" s="117">
        <v>0</v>
      </c>
      <c r="H8" s="117">
        <v>3845.1072358800002</v>
      </c>
      <c r="I8" s="19">
        <f>G8+H8</f>
        <v>3845.1072358800002</v>
      </c>
      <c r="J8" s="119">
        <v>0</v>
      </c>
      <c r="K8" s="117">
        <v>0</v>
      </c>
      <c r="L8" s="117">
        <v>3763.1716406599999</v>
      </c>
      <c r="M8" s="19">
        <f>K8+L8</f>
        <v>3763.1716406599999</v>
      </c>
      <c r="N8" s="87">
        <v>5</v>
      </c>
      <c r="O8" s="87">
        <v>5</v>
      </c>
      <c r="P8" s="87">
        <v>4</v>
      </c>
    </row>
    <row r="9" spans="2:27" x14ac:dyDescent="0.3">
      <c r="B9" s="28" t="s">
        <v>26</v>
      </c>
      <c r="C9" s="17">
        <v>1816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1068</v>
      </c>
      <c r="E10" s="18" t="s">
        <v>31</v>
      </c>
      <c r="F10" s="119">
        <v>19378</v>
      </c>
      <c r="G10" s="117">
        <v>12004.078</v>
      </c>
      <c r="H10" s="117">
        <v>339.30612000000002</v>
      </c>
      <c r="I10" s="19">
        <f>G10+H10</f>
        <v>12343.384119999999</v>
      </c>
      <c r="J10" s="119">
        <v>19044</v>
      </c>
      <c r="K10" s="117">
        <v>12730.5895</v>
      </c>
      <c r="L10" s="117">
        <v>340.49134759999998</v>
      </c>
      <c r="M10" s="19">
        <f>K10+L10</f>
        <v>13071.0808476</v>
      </c>
      <c r="N10" s="88">
        <v>52</v>
      </c>
      <c r="O10" s="88">
        <v>50</v>
      </c>
      <c r="P10" s="88">
        <v>47</v>
      </c>
    </row>
    <row r="11" spans="2:27" x14ac:dyDescent="0.3">
      <c r="B11" s="16" t="s">
        <v>30</v>
      </c>
      <c r="C11" s="17">
        <v>2393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38</v>
      </c>
      <c r="C12" s="17">
        <v>10718</v>
      </c>
      <c r="E12" s="140" t="s">
        <v>35</v>
      </c>
      <c r="F12" s="119">
        <v>14752</v>
      </c>
      <c r="G12" s="117">
        <v>11413.58325</v>
      </c>
      <c r="H12" s="117">
        <v>17641.184889529992</v>
      </c>
      <c r="I12" s="19">
        <f>G12+H12</f>
        <v>29054.768139529991</v>
      </c>
      <c r="J12" s="119">
        <v>14297</v>
      </c>
      <c r="K12" s="117">
        <v>13120.624</v>
      </c>
      <c r="L12" s="117">
        <v>17273.137752469989</v>
      </c>
      <c r="M12" s="19">
        <f>K12+L12</f>
        <v>30393.761752469989</v>
      </c>
      <c r="N12" s="88">
        <v>52</v>
      </c>
      <c r="O12" s="88">
        <v>47</v>
      </c>
      <c r="P12" s="88">
        <v>46</v>
      </c>
    </row>
    <row r="13" spans="2:27" x14ac:dyDescent="0.3">
      <c r="B13" s="16" t="s">
        <v>40</v>
      </c>
      <c r="C13" s="17">
        <v>1585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</v>
      </c>
    </row>
    <row r="14" spans="2:27" x14ac:dyDescent="0.3">
      <c r="B14" s="28" t="s">
        <v>42</v>
      </c>
      <c r="C14" s="17">
        <v>22769</v>
      </c>
      <c r="E14" s="18" t="s">
        <v>39</v>
      </c>
      <c r="F14" s="119">
        <v>19959</v>
      </c>
      <c r="G14" s="117">
        <v>15755.953750000001</v>
      </c>
      <c r="H14" s="117">
        <v>24784.776565200002</v>
      </c>
      <c r="I14" s="19">
        <f>G14+H14</f>
        <v>40540.730315200002</v>
      </c>
      <c r="J14" s="119">
        <v>18981</v>
      </c>
      <c r="K14" s="117">
        <v>16992.000499999998</v>
      </c>
      <c r="L14" s="117">
        <v>24093.689341159999</v>
      </c>
      <c r="M14" s="19">
        <f>K14+L14</f>
        <v>41085.689841159998</v>
      </c>
      <c r="N14" s="88">
        <v>68</v>
      </c>
      <c r="O14" s="88">
        <v>66</v>
      </c>
      <c r="P14" s="88">
        <v>58</v>
      </c>
    </row>
    <row r="15" spans="2:27" x14ac:dyDescent="0.3">
      <c r="B15" s="43" t="s">
        <v>47</v>
      </c>
      <c r="C15" s="17">
        <v>1035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48</v>
      </c>
      <c r="C16" s="50">
        <v>208</v>
      </c>
      <c r="E16" s="18" t="s">
        <v>79</v>
      </c>
      <c r="F16" s="119">
        <v>0</v>
      </c>
      <c r="G16" s="117">
        <v>0</v>
      </c>
      <c r="H16" s="117">
        <v>5722.8852542000004</v>
      </c>
      <c r="I16" s="19">
        <f>G16+H16</f>
        <v>5722.8852542000004</v>
      </c>
      <c r="J16" s="119">
        <v>0</v>
      </c>
      <c r="K16" s="117">
        <v>0</v>
      </c>
      <c r="L16" s="117">
        <v>5743.7912691600004</v>
      </c>
      <c r="M16" s="19">
        <f>K16+L16</f>
        <v>5743.7912691600004</v>
      </c>
      <c r="N16" s="88">
        <v>13</v>
      </c>
      <c r="O16" s="88">
        <v>11</v>
      </c>
      <c r="P16" s="88">
        <v>13</v>
      </c>
    </row>
    <row r="17" spans="2:28" s="4" customFormat="1" x14ac:dyDescent="0.3">
      <c r="B17" s="16" t="s">
        <v>50</v>
      </c>
      <c r="C17" s="17">
        <v>9988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1670</v>
      </c>
      <c r="E18" s="84"/>
      <c r="F18" s="135">
        <f t="shared" ref="F18:M18" si="0">SUM(F6:F17)</f>
        <v>82029</v>
      </c>
      <c r="G18" s="135">
        <f t="shared" si="0"/>
        <v>52232.942016666668</v>
      </c>
      <c r="H18" s="135">
        <f t="shared" si="0"/>
        <v>58928.691563789995</v>
      </c>
      <c r="I18" s="136">
        <f t="shared" si="0"/>
        <v>111161.63358045666</v>
      </c>
      <c r="J18" s="135">
        <f t="shared" si="0"/>
        <v>78903</v>
      </c>
      <c r="K18" s="135">
        <f t="shared" si="0"/>
        <v>57044.272766666661</v>
      </c>
      <c r="L18" s="135">
        <f t="shared" si="0"/>
        <v>57803.150415329983</v>
      </c>
      <c r="M18" s="137">
        <f t="shared" si="0"/>
        <v>114847.42318199667</v>
      </c>
      <c r="N18" s="135">
        <f>SUM(N16,N14,N12,N10,N8,N6)</f>
        <v>271</v>
      </c>
      <c r="O18" s="135">
        <f>SUM(O16,O14,O12,O10,O8,O6)</f>
        <v>258</v>
      </c>
      <c r="P18" s="135">
        <f>SUM(P16,P14,P12,P10,P8,P6)</f>
        <v>243</v>
      </c>
    </row>
    <row r="19" spans="2:28" ht="15" customHeight="1" thickBot="1" x14ac:dyDescent="0.35">
      <c r="B19" s="57" t="s">
        <v>52</v>
      </c>
      <c r="C19" s="58">
        <v>4264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5.8139534883720929E-2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11763</v>
      </c>
      <c r="D27" s="76">
        <f>C12</f>
        <v>10718</v>
      </c>
      <c r="E27" s="77">
        <f t="shared" ref="E27:E33" si="1">D27-C27</f>
        <v>-1045</v>
      </c>
      <c r="J27" s="123"/>
      <c r="M27" s="4"/>
      <c r="Q27" s="69"/>
    </row>
    <row r="28" spans="2:28" x14ac:dyDescent="0.3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34643</v>
      </c>
      <c r="D29" s="76">
        <f>C8+C13+C14+C15+C16</f>
        <v>27044</v>
      </c>
      <c r="E29" s="77">
        <f t="shared" si="1"/>
        <v>-7599</v>
      </c>
      <c r="P29" s="4"/>
    </row>
    <row r="30" spans="2:28" x14ac:dyDescent="0.3">
      <c r="B30" s="74" t="s">
        <v>21</v>
      </c>
      <c r="C30" s="122">
        <v>200</v>
      </c>
      <c r="D30" s="76">
        <f>C9</f>
        <v>1816</v>
      </c>
      <c r="E30" s="77">
        <f t="shared" si="1"/>
        <v>1616</v>
      </c>
      <c r="P30" s="4"/>
    </row>
    <row r="31" spans="2:28" x14ac:dyDescent="0.3">
      <c r="B31" s="74" t="s">
        <v>57</v>
      </c>
      <c r="C31" s="122">
        <v>2393</v>
      </c>
      <c r="D31" s="76">
        <f>C10</f>
        <v>1068</v>
      </c>
      <c r="E31" s="77">
        <f t="shared" si="1"/>
        <v>-1325</v>
      </c>
      <c r="P31" s="4"/>
    </row>
    <row r="32" spans="2:28" x14ac:dyDescent="0.3">
      <c r="B32" s="74" t="s">
        <v>59</v>
      </c>
      <c r="C32" s="122">
        <v>15260</v>
      </c>
      <c r="D32" s="76">
        <f>C17+C18+C19</f>
        <v>15922</v>
      </c>
      <c r="E32" s="77">
        <f t="shared" si="1"/>
        <v>662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3292</v>
      </c>
      <c r="D33" s="76">
        <f>C9+C10</f>
        <v>2884</v>
      </c>
      <c r="E33" s="81">
        <f t="shared" si="1"/>
        <v>-408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44589</v>
      </c>
    </row>
    <row r="3" spans="2:27" ht="18.75" customHeight="1" thickBot="1" x14ac:dyDescent="0.35">
      <c r="B3" t="s">
        <v>1</v>
      </c>
      <c r="C3" s="3">
        <f>C2+1</f>
        <v>44590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99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22374</v>
      </c>
      <c r="G6" s="117">
        <v>13225.77125</v>
      </c>
      <c r="H6" s="117">
        <v>5560.2127020999978</v>
      </c>
      <c r="I6" s="19">
        <f>G6+H6</f>
        <v>18785.983952099996</v>
      </c>
      <c r="J6" s="119">
        <v>21546</v>
      </c>
      <c r="K6" s="117">
        <v>13640.2585</v>
      </c>
      <c r="L6" s="117">
        <v>5282.5946096399966</v>
      </c>
      <c r="M6" s="19">
        <f>K6+L6</f>
        <v>18922.853109639997</v>
      </c>
      <c r="N6" s="85">
        <v>80</v>
      </c>
      <c r="O6" s="85">
        <v>77</v>
      </c>
      <c r="P6" s="85">
        <v>64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2203</v>
      </c>
      <c r="E8" s="140" t="s">
        <v>27</v>
      </c>
      <c r="F8" s="119">
        <v>0</v>
      </c>
      <c r="G8" s="117">
        <v>0</v>
      </c>
      <c r="H8" s="117">
        <v>3928.3191725800002</v>
      </c>
      <c r="I8" s="19">
        <f>G8+H8</f>
        <v>3928.3191725800002</v>
      </c>
      <c r="J8" s="119">
        <v>0</v>
      </c>
      <c r="K8" s="117">
        <v>0</v>
      </c>
      <c r="L8" s="117">
        <v>3815.7598209799999</v>
      </c>
      <c r="M8" s="19">
        <f>K8+L8</f>
        <v>3815.7598209799999</v>
      </c>
      <c r="N8" s="87">
        <v>7</v>
      </c>
      <c r="O8" s="87">
        <v>7</v>
      </c>
      <c r="P8" s="87">
        <v>5</v>
      </c>
    </row>
    <row r="9" spans="2:27" x14ac:dyDescent="0.3">
      <c r="B9" s="28" t="s">
        <v>26</v>
      </c>
      <c r="C9" s="17">
        <v>1676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1064</v>
      </c>
      <c r="E10" s="18" t="s">
        <v>31</v>
      </c>
      <c r="F10" s="119">
        <v>16967</v>
      </c>
      <c r="G10" s="117">
        <v>13640.726000000001</v>
      </c>
      <c r="H10" s="117">
        <v>332.29571399999998</v>
      </c>
      <c r="I10" s="19">
        <f>G10+H10</f>
        <v>13973.021714</v>
      </c>
      <c r="J10" s="119">
        <v>16338</v>
      </c>
      <c r="K10" s="117">
        <v>13146.1515</v>
      </c>
      <c r="L10" s="117">
        <v>303.97021799999999</v>
      </c>
      <c r="M10" s="19">
        <f>K10+L10</f>
        <v>13450.121718</v>
      </c>
      <c r="N10" s="88">
        <v>52</v>
      </c>
      <c r="O10" s="88">
        <v>50</v>
      </c>
      <c r="P10" s="88">
        <v>46</v>
      </c>
    </row>
    <row r="11" spans="2:27" x14ac:dyDescent="0.3">
      <c r="B11" s="16" t="s">
        <v>30</v>
      </c>
      <c r="C11" s="17">
        <v>4632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38</v>
      </c>
      <c r="C12" s="17">
        <v>9454</v>
      </c>
      <c r="E12" s="140" t="s">
        <v>35</v>
      </c>
      <c r="F12" s="119">
        <v>15120</v>
      </c>
      <c r="G12" s="117">
        <v>11852.570250000001</v>
      </c>
      <c r="H12" s="117">
        <v>18082.031917320001</v>
      </c>
      <c r="I12" s="19">
        <f>G12+H12</f>
        <v>29934.602167320001</v>
      </c>
      <c r="J12" s="119">
        <v>15612</v>
      </c>
      <c r="K12" s="117">
        <v>14704.69875</v>
      </c>
      <c r="L12" s="117">
        <v>18219.069177460009</v>
      </c>
      <c r="M12" s="19">
        <f>K12+L12</f>
        <v>32923.767927460009</v>
      </c>
      <c r="N12" s="88">
        <v>59</v>
      </c>
      <c r="O12" s="88">
        <v>54</v>
      </c>
      <c r="P12" s="88">
        <v>49</v>
      </c>
    </row>
    <row r="13" spans="2:27" x14ac:dyDescent="0.3">
      <c r="B13" s="16" t="s">
        <v>40</v>
      </c>
      <c r="C13" s="17">
        <v>2051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28" t="s">
        <v>42</v>
      </c>
      <c r="C14" s="17">
        <v>30046</v>
      </c>
      <c r="E14" s="18" t="s">
        <v>39</v>
      </c>
      <c r="F14" s="119">
        <v>20148</v>
      </c>
      <c r="G14" s="117">
        <v>15183.053749999999</v>
      </c>
      <c r="H14" s="117">
        <v>23758.037523000021</v>
      </c>
      <c r="I14" s="19">
        <f>G14+H14</f>
        <v>38941.09127300002</v>
      </c>
      <c r="J14" s="119">
        <v>28865</v>
      </c>
      <c r="K14" s="117">
        <v>22035.052500000002</v>
      </c>
      <c r="L14" s="117">
        <v>32986.095409320013</v>
      </c>
      <c r="M14" s="19">
        <f>K14+L14</f>
        <v>55021.147909320018</v>
      </c>
      <c r="N14" s="88">
        <v>69</v>
      </c>
      <c r="O14" s="88">
        <v>68</v>
      </c>
      <c r="P14" s="88">
        <v>58</v>
      </c>
    </row>
    <row r="15" spans="2:27" x14ac:dyDescent="0.3">
      <c r="B15" s="43" t="s">
        <v>47</v>
      </c>
      <c r="C15" s="17">
        <v>2128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48</v>
      </c>
      <c r="C16" s="50">
        <v>398</v>
      </c>
      <c r="E16" s="18" t="s">
        <v>79</v>
      </c>
      <c r="F16" s="119">
        <v>0</v>
      </c>
      <c r="G16" s="117">
        <v>0</v>
      </c>
      <c r="H16" s="117">
        <v>9288.8271767999995</v>
      </c>
      <c r="I16" s="19">
        <f>G16+H16</f>
        <v>9288.8271767999995</v>
      </c>
      <c r="J16" s="119">
        <v>0</v>
      </c>
      <c r="K16" s="117">
        <v>0</v>
      </c>
      <c r="L16" s="117">
        <v>9089.1165561399994</v>
      </c>
      <c r="M16" s="19">
        <f>K16+L16</f>
        <v>9089.1165561399994</v>
      </c>
      <c r="N16" s="88">
        <v>14</v>
      </c>
      <c r="O16" s="88">
        <v>14</v>
      </c>
      <c r="P16" s="88">
        <v>13</v>
      </c>
    </row>
    <row r="17" spans="2:28" s="4" customFormat="1" x14ac:dyDescent="0.3">
      <c r="B17" s="16" t="s">
        <v>50</v>
      </c>
      <c r="C17" s="17">
        <v>8710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404</v>
      </c>
      <c r="E18" s="84"/>
      <c r="F18" s="135">
        <f t="shared" ref="F18:M18" si="0">SUM(F6:F17)</f>
        <v>74609</v>
      </c>
      <c r="G18" s="135">
        <f t="shared" si="0"/>
        <v>53902.121250000004</v>
      </c>
      <c r="H18" s="135">
        <f t="shared" si="0"/>
        <v>60949.724205800019</v>
      </c>
      <c r="I18" s="136">
        <f t="shared" si="0"/>
        <v>114851.84545580001</v>
      </c>
      <c r="J18" s="135">
        <f t="shared" si="0"/>
        <v>82361</v>
      </c>
      <c r="K18" s="135">
        <f t="shared" si="0"/>
        <v>63526.161250000005</v>
      </c>
      <c r="L18" s="135">
        <f t="shared" si="0"/>
        <v>69696.605791540016</v>
      </c>
      <c r="M18" s="137">
        <f t="shared" si="0"/>
        <v>133222.76704154004</v>
      </c>
      <c r="N18" s="135">
        <f>SUM(N16,N14,N12,N10,N8,N6)</f>
        <v>281</v>
      </c>
      <c r="O18" s="135">
        <f>SUM(O16,O14,O12,O10,O8,O6)</f>
        <v>270</v>
      </c>
      <c r="P18" s="135">
        <f>SUM(P16,P14,P12,P10,P8,P6)</f>
        <v>235</v>
      </c>
    </row>
    <row r="19" spans="2:28" ht="15" customHeight="1" thickBot="1" x14ac:dyDescent="0.35">
      <c r="B19" s="57" t="s">
        <v>52</v>
      </c>
      <c r="C19" s="58">
        <v>4513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0.12962962962962962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10037</v>
      </c>
      <c r="D27" s="76">
        <f>C12</f>
        <v>9454</v>
      </c>
      <c r="E27" s="77">
        <f t="shared" ref="E27:E33" si="1">D27-C27</f>
        <v>-583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37341</v>
      </c>
      <c r="D29" s="76">
        <f>C8+C13+C14+C15+C16</f>
        <v>36826</v>
      </c>
      <c r="E29" s="77">
        <f t="shared" si="1"/>
        <v>-515</v>
      </c>
      <c r="P29" s="4"/>
    </row>
    <row r="30" spans="2:28" x14ac:dyDescent="0.3">
      <c r="B30" s="74" t="s">
        <v>21</v>
      </c>
      <c r="C30" s="122">
        <v>0</v>
      </c>
      <c r="D30" s="76">
        <f>C9</f>
        <v>1676</v>
      </c>
      <c r="E30" s="77">
        <f t="shared" si="1"/>
        <v>1676</v>
      </c>
      <c r="P30" s="4"/>
    </row>
    <row r="31" spans="2:28" x14ac:dyDescent="0.3">
      <c r="B31" s="74" t="s">
        <v>57</v>
      </c>
      <c r="C31" s="122">
        <v>2321</v>
      </c>
      <c r="D31" s="76">
        <f>C10</f>
        <v>1064</v>
      </c>
      <c r="E31" s="77">
        <f t="shared" si="1"/>
        <v>-1257</v>
      </c>
      <c r="P31" s="4"/>
    </row>
    <row r="32" spans="2:28" x14ac:dyDescent="0.3">
      <c r="B32" s="74" t="s">
        <v>59</v>
      </c>
      <c r="C32" s="122">
        <v>14695</v>
      </c>
      <c r="D32" s="76">
        <f>C17+C18+C19</f>
        <v>13627</v>
      </c>
      <c r="E32" s="77">
        <f t="shared" si="1"/>
        <v>-1068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3524</v>
      </c>
      <c r="D33" s="76">
        <f>C9+C10</f>
        <v>2740</v>
      </c>
      <c r="E33" s="81">
        <f t="shared" si="1"/>
        <v>-784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44590</v>
      </c>
    </row>
    <row r="3" spans="2:27" ht="18.75" customHeight="1" thickBot="1" x14ac:dyDescent="0.35">
      <c r="B3" t="s">
        <v>1</v>
      </c>
      <c r="C3" s="3">
        <f>C2+1</f>
        <v>44591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80</v>
      </c>
      <c r="E6" s="18" t="s">
        <v>22</v>
      </c>
      <c r="F6" s="119">
        <v>24479</v>
      </c>
      <c r="G6" s="117">
        <v>12275.59608333333</v>
      </c>
      <c r="H6" s="117">
        <v>5991.9065719800019</v>
      </c>
      <c r="I6" s="19">
        <f>G6+H6</f>
        <v>18267.502655313332</v>
      </c>
      <c r="J6" s="119">
        <v>25490</v>
      </c>
      <c r="K6" s="117">
        <v>14254.97333333333</v>
      </c>
      <c r="L6" s="117">
        <v>5931.4616485400011</v>
      </c>
      <c r="M6" s="19">
        <f>K6+L6</f>
        <v>20186.434981873332</v>
      </c>
      <c r="N6" s="85">
        <v>86</v>
      </c>
      <c r="O6" s="85">
        <v>84</v>
      </c>
      <c r="P6" s="85">
        <v>70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1069</v>
      </c>
      <c r="E8" s="140" t="s">
        <v>27</v>
      </c>
      <c r="F8" s="119">
        <v>0</v>
      </c>
      <c r="G8" s="117">
        <v>0</v>
      </c>
      <c r="H8" s="117">
        <v>3494.2633956400009</v>
      </c>
      <c r="I8" s="19">
        <f>G8+H8</f>
        <v>3494.2633956400009</v>
      </c>
      <c r="J8" s="119">
        <v>0</v>
      </c>
      <c r="K8" s="117">
        <v>0</v>
      </c>
      <c r="L8" s="117">
        <v>3517.5122318399999</v>
      </c>
      <c r="M8" s="19">
        <f>K8+L8</f>
        <v>3517.5122318399999</v>
      </c>
      <c r="N8" s="87">
        <v>6</v>
      </c>
      <c r="O8" s="87">
        <v>6</v>
      </c>
      <c r="P8" s="87">
        <v>4</v>
      </c>
    </row>
    <row r="9" spans="2:27" x14ac:dyDescent="0.3">
      <c r="B9" s="28" t="s">
        <v>26</v>
      </c>
      <c r="C9" s="17">
        <v>2295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798</v>
      </c>
      <c r="E10" s="18" t="s">
        <v>31</v>
      </c>
      <c r="F10" s="119">
        <v>16725</v>
      </c>
      <c r="G10" s="117">
        <v>11234.27975</v>
      </c>
      <c r="H10" s="117">
        <v>345.14805000000001</v>
      </c>
      <c r="I10" s="19">
        <f>G10+H10</f>
        <v>11579.427799999999</v>
      </c>
      <c r="J10" s="119">
        <v>16959</v>
      </c>
      <c r="K10" s="117">
        <v>12155.10925</v>
      </c>
      <c r="L10" s="117">
        <v>363.46644780000003</v>
      </c>
      <c r="M10" s="19">
        <f>K10+L10</f>
        <v>12518.575697799999</v>
      </c>
      <c r="N10" s="88">
        <v>55</v>
      </c>
      <c r="O10" s="88">
        <v>54</v>
      </c>
      <c r="P10" s="88">
        <v>48</v>
      </c>
    </row>
    <row r="11" spans="2:27" x14ac:dyDescent="0.3">
      <c r="B11" s="16" t="s">
        <v>30</v>
      </c>
      <c r="C11" s="17">
        <v>2123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38</v>
      </c>
      <c r="C12" s="17">
        <v>7580</v>
      </c>
      <c r="E12" s="140" t="s">
        <v>35</v>
      </c>
      <c r="F12" s="119">
        <v>15345</v>
      </c>
      <c r="G12" s="117">
        <v>12547.59375</v>
      </c>
      <c r="H12" s="117">
        <v>17636.204181289999</v>
      </c>
      <c r="I12" s="19">
        <f>G12+H12</f>
        <v>30183.797931289999</v>
      </c>
      <c r="J12" s="119">
        <v>15296</v>
      </c>
      <c r="K12" s="117">
        <v>13997.454250000001</v>
      </c>
      <c r="L12" s="117">
        <v>17744.72616509</v>
      </c>
      <c r="M12" s="19">
        <f>K12+L12</f>
        <v>31742.180415089999</v>
      </c>
      <c r="N12" s="88">
        <v>61</v>
      </c>
      <c r="O12" s="88">
        <v>54</v>
      </c>
      <c r="P12" s="88">
        <v>55</v>
      </c>
    </row>
    <row r="13" spans="2:27" x14ac:dyDescent="0.3">
      <c r="B13" s="16" t="s">
        <v>40</v>
      </c>
      <c r="C13" s="17">
        <v>1363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-1</v>
      </c>
    </row>
    <row r="14" spans="2:27" x14ac:dyDescent="0.3">
      <c r="B14" s="28" t="s">
        <v>42</v>
      </c>
      <c r="C14" s="17">
        <v>25442</v>
      </c>
      <c r="E14" s="18" t="s">
        <v>39</v>
      </c>
      <c r="F14" s="119">
        <v>18762</v>
      </c>
      <c r="G14" s="117">
        <v>16619.833750000002</v>
      </c>
      <c r="H14" s="117">
        <v>23373.953094379998</v>
      </c>
      <c r="I14" s="19">
        <f>G14+H14</f>
        <v>39993.786844379996</v>
      </c>
      <c r="J14" s="119">
        <v>18809</v>
      </c>
      <c r="K14" s="117">
        <v>17853.41375</v>
      </c>
      <c r="L14" s="117">
        <v>23466.220686280009</v>
      </c>
      <c r="M14" s="19">
        <f>K14+L14</f>
        <v>41319.634436280008</v>
      </c>
      <c r="N14" s="88">
        <v>65</v>
      </c>
      <c r="O14" s="88">
        <v>65</v>
      </c>
      <c r="P14" s="88">
        <v>50</v>
      </c>
    </row>
    <row r="15" spans="2:27" x14ac:dyDescent="0.3">
      <c r="B15" s="43" t="s">
        <v>47</v>
      </c>
      <c r="C15" s="17">
        <v>1010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3">
      <c r="B16" s="43" t="s">
        <v>48</v>
      </c>
      <c r="C16" s="50">
        <v>190</v>
      </c>
      <c r="E16" s="18" t="s">
        <v>79</v>
      </c>
      <c r="F16" s="119">
        <v>0</v>
      </c>
      <c r="G16" s="117">
        <v>0</v>
      </c>
      <c r="H16" s="117">
        <v>5268.6569376400003</v>
      </c>
      <c r="I16" s="19">
        <f>G16+H16</f>
        <v>5268.6569376400003</v>
      </c>
      <c r="J16" s="119">
        <v>0</v>
      </c>
      <c r="K16" s="117">
        <v>0</v>
      </c>
      <c r="L16" s="117">
        <v>5242.8019243600002</v>
      </c>
      <c r="M16" s="19">
        <f>K16+L16</f>
        <v>5242.8019243600002</v>
      </c>
      <c r="N16" s="88">
        <v>12</v>
      </c>
      <c r="O16" s="88">
        <v>11</v>
      </c>
      <c r="P16" s="88">
        <v>12</v>
      </c>
    </row>
    <row r="17" spans="2:28" s="4" customFormat="1" x14ac:dyDescent="0.3">
      <c r="B17" s="16" t="s">
        <v>50</v>
      </c>
      <c r="C17" s="17">
        <v>11367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1144</v>
      </c>
      <c r="E18" s="84"/>
      <c r="F18" s="135">
        <f t="shared" ref="F18:M18" si="0">SUM(F6:F17)</f>
        <v>75311</v>
      </c>
      <c r="G18" s="135">
        <f t="shared" si="0"/>
        <v>52677.30333333333</v>
      </c>
      <c r="H18" s="135">
        <f t="shared" si="0"/>
        <v>56110.132230930001</v>
      </c>
      <c r="I18" s="136">
        <f t="shared" si="0"/>
        <v>108787.43556426333</v>
      </c>
      <c r="J18" s="135">
        <f t="shared" si="0"/>
        <v>76554</v>
      </c>
      <c r="K18" s="135">
        <f t="shared" si="0"/>
        <v>58260.950583333331</v>
      </c>
      <c r="L18" s="135">
        <f t="shared" si="0"/>
        <v>56266.189103910008</v>
      </c>
      <c r="M18" s="137">
        <f t="shared" si="0"/>
        <v>114527.13968724334</v>
      </c>
      <c r="N18" s="135">
        <f>SUM(N16,N14,N12,N10,N8,N6)</f>
        <v>285</v>
      </c>
      <c r="O18" s="135">
        <f>SUM(O16,O14,O12,O10,O8,O6)</f>
        <v>274</v>
      </c>
      <c r="P18" s="135">
        <f>SUM(P16,P14,P12,P10,P8,P6)</f>
        <v>239</v>
      </c>
    </row>
    <row r="19" spans="2:28" ht="15" customHeight="1" thickBot="1" x14ac:dyDescent="0.35">
      <c r="B19" s="57" t="s">
        <v>52</v>
      </c>
      <c r="C19" s="58">
        <v>4519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0.12773722627737227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11099</v>
      </c>
      <c r="D27" s="76">
        <f>C12</f>
        <v>7580</v>
      </c>
      <c r="E27" s="77">
        <f t="shared" ref="E27:E33" si="1">D27-C27</f>
        <v>-3519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35141</v>
      </c>
      <c r="D29" s="76">
        <f>C8+C13+C14+C15+C16</f>
        <v>29074</v>
      </c>
      <c r="E29" s="77">
        <f t="shared" si="1"/>
        <v>-6067</v>
      </c>
      <c r="P29" s="4"/>
    </row>
    <row r="30" spans="2:28" x14ac:dyDescent="0.3">
      <c r="B30" s="74" t="s">
        <v>21</v>
      </c>
      <c r="C30" s="122">
        <v>80</v>
      </c>
      <c r="D30" s="76">
        <f>C9</f>
        <v>2295</v>
      </c>
      <c r="E30" s="77">
        <f t="shared" si="1"/>
        <v>2215</v>
      </c>
      <c r="P30" s="4"/>
    </row>
    <row r="31" spans="2:28" x14ac:dyDescent="0.3">
      <c r="B31" s="74" t="s">
        <v>57</v>
      </c>
      <c r="C31" s="122">
        <v>2123</v>
      </c>
      <c r="D31" s="76">
        <f>C10</f>
        <v>798</v>
      </c>
      <c r="E31" s="77">
        <f t="shared" si="1"/>
        <v>-1325</v>
      </c>
      <c r="P31" s="4"/>
    </row>
    <row r="32" spans="2:28" x14ac:dyDescent="0.3">
      <c r="B32" s="74" t="s">
        <v>59</v>
      </c>
      <c r="C32" s="122">
        <v>15567</v>
      </c>
      <c r="D32" s="76">
        <f>C17+C18+C19</f>
        <v>17030</v>
      </c>
      <c r="E32" s="77">
        <f t="shared" si="1"/>
        <v>1463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2585</v>
      </c>
      <c r="D33" s="76">
        <f>C9+C10</f>
        <v>3093</v>
      </c>
      <c r="E33" s="81">
        <f t="shared" si="1"/>
        <v>508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44591</v>
      </c>
    </row>
    <row r="3" spans="2:27" ht="18.75" customHeight="1" thickBot="1" x14ac:dyDescent="0.35">
      <c r="B3" t="s">
        <v>1</v>
      </c>
      <c r="C3" s="3">
        <f>C2+1</f>
        <v>44592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15999</v>
      </c>
      <c r="G6" s="117">
        <v>6572</v>
      </c>
      <c r="H6" s="117">
        <v>1022</v>
      </c>
      <c r="I6" s="19">
        <f>G6+H6</f>
        <v>7594</v>
      </c>
      <c r="J6" s="119">
        <v>15423</v>
      </c>
      <c r="K6" s="117">
        <v>6312</v>
      </c>
      <c r="L6" s="117">
        <v>937</v>
      </c>
      <c r="M6" s="19">
        <f>K6+L6</f>
        <v>7249</v>
      </c>
      <c r="N6" s="85">
        <v>48</v>
      </c>
      <c r="O6" s="85">
        <v>48</v>
      </c>
      <c r="P6" s="85">
        <v>38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1</v>
      </c>
      <c r="O10" s="88">
        <v>0</v>
      </c>
      <c r="P10" s="88">
        <v>1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-1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1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-1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3">
      <c r="B17" s="16" t="s">
        <v>50</v>
      </c>
      <c r="C17" s="17">
        <v>10154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582</v>
      </c>
      <c r="E18" s="84"/>
      <c r="F18" s="135">
        <f t="shared" ref="F18:M18" si="0">SUM(F6:F17)</f>
        <v>15999</v>
      </c>
      <c r="G18" s="135">
        <f t="shared" si="0"/>
        <v>6572</v>
      </c>
      <c r="H18" s="135">
        <f t="shared" si="0"/>
        <v>1022</v>
      </c>
      <c r="I18" s="136">
        <f t="shared" si="0"/>
        <v>7594</v>
      </c>
      <c r="J18" s="135">
        <f t="shared" si="0"/>
        <v>15423</v>
      </c>
      <c r="K18" s="135">
        <f t="shared" si="0"/>
        <v>6312</v>
      </c>
      <c r="L18" s="135">
        <f t="shared" si="0"/>
        <v>937</v>
      </c>
      <c r="M18" s="137">
        <f t="shared" si="0"/>
        <v>7249</v>
      </c>
      <c r="N18" s="135">
        <f>SUM(N16,N14,N12,N10,N8,N6)</f>
        <v>50</v>
      </c>
      <c r="O18" s="135">
        <f>SUM(O16,O14,O12,O10,O8,O6)</f>
        <v>48</v>
      </c>
      <c r="P18" s="135">
        <f>SUM(P16,P14,P12,P10,P8,P6)</f>
        <v>40</v>
      </c>
    </row>
    <row r="19" spans="2:28" ht="15" customHeight="1" thickBot="1" x14ac:dyDescent="0.35">
      <c r="B19" s="57" t="s">
        <v>52</v>
      </c>
      <c r="C19" s="58">
        <v>4676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0.16666666666666666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>
        <v>0</v>
      </c>
      <c r="D30" s="76">
        <f>C9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0</v>
      </c>
      <c r="D31" s="76">
        <f>C10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15999</v>
      </c>
      <c r="D32" s="76">
        <f>C17+C18+C19</f>
        <v>15412</v>
      </c>
      <c r="E32" s="77">
        <f t="shared" si="1"/>
        <v>-587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0</v>
      </c>
      <c r="D33" s="76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44592</v>
      </c>
    </row>
    <row r="3" spans="2:27" ht="18.75" customHeight="1" thickBot="1" x14ac:dyDescent="0.35">
      <c r="B3" t="s">
        <v>1</v>
      </c>
      <c r="C3" s="3">
        <f>C2+1</f>
        <v>44593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65</v>
      </c>
      <c r="E6" s="18" t="s">
        <v>22</v>
      </c>
      <c r="F6" s="119">
        <v>25121</v>
      </c>
      <c r="G6" s="117">
        <v>12857.317783333339</v>
      </c>
      <c r="H6" s="117">
        <v>6229.1299610599954</v>
      </c>
      <c r="I6" s="19">
        <f>G6+H6</f>
        <v>19086.447744393336</v>
      </c>
      <c r="J6" s="119">
        <v>25704</v>
      </c>
      <c r="K6" s="117">
        <v>14513.19978333333</v>
      </c>
      <c r="L6" s="117">
        <v>6353.704644759996</v>
      </c>
      <c r="M6" s="19">
        <f>K6+L6</f>
        <v>20866.904428093327</v>
      </c>
      <c r="N6" s="85">
        <v>80</v>
      </c>
      <c r="O6" s="85">
        <v>79</v>
      </c>
      <c r="P6" s="85">
        <v>72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1853</v>
      </c>
      <c r="E8" s="140" t="s">
        <v>27</v>
      </c>
      <c r="F8" s="119">
        <v>0</v>
      </c>
      <c r="G8" s="117">
        <v>0</v>
      </c>
      <c r="H8" s="117">
        <v>4028.5837974999999</v>
      </c>
      <c r="I8" s="19">
        <f>G8+H8</f>
        <v>4028.5837974999999</v>
      </c>
      <c r="J8" s="119">
        <v>0</v>
      </c>
      <c r="K8" s="117">
        <v>0</v>
      </c>
      <c r="L8" s="117">
        <v>4000.4739650200008</v>
      </c>
      <c r="M8" s="19">
        <f>K8+L8</f>
        <v>4000.4739650200008</v>
      </c>
      <c r="N8" s="87">
        <v>7</v>
      </c>
      <c r="O8" s="87">
        <v>7</v>
      </c>
      <c r="P8" s="87">
        <v>8</v>
      </c>
    </row>
    <row r="9" spans="2:27" x14ac:dyDescent="0.3">
      <c r="B9" s="28" t="s">
        <v>26</v>
      </c>
      <c r="C9" s="17">
        <v>1773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28</v>
      </c>
      <c r="C10" s="17">
        <v>866</v>
      </c>
      <c r="E10" s="18" t="s">
        <v>31</v>
      </c>
      <c r="F10" s="119">
        <v>18131</v>
      </c>
      <c r="G10" s="117">
        <v>12884.371999999999</v>
      </c>
      <c r="H10" s="117">
        <v>355.09509000000003</v>
      </c>
      <c r="I10" s="19">
        <f>G10+H10</f>
        <v>13239.46709</v>
      </c>
      <c r="J10" s="119">
        <v>18620</v>
      </c>
      <c r="K10" s="117">
        <v>13798.700500000001</v>
      </c>
      <c r="L10" s="117">
        <v>393.34660400000001</v>
      </c>
      <c r="M10" s="19">
        <f>K10+L10</f>
        <v>14192.047104000001</v>
      </c>
      <c r="N10" s="88">
        <v>48</v>
      </c>
      <c r="O10" s="88">
        <v>47</v>
      </c>
      <c r="P10" s="88">
        <v>42</v>
      </c>
    </row>
    <row r="11" spans="2:27" x14ac:dyDescent="0.3">
      <c r="B11" s="16" t="s">
        <v>30</v>
      </c>
      <c r="C11" s="17">
        <v>2134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38</v>
      </c>
      <c r="C12" s="17">
        <v>9560</v>
      </c>
      <c r="E12" s="140" t="s">
        <v>35</v>
      </c>
      <c r="F12" s="119">
        <v>14863</v>
      </c>
      <c r="G12" s="117">
        <v>11931.105250000001</v>
      </c>
      <c r="H12" s="117">
        <v>16458.673712749991</v>
      </c>
      <c r="I12" s="19">
        <f>G12+H12</f>
        <v>28389.778962749991</v>
      </c>
      <c r="J12" s="119">
        <v>14620</v>
      </c>
      <c r="K12" s="117">
        <v>13544.500249999999</v>
      </c>
      <c r="L12" s="117">
        <v>16321.971006829999</v>
      </c>
      <c r="M12" s="19">
        <f>K12+L12</f>
        <v>29866.471256829998</v>
      </c>
      <c r="N12" s="88">
        <v>56</v>
      </c>
      <c r="O12" s="88">
        <v>50</v>
      </c>
      <c r="P12" s="88">
        <v>47</v>
      </c>
    </row>
    <row r="13" spans="2:27" x14ac:dyDescent="0.3">
      <c r="B13" s="16" t="s">
        <v>40</v>
      </c>
      <c r="C13" s="17">
        <v>2069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28" t="s">
        <v>42</v>
      </c>
      <c r="C14" s="17">
        <v>23888</v>
      </c>
      <c r="E14" s="18" t="s">
        <v>39</v>
      </c>
      <c r="F14" s="119">
        <v>18894</v>
      </c>
      <c r="G14" s="117">
        <v>15430.8485</v>
      </c>
      <c r="H14" s="117">
        <v>23706.32522921998</v>
      </c>
      <c r="I14" s="19">
        <f>G14+H14</f>
        <v>39137.173729219983</v>
      </c>
      <c r="J14" s="119">
        <v>18891</v>
      </c>
      <c r="K14" s="117">
        <v>17502.009999999998</v>
      </c>
      <c r="L14" s="117">
        <v>23778.159022939981</v>
      </c>
      <c r="M14" s="19">
        <f>K14+L14</f>
        <v>41280.169022939983</v>
      </c>
      <c r="N14" s="88">
        <v>68</v>
      </c>
      <c r="O14" s="88">
        <v>67</v>
      </c>
      <c r="P14" s="88">
        <v>54</v>
      </c>
    </row>
    <row r="15" spans="2:27" x14ac:dyDescent="0.3">
      <c r="B15" s="43" t="s">
        <v>47</v>
      </c>
      <c r="C15" s="17">
        <v>1550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48</v>
      </c>
      <c r="C16" s="50">
        <v>438</v>
      </c>
      <c r="E16" s="18" t="s">
        <v>79</v>
      </c>
      <c r="F16" s="119">
        <v>0</v>
      </c>
      <c r="G16" s="117">
        <v>0</v>
      </c>
      <c r="H16" s="117">
        <v>8518.4029673999994</v>
      </c>
      <c r="I16" s="19">
        <f>G16+H16</f>
        <v>8518.4029673999994</v>
      </c>
      <c r="J16" s="119">
        <v>0</v>
      </c>
      <c r="K16" s="117">
        <v>0</v>
      </c>
      <c r="L16" s="117">
        <v>8641.2619699799998</v>
      </c>
      <c r="M16" s="19">
        <f>K16+L16</f>
        <v>8641.2619699799998</v>
      </c>
      <c r="N16" s="88">
        <v>10</v>
      </c>
      <c r="O16" s="88">
        <v>10</v>
      </c>
      <c r="P16" s="88">
        <v>10</v>
      </c>
    </row>
    <row r="17" spans="2:28" s="4" customFormat="1" x14ac:dyDescent="0.3">
      <c r="B17" s="16" t="s">
        <v>50</v>
      </c>
      <c r="C17" s="17">
        <v>11863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855</v>
      </c>
      <c r="E18" s="84"/>
      <c r="F18" s="135">
        <f t="shared" ref="F18:M18" si="0">SUM(F6:F17)</f>
        <v>77009</v>
      </c>
      <c r="G18" s="135">
        <f t="shared" si="0"/>
        <v>53103.643533333343</v>
      </c>
      <c r="H18" s="135">
        <f t="shared" si="0"/>
        <v>59296.21075792997</v>
      </c>
      <c r="I18" s="136">
        <f t="shared" si="0"/>
        <v>112399.85429126331</v>
      </c>
      <c r="J18" s="135">
        <f t="shared" si="0"/>
        <v>77835</v>
      </c>
      <c r="K18" s="135">
        <f t="shared" si="0"/>
        <v>59358.410533333328</v>
      </c>
      <c r="L18" s="135">
        <f t="shared" si="0"/>
        <v>59488.917213529974</v>
      </c>
      <c r="M18" s="137">
        <f t="shared" si="0"/>
        <v>118847.32774686332</v>
      </c>
      <c r="N18" s="135">
        <f>SUM(N16,N14,N12,N10,N8,N6)</f>
        <v>269</v>
      </c>
      <c r="O18" s="135">
        <f>SUM(O16,O14,O12,O10,O8,O6)</f>
        <v>260</v>
      </c>
      <c r="P18" s="135">
        <f>SUM(P16,P14,P12,P10,P8,P6)</f>
        <v>233</v>
      </c>
    </row>
    <row r="19" spans="2:28" ht="15" customHeight="1" thickBot="1" x14ac:dyDescent="0.35">
      <c r="B19" s="57" t="s">
        <v>52</v>
      </c>
      <c r="C19" s="58">
        <v>4759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0.10384615384615385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11254</v>
      </c>
      <c r="D27" s="76">
        <f>C12</f>
        <v>9560</v>
      </c>
      <c r="E27" s="77">
        <f t="shared" ref="E27:E33" si="1">D27-C27</f>
        <v>-1694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35546</v>
      </c>
      <c r="D29" s="76">
        <f>C8+C13+C14+C15+C16</f>
        <v>29798</v>
      </c>
      <c r="E29" s="77">
        <f t="shared" si="1"/>
        <v>-5748</v>
      </c>
      <c r="P29" s="4"/>
    </row>
    <row r="30" spans="2:28" x14ac:dyDescent="0.3">
      <c r="B30" s="74" t="s">
        <v>21</v>
      </c>
      <c r="C30" s="122">
        <v>65</v>
      </c>
      <c r="D30" s="76">
        <f>C6</f>
        <v>65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2134</v>
      </c>
      <c r="D31" s="76">
        <f>C11</f>
        <v>2134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16370</v>
      </c>
      <c r="D32" s="76">
        <f>C17+C18+C19</f>
        <v>17477</v>
      </c>
      <c r="E32" s="77">
        <f t="shared" si="1"/>
        <v>1107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3104</v>
      </c>
      <c r="D33" s="76">
        <f>C9+C10</f>
        <v>2639</v>
      </c>
      <c r="E33" s="81">
        <f t="shared" si="1"/>
        <v>-465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44593</v>
      </c>
    </row>
    <row r="3" spans="2:27" ht="18.75" customHeight="1" thickBot="1" x14ac:dyDescent="0.35">
      <c r="B3" t="s">
        <v>1</v>
      </c>
      <c r="C3" s="3">
        <f>C2+1</f>
        <v>44594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107</v>
      </c>
      <c r="E6" s="18" t="s">
        <v>22</v>
      </c>
      <c r="F6" s="119">
        <v>22944</v>
      </c>
      <c r="G6" s="117">
        <v>12644.081</v>
      </c>
      <c r="H6" s="117">
        <v>5055.4145004999973</v>
      </c>
      <c r="I6" s="19">
        <f>G6+H6</f>
        <v>17699.495500499997</v>
      </c>
      <c r="J6" s="119">
        <v>25144</v>
      </c>
      <c r="K6" s="117">
        <v>13067.53573333333</v>
      </c>
      <c r="L6" s="117">
        <v>5898.2187881599984</v>
      </c>
      <c r="M6" s="19">
        <f>K6+L6</f>
        <v>18965.754521493327</v>
      </c>
      <c r="N6" s="85">
        <v>89</v>
      </c>
      <c r="O6" s="85">
        <v>86</v>
      </c>
      <c r="P6" s="85">
        <v>78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1729</v>
      </c>
      <c r="E8" s="140" t="s">
        <v>27</v>
      </c>
      <c r="F8" s="119">
        <v>0</v>
      </c>
      <c r="G8" s="117">
        <v>0</v>
      </c>
      <c r="H8" s="117">
        <v>3497.9663784999989</v>
      </c>
      <c r="I8" s="19">
        <f>G8+H8</f>
        <v>3497.9663784999989</v>
      </c>
      <c r="J8" s="119">
        <v>0</v>
      </c>
      <c r="K8" s="117">
        <v>0</v>
      </c>
      <c r="L8" s="117">
        <v>3449.9543869200002</v>
      </c>
      <c r="M8" s="19">
        <f>K8+L8</f>
        <v>3449.9543869200002</v>
      </c>
      <c r="N8" s="87">
        <v>6</v>
      </c>
      <c r="O8" s="87">
        <v>6</v>
      </c>
      <c r="P8" s="87">
        <v>5</v>
      </c>
    </row>
    <row r="9" spans="2:27" x14ac:dyDescent="0.3">
      <c r="B9" s="28" t="s">
        <v>26</v>
      </c>
      <c r="C9" s="17">
        <v>1808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28</v>
      </c>
      <c r="C10" s="17">
        <v>974</v>
      </c>
      <c r="E10" s="18" t="s">
        <v>31</v>
      </c>
      <c r="F10" s="119">
        <v>16352</v>
      </c>
      <c r="G10" s="117">
        <v>12018.817499999999</v>
      </c>
      <c r="H10" s="117">
        <v>368.35775999999998</v>
      </c>
      <c r="I10" s="19">
        <f>G10+H10</f>
        <v>12387.17526</v>
      </c>
      <c r="J10" s="119">
        <v>17497</v>
      </c>
      <c r="K10" s="117">
        <v>12236.80075</v>
      </c>
      <c r="L10" s="117">
        <v>377.94697600000001</v>
      </c>
      <c r="M10" s="19">
        <f>K10+L10</f>
        <v>12614.747726</v>
      </c>
      <c r="N10" s="88">
        <v>52</v>
      </c>
      <c r="O10" s="88">
        <v>51</v>
      </c>
      <c r="P10" s="88">
        <v>48</v>
      </c>
    </row>
    <row r="11" spans="2:27" x14ac:dyDescent="0.3">
      <c r="B11" s="16" t="s">
        <v>30</v>
      </c>
      <c r="C11" s="17">
        <v>2016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38</v>
      </c>
      <c r="C12" s="17">
        <v>9350</v>
      </c>
      <c r="E12" s="140" t="s">
        <v>35</v>
      </c>
      <c r="F12" s="119">
        <v>13523</v>
      </c>
      <c r="G12" s="117">
        <v>11628.1785</v>
      </c>
      <c r="H12" s="117">
        <v>15945.92579703</v>
      </c>
      <c r="I12" s="19">
        <f>G12+H12</f>
        <v>27574.10429703</v>
      </c>
      <c r="J12" s="119">
        <v>13675</v>
      </c>
      <c r="K12" s="117">
        <v>12503.071749999999</v>
      </c>
      <c r="L12" s="117">
        <v>16159.456981630001</v>
      </c>
      <c r="M12" s="19">
        <f>K12+L12</f>
        <v>28662.528731630002</v>
      </c>
      <c r="N12" s="88">
        <v>55</v>
      </c>
      <c r="O12" s="88">
        <v>47</v>
      </c>
      <c r="P12" s="88">
        <v>47</v>
      </c>
    </row>
    <row r="13" spans="2:27" x14ac:dyDescent="0.3">
      <c r="B13" s="16" t="s">
        <v>40</v>
      </c>
      <c r="C13" s="17">
        <v>1585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23134</v>
      </c>
      <c r="E14" s="18" t="s">
        <v>39</v>
      </c>
      <c r="F14" s="119">
        <v>17825</v>
      </c>
      <c r="G14" s="117">
        <v>14391.9</v>
      </c>
      <c r="H14" s="117">
        <v>21799.426257620002</v>
      </c>
      <c r="I14" s="19">
        <f>G14+H14</f>
        <v>36191.32625762</v>
      </c>
      <c r="J14" s="119">
        <v>17893</v>
      </c>
      <c r="K14" s="117">
        <v>16363.568499999999</v>
      </c>
      <c r="L14" s="117">
        <v>22303.94595795999</v>
      </c>
      <c r="M14" s="19">
        <f>K14+L14</f>
        <v>38667.514457959987</v>
      </c>
      <c r="N14" s="88">
        <v>71</v>
      </c>
      <c r="O14" s="88">
        <v>67</v>
      </c>
      <c r="P14" s="88">
        <v>56</v>
      </c>
    </row>
    <row r="15" spans="2:27" x14ac:dyDescent="0.3">
      <c r="B15" s="43" t="s">
        <v>47</v>
      </c>
      <c r="C15" s="17">
        <v>1076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48</v>
      </c>
      <c r="C16" s="50">
        <v>208</v>
      </c>
      <c r="E16" s="18" t="s">
        <v>79</v>
      </c>
      <c r="F16" s="119">
        <v>0</v>
      </c>
      <c r="G16" s="117">
        <v>0</v>
      </c>
      <c r="H16" s="117">
        <v>5127.7803696400006</v>
      </c>
      <c r="I16" s="19">
        <f>G16+H16</f>
        <v>5127.7803696400006</v>
      </c>
      <c r="J16" s="119">
        <v>0</v>
      </c>
      <c r="K16" s="117">
        <v>0</v>
      </c>
      <c r="L16" s="117">
        <v>5073.9519550599998</v>
      </c>
      <c r="M16" s="19">
        <f>K16+L16</f>
        <v>5073.9519550599998</v>
      </c>
      <c r="N16" s="88">
        <v>11</v>
      </c>
      <c r="O16" s="88">
        <v>12</v>
      </c>
      <c r="P16" s="88">
        <v>11</v>
      </c>
    </row>
    <row r="17" spans="2:28" s="4" customFormat="1" x14ac:dyDescent="0.3">
      <c r="B17" s="16" t="s">
        <v>50</v>
      </c>
      <c r="C17" s="17">
        <v>10696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626</v>
      </c>
      <c r="E18" s="84"/>
      <c r="F18" s="135">
        <f t="shared" ref="F18:M18" si="0">SUM(F6:F17)</f>
        <v>70644</v>
      </c>
      <c r="G18" s="135">
        <f t="shared" si="0"/>
        <v>50682.976999999999</v>
      </c>
      <c r="H18" s="135">
        <f t="shared" si="0"/>
        <v>51794.871063289997</v>
      </c>
      <c r="I18" s="136">
        <f t="shared" si="0"/>
        <v>102477.84806329</v>
      </c>
      <c r="J18" s="135">
        <f t="shared" si="0"/>
        <v>74209</v>
      </c>
      <c r="K18" s="135">
        <f t="shared" si="0"/>
        <v>54170.976733333337</v>
      </c>
      <c r="L18" s="135">
        <f t="shared" si="0"/>
        <v>53263.475045729989</v>
      </c>
      <c r="M18" s="137">
        <f t="shared" si="0"/>
        <v>107434.45177906331</v>
      </c>
      <c r="N18" s="135">
        <f>SUM(N16,N14,N12,N10,N8,N6)</f>
        <v>284</v>
      </c>
      <c r="O18" s="135">
        <f>SUM(O16,O14,O12,O10,O8,O6)</f>
        <v>269</v>
      </c>
      <c r="P18" s="135">
        <f>SUM(P16,P14,P12,P10,P8,P6)</f>
        <v>245</v>
      </c>
    </row>
    <row r="19" spans="2:28" ht="15" customHeight="1" thickBot="1" x14ac:dyDescent="0.35">
      <c r="B19" s="57" t="s">
        <v>52</v>
      </c>
      <c r="C19" s="58">
        <v>4980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8.9219330855018583E-2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10541</v>
      </c>
      <c r="D27" s="76">
        <f>C12</f>
        <v>9350</v>
      </c>
      <c r="E27" s="77">
        <f t="shared" ref="E27:E33" si="1">D27-C27</f>
        <v>-1191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32373</v>
      </c>
      <c r="D29" s="76">
        <f>C8+C13+C14+C15+C16</f>
        <v>27732</v>
      </c>
      <c r="E29" s="77">
        <f t="shared" si="1"/>
        <v>-4641</v>
      </c>
      <c r="P29" s="4"/>
    </row>
    <row r="30" spans="2:28" x14ac:dyDescent="0.3">
      <c r="B30" s="74" t="s">
        <v>21</v>
      </c>
      <c r="C30" s="122">
        <v>0</v>
      </c>
      <c r="D30" s="76">
        <f>C6</f>
        <v>107</v>
      </c>
      <c r="E30" s="77">
        <f t="shared" si="1"/>
        <v>107</v>
      </c>
      <c r="P30" s="4"/>
    </row>
    <row r="31" spans="2:28" x14ac:dyDescent="0.3">
      <c r="B31" s="74" t="s">
        <v>57</v>
      </c>
      <c r="C31" s="122">
        <v>2016</v>
      </c>
      <c r="D31" s="76">
        <f>C11</f>
        <v>2016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16553</v>
      </c>
      <c r="D32" s="76">
        <f>C17+C18+C19</f>
        <v>16302</v>
      </c>
      <c r="E32" s="77">
        <f t="shared" si="1"/>
        <v>-251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3459</v>
      </c>
      <c r="D33" s="76">
        <f>C9+C10</f>
        <v>2782</v>
      </c>
      <c r="E33" s="81">
        <f t="shared" si="1"/>
        <v>-677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44594</v>
      </c>
    </row>
    <row r="3" spans="2:27" ht="18.75" customHeight="1" thickBot="1" x14ac:dyDescent="0.35">
      <c r="B3" t="s">
        <v>1</v>
      </c>
      <c r="C3" s="3">
        <f>C2+1</f>
        <v>44595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3">
      <c r="B6" s="16" t="s">
        <v>21</v>
      </c>
      <c r="C6" s="17">
        <v>141</v>
      </c>
      <c r="E6" s="18" t="s">
        <v>22</v>
      </c>
      <c r="F6" s="119">
        <v>24229</v>
      </c>
      <c r="G6" s="117">
        <v>13094.147000000001</v>
      </c>
      <c r="H6" s="117">
        <v>5863.7803249599938</v>
      </c>
      <c r="I6" s="19">
        <f>G6+H6</f>
        <v>18957.927324959994</v>
      </c>
      <c r="J6" s="119">
        <v>27347</v>
      </c>
      <c r="K6" s="117">
        <v>15182.73625</v>
      </c>
      <c r="L6" s="117">
        <v>5689.0486196999973</v>
      </c>
      <c r="M6" s="19">
        <f>K6+L6</f>
        <v>20871.784869699997</v>
      </c>
      <c r="N6" s="85">
        <v>81</v>
      </c>
      <c r="O6" s="85">
        <v>80</v>
      </c>
      <c r="P6" s="85">
        <v>70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1687</v>
      </c>
      <c r="E8" s="140" t="s">
        <v>27</v>
      </c>
      <c r="F8" s="119">
        <v>0</v>
      </c>
      <c r="G8" s="117">
        <v>0</v>
      </c>
      <c r="H8" s="117">
        <v>4342.4683264800015</v>
      </c>
      <c r="I8" s="19">
        <f>G8+H8</f>
        <v>4342.4683264800015</v>
      </c>
      <c r="J8" s="119">
        <v>0</v>
      </c>
      <c r="K8" s="117">
        <v>0</v>
      </c>
      <c r="L8" s="117">
        <v>4518.2197006199985</v>
      </c>
      <c r="M8" s="19">
        <f>K8+L8</f>
        <v>4518.2197006199985</v>
      </c>
      <c r="N8" s="87">
        <v>5</v>
      </c>
      <c r="O8" s="87">
        <v>5</v>
      </c>
      <c r="P8" s="87">
        <v>3</v>
      </c>
    </row>
    <row r="9" spans="2:27" x14ac:dyDescent="0.3">
      <c r="B9" s="28" t="s">
        <v>26</v>
      </c>
      <c r="C9" s="17">
        <v>1721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28</v>
      </c>
      <c r="C10" s="17">
        <v>997</v>
      </c>
      <c r="E10" s="18" t="s">
        <v>31</v>
      </c>
      <c r="F10" s="119">
        <v>16858</v>
      </c>
      <c r="G10" s="117">
        <v>12738.249000000011</v>
      </c>
      <c r="H10" s="117">
        <v>354.88992300000001</v>
      </c>
      <c r="I10" s="19">
        <f>G10+H10</f>
        <v>13093.138923000011</v>
      </c>
      <c r="J10" s="119">
        <v>17535</v>
      </c>
      <c r="K10" s="117">
        <v>13136.264999999999</v>
      </c>
      <c r="L10" s="117">
        <v>373.90929240000003</v>
      </c>
      <c r="M10" s="19">
        <f>K10+L10</f>
        <v>13510.174292399999</v>
      </c>
      <c r="N10" s="88">
        <v>47</v>
      </c>
      <c r="O10" s="88">
        <v>45</v>
      </c>
      <c r="P10" s="88">
        <v>44</v>
      </c>
    </row>
    <row r="11" spans="2:27" x14ac:dyDescent="0.3">
      <c r="B11" s="16" t="s">
        <v>30</v>
      </c>
      <c r="C11" s="17">
        <v>2025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38</v>
      </c>
      <c r="C12" s="17">
        <v>10054</v>
      </c>
      <c r="E12" s="140" t="s">
        <v>35</v>
      </c>
      <c r="F12" s="119">
        <v>15772</v>
      </c>
      <c r="G12" s="117">
        <v>13105.430249999999</v>
      </c>
      <c r="H12" s="117">
        <v>18287.09509751001</v>
      </c>
      <c r="I12" s="19">
        <f>G12+H12</f>
        <v>31392.525347510011</v>
      </c>
      <c r="J12" s="119">
        <v>16159</v>
      </c>
      <c r="K12" s="117">
        <v>15299.5965</v>
      </c>
      <c r="L12" s="117">
        <v>17674.152046089999</v>
      </c>
      <c r="M12" s="19">
        <f>K12+L12</f>
        <v>32973.748546089999</v>
      </c>
      <c r="N12" s="88">
        <v>56</v>
      </c>
      <c r="O12" s="88">
        <v>50</v>
      </c>
      <c r="P12" s="88">
        <v>50</v>
      </c>
    </row>
    <row r="13" spans="2:27" x14ac:dyDescent="0.3">
      <c r="B13" s="16" t="s">
        <v>40</v>
      </c>
      <c r="C13" s="17">
        <v>1928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28" t="s">
        <v>42</v>
      </c>
      <c r="C14" s="17">
        <v>30087</v>
      </c>
      <c r="E14" s="18" t="s">
        <v>39</v>
      </c>
      <c r="F14" s="119">
        <v>17897</v>
      </c>
      <c r="G14" s="117">
        <v>13911.323249999999</v>
      </c>
      <c r="H14" s="117">
        <v>21382.674070920009</v>
      </c>
      <c r="I14" s="19">
        <f>G14+H14</f>
        <v>35293.997320920011</v>
      </c>
      <c r="J14" s="119">
        <v>18544</v>
      </c>
      <c r="K14" s="117">
        <v>16477.516</v>
      </c>
      <c r="L14" s="117">
        <v>21751.020994720009</v>
      </c>
      <c r="M14" s="19">
        <f>K14+L14</f>
        <v>38228.536994720009</v>
      </c>
      <c r="N14" s="88">
        <v>68</v>
      </c>
      <c r="O14" s="88">
        <v>66</v>
      </c>
      <c r="P14" s="88">
        <v>58</v>
      </c>
    </row>
    <row r="15" spans="2:27" x14ac:dyDescent="0.3">
      <c r="B15" s="43" t="s">
        <v>47</v>
      </c>
      <c r="C15" s="17">
        <v>1305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48</v>
      </c>
      <c r="C16" s="50">
        <v>411</v>
      </c>
      <c r="E16" s="18" t="s">
        <v>79</v>
      </c>
      <c r="F16" s="119">
        <v>0</v>
      </c>
      <c r="G16" s="117">
        <v>0</v>
      </c>
      <c r="H16" s="117">
        <v>8754.5597127399997</v>
      </c>
      <c r="I16" s="19">
        <f>G16+H16</f>
        <v>8754.5597127399997</v>
      </c>
      <c r="J16" s="119">
        <v>0</v>
      </c>
      <c r="K16" s="117">
        <v>0</v>
      </c>
      <c r="L16" s="117">
        <v>8469.2678746199999</v>
      </c>
      <c r="M16" s="19">
        <f>K16+L16</f>
        <v>8469.2678746199999</v>
      </c>
      <c r="N16" s="88">
        <v>12</v>
      </c>
      <c r="O16" s="88">
        <v>12</v>
      </c>
      <c r="P16" s="88">
        <v>11</v>
      </c>
    </row>
    <row r="17" spans="2:28" s="4" customFormat="1" x14ac:dyDescent="0.3">
      <c r="B17" s="16" t="s">
        <v>50</v>
      </c>
      <c r="C17" s="17">
        <v>11473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1241</v>
      </c>
      <c r="E18" s="84"/>
      <c r="F18" s="135">
        <f t="shared" ref="F18:M18" si="0">SUM(F6:F17)</f>
        <v>74756</v>
      </c>
      <c r="G18" s="135">
        <f t="shared" si="0"/>
        <v>52849.149500000014</v>
      </c>
      <c r="H18" s="135">
        <f t="shared" si="0"/>
        <v>58985.467455610007</v>
      </c>
      <c r="I18" s="136">
        <f t="shared" si="0"/>
        <v>111834.61695561002</v>
      </c>
      <c r="J18" s="135">
        <f t="shared" si="0"/>
        <v>79585</v>
      </c>
      <c r="K18" s="135">
        <f t="shared" si="0"/>
        <v>60096.113750000004</v>
      </c>
      <c r="L18" s="135">
        <f t="shared" si="0"/>
        <v>58475.618528150007</v>
      </c>
      <c r="M18" s="137">
        <f t="shared" si="0"/>
        <v>118571.73227815</v>
      </c>
      <c r="N18" s="135">
        <f>SUM(N16,N14,N12,N10,N8,N6)</f>
        <v>269</v>
      </c>
      <c r="O18" s="135">
        <f>SUM(O16,O14,O12,O10,O8,O6)</f>
        <v>258</v>
      </c>
      <c r="P18" s="135">
        <f>SUM(P16,P14,P12,P10,P8,P6)</f>
        <v>236</v>
      </c>
    </row>
    <row r="19" spans="2:28" ht="15" customHeight="1" thickBot="1" x14ac:dyDescent="0.35">
      <c r="B19" s="57" t="s">
        <v>52</v>
      </c>
      <c r="C19" s="58">
        <v>4801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22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8.5271317829457363E-2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11425</v>
      </c>
      <c r="D27" s="76">
        <f>C12</f>
        <v>10054</v>
      </c>
      <c r="E27" s="77">
        <f t="shared" ref="E27:E33" si="1">D27-C27</f>
        <v>-1371</v>
      </c>
      <c r="J27" s="123"/>
      <c r="M27" s="4"/>
      <c r="Q27" s="69"/>
    </row>
    <row r="28" spans="2:28" x14ac:dyDescent="0.3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36257</v>
      </c>
      <c r="D29" s="76">
        <f>C8+C13+C14+C15+C16</f>
        <v>35418</v>
      </c>
      <c r="E29" s="77">
        <f t="shared" si="1"/>
        <v>-839</v>
      </c>
      <c r="P29" s="4"/>
    </row>
    <row r="30" spans="2:28" x14ac:dyDescent="0.3">
      <c r="B30" s="74" t="s">
        <v>21</v>
      </c>
      <c r="C30" s="122">
        <v>0</v>
      </c>
      <c r="D30" s="76">
        <f>C6</f>
        <v>141</v>
      </c>
      <c r="E30" s="77">
        <f t="shared" si="1"/>
        <v>141</v>
      </c>
      <c r="P30" s="4"/>
    </row>
    <row r="31" spans="2:28" x14ac:dyDescent="0.3">
      <c r="B31" s="74" t="s">
        <v>57</v>
      </c>
      <c r="C31" s="122">
        <v>2025</v>
      </c>
      <c r="D31" s="76">
        <f>C11</f>
        <v>2025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15955</v>
      </c>
      <c r="D32" s="76">
        <f>C17+C18+C19</f>
        <v>17515</v>
      </c>
      <c r="E32" s="77">
        <f t="shared" si="1"/>
        <v>1560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3328</v>
      </c>
      <c r="D33" s="76">
        <f>C9+C10</f>
        <v>2718</v>
      </c>
      <c r="E33" s="81">
        <f t="shared" si="1"/>
        <v>-610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44595</v>
      </c>
    </row>
    <row r="3" spans="2:27" ht="18.75" customHeight="1" thickBot="1" x14ac:dyDescent="0.35">
      <c r="B3" t="s">
        <v>1</v>
      </c>
      <c r="C3" s="3">
        <f>C2+1</f>
        <v>44596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93</v>
      </c>
    </row>
    <row r="6" spans="2:27" x14ac:dyDescent="0.3">
      <c r="B6" s="16" t="s">
        <v>21</v>
      </c>
      <c r="C6" s="17">
        <v>155</v>
      </c>
      <c r="E6" s="18" t="s">
        <v>22</v>
      </c>
      <c r="F6" s="119">
        <v>28060</v>
      </c>
      <c r="G6" s="117">
        <v>13801.855250000001</v>
      </c>
      <c r="H6" s="117">
        <v>6805.6844956399927</v>
      </c>
      <c r="I6" s="152">
        <f>G6+H6</f>
        <v>20607.539745639995</v>
      </c>
      <c r="J6" s="119">
        <v>26846</v>
      </c>
      <c r="K6" s="117">
        <v>14639.596</v>
      </c>
      <c r="L6" s="117">
        <v>6307.1253475999929</v>
      </c>
      <c r="M6" s="19">
        <f>K6+L6</f>
        <v>20946.721347599992</v>
      </c>
      <c r="N6" s="85">
        <v>85</v>
      </c>
      <c r="O6" s="85">
        <v>80</v>
      </c>
      <c r="P6" s="142">
        <v>77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1443</v>
      </c>
      <c r="E8" s="140" t="s">
        <v>27</v>
      </c>
      <c r="F8" s="119">
        <v>0</v>
      </c>
      <c r="G8" s="117">
        <v>0</v>
      </c>
      <c r="H8" s="117">
        <v>4006.5639562000001</v>
      </c>
      <c r="I8" s="152">
        <f>G8+H8</f>
        <v>4006.5639562000001</v>
      </c>
      <c r="J8" s="119">
        <v>0</v>
      </c>
      <c r="K8" s="117">
        <v>0</v>
      </c>
      <c r="L8" s="117">
        <v>4165.2747877800002</v>
      </c>
      <c r="M8" s="19">
        <f>K8+L8</f>
        <v>4165.2747877800002</v>
      </c>
      <c r="N8" s="87">
        <v>4</v>
      </c>
      <c r="O8" s="87">
        <v>4</v>
      </c>
      <c r="P8" s="144">
        <v>3</v>
      </c>
    </row>
    <row r="9" spans="2:27" x14ac:dyDescent="0.3">
      <c r="B9" s="28" t="s">
        <v>26</v>
      </c>
      <c r="C9" s="17">
        <v>1716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28</v>
      </c>
      <c r="C10" s="17">
        <v>1127</v>
      </c>
      <c r="E10" s="18" t="s">
        <v>31</v>
      </c>
      <c r="F10" s="119">
        <v>17904</v>
      </c>
      <c r="G10" s="117">
        <v>11976.597750000001</v>
      </c>
      <c r="H10" s="117">
        <v>337.38509499999998</v>
      </c>
      <c r="I10" s="152">
        <f>G10+H10</f>
        <v>12313.982845</v>
      </c>
      <c r="J10" s="119">
        <v>25159</v>
      </c>
      <c r="K10" s="117">
        <v>18649.56825</v>
      </c>
      <c r="L10" s="117">
        <v>317.0182476</v>
      </c>
      <c r="M10" s="19">
        <f>K10+L10</f>
        <v>18966.586497600001</v>
      </c>
      <c r="N10" s="88">
        <v>53</v>
      </c>
      <c r="O10" s="88">
        <v>49</v>
      </c>
      <c r="P10" s="145">
        <v>49</v>
      </c>
    </row>
    <row r="11" spans="2:27" x14ac:dyDescent="0.3">
      <c r="B11" s="16" t="s">
        <v>30</v>
      </c>
      <c r="C11" s="17">
        <v>2031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9323</v>
      </c>
      <c r="E12" s="140" t="s">
        <v>35</v>
      </c>
      <c r="F12" s="119">
        <v>15757</v>
      </c>
      <c r="G12" s="117">
        <v>12396.47025</v>
      </c>
      <c r="H12" s="117">
        <v>18551.94123498999</v>
      </c>
      <c r="I12" s="152">
        <f>G12+H12</f>
        <v>30948.411484989992</v>
      </c>
      <c r="J12" s="119">
        <v>15570</v>
      </c>
      <c r="K12" s="117">
        <v>14681.555</v>
      </c>
      <c r="L12" s="117">
        <v>19120.952202780001</v>
      </c>
      <c r="M12" s="19">
        <f>K12+L12</f>
        <v>33802.507202780005</v>
      </c>
      <c r="N12" s="88">
        <v>52</v>
      </c>
      <c r="O12" s="88">
        <v>50</v>
      </c>
      <c r="P12" s="145">
        <v>48</v>
      </c>
    </row>
    <row r="13" spans="2:27" x14ac:dyDescent="0.3">
      <c r="B13" s="16" t="s">
        <v>40</v>
      </c>
      <c r="C13" s="17">
        <v>1547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3">
      <c r="B14" s="28" t="s">
        <v>42</v>
      </c>
      <c r="C14" s="17">
        <v>24235</v>
      </c>
      <c r="E14" s="18" t="s">
        <v>39</v>
      </c>
      <c r="F14" s="119">
        <v>18186</v>
      </c>
      <c r="G14" s="117">
        <v>15132.938249999999</v>
      </c>
      <c r="H14" s="117">
        <v>23374.752322119999</v>
      </c>
      <c r="I14" s="152">
        <f>G14+H14</f>
        <v>38507.690572120002</v>
      </c>
      <c r="J14" s="119">
        <v>17842</v>
      </c>
      <c r="K14" s="117">
        <v>17088.375250000001</v>
      </c>
      <c r="L14" s="117">
        <v>22975.718943639989</v>
      </c>
      <c r="M14" s="19">
        <f>K14+L14</f>
        <v>40064.09419363999</v>
      </c>
      <c r="N14" s="88">
        <v>69</v>
      </c>
      <c r="O14" s="88">
        <v>64</v>
      </c>
      <c r="P14" s="145">
        <v>58</v>
      </c>
    </row>
    <row r="15" spans="2:27" x14ac:dyDescent="0.3">
      <c r="B15" s="43" t="s">
        <v>47</v>
      </c>
      <c r="C15" s="17">
        <v>1050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3">
      <c r="B16" s="43" t="s">
        <v>48</v>
      </c>
      <c r="C16" s="50">
        <v>203</v>
      </c>
      <c r="E16" s="18" t="s">
        <v>79</v>
      </c>
      <c r="F16" s="119">
        <v>0</v>
      </c>
      <c r="G16" s="117">
        <v>0</v>
      </c>
      <c r="H16" s="117">
        <v>5901.360520440001</v>
      </c>
      <c r="I16" s="152">
        <f>G16+H16</f>
        <v>5901.360520440001</v>
      </c>
      <c r="J16" s="119">
        <v>0</v>
      </c>
      <c r="K16" s="117">
        <v>0</v>
      </c>
      <c r="L16" s="117">
        <v>10531.322002659999</v>
      </c>
      <c r="M16" s="19">
        <f>K16+L16</f>
        <v>10531.322002659999</v>
      </c>
      <c r="N16" s="88">
        <v>12</v>
      </c>
      <c r="O16" s="88">
        <v>11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9140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1418</v>
      </c>
      <c r="E18" s="84"/>
      <c r="F18" s="148">
        <f t="shared" ref="F18:M18" si="0">SUM(F6:F17)</f>
        <v>79907</v>
      </c>
      <c r="G18" s="149">
        <f t="shared" si="0"/>
        <v>53307.861499999999</v>
      </c>
      <c r="H18" s="149">
        <f t="shared" si="0"/>
        <v>58977.687624389982</v>
      </c>
      <c r="I18" s="150">
        <f t="shared" si="0"/>
        <v>112285.54912438997</v>
      </c>
      <c r="J18" s="149">
        <f t="shared" si="0"/>
        <v>85417</v>
      </c>
      <c r="K18" s="149">
        <f t="shared" si="0"/>
        <v>65059.094500000007</v>
      </c>
      <c r="L18" s="149">
        <f t="shared" si="0"/>
        <v>63417.411532059981</v>
      </c>
      <c r="M18" s="157">
        <f t="shared" si="0"/>
        <v>128476.50603205999</v>
      </c>
      <c r="N18" s="149">
        <f>SUM(N16,N14,N12,N10,N8,N6)</f>
        <v>275</v>
      </c>
      <c r="O18" s="149">
        <f>SUM(O16,O14,O12,O10,O8,O6)</f>
        <v>258</v>
      </c>
      <c r="P18" s="158">
        <f>SUM(P16,P14,P12,P10,P8,P6)</f>
        <v>247</v>
      </c>
    </row>
    <row r="19" spans="2:28" ht="15" customHeight="1" thickBot="1" x14ac:dyDescent="0.35">
      <c r="B19" s="57" t="s">
        <v>52</v>
      </c>
      <c r="C19" s="58">
        <v>4373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4.2635658914728682E-2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11433</v>
      </c>
      <c r="D27" s="76">
        <f>C12</f>
        <v>9323</v>
      </c>
      <c r="E27" s="77">
        <f t="shared" ref="E27:E33" si="1">D27-C27</f>
        <v>-2110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36440</v>
      </c>
      <c r="D29" s="76">
        <f>C8+C13+C14+C15+C16</f>
        <v>28478</v>
      </c>
      <c r="E29" s="77">
        <f t="shared" si="1"/>
        <v>-7962</v>
      </c>
      <c r="P29" s="4"/>
    </row>
    <row r="30" spans="2:28" x14ac:dyDescent="0.3">
      <c r="B30" s="74" t="s">
        <v>21</v>
      </c>
      <c r="C30" s="122">
        <v>155</v>
      </c>
      <c r="D30" s="76">
        <f>C6</f>
        <v>155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2031</v>
      </c>
      <c r="D31" s="76">
        <f>C11</f>
        <v>2031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15810</v>
      </c>
      <c r="D32" s="76">
        <f>C17+C18+C19</f>
        <v>14931</v>
      </c>
      <c r="E32" s="77">
        <f t="shared" si="1"/>
        <v>-879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3006</v>
      </c>
      <c r="D33" s="80">
        <f>C9+C10</f>
        <v>2843</v>
      </c>
      <c r="E33" s="81">
        <f t="shared" si="1"/>
        <v>-163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44596</v>
      </c>
    </row>
    <row r="3" spans="2:27" ht="18.75" customHeight="1" thickBot="1" x14ac:dyDescent="0.35">
      <c r="B3" t="s">
        <v>1</v>
      </c>
      <c r="C3" s="3">
        <f>C2+1</f>
        <v>44597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21071</v>
      </c>
      <c r="G6" s="117">
        <v>12941.97025</v>
      </c>
      <c r="H6" s="117">
        <v>5098.6338103799953</v>
      </c>
      <c r="I6" s="152">
        <f>G6+H6</f>
        <v>18040.604060379996</v>
      </c>
      <c r="J6" s="119">
        <v>22753</v>
      </c>
      <c r="K6" s="117">
        <v>13889.730750000001</v>
      </c>
      <c r="L6" s="117">
        <v>5324.5136653599948</v>
      </c>
      <c r="M6" s="19">
        <f>K6+L6</f>
        <v>19214.244415359994</v>
      </c>
      <c r="N6" s="85">
        <v>81</v>
      </c>
      <c r="O6" s="85">
        <v>77</v>
      </c>
      <c r="P6" s="142">
        <v>64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1768</v>
      </c>
      <c r="E8" s="140" t="s">
        <v>27</v>
      </c>
      <c r="F8" s="119">
        <v>0</v>
      </c>
      <c r="G8" s="117">
        <v>0</v>
      </c>
      <c r="H8" s="117">
        <v>3762.5461831799998</v>
      </c>
      <c r="I8" s="152">
        <f>G8+H8</f>
        <v>3762.5461831799998</v>
      </c>
      <c r="J8" s="119">
        <v>0</v>
      </c>
      <c r="K8" s="117">
        <v>0</v>
      </c>
      <c r="L8" s="117">
        <v>3853.0506250799999</v>
      </c>
      <c r="M8" s="19">
        <f>K8+L8</f>
        <v>3853.0506250799999</v>
      </c>
      <c r="N8" s="87">
        <v>8</v>
      </c>
      <c r="O8" s="87">
        <v>8</v>
      </c>
      <c r="P8" s="144">
        <v>6</v>
      </c>
    </row>
    <row r="9" spans="2:27" x14ac:dyDescent="0.3">
      <c r="B9" s="28" t="s">
        <v>26</v>
      </c>
      <c r="C9" s="17">
        <v>1979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28</v>
      </c>
      <c r="C10" s="17">
        <v>1041</v>
      </c>
      <c r="E10" s="18" t="s">
        <v>31</v>
      </c>
      <c r="F10" s="119">
        <v>16000</v>
      </c>
      <c r="G10" s="117">
        <v>12811.206</v>
      </c>
      <c r="H10" s="117">
        <v>294.5326364</v>
      </c>
      <c r="I10" s="152">
        <f>G10+H10</f>
        <v>13105.738636399999</v>
      </c>
      <c r="J10" s="119">
        <v>15417</v>
      </c>
      <c r="K10" s="117">
        <v>11983.966</v>
      </c>
      <c r="L10" s="117">
        <v>342.66701180000001</v>
      </c>
      <c r="M10" s="19">
        <f>K10+L10</f>
        <v>12326.633011800001</v>
      </c>
      <c r="N10" s="88">
        <v>53</v>
      </c>
      <c r="O10" s="88">
        <v>50</v>
      </c>
      <c r="P10" s="145">
        <v>50</v>
      </c>
    </row>
    <row r="11" spans="2:27" x14ac:dyDescent="0.3">
      <c r="B11" s="16" t="s">
        <v>30</v>
      </c>
      <c r="C11" s="17">
        <v>3486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10039</v>
      </c>
      <c r="E12" s="140" t="s">
        <v>35</v>
      </c>
      <c r="F12" s="119">
        <v>15148</v>
      </c>
      <c r="G12" s="117">
        <v>12098.0065</v>
      </c>
      <c r="H12" s="117">
        <v>17669.391274009999</v>
      </c>
      <c r="I12" s="152">
        <f>G12+H12</f>
        <v>29767.397774009998</v>
      </c>
      <c r="J12" s="119">
        <v>15041</v>
      </c>
      <c r="K12" s="117">
        <v>14200.084500000001</v>
      </c>
      <c r="L12" s="117">
        <v>16694.035955480002</v>
      </c>
      <c r="M12" s="19">
        <f>K12+L12</f>
        <v>30894.120455480002</v>
      </c>
      <c r="N12" s="88">
        <v>59</v>
      </c>
      <c r="O12" s="88">
        <v>57</v>
      </c>
      <c r="P12" s="145">
        <v>54</v>
      </c>
    </row>
    <row r="13" spans="2:27" x14ac:dyDescent="0.3">
      <c r="B13" s="16" t="s">
        <v>40</v>
      </c>
      <c r="C13" s="17">
        <v>1578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3</v>
      </c>
    </row>
    <row r="14" spans="2:27" x14ac:dyDescent="0.3">
      <c r="B14" s="28" t="s">
        <v>42</v>
      </c>
      <c r="C14" s="17">
        <v>28774</v>
      </c>
      <c r="E14" s="18" t="s">
        <v>39</v>
      </c>
      <c r="F14" s="119">
        <v>18713</v>
      </c>
      <c r="G14" s="117">
        <v>15933.92375</v>
      </c>
      <c r="H14" s="117">
        <v>22810.882188480009</v>
      </c>
      <c r="I14" s="152">
        <f>G14+H14</f>
        <v>38744.805938480007</v>
      </c>
      <c r="J14" s="119">
        <v>23444</v>
      </c>
      <c r="K14" s="117">
        <v>19167.396250000002</v>
      </c>
      <c r="L14" s="117">
        <v>27516.46722434002</v>
      </c>
      <c r="M14" s="19">
        <f>K14+L14</f>
        <v>46683.863474340018</v>
      </c>
      <c r="N14" s="88">
        <v>71</v>
      </c>
      <c r="O14" s="88">
        <v>69</v>
      </c>
      <c r="P14" s="145">
        <v>58</v>
      </c>
    </row>
    <row r="15" spans="2:27" x14ac:dyDescent="0.3">
      <c r="B15" s="43" t="s">
        <v>47</v>
      </c>
      <c r="C15" s="17">
        <v>1813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3">
      <c r="B16" s="43" t="s">
        <v>48</v>
      </c>
      <c r="C16" s="50">
        <v>329</v>
      </c>
      <c r="E16" s="18" t="s">
        <v>79</v>
      </c>
      <c r="F16" s="119">
        <v>0</v>
      </c>
      <c r="G16" s="117">
        <v>0</v>
      </c>
      <c r="H16" s="117">
        <v>8917.4028779199998</v>
      </c>
      <c r="I16" s="152">
        <f>G16+H16</f>
        <v>8917.4028779199998</v>
      </c>
      <c r="J16" s="119">
        <v>0</v>
      </c>
      <c r="K16" s="117">
        <v>0</v>
      </c>
      <c r="L16" s="117">
        <v>8677.2349334200007</v>
      </c>
      <c r="M16" s="19">
        <f>K16+L16</f>
        <v>8677.2349334200007</v>
      </c>
      <c r="N16" s="88">
        <v>14</v>
      </c>
      <c r="O16" s="88">
        <v>14</v>
      </c>
      <c r="P16" s="145">
        <v>14</v>
      </c>
    </row>
    <row r="17" spans="2:28" s="4" customFormat="1" ht="15" customHeight="1" thickBot="1" x14ac:dyDescent="0.35">
      <c r="B17" s="16" t="s">
        <v>50</v>
      </c>
      <c r="C17" s="17">
        <v>10377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443</v>
      </c>
      <c r="E18" s="84"/>
      <c r="F18" s="148">
        <f t="shared" ref="F18:M18" si="0">SUM(F6:F17)</f>
        <v>70932</v>
      </c>
      <c r="G18" s="149">
        <f t="shared" si="0"/>
        <v>53785.106500000002</v>
      </c>
      <c r="H18" s="149">
        <f t="shared" si="0"/>
        <v>58553.388970370004</v>
      </c>
      <c r="I18" s="150">
        <f t="shared" si="0"/>
        <v>112338.49547037001</v>
      </c>
      <c r="J18" s="149">
        <f t="shared" si="0"/>
        <v>76655</v>
      </c>
      <c r="K18" s="149">
        <f t="shared" si="0"/>
        <v>59241.177500000005</v>
      </c>
      <c r="L18" s="149">
        <f t="shared" si="0"/>
        <v>62407.969415480009</v>
      </c>
      <c r="M18" s="157">
        <f t="shared" si="0"/>
        <v>121649.14691548001</v>
      </c>
      <c r="N18" s="149">
        <f>SUM(N16,N14,N12,N10,N8,N6)</f>
        <v>286</v>
      </c>
      <c r="O18" s="149">
        <f>SUM(O16,O14,O12,O10,O8,O6)</f>
        <v>275</v>
      </c>
      <c r="P18" s="158">
        <f>SUM(P16,P14,P12,P10,P8,P6)</f>
        <v>246</v>
      </c>
    </row>
    <row r="19" spans="2:28" ht="15" customHeight="1" thickBot="1" x14ac:dyDescent="0.35">
      <c r="B19" s="57" t="s">
        <v>52</v>
      </c>
      <c r="C19" s="58">
        <v>4586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0.10545454545454545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9302</v>
      </c>
      <c r="D27" s="76">
        <f>C12</f>
        <v>10039</v>
      </c>
      <c r="E27" s="77">
        <f t="shared" ref="E27:E33" si="1">D27-C27</f>
        <v>737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36950</v>
      </c>
      <c r="D29" s="76">
        <f>C8+C13+C14+C15+C16</f>
        <v>34262</v>
      </c>
      <c r="E29" s="77">
        <f t="shared" si="1"/>
        <v>-2688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1833</v>
      </c>
      <c r="D31" s="76">
        <f>C11</f>
        <v>3486</v>
      </c>
      <c r="E31" s="77">
        <f t="shared" si="1"/>
        <v>1653</v>
      </c>
      <c r="P31" s="4"/>
    </row>
    <row r="32" spans="2:28" x14ac:dyDescent="0.3">
      <c r="B32" s="74" t="s">
        <v>59</v>
      </c>
      <c r="C32" s="122">
        <v>13943</v>
      </c>
      <c r="D32" s="76">
        <f>C17+C18+C19</f>
        <v>15406</v>
      </c>
      <c r="E32" s="77">
        <f t="shared" si="1"/>
        <v>1463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3728</v>
      </c>
      <c r="D33" s="80">
        <f>C9+C10</f>
        <v>3020</v>
      </c>
      <c r="E33" s="81">
        <f t="shared" si="1"/>
        <v>-708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44597</v>
      </c>
    </row>
    <row r="3" spans="2:27" ht="18.75" customHeight="1" thickBot="1" x14ac:dyDescent="0.35">
      <c r="B3" t="s">
        <v>1</v>
      </c>
      <c r="C3" s="3">
        <f>C2+1</f>
        <v>44598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76</v>
      </c>
      <c r="E6" s="18" t="s">
        <v>22</v>
      </c>
      <c r="F6" s="119">
        <v>25567</v>
      </c>
      <c r="G6" s="117">
        <v>13237.497499999999</v>
      </c>
      <c r="H6" s="117">
        <v>5616.6005308999993</v>
      </c>
      <c r="I6" s="152">
        <f>G6+H6</f>
        <v>18854.098030900001</v>
      </c>
      <c r="J6" s="119">
        <v>27879</v>
      </c>
      <c r="K6" s="117">
        <v>15754.464833333341</v>
      </c>
      <c r="L6" s="117">
        <v>6033.8012645999997</v>
      </c>
      <c r="M6" s="19">
        <f>K6+L6</f>
        <v>21788.266097933341</v>
      </c>
      <c r="N6" s="85">
        <v>88</v>
      </c>
      <c r="O6" s="85">
        <v>84</v>
      </c>
      <c r="P6" s="142">
        <v>69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15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1242</v>
      </c>
      <c r="E8" s="140" t="s">
        <v>27</v>
      </c>
      <c r="F8" s="119">
        <v>0</v>
      </c>
      <c r="G8" s="117">
        <v>0</v>
      </c>
      <c r="H8" s="117">
        <v>4092.9105283200001</v>
      </c>
      <c r="I8" s="152">
        <f>G8+H8</f>
        <v>4092.9105283200001</v>
      </c>
      <c r="J8" s="119">
        <v>0</v>
      </c>
      <c r="K8" s="117">
        <v>0</v>
      </c>
      <c r="L8" s="117">
        <v>4107.7822168999992</v>
      </c>
      <c r="M8" s="19">
        <f>K8+L8</f>
        <v>4107.7822168999992</v>
      </c>
      <c r="N8" s="87">
        <v>7</v>
      </c>
      <c r="O8" s="87">
        <v>7</v>
      </c>
      <c r="P8" s="144">
        <v>5</v>
      </c>
    </row>
    <row r="9" spans="2:27" x14ac:dyDescent="0.3">
      <c r="B9" s="28" t="s">
        <v>26</v>
      </c>
      <c r="C9" s="17">
        <v>2236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28</v>
      </c>
      <c r="C10" s="17">
        <v>931</v>
      </c>
      <c r="E10" s="18" t="s">
        <v>31</v>
      </c>
      <c r="F10" s="119">
        <v>17098</v>
      </c>
      <c r="G10" s="117">
        <v>12109.371499999999</v>
      </c>
      <c r="H10" s="117">
        <v>358.93707999999998</v>
      </c>
      <c r="I10" s="152">
        <f>G10+H10</f>
        <v>12468.308579999999</v>
      </c>
      <c r="J10" s="119">
        <v>18286</v>
      </c>
      <c r="K10" s="117">
        <v>13510.958000000001</v>
      </c>
      <c r="L10" s="117">
        <v>349.85945759999998</v>
      </c>
      <c r="M10" s="19">
        <f>K10+L10</f>
        <v>13860.8174576</v>
      </c>
      <c r="N10" s="88">
        <v>57</v>
      </c>
      <c r="O10" s="88">
        <v>52</v>
      </c>
      <c r="P10" s="145">
        <v>51</v>
      </c>
    </row>
    <row r="11" spans="2:27" x14ac:dyDescent="0.3">
      <c r="B11" s="16" t="s">
        <v>30</v>
      </c>
      <c r="C11" s="17">
        <v>1993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1</v>
      </c>
    </row>
    <row r="12" spans="2:27" x14ac:dyDescent="0.3">
      <c r="B12" s="16" t="s">
        <v>38</v>
      </c>
      <c r="C12" s="17">
        <v>7935</v>
      </c>
      <c r="E12" s="140" t="s">
        <v>35</v>
      </c>
      <c r="F12" s="119">
        <v>15819</v>
      </c>
      <c r="G12" s="117">
        <v>12603.629000000001</v>
      </c>
      <c r="H12" s="117">
        <v>19134.184328589989</v>
      </c>
      <c r="I12" s="152">
        <f>G12+H12</f>
        <v>31737.813328589989</v>
      </c>
      <c r="J12" s="119">
        <v>16079</v>
      </c>
      <c r="K12" s="117">
        <v>15128.919749999999</v>
      </c>
      <c r="L12" s="117">
        <v>19393.801938749999</v>
      </c>
      <c r="M12" s="19">
        <f>K12+L12</f>
        <v>34522.721688749996</v>
      </c>
      <c r="N12" s="88">
        <v>61</v>
      </c>
      <c r="O12" s="88">
        <v>59</v>
      </c>
      <c r="P12" s="145">
        <v>51</v>
      </c>
    </row>
    <row r="13" spans="2:27" x14ac:dyDescent="0.3">
      <c r="B13" s="16" t="s">
        <v>40</v>
      </c>
      <c r="C13" s="17">
        <v>1673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8</v>
      </c>
    </row>
    <row r="14" spans="2:27" x14ac:dyDescent="0.3">
      <c r="B14" s="28" t="s">
        <v>42</v>
      </c>
      <c r="C14" s="17">
        <v>26387</v>
      </c>
      <c r="E14" s="18" t="s">
        <v>39</v>
      </c>
      <c r="F14" s="119">
        <v>16921</v>
      </c>
      <c r="G14" s="117">
        <v>15850.45325</v>
      </c>
      <c r="H14" s="117">
        <v>20453.315017479988</v>
      </c>
      <c r="I14" s="152">
        <f>G14+H14</f>
        <v>36303.768267479987</v>
      </c>
      <c r="J14" s="119">
        <v>17187</v>
      </c>
      <c r="K14" s="117">
        <v>16283.709500000001</v>
      </c>
      <c r="L14" s="117">
        <v>21460.93216643999</v>
      </c>
      <c r="M14" s="19">
        <f>K14+L14</f>
        <v>37744.641666439988</v>
      </c>
      <c r="N14" s="88">
        <v>66</v>
      </c>
      <c r="O14" s="88">
        <v>62</v>
      </c>
      <c r="P14" s="145">
        <v>51</v>
      </c>
    </row>
    <row r="15" spans="2:27" x14ac:dyDescent="0.3">
      <c r="B15" s="43" t="s">
        <v>47</v>
      </c>
      <c r="C15" s="17">
        <v>1019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3">
      <c r="B16" s="43" t="s">
        <v>48</v>
      </c>
      <c r="C16" s="50">
        <v>269</v>
      </c>
      <c r="E16" s="18" t="s">
        <v>79</v>
      </c>
      <c r="F16" s="119">
        <v>0</v>
      </c>
      <c r="G16" s="117">
        <v>0</v>
      </c>
      <c r="H16" s="117">
        <v>5685.1988945000003</v>
      </c>
      <c r="I16" s="152">
        <f>G16+H16</f>
        <v>5685.1988945000003</v>
      </c>
      <c r="J16" s="119">
        <v>0</v>
      </c>
      <c r="K16" s="117">
        <v>0</v>
      </c>
      <c r="L16" s="117">
        <v>5792.6021197199998</v>
      </c>
      <c r="M16" s="19">
        <f>K16+L16</f>
        <v>5792.6021197199998</v>
      </c>
      <c r="N16" s="88">
        <v>12</v>
      </c>
      <c r="O16" s="88">
        <v>11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10383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1081</v>
      </c>
      <c r="E18" s="84"/>
      <c r="F18" s="148">
        <f t="shared" ref="F18:M18" si="0">SUM(F6:F17)</f>
        <v>75405</v>
      </c>
      <c r="G18" s="149">
        <f t="shared" si="0"/>
        <v>53800.951249999998</v>
      </c>
      <c r="H18" s="149">
        <f t="shared" si="0"/>
        <v>55341.146379789971</v>
      </c>
      <c r="I18" s="150">
        <f t="shared" si="0"/>
        <v>109142.09762978999</v>
      </c>
      <c r="J18" s="149">
        <f t="shared" si="0"/>
        <v>79431</v>
      </c>
      <c r="K18" s="149">
        <f t="shared" si="0"/>
        <v>60678.052083333343</v>
      </c>
      <c r="L18" s="149">
        <f t="shared" si="0"/>
        <v>57138.779164009989</v>
      </c>
      <c r="M18" s="157">
        <f t="shared" si="0"/>
        <v>117816.83124734333</v>
      </c>
      <c r="N18" s="149">
        <f>SUM(N16,N14,N12,N10,N8,N6)</f>
        <v>291</v>
      </c>
      <c r="O18" s="149">
        <f>SUM(O16,O14,O12,O10,O8,O6)</f>
        <v>275</v>
      </c>
      <c r="P18" s="158">
        <f>SUM(P16,P14,P12,P10,P8,P6)</f>
        <v>239</v>
      </c>
    </row>
    <row r="19" spans="2:28" ht="15" customHeight="1" thickBot="1" x14ac:dyDescent="0.35">
      <c r="B19" s="57" t="s">
        <v>52</v>
      </c>
      <c r="C19" s="58">
        <v>4670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0.13090909090909092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11575</v>
      </c>
      <c r="D27" s="76">
        <f>C12</f>
        <v>7935</v>
      </c>
      <c r="E27" s="77">
        <f t="shared" ref="E27:E33" si="1">D27-C27</f>
        <v>-3640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37284</v>
      </c>
      <c r="D29" s="76">
        <f>C8+C13+C14+C15+C16</f>
        <v>30590</v>
      </c>
      <c r="E29" s="77">
        <f t="shared" si="1"/>
        <v>-6694</v>
      </c>
      <c r="P29" s="4"/>
    </row>
    <row r="30" spans="2:28" x14ac:dyDescent="0.3">
      <c r="B30" s="74" t="s">
        <v>21</v>
      </c>
      <c r="C30" s="122">
        <v>0</v>
      </c>
      <c r="D30" s="76">
        <f>C6</f>
        <v>76</v>
      </c>
      <c r="E30" s="77">
        <f t="shared" si="1"/>
        <v>76</v>
      </c>
      <c r="P30" s="4"/>
    </row>
    <row r="31" spans="2:28" x14ac:dyDescent="0.3">
      <c r="B31" s="74" t="s">
        <v>57</v>
      </c>
      <c r="C31" s="122">
        <v>1653</v>
      </c>
      <c r="D31" s="76">
        <f>C11</f>
        <v>1993</v>
      </c>
      <c r="E31" s="77">
        <f t="shared" si="1"/>
        <v>340</v>
      </c>
      <c r="P31" s="4"/>
    </row>
    <row r="32" spans="2:28" x14ac:dyDescent="0.3">
      <c r="B32" s="74" t="s">
        <v>59</v>
      </c>
      <c r="C32" s="122">
        <v>16803</v>
      </c>
      <c r="D32" s="76">
        <f>C17+C18+C19</f>
        <v>16134</v>
      </c>
      <c r="E32" s="77">
        <f t="shared" si="1"/>
        <v>-669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3119</v>
      </c>
      <c r="D33" s="80">
        <f>C9+C10</f>
        <v>3167</v>
      </c>
      <c r="E33" s="81">
        <f t="shared" si="1"/>
        <v>48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44598</v>
      </c>
    </row>
    <row r="3" spans="2:27" ht="18.75" customHeight="1" thickBot="1" x14ac:dyDescent="0.35">
      <c r="B3" t="s">
        <v>1</v>
      </c>
      <c r="C3" s="3">
        <f>C2+1</f>
        <v>44599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15857</v>
      </c>
      <c r="G6" s="117">
        <v>4345</v>
      </c>
      <c r="H6" s="117">
        <v>1069</v>
      </c>
      <c r="I6" s="152">
        <f>G6+H6</f>
        <v>5414</v>
      </c>
      <c r="J6" s="119">
        <v>16970</v>
      </c>
      <c r="K6" s="117">
        <v>6496</v>
      </c>
      <c r="L6" s="117">
        <v>1242</v>
      </c>
      <c r="M6" s="19">
        <f>K6+L6</f>
        <v>7738</v>
      </c>
      <c r="N6" s="85">
        <v>48</v>
      </c>
      <c r="O6" s="85">
        <v>48</v>
      </c>
      <c r="P6" s="142">
        <v>41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144">
        <v>0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52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145">
        <v>0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145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145">
        <v>0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35">
      <c r="B17" s="16" t="s">
        <v>50</v>
      </c>
      <c r="C17" s="17">
        <v>11529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592</v>
      </c>
      <c r="E18" s="84"/>
      <c r="F18" s="148">
        <f t="shared" ref="F18:M18" si="0">SUM(F6:F17)</f>
        <v>15857</v>
      </c>
      <c r="G18" s="149">
        <f t="shared" si="0"/>
        <v>4345</v>
      </c>
      <c r="H18" s="149">
        <f t="shared" si="0"/>
        <v>1069</v>
      </c>
      <c r="I18" s="150">
        <f t="shared" si="0"/>
        <v>5414</v>
      </c>
      <c r="J18" s="149">
        <f t="shared" si="0"/>
        <v>16970</v>
      </c>
      <c r="K18" s="149">
        <f t="shared" si="0"/>
        <v>6496</v>
      </c>
      <c r="L18" s="149">
        <f t="shared" si="0"/>
        <v>1242</v>
      </c>
      <c r="M18" s="157">
        <f t="shared" si="0"/>
        <v>7738</v>
      </c>
      <c r="N18" s="149">
        <f>SUM(N16,N14,N12,N10,N8,N6)</f>
        <v>49</v>
      </c>
      <c r="O18" s="149">
        <f>SUM(O16,O14,O12,O10,O8,O6)</f>
        <v>48</v>
      </c>
      <c r="P18" s="158">
        <f>SUM(P16,P14,P12,P10,P8,P6)</f>
        <v>41</v>
      </c>
    </row>
    <row r="19" spans="2:28" ht="15" customHeight="1" thickBot="1" x14ac:dyDescent="0.35">
      <c r="B19" s="57" t="s">
        <v>52</v>
      </c>
      <c r="C19" s="58">
        <v>4849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0.14583333333333334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15857</v>
      </c>
      <c r="D32" s="76">
        <f>C17+C18+C19</f>
        <v>16970</v>
      </c>
      <c r="E32" s="77">
        <f t="shared" si="1"/>
        <v>1113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0</v>
      </c>
      <c r="D33" s="80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44599</v>
      </c>
    </row>
    <row r="3" spans="2:27" ht="18.75" customHeight="1" thickBot="1" x14ac:dyDescent="0.35">
      <c r="B3" t="s">
        <v>1</v>
      </c>
      <c r="C3" s="3">
        <f>C2+1</f>
        <v>44600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58</v>
      </c>
      <c r="E6" s="18" t="s">
        <v>22</v>
      </c>
      <c r="F6" s="119">
        <v>24174</v>
      </c>
      <c r="G6" s="117">
        <v>12701.910633333329</v>
      </c>
      <c r="H6" s="117">
        <v>5537.9955511199951</v>
      </c>
      <c r="I6" s="152">
        <f>G6+H6</f>
        <v>18239.906184453324</v>
      </c>
      <c r="J6" s="119">
        <v>23870</v>
      </c>
      <c r="K6" s="117">
        <v>13120.70713333333</v>
      </c>
      <c r="L6" s="117">
        <v>5537.2730464799961</v>
      </c>
      <c r="M6" s="19">
        <v>0</v>
      </c>
      <c r="N6" s="85">
        <v>81</v>
      </c>
      <c r="O6" s="85">
        <v>80</v>
      </c>
      <c r="P6" s="142">
        <v>71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1687</v>
      </c>
      <c r="E8" s="140" t="s">
        <v>27</v>
      </c>
      <c r="F8" s="119">
        <v>0</v>
      </c>
      <c r="G8" s="117">
        <v>0</v>
      </c>
      <c r="H8" s="117">
        <v>3722.6913089200002</v>
      </c>
      <c r="I8" s="152">
        <f>G8+H8</f>
        <v>3722.6913089200002</v>
      </c>
      <c r="J8" s="119">
        <v>0</v>
      </c>
      <c r="K8" s="117">
        <v>0</v>
      </c>
      <c r="L8" s="117">
        <v>3688.5660463999989</v>
      </c>
      <c r="M8" s="19">
        <v>0</v>
      </c>
      <c r="N8" s="87">
        <v>8</v>
      </c>
      <c r="O8" s="87">
        <v>8</v>
      </c>
      <c r="P8" s="144">
        <v>6</v>
      </c>
    </row>
    <row r="9" spans="2:27" x14ac:dyDescent="0.3">
      <c r="B9" s="28" t="s">
        <v>26</v>
      </c>
      <c r="C9" s="17">
        <v>1772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28</v>
      </c>
      <c r="C10" s="17">
        <v>1000</v>
      </c>
      <c r="E10" s="18" t="s">
        <v>31</v>
      </c>
      <c r="F10" s="119">
        <v>17319</v>
      </c>
      <c r="G10" s="117">
        <v>12527.8585</v>
      </c>
      <c r="H10" s="117">
        <v>382.69420200000002</v>
      </c>
      <c r="I10" s="152">
        <f>G10+H10</f>
        <v>12910.552702000001</v>
      </c>
      <c r="J10" s="119">
        <v>17012</v>
      </c>
      <c r="K10" s="117">
        <v>12929.878500000001</v>
      </c>
      <c r="L10" s="117">
        <v>356.58761679999998</v>
      </c>
      <c r="M10" s="19">
        <v>0</v>
      </c>
      <c r="N10" s="88">
        <v>48</v>
      </c>
      <c r="O10" s="88">
        <v>47</v>
      </c>
      <c r="P10" s="145">
        <v>41</v>
      </c>
    </row>
    <row r="11" spans="2:27" x14ac:dyDescent="0.3">
      <c r="B11" s="16" t="s">
        <v>30</v>
      </c>
      <c r="C11" s="17">
        <v>2488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6</v>
      </c>
    </row>
    <row r="12" spans="2:27" x14ac:dyDescent="0.3">
      <c r="B12" s="16" t="s">
        <v>38</v>
      </c>
      <c r="C12" s="17">
        <v>9954</v>
      </c>
      <c r="E12" s="140" t="s">
        <v>35</v>
      </c>
      <c r="F12" s="119">
        <v>16311</v>
      </c>
      <c r="G12" s="117">
        <v>14362.797500000001</v>
      </c>
      <c r="H12" s="117">
        <v>17595.080095530011</v>
      </c>
      <c r="I12" s="152">
        <f>G12+H12</f>
        <v>31957.877595530012</v>
      </c>
      <c r="J12" s="119">
        <v>16035</v>
      </c>
      <c r="K12" s="117">
        <v>15582.234</v>
      </c>
      <c r="L12" s="117">
        <v>17536.544017150001</v>
      </c>
      <c r="M12" s="19">
        <v>-330.91</v>
      </c>
      <c r="N12" s="88">
        <v>56</v>
      </c>
      <c r="O12" s="88">
        <v>54</v>
      </c>
      <c r="P12" s="145">
        <v>50</v>
      </c>
    </row>
    <row r="13" spans="2:27" x14ac:dyDescent="0.3">
      <c r="B13" s="16" t="s">
        <v>40</v>
      </c>
      <c r="C13" s="17">
        <v>1928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4</v>
      </c>
    </row>
    <row r="14" spans="2:27" x14ac:dyDescent="0.3">
      <c r="B14" s="28" t="s">
        <v>42</v>
      </c>
      <c r="C14" s="17">
        <v>25275</v>
      </c>
      <c r="E14" s="18" t="s">
        <v>39</v>
      </c>
      <c r="F14" s="119">
        <v>19566</v>
      </c>
      <c r="G14" s="117">
        <v>15998.674999999999</v>
      </c>
      <c r="H14" s="117">
        <v>23870.49418400001</v>
      </c>
      <c r="I14" s="152">
        <f>G14+H14</f>
        <v>39869.169184000013</v>
      </c>
      <c r="J14" s="119">
        <v>19101</v>
      </c>
      <c r="K14" s="117">
        <v>16868.757000000001</v>
      </c>
      <c r="L14" s="117">
        <v>23309.655304499989</v>
      </c>
      <c r="M14" s="19">
        <v>-126.1</v>
      </c>
      <c r="N14" s="88">
        <v>69</v>
      </c>
      <c r="O14" s="88">
        <v>65</v>
      </c>
      <c r="P14" s="145">
        <v>55</v>
      </c>
    </row>
    <row r="15" spans="2:27" x14ac:dyDescent="0.3">
      <c r="B15" s="43" t="s">
        <v>47</v>
      </c>
      <c r="C15" s="17">
        <v>1331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2:27" x14ac:dyDescent="0.3">
      <c r="B16" s="43" t="s">
        <v>48</v>
      </c>
      <c r="C16" s="50">
        <v>411</v>
      </c>
      <c r="E16" s="18" t="s">
        <v>79</v>
      </c>
      <c r="F16" s="119">
        <v>0</v>
      </c>
      <c r="G16" s="117">
        <v>0</v>
      </c>
      <c r="H16" s="117">
        <v>7950.1007422000002</v>
      </c>
      <c r="I16" s="152">
        <f>G16+H16</f>
        <v>7950.1007422000002</v>
      </c>
      <c r="J16" s="119">
        <v>0</v>
      </c>
      <c r="K16" s="117">
        <v>0</v>
      </c>
      <c r="L16" s="117">
        <v>8199.4976143599997</v>
      </c>
      <c r="M16" s="19">
        <v>0</v>
      </c>
      <c r="N16" s="88">
        <v>10</v>
      </c>
      <c r="O16" s="88">
        <v>10</v>
      </c>
      <c r="P16" s="145">
        <v>10</v>
      </c>
    </row>
    <row r="17" spans="2:28" s="4" customFormat="1" ht="15" customHeight="1" thickBot="1" x14ac:dyDescent="0.35">
      <c r="B17" s="16" t="s">
        <v>50</v>
      </c>
      <c r="C17" s="17">
        <v>10529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781</v>
      </c>
      <c r="E18" s="84"/>
      <c r="F18" s="148">
        <f t="shared" ref="F18:M18" si="0">SUM(F6:F17)</f>
        <v>77370</v>
      </c>
      <c r="G18" s="149">
        <f t="shared" si="0"/>
        <v>55591.241633333324</v>
      </c>
      <c r="H18" s="149">
        <f t="shared" si="0"/>
        <v>59059.056083770018</v>
      </c>
      <c r="I18" s="150">
        <f t="shared" si="0"/>
        <v>114650.29771710334</v>
      </c>
      <c r="J18" s="149">
        <f t="shared" si="0"/>
        <v>76018</v>
      </c>
      <c r="K18" s="149">
        <f t="shared" si="0"/>
        <v>58501.57663333333</v>
      </c>
      <c r="L18" s="149">
        <f t="shared" si="0"/>
        <v>58628.123645689986</v>
      </c>
      <c r="M18" s="157">
        <f t="shared" si="0"/>
        <v>-457.01</v>
      </c>
      <c r="N18" s="149">
        <f>SUM(N16,N14,N12,N10,N8,N6)</f>
        <v>272</v>
      </c>
      <c r="O18" s="149">
        <f>SUM(O16,O14,O12,O10,O8,O6)</f>
        <v>264</v>
      </c>
      <c r="P18" s="158">
        <f>SUM(P16,P14,P12,P10,P8,P6)</f>
        <v>233</v>
      </c>
    </row>
    <row r="19" spans="2:28" ht="15" customHeight="1" thickBot="1" x14ac:dyDescent="0.35">
      <c r="B19" s="57" t="s">
        <v>52</v>
      </c>
      <c r="C19" s="58">
        <v>4774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0.11742424242424243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9476</v>
      </c>
      <c r="D27" s="76">
        <f>C12</f>
        <v>9954</v>
      </c>
      <c r="E27" s="77">
        <f t="shared" ref="E27:E33" si="1">D27-C27</f>
        <v>478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36170</v>
      </c>
      <c r="D29" s="76">
        <f>C8+C13+C14+C15+C16</f>
        <v>30632</v>
      </c>
      <c r="E29" s="77">
        <f t="shared" si="1"/>
        <v>-5538</v>
      </c>
      <c r="P29" s="4"/>
    </row>
    <row r="30" spans="2:28" x14ac:dyDescent="0.3">
      <c r="B30" s="74" t="s">
        <v>21</v>
      </c>
      <c r="C30" s="122">
        <v>58</v>
      </c>
      <c r="D30" s="76">
        <f>C6</f>
        <v>58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2488</v>
      </c>
      <c r="D31" s="76">
        <f>C11</f>
        <v>2488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17100</v>
      </c>
      <c r="D32" s="76">
        <f>C17+C18+C19</f>
        <v>16084</v>
      </c>
      <c r="E32" s="77">
        <f t="shared" si="1"/>
        <v>-1016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2772</v>
      </c>
      <c r="D33" s="80">
        <f>C9+C10</f>
        <v>2772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44600</v>
      </c>
    </row>
    <row r="3" spans="2:27" ht="18.75" customHeight="1" thickBot="1" x14ac:dyDescent="0.35">
      <c r="B3" t="s">
        <v>1</v>
      </c>
      <c r="C3" s="3">
        <f>C2+1</f>
        <v>44601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134</v>
      </c>
      <c r="E6" s="18" t="s">
        <v>22</v>
      </c>
      <c r="F6" s="119">
        <v>27477</v>
      </c>
      <c r="G6" s="117">
        <v>13172.96041666667</v>
      </c>
      <c r="H6" s="117">
        <v>6507.1683447000014</v>
      </c>
      <c r="I6" s="152">
        <f>G6+H6</f>
        <v>19680.128761366672</v>
      </c>
      <c r="J6" s="119">
        <v>28807</v>
      </c>
      <c r="K6" s="117">
        <v>15017.352666666669</v>
      </c>
      <c r="L6" s="117">
        <v>6466.1881864999978</v>
      </c>
      <c r="M6" s="19">
        <v>0</v>
      </c>
      <c r="N6" s="85">
        <v>92</v>
      </c>
      <c r="O6" s="85">
        <v>87</v>
      </c>
      <c r="P6" s="142">
        <v>75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12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1679</v>
      </c>
      <c r="E8" s="140" t="s">
        <v>27</v>
      </c>
      <c r="F8" s="119">
        <v>0</v>
      </c>
      <c r="G8" s="117">
        <v>0</v>
      </c>
      <c r="H8" s="117">
        <v>3545.2244206</v>
      </c>
      <c r="I8" s="152">
        <f>G8+H8</f>
        <v>3545.2244206</v>
      </c>
      <c r="J8" s="119">
        <v>0</v>
      </c>
      <c r="K8" s="117">
        <v>0</v>
      </c>
      <c r="L8" s="117">
        <v>3627.6732125200001</v>
      </c>
      <c r="M8" s="19">
        <f>K8+L8</f>
        <v>3627.6732125200001</v>
      </c>
      <c r="N8" s="87">
        <v>7</v>
      </c>
      <c r="O8" s="87">
        <v>7</v>
      </c>
      <c r="P8" s="144">
        <v>5</v>
      </c>
    </row>
    <row r="9" spans="2:27" x14ac:dyDescent="0.3">
      <c r="B9" s="28" t="s">
        <v>26</v>
      </c>
      <c r="C9" s="17">
        <v>1764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28</v>
      </c>
      <c r="C10" s="17">
        <v>978</v>
      </c>
      <c r="E10" s="18" t="s">
        <v>31</v>
      </c>
      <c r="F10" s="119">
        <v>18296</v>
      </c>
      <c r="G10" s="117">
        <v>12455.374750000001</v>
      </c>
      <c r="H10" s="117">
        <v>384.12582800000013</v>
      </c>
      <c r="I10" s="152">
        <f>G10+H10</f>
        <v>12839.500578000001</v>
      </c>
      <c r="J10" s="119">
        <v>18648</v>
      </c>
      <c r="K10" s="117">
        <v>13181.832249999999</v>
      </c>
      <c r="L10" s="117">
        <v>391.57294300000012</v>
      </c>
      <c r="M10" s="19">
        <f>K10+L10</f>
        <v>13573.405192999999</v>
      </c>
      <c r="N10" s="88">
        <v>54</v>
      </c>
      <c r="O10" s="88">
        <v>50</v>
      </c>
      <c r="P10" s="145">
        <v>46</v>
      </c>
    </row>
    <row r="11" spans="2:27" x14ac:dyDescent="0.3">
      <c r="B11" s="16" t="s">
        <v>30</v>
      </c>
      <c r="C11" s="17">
        <v>2341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38</v>
      </c>
      <c r="C12" s="17">
        <v>9846</v>
      </c>
      <c r="E12" s="140" t="s">
        <v>35</v>
      </c>
      <c r="F12" s="119">
        <v>14293</v>
      </c>
      <c r="G12" s="117">
        <v>11779.082</v>
      </c>
      <c r="H12" s="117">
        <v>17345.25786916001</v>
      </c>
      <c r="I12" s="152">
        <f>G12+H12</f>
        <v>29124.339869160009</v>
      </c>
      <c r="J12" s="119">
        <v>16172</v>
      </c>
      <c r="K12" s="117">
        <v>14505.260249999999</v>
      </c>
      <c r="L12" s="117">
        <v>18639.433649099999</v>
      </c>
      <c r="M12" s="19">
        <f>K12+L12</f>
        <v>33144.693899099999</v>
      </c>
      <c r="N12" s="88">
        <v>56</v>
      </c>
      <c r="O12" s="88">
        <v>53</v>
      </c>
      <c r="P12" s="145">
        <v>51</v>
      </c>
    </row>
    <row r="13" spans="2:27" x14ac:dyDescent="0.3">
      <c r="B13" s="16" t="s">
        <v>40</v>
      </c>
      <c r="C13" s="17">
        <v>1547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3">
      <c r="B14" s="28" t="s">
        <v>42</v>
      </c>
      <c r="C14" s="17">
        <v>26988</v>
      </c>
      <c r="E14" s="18" t="s">
        <v>39</v>
      </c>
      <c r="F14" s="119">
        <v>18322</v>
      </c>
      <c r="G14" s="117">
        <v>14849.97775</v>
      </c>
      <c r="H14" s="117">
        <v>22909.084986180002</v>
      </c>
      <c r="I14" s="152">
        <f>G14+H14</f>
        <v>37759.06273618</v>
      </c>
      <c r="J14" s="119">
        <v>18938</v>
      </c>
      <c r="K14" s="117">
        <v>17383.288499999999</v>
      </c>
      <c r="L14" s="117">
        <v>23778.67382303999</v>
      </c>
      <c r="M14" s="19">
        <f>K14+L14</f>
        <v>41161.962323039988</v>
      </c>
      <c r="N14" s="88">
        <v>71</v>
      </c>
      <c r="O14" s="88">
        <v>66</v>
      </c>
      <c r="P14" s="145">
        <v>57</v>
      </c>
    </row>
    <row r="15" spans="2:27" x14ac:dyDescent="0.3">
      <c r="B15" s="43" t="s">
        <v>47</v>
      </c>
      <c r="C15" s="17">
        <v>1073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3">
      <c r="B16" s="43" t="s">
        <v>48</v>
      </c>
      <c r="C16" s="50">
        <v>203</v>
      </c>
      <c r="E16" s="18" t="s">
        <v>79</v>
      </c>
      <c r="F16" s="119">
        <v>0</v>
      </c>
      <c r="G16" s="117">
        <v>0</v>
      </c>
      <c r="H16" s="117">
        <v>5337.6349001400004</v>
      </c>
      <c r="I16" s="152">
        <f>G16+H16</f>
        <v>5337.6349001400004</v>
      </c>
      <c r="J16" s="119">
        <v>0</v>
      </c>
      <c r="K16" s="117">
        <v>0</v>
      </c>
      <c r="L16" s="117">
        <v>5379.8533288600001</v>
      </c>
      <c r="M16" s="19">
        <f>K16+L16</f>
        <v>5379.8533288600001</v>
      </c>
      <c r="N16" s="88">
        <v>13</v>
      </c>
      <c r="O16" s="88">
        <v>12</v>
      </c>
      <c r="P16" s="145">
        <v>13</v>
      </c>
    </row>
    <row r="17" spans="2:28" s="4" customFormat="1" ht="15" customHeight="1" thickBot="1" x14ac:dyDescent="0.35">
      <c r="B17" s="16" t="s">
        <v>50</v>
      </c>
      <c r="C17" s="17">
        <v>11982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760</v>
      </c>
      <c r="E18" s="84"/>
      <c r="F18" s="148">
        <f t="shared" ref="F18:M18" si="0">SUM(F6:F17)</f>
        <v>78388</v>
      </c>
      <c r="G18" s="149">
        <f t="shared" si="0"/>
        <v>52257.394916666672</v>
      </c>
      <c r="H18" s="149">
        <f t="shared" si="0"/>
        <v>56028.496348780012</v>
      </c>
      <c r="I18" s="150">
        <f t="shared" si="0"/>
        <v>108285.89126544667</v>
      </c>
      <c r="J18" s="149">
        <f t="shared" si="0"/>
        <v>82565</v>
      </c>
      <c r="K18" s="149">
        <f t="shared" si="0"/>
        <v>60087.733666666667</v>
      </c>
      <c r="L18" s="149">
        <f t="shared" si="0"/>
        <v>58283.395143019989</v>
      </c>
      <c r="M18" s="157">
        <f t="shared" si="0"/>
        <v>96887.587956519987</v>
      </c>
      <c r="N18" s="149">
        <f>SUM(N16,N14,N12,N10,N8,N6)</f>
        <v>293</v>
      </c>
      <c r="O18" s="149">
        <f>SUM(O16,O14,O12,O10,O8,O6)</f>
        <v>275</v>
      </c>
      <c r="P18" s="158">
        <f>SUM(P16,P14,P12,P10,P8,P6)</f>
        <v>247</v>
      </c>
    </row>
    <row r="19" spans="2:28" ht="15" customHeight="1" thickBot="1" x14ac:dyDescent="0.35">
      <c r="B19" s="57" t="s">
        <v>52</v>
      </c>
      <c r="C19" s="58">
        <v>5020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0.10181818181818182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11186</v>
      </c>
      <c r="D27" s="76">
        <f>C12</f>
        <v>9846</v>
      </c>
      <c r="E27" s="77">
        <f t="shared" ref="E27:E33" si="1">D27-C27</f>
        <v>-1340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34297</v>
      </c>
      <c r="D29" s="76">
        <f>C8+C13+C14+C15+C16</f>
        <v>31490</v>
      </c>
      <c r="E29" s="77">
        <f t="shared" si="1"/>
        <v>-2807</v>
      </c>
      <c r="P29" s="4"/>
    </row>
    <row r="30" spans="2:28" x14ac:dyDescent="0.3">
      <c r="B30" s="74" t="s">
        <v>21</v>
      </c>
      <c r="C30" s="122">
        <v>134</v>
      </c>
      <c r="D30" s="76">
        <f>C6</f>
        <v>134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2341</v>
      </c>
      <c r="D31" s="76">
        <f>C11</f>
        <v>2341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16366</v>
      </c>
      <c r="D32" s="76">
        <f>C17+C18+C19</f>
        <v>17762</v>
      </c>
      <c r="E32" s="77">
        <f t="shared" si="1"/>
        <v>1396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3154</v>
      </c>
      <c r="D33" s="80">
        <f>C9+C10</f>
        <v>2742</v>
      </c>
      <c r="E33" s="81">
        <f t="shared" si="1"/>
        <v>-412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44601</v>
      </c>
    </row>
    <row r="3" spans="2:27" ht="18.75" customHeight="1" thickBot="1" x14ac:dyDescent="0.35">
      <c r="B3" t="s">
        <v>1</v>
      </c>
      <c r="C3" s="3">
        <f>C2+1</f>
        <v>44602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61</v>
      </c>
      <c r="E6" s="18" t="s">
        <v>22</v>
      </c>
      <c r="F6" s="119">
        <v>25161</v>
      </c>
      <c r="G6" s="117">
        <v>13786.476000000001</v>
      </c>
      <c r="H6" s="117">
        <v>5849.8261735199958</v>
      </c>
      <c r="I6" s="152">
        <f>G6+H6</f>
        <v>19636.302173519995</v>
      </c>
      <c r="J6" s="119">
        <v>26611</v>
      </c>
      <c r="K6" s="117">
        <v>15251.48775</v>
      </c>
      <c r="L6" s="117">
        <v>5916.5930125599971</v>
      </c>
      <c r="M6" s="19">
        <v>0</v>
      </c>
      <c r="N6" s="85">
        <v>82</v>
      </c>
      <c r="O6" s="85">
        <v>79</v>
      </c>
      <c r="P6" s="142">
        <v>67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12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1969</v>
      </c>
      <c r="E8" s="140" t="s">
        <v>27</v>
      </c>
      <c r="F8" s="119">
        <v>0</v>
      </c>
      <c r="G8" s="117">
        <v>0</v>
      </c>
      <c r="H8" s="117">
        <v>4664.2794055799995</v>
      </c>
      <c r="I8" s="152">
        <f>G8+H8</f>
        <v>4664.2794055799995</v>
      </c>
      <c r="J8" s="119">
        <v>0</v>
      </c>
      <c r="K8" s="117">
        <v>0</v>
      </c>
      <c r="L8" s="117">
        <v>4735.5728756600001</v>
      </c>
      <c r="M8" s="19">
        <f>K8+L8</f>
        <v>4735.5728756600001</v>
      </c>
      <c r="N8" s="87">
        <v>4</v>
      </c>
      <c r="O8" s="87">
        <v>7</v>
      </c>
      <c r="P8" s="144">
        <v>3</v>
      </c>
    </row>
    <row r="9" spans="2:27" x14ac:dyDescent="0.3">
      <c r="B9" s="28" t="s">
        <v>26</v>
      </c>
      <c r="C9" s="17">
        <v>2024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4</v>
      </c>
    </row>
    <row r="10" spans="2:27" x14ac:dyDescent="0.3">
      <c r="B10" s="28" t="s">
        <v>28</v>
      </c>
      <c r="C10" s="17">
        <v>1240</v>
      </c>
      <c r="E10" s="18" t="s">
        <v>31</v>
      </c>
      <c r="F10" s="119">
        <v>19841</v>
      </c>
      <c r="G10" s="117">
        <v>13942.666499999999</v>
      </c>
      <c r="H10" s="117">
        <v>376.5291838</v>
      </c>
      <c r="I10" s="152">
        <f>G10+H10</f>
        <v>14319.195683799999</v>
      </c>
      <c r="J10" s="119">
        <v>20204</v>
      </c>
      <c r="K10" s="117">
        <v>15867.956</v>
      </c>
      <c r="L10" s="117">
        <v>350.88044960000002</v>
      </c>
      <c r="M10" s="19">
        <f>K10+L10</f>
        <v>16218.836449599999</v>
      </c>
      <c r="N10" s="88">
        <v>48</v>
      </c>
      <c r="O10" s="88">
        <v>44</v>
      </c>
      <c r="P10" s="145">
        <v>42</v>
      </c>
    </row>
    <row r="11" spans="2:27" x14ac:dyDescent="0.3">
      <c r="B11" s="16" t="s">
        <v>30</v>
      </c>
      <c r="C11" s="17">
        <v>1769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2</v>
      </c>
    </row>
    <row r="12" spans="2:27" x14ac:dyDescent="0.3">
      <c r="B12" s="16" t="s">
        <v>38</v>
      </c>
      <c r="C12" s="17">
        <v>10553</v>
      </c>
      <c r="E12" s="140" t="s">
        <v>35</v>
      </c>
      <c r="F12" s="119">
        <v>21638</v>
      </c>
      <c r="G12" s="117">
        <v>13853.271000000001</v>
      </c>
      <c r="H12" s="117">
        <v>23042.541454400009</v>
      </c>
      <c r="I12" s="152">
        <f>G12+H12</f>
        <v>36895.812454400009</v>
      </c>
      <c r="J12" s="119">
        <v>21878</v>
      </c>
      <c r="K12" s="117">
        <v>22373.609</v>
      </c>
      <c r="L12" s="117">
        <v>23313.962736910002</v>
      </c>
      <c r="M12" s="19">
        <f>K12+L12</f>
        <v>45687.571736910002</v>
      </c>
      <c r="N12" s="88">
        <v>56</v>
      </c>
      <c r="O12" s="88">
        <v>53</v>
      </c>
      <c r="P12" s="145">
        <v>55</v>
      </c>
    </row>
    <row r="13" spans="2:27" x14ac:dyDescent="0.3">
      <c r="B13" s="16" t="s">
        <v>40</v>
      </c>
      <c r="C13" s="17">
        <v>2387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-2</v>
      </c>
    </row>
    <row r="14" spans="2:27" x14ac:dyDescent="0.3">
      <c r="B14" s="28" t="s">
        <v>42</v>
      </c>
      <c r="C14" s="17">
        <v>33700</v>
      </c>
      <c r="E14" s="18" t="s">
        <v>39</v>
      </c>
      <c r="F14" s="119">
        <v>17880</v>
      </c>
      <c r="G14" s="117">
        <v>14012.653749999999</v>
      </c>
      <c r="H14" s="117">
        <v>23361.300134300011</v>
      </c>
      <c r="I14" s="152">
        <f>G14+H14</f>
        <v>37373.953884300012</v>
      </c>
      <c r="J14" s="119">
        <v>19465</v>
      </c>
      <c r="K14" s="117">
        <v>20320.138749999998</v>
      </c>
      <c r="L14" s="117">
        <v>24974.06134606</v>
      </c>
      <c r="M14" s="19">
        <f>K14+L14</f>
        <v>45294.200096059998</v>
      </c>
      <c r="N14" s="88">
        <v>68</v>
      </c>
      <c r="O14" s="88">
        <v>64</v>
      </c>
      <c r="P14" s="145">
        <v>57</v>
      </c>
    </row>
    <row r="15" spans="2:27" x14ac:dyDescent="0.3">
      <c r="B15" s="43" t="s">
        <v>47</v>
      </c>
      <c r="C15" s="17">
        <v>1328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3">
      <c r="B16" s="43" t="s">
        <v>48</v>
      </c>
      <c r="C16" s="50">
        <v>464</v>
      </c>
      <c r="E16" s="18" t="s">
        <v>79</v>
      </c>
      <c r="F16" s="119">
        <v>0</v>
      </c>
      <c r="G16" s="117">
        <v>0</v>
      </c>
      <c r="H16" s="117">
        <v>9763.2601789600012</v>
      </c>
      <c r="I16" s="152">
        <f>G16+H16</f>
        <v>9763.2601789600012</v>
      </c>
      <c r="J16" s="119">
        <v>0</v>
      </c>
      <c r="K16" s="117">
        <v>0</v>
      </c>
      <c r="L16" s="117">
        <v>9838.6650893799997</v>
      </c>
      <c r="M16" s="19">
        <f>K16+L16</f>
        <v>9838.6650893799997</v>
      </c>
      <c r="N16" s="88">
        <v>12</v>
      </c>
      <c r="O16" s="88">
        <v>12</v>
      </c>
      <c r="P16" s="145">
        <v>11</v>
      </c>
    </row>
    <row r="17" spans="2:28" s="4" customFormat="1" ht="15" customHeight="1" thickBot="1" x14ac:dyDescent="0.35">
      <c r="B17" s="16" t="s">
        <v>50</v>
      </c>
      <c r="C17" s="17">
        <v>10531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1244</v>
      </c>
      <c r="E18" s="84"/>
      <c r="F18" s="148">
        <f t="shared" ref="F18:M18" si="0">SUM(F6:F17)</f>
        <v>84520</v>
      </c>
      <c r="G18" s="149">
        <f t="shared" si="0"/>
        <v>55595.06725</v>
      </c>
      <c r="H18" s="149">
        <f t="shared" si="0"/>
        <v>67057.736530560011</v>
      </c>
      <c r="I18" s="150">
        <f t="shared" si="0"/>
        <v>122652.80378056002</v>
      </c>
      <c r="J18" s="149">
        <f t="shared" si="0"/>
        <v>88158</v>
      </c>
      <c r="K18" s="149">
        <f t="shared" si="0"/>
        <v>73813.191500000001</v>
      </c>
      <c r="L18" s="149">
        <f t="shared" si="0"/>
        <v>69129.735510169994</v>
      </c>
      <c r="M18" s="157">
        <f t="shared" si="0"/>
        <v>121774.84624761</v>
      </c>
      <c r="N18" s="149">
        <f>SUM(N16,N14,N12,N10,N8,N6)</f>
        <v>270</v>
      </c>
      <c r="O18" s="149">
        <f>SUM(O16,O14,O12,O10,O8,O6)</f>
        <v>259</v>
      </c>
      <c r="P18" s="158">
        <f>SUM(P16,P14,P12,P10,P8,P6)</f>
        <v>235</v>
      </c>
    </row>
    <row r="19" spans="2:28" ht="15" customHeight="1" thickBot="1" x14ac:dyDescent="0.35">
      <c r="B19" s="57" t="s">
        <v>52</v>
      </c>
      <c r="C19" s="58">
        <v>4889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9.2664092664092659E-2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11745</v>
      </c>
      <c r="D27" s="76">
        <f>C12</f>
        <v>10553</v>
      </c>
      <c r="E27" s="77">
        <f t="shared" ref="E27:E33" si="1">D27-C27</f>
        <v>-1192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44413</v>
      </c>
      <c r="D29" s="76">
        <f>C8+C13+C14+C15+C16</f>
        <v>39848</v>
      </c>
      <c r="E29" s="77">
        <f t="shared" si="1"/>
        <v>-4565</v>
      </c>
      <c r="P29" s="4"/>
    </row>
    <row r="30" spans="2:28" x14ac:dyDescent="0.3">
      <c r="B30" s="74" t="s">
        <v>21</v>
      </c>
      <c r="C30" s="122">
        <v>61</v>
      </c>
      <c r="D30" s="76">
        <f>C6</f>
        <v>61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1769</v>
      </c>
      <c r="D31" s="76">
        <f>C11</f>
        <v>1769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17656</v>
      </c>
      <c r="D32" s="76">
        <f>C17+C18+C19</f>
        <v>16664</v>
      </c>
      <c r="E32" s="77">
        <f t="shared" si="1"/>
        <v>-992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3264</v>
      </c>
      <c r="D33" s="80">
        <f>C9+C10</f>
        <v>3264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44602</v>
      </c>
    </row>
    <row r="3" spans="2:27" ht="18.75" customHeight="1" thickBot="1" x14ac:dyDescent="0.35">
      <c r="B3" t="s">
        <v>1</v>
      </c>
      <c r="C3" s="3">
        <f>C2+1</f>
        <v>44603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100</v>
      </c>
    </row>
    <row r="6" spans="2:27" x14ac:dyDescent="0.3">
      <c r="B6" s="16" t="s">
        <v>21</v>
      </c>
      <c r="C6" s="17">
        <v>139</v>
      </c>
      <c r="E6" s="18" t="s">
        <v>22</v>
      </c>
      <c r="F6" s="119">
        <v>27361</v>
      </c>
      <c r="G6" s="117">
        <v>14249.73428333333</v>
      </c>
      <c r="H6" s="117">
        <v>7173.9306797199924</v>
      </c>
      <c r="I6" s="152">
        <f>G6+H6</f>
        <v>21423.664963053321</v>
      </c>
      <c r="J6" s="119">
        <v>27800</v>
      </c>
      <c r="K6" s="117">
        <v>17420.845283333339</v>
      </c>
      <c r="L6" s="117">
        <v>7986.0057711999953</v>
      </c>
      <c r="M6" s="19">
        <v>0</v>
      </c>
      <c r="N6" s="85">
        <v>87</v>
      </c>
      <c r="O6" s="85">
        <v>82</v>
      </c>
      <c r="P6" s="142">
        <v>74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1494</v>
      </c>
      <c r="E8" s="140" t="s">
        <v>27</v>
      </c>
      <c r="F8" s="119">
        <v>0</v>
      </c>
      <c r="G8" s="117">
        <v>0</v>
      </c>
      <c r="H8" s="117">
        <v>4263.6352777599996</v>
      </c>
      <c r="I8" s="152">
        <f>G8+H8</f>
        <v>4263.6352777599996</v>
      </c>
      <c r="J8" s="119">
        <v>0</v>
      </c>
      <c r="K8" s="117">
        <v>0</v>
      </c>
      <c r="L8" s="117">
        <v>4543.2630633599993</v>
      </c>
      <c r="M8" s="19">
        <f>K8+L8</f>
        <v>4543.2630633599993</v>
      </c>
      <c r="N8" s="87">
        <v>5</v>
      </c>
      <c r="O8" s="87">
        <v>5</v>
      </c>
      <c r="P8" s="144">
        <v>5</v>
      </c>
    </row>
    <row r="9" spans="2:27" x14ac:dyDescent="0.3">
      <c r="B9" s="28" t="s">
        <v>26</v>
      </c>
      <c r="C9" s="17">
        <v>2102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28</v>
      </c>
      <c r="C10" s="17">
        <v>1219</v>
      </c>
      <c r="E10" s="18" t="s">
        <v>31</v>
      </c>
      <c r="F10" s="119">
        <v>20002</v>
      </c>
      <c r="G10" s="117">
        <v>14363.133</v>
      </c>
      <c r="H10" s="117">
        <v>325.62225999999998</v>
      </c>
      <c r="I10" s="152">
        <f>G10+H10</f>
        <v>14688.75526</v>
      </c>
      <c r="J10" s="119">
        <v>20810</v>
      </c>
      <c r="K10" s="117">
        <v>15824.625</v>
      </c>
      <c r="L10" s="117">
        <v>342.59029199999998</v>
      </c>
      <c r="M10" s="19">
        <f>K10+L10</f>
        <v>16167.215292000001</v>
      </c>
      <c r="N10" s="88">
        <v>51</v>
      </c>
      <c r="O10" s="88">
        <v>49</v>
      </c>
      <c r="P10" s="145">
        <v>45</v>
      </c>
    </row>
    <row r="11" spans="2:27" x14ac:dyDescent="0.3">
      <c r="B11" s="16" t="s">
        <v>30</v>
      </c>
      <c r="C11" s="17">
        <v>2200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38</v>
      </c>
      <c r="C12" s="17">
        <v>11792</v>
      </c>
      <c r="E12" s="140" t="s">
        <v>35</v>
      </c>
      <c r="F12" s="119">
        <v>22450</v>
      </c>
      <c r="G12" s="117">
        <v>18075.257000000009</v>
      </c>
      <c r="H12" s="117">
        <v>26349.00353677</v>
      </c>
      <c r="I12" s="152">
        <f>G12+H12</f>
        <v>44424.260536770009</v>
      </c>
      <c r="J12" s="119">
        <v>24327</v>
      </c>
      <c r="K12" s="117">
        <v>25468.40924999999</v>
      </c>
      <c r="L12" s="117">
        <v>27766.913381400002</v>
      </c>
      <c r="M12" s="19">
        <f>K12+L12</f>
        <v>53235.322631399991</v>
      </c>
      <c r="N12" s="88">
        <v>52</v>
      </c>
      <c r="O12" s="88">
        <v>50</v>
      </c>
      <c r="P12" s="145">
        <v>50</v>
      </c>
    </row>
    <row r="13" spans="2:27" x14ac:dyDescent="0.3">
      <c r="B13" s="16" t="s">
        <v>40</v>
      </c>
      <c r="C13" s="17">
        <v>1698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36121</v>
      </c>
      <c r="E14" s="18" t="s">
        <v>39</v>
      </c>
      <c r="F14" s="119">
        <v>19656</v>
      </c>
      <c r="G14" s="117">
        <v>15330.34375</v>
      </c>
      <c r="H14" s="117">
        <v>26319.24831739999</v>
      </c>
      <c r="I14" s="152">
        <f>G14+H14</f>
        <v>41649.592067399994</v>
      </c>
      <c r="J14" s="119">
        <v>20458</v>
      </c>
      <c r="K14" s="117">
        <v>21117.627250000001</v>
      </c>
      <c r="L14" s="117">
        <v>27430.563307479992</v>
      </c>
      <c r="M14" s="19">
        <f>K14+L14</f>
        <v>48548.190557479989</v>
      </c>
      <c r="N14" s="88">
        <v>71</v>
      </c>
      <c r="O14" s="88">
        <v>66</v>
      </c>
      <c r="P14" s="145">
        <v>56</v>
      </c>
    </row>
    <row r="15" spans="2:27" x14ac:dyDescent="0.3">
      <c r="B15" s="43" t="s">
        <v>47</v>
      </c>
      <c r="C15" s="17">
        <v>1059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2:27" x14ac:dyDescent="0.3">
      <c r="B16" s="43" t="s">
        <v>48</v>
      </c>
      <c r="C16" s="50">
        <v>215</v>
      </c>
      <c r="E16" s="18" t="s">
        <v>79</v>
      </c>
      <c r="F16" s="119">
        <v>0</v>
      </c>
      <c r="G16" s="117">
        <v>0</v>
      </c>
      <c r="H16" s="117">
        <v>6594.3068045399996</v>
      </c>
      <c r="I16" s="152">
        <f>G16+H16</f>
        <v>6594.3068045399996</v>
      </c>
      <c r="J16" s="119">
        <v>0</v>
      </c>
      <c r="K16" s="117">
        <v>0</v>
      </c>
      <c r="L16" s="117">
        <v>6875.3713887400008</v>
      </c>
      <c r="M16" s="19">
        <f>K16+L16</f>
        <v>6875.3713887400008</v>
      </c>
      <c r="N16" s="88">
        <v>12</v>
      </c>
      <c r="O16" s="88">
        <v>11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10402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1684</v>
      </c>
      <c r="E18" s="84"/>
      <c r="F18" s="148">
        <f t="shared" ref="F18:M18" si="0">SUM(F6:F17)</f>
        <v>89469</v>
      </c>
      <c r="G18" s="149">
        <f t="shared" si="0"/>
        <v>62018.468033333338</v>
      </c>
      <c r="H18" s="149">
        <f t="shared" si="0"/>
        <v>71025.74687618998</v>
      </c>
      <c r="I18" s="150">
        <f t="shared" si="0"/>
        <v>133044.21490952332</v>
      </c>
      <c r="J18" s="149">
        <f t="shared" si="0"/>
        <v>93395</v>
      </c>
      <c r="K18" s="149">
        <f t="shared" si="0"/>
        <v>79831.506783333331</v>
      </c>
      <c r="L18" s="149">
        <f t="shared" si="0"/>
        <v>74944.707204179984</v>
      </c>
      <c r="M18" s="157">
        <f t="shared" si="0"/>
        <v>129369.36293297997</v>
      </c>
      <c r="N18" s="149">
        <f>SUM(N16,N14,N12,N10,N8,N6)</f>
        <v>278</v>
      </c>
      <c r="O18" s="149">
        <f>SUM(O16,O14,O12,O10,O8,O6)</f>
        <v>263</v>
      </c>
      <c r="P18" s="158">
        <f>SUM(P16,P14,P12,P10,P8,P6)</f>
        <v>242</v>
      </c>
    </row>
    <row r="19" spans="2:28" ht="15" customHeight="1" thickBot="1" x14ac:dyDescent="0.35">
      <c r="B19" s="57" t="s">
        <v>52</v>
      </c>
      <c r="C19" s="58">
        <v>4369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7.9847908745247151E-2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11423</v>
      </c>
      <c r="D27" s="76">
        <f>C12</f>
        <v>11792</v>
      </c>
      <c r="E27" s="77">
        <f t="shared" ref="E27:E33" si="1">D27-C27</f>
        <v>369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45283</v>
      </c>
      <c r="D29" s="76">
        <f>C8+C13+C14+C15+C16</f>
        <v>40587</v>
      </c>
      <c r="E29" s="77">
        <f t="shared" si="1"/>
        <v>-4696</v>
      </c>
      <c r="P29" s="4"/>
    </row>
    <row r="30" spans="2:28" x14ac:dyDescent="0.3">
      <c r="B30" s="74" t="s">
        <v>21</v>
      </c>
      <c r="C30" s="122">
        <v>139</v>
      </c>
      <c r="D30" s="76">
        <f>C6</f>
        <v>139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2200</v>
      </c>
      <c r="D31" s="76">
        <f>C11</f>
        <v>2200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15410</v>
      </c>
      <c r="D32" s="76">
        <f>C17+C18+C19</f>
        <v>16455</v>
      </c>
      <c r="E32" s="77">
        <f t="shared" si="1"/>
        <v>1045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3947</v>
      </c>
      <c r="D33" s="80">
        <f>C9+C10</f>
        <v>3321</v>
      </c>
      <c r="E33" s="81">
        <f t="shared" si="1"/>
        <v>-626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44603</v>
      </c>
    </row>
    <row r="3" spans="2:27" ht="18.75" customHeight="1" thickBot="1" x14ac:dyDescent="0.35">
      <c r="B3" t="s">
        <v>1</v>
      </c>
      <c r="C3" s="3">
        <f>C2+1</f>
        <v>44604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101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24171</v>
      </c>
      <c r="G6" s="117">
        <v>14711.431</v>
      </c>
      <c r="H6" s="117">
        <v>5625.9432638999997</v>
      </c>
      <c r="I6" s="152">
        <f>G6+H6</f>
        <v>20337.374263900001</v>
      </c>
      <c r="J6" s="119">
        <v>24382</v>
      </c>
      <c r="K6" s="117">
        <v>15681.820750000001</v>
      </c>
      <c r="L6" s="117">
        <v>5894.2374377199967</v>
      </c>
      <c r="M6" s="19">
        <v>0</v>
      </c>
      <c r="N6" s="85">
        <v>80</v>
      </c>
      <c r="O6" s="85">
        <v>78</v>
      </c>
      <c r="P6" s="142">
        <v>66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12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2436</v>
      </c>
      <c r="E8" s="140" t="s">
        <v>27</v>
      </c>
      <c r="F8" s="119">
        <v>0</v>
      </c>
      <c r="G8" s="117">
        <v>0</v>
      </c>
      <c r="H8" s="117">
        <v>4914.9892151800013</v>
      </c>
      <c r="I8" s="152">
        <f>G8+H8</f>
        <v>4914.9892151800013</v>
      </c>
      <c r="J8" s="119">
        <v>0</v>
      </c>
      <c r="K8" s="117">
        <v>0</v>
      </c>
      <c r="L8" s="117">
        <v>5024.655268120001</v>
      </c>
      <c r="M8" s="19">
        <f>K8+L8</f>
        <v>5024.655268120001</v>
      </c>
      <c r="N8" s="87">
        <v>8</v>
      </c>
      <c r="O8" s="87">
        <v>8</v>
      </c>
      <c r="P8" s="144">
        <v>7</v>
      </c>
    </row>
    <row r="9" spans="2:27" x14ac:dyDescent="0.3">
      <c r="B9" s="28" t="s">
        <v>26</v>
      </c>
      <c r="C9" s="17">
        <v>2156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28</v>
      </c>
      <c r="C10" s="17">
        <v>1079</v>
      </c>
      <c r="E10" s="18" t="s">
        <v>31</v>
      </c>
      <c r="F10" s="119">
        <v>18353</v>
      </c>
      <c r="G10" s="117">
        <v>15643.4265</v>
      </c>
      <c r="H10" s="117">
        <v>345.51113700000002</v>
      </c>
      <c r="I10" s="152">
        <f>G10+H10</f>
        <v>15988.937636999999</v>
      </c>
      <c r="J10" s="119">
        <v>18228</v>
      </c>
      <c r="K10" s="117">
        <v>15558.8645</v>
      </c>
      <c r="L10" s="117">
        <v>329.57164519999998</v>
      </c>
      <c r="M10" s="19">
        <f>K10+L10</f>
        <v>15888.436145199999</v>
      </c>
      <c r="N10" s="88">
        <v>52</v>
      </c>
      <c r="O10" s="88">
        <v>49</v>
      </c>
      <c r="P10" s="145">
        <v>49</v>
      </c>
    </row>
    <row r="11" spans="2:27" x14ac:dyDescent="0.3">
      <c r="B11" s="16" t="s">
        <v>30</v>
      </c>
      <c r="C11" s="17">
        <v>4423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11327</v>
      </c>
      <c r="E12" s="140" t="s">
        <v>35</v>
      </c>
      <c r="F12" s="119">
        <v>23950</v>
      </c>
      <c r="G12" s="117">
        <v>23309.201000000001</v>
      </c>
      <c r="H12" s="117">
        <v>27045.97705689002</v>
      </c>
      <c r="I12" s="152">
        <f>G12+H12</f>
        <v>50355.178056890021</v>
      </c>
      <c r="J12" s="119">
        <v>23464</v>
      </c>
      <c r="K12" s="117">
        <v>24554.064249999989</v>
      </c>
      <c r="L12" s="117">
        <v>26646.671743139999</v>
      </c>
      <c r="M12" s="19">
        <f>K12+L12</f>
        <v>51200.735993139984</v>
      </c>
      <c r="N12" s="88">
        <v>59</v>
      </c>
      <c r="O12" s="88">
        <v>57</v>
      </c>
      <c r="P12" s="145">
        <v>55</v>
      </c>
    </row>
    <row r="13" spans="2:27" x14ac:dyDescent="0.3">
      <c r="B13" s="16" t="s">
        <v>40</v>
      </c>
      <c r="C13" s="17">
        <v>1977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3">
      <c r="B14" s="28" t="s">
        <v>42</v>
      </c>
      <c r="C14" s="17">
        <v>41019</v>
      </c>
      <c r="E14" s="18" t="s">
        <v>39</v>
      </c>
      <c r="F14" s="119">
        <v>27164</v>
      </c>
      <c r="G14" s="117">
        <v>18093.763749999998</v>
      </c>
      <c r="H14" s="117">
        <v>31852.730738599999</v>
      </c>
      <c r="I14" s="152">
        <f>G14+H14</f>
        <v>49946.494488600001</v>
      </c>
      <c r="J14" s="119">
        <v>29891</v>
      </c>
      <c r="K14" s="117">
        <v>25019.864000000001</v>
      </c>
      <c r="L14" s="117">
        <v>35677.405400420037</v>
      </c>
      <c r="M14" s="19">
        <f>K14+L14</f>
        <v>60697.269400420038</v>
      </c>
      <c r="N14" s="88">
        <v>73</v>
      </c>
      <c r="O14" s="88">
        <v>71</v>
      </c>
      <c r="P14" s="145">
        <v>62</v>
      </c>
    </row>
    <row r="15" spans="2:27" x14ac:dyDescent="0.3">
      <c r="B15" s="43" t="s">
        <v>47</v>
      </c>
      <c r="C15" s="17">
        <v>1860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3">
      <c r="B16" s="43" t="s">
        <v>48</v>
      </c>
      <c r="C16" s="50">
        <v>365</v>
      </c>
      <c r="E16" s="18" t="s">
        <v>79</v>
      </c>
      <c r="F16" s="119">
        <v>0</v>
      </c>
      <c r="G16" s="117">
        <v>0</v>
      </c>
      <c r="H16" s="117">
        <v>11150.932049520001</v>
      </c>
      <c r="I16" s="152">
        <f>G16+H16</f>
        <v>11150.932049520001</v>
      </c>
      <c r="J16" s="119">
        <v>0</v>
      </c>
      <c r="K16" s="117">
        <v>0</v>
      </c>
      <c r="L16" s="117">
        <v>11124.28692364</v>
      </c>
      <c r="M16" s="19">
        <f>K16+L16</f>
        <v>11124.28692364</v>
      </c>
      <c r="N16" s="88">
        <v>13</v>
      </c>
      <c r="O16" s="88">
        <v>14</v>
      </c>
      <c r="P16" s="145">
        <v>13</v>
      </c>
    </row>
    <row r="17" spans="2:28" s="4" customFormat="1" ht="15" customHeight="1" thickBot="1" x14ac:dyDescent="0.35">
      <c r="B17" s="16" t="s">
        <v>50</v>
      </c>
      <c r="C17" s="17">
        <v>9371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495</v>
      </c>
      <c r="E18" s="84"/>
      <c r="F18" s="148">
        <f t="shared" ref="F18:M18" si="0">SUM(F6:F17)</f>
        <v>93638</v>
      </c>
      <c r="G18" s="149">
        <f t="shared" si="0"/>
        <v>71757.822249999997</v>
      </c>
      <c r="H18" s="149">
        <f t="shared" si="0"/>
        <v>80936.08346109002</v>
      </c>
      <c r="I18" s="150">
        <f t="shared" si="0"/>
        <v>152693.90571109002</v>
      </c>
      <c r="J18" s="149">
        <f t="shared" si="0"/>
        <v>95965</v>
      </c>
      <c r="K18" s="149">
        <f t="shared" si="0"/>
        <v>80814.613499999992</v>
      </c>
      <c r="L18" s="149">
        <f t="shared" si="0"/>
        <v>84696.828418240038</v>
      </c>
      <c r="M18" s="157">
        <f t="shared" si="0"/>
        <v>143935.38373052003</v>
      </c>
      <c r="N18" s="149">
        <f>SUM(N16,N14,N12,N10,N8,N6)</f>
        <v>285</v>
      </c>
      <c r="O18" s="149">
        <f>SUM(O16,O14,O12,O10,O8,O6)</f>
        <v>277</v>
      </c>
      <c r="P18" s="158">
        <f>SUM(P16,P14,P12,P10,P8,P6)</f>
        <v>252</v>
      </c>
    </row>
    <row r="19" spans="2:28" ht="15" customHeight="1" thickBot="1" x14ac:dyDescent="0.35">
      <c r="B19" s="57" t="s">
        <v>52</v>
      </c>
      <c r="C19" s="58">
        <v>4618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9.0252707581227443E-2</v>
      </c>
    </row>
    <row r="21" spans="2:28" x14ac:dyDescent="0.3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10484</v>
      </c>
      <c r="D27" s="76">
        <f>C12</f>
        <v>11327</v>
      </c>
      <c r="E27" s="77">
        <f t="shared" ref="E27:E33" si="1">D27-C27</f>
        <v>843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48039</v>
      </c>
      <c r="D29" s="76">
        <f>C8+C13+C14+C15+C16</f>
        <v>47657</v>
      </c>
      <c r="E29" s="77">
        <f t="shared" si="1"/>
        <v>-382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4423</v>
      </c>
      <c r="D31" s="76">
        <f>C11</f>
        <v>4423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15106</v>
      </c>
      <c r="D32" s="76">
        <f>C17+C18+C19</f>
        <v>14484</v>
      </c>
      <c r="E32" s="77">
        <f t="shared" si="1"/>
        <v>-622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3894</v>
      </c>
      <c r="D33" s="80">
        <f>C9+C10</f>
        <v>3235</v>
      </c>
      <c r="E33" s="81">
        <f t="shared" si="1"/>
        <v>-659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44604</v>
      </c>
    </row>
    <row r="3" spans="2:27" ht="18.75" customHeight="1" thickBot="1" x14ac:dyDescent="0.35">
      <c r="B3" t="s">
        <v>1</v>
      </c>
      <c r="C3" s="3">
        <f>C2+1</f>
        <v>44605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/>
      <c r="E6" s="18" t="s">
        <v>22</v>
      </c>
      <c r="F6" s="119">
        <v>24022</v>
      </c>
      <c r="G6" s="117">
        <v>13737.55875</v>
      </c>
      <c r="H6" s="117">
        <v>5558.5128126599984</v>
      </c>
      <c r="I6" s="152">
        <f>G6+H6</f>
        <v>19296.071562659999</v>
      </c>
      <c r="J6" s="119">
        <v>26511</v>
      </c>
      <c r="K6" s="117">
        <v>14989.295066666669</v>
      </c>
      <c r="L6" s="117">
        <v>5834.7427032599981</v>
      </c>
      <c r="M6" s="19">
        <v>0</v>
      </c>
      <c r="N6" s="85">
        <v>86</v>
      </c>
      <c r="O6" s="85">
        <v>83</v>
      </c>
      <c r="P6" s="142">
        <v>70</v>
      </c>
    </row>
    <row r="7" spans="2:27" x14ac:dyDescent="0.3">
      <c r="B7" s="16" t="s">
        <v>43</v>
      </c>
      <c r="C7" s="17">
        <v>95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1366</v>
      </c>
      <c r="E8" s="140" t="s">
        <v>27</v>
      </c>
      <c r="F8" s="119">
        <v>0</v>
      </c>
      <c r="G8" s="117">
        <v>0</v>
      </c>
      <c r="H8" s="117">
        <v>3881.3899623399998</v>
      </c>
      <c r="I8" s="152">
        <f>G8+H8</f>
        <v>3881.3899623399998</v>
      </c>
      <c r="J8" s="119">
        <v>0</v>
      </c>
      <c r="K8" s="117">
        <v>0</v>
      </c>
      <c r="L8" s="117">
        <v>3921.2702248400001</v>
      </c>
      <c r="M8" s="19">
        <f>K8+L8</f>
        <v>3921.2702248400001</v>
      </c>
      <c r="N8" s="87">
        <v>6</v>
      </c>
      <c r="O8" s="87">
        <v>7</v>
      </c>
      <c r="P8" s="144">
        <v>5</v>
      </c>
    </row>
    <row r="9" spans="2:27" x14ac:dyDescent="0.3">
      <c r="B9" s="28" t="s">
        <v>26</v>
      </c>
      <c r="C9" s="17">
        <v>2162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28</v>
      </c>
      <c r="C10" s="17">
        <v>719</v>
      </c>
      <c r="E10" s="18" t="s">
        <v>31</v>
      </c>
      <c r="F10" s="119">
        <v>17409</v>
      </c>
      <c r="G10" s="117">
        <v>12989.282999999999</v>
      </c>
      <c r="H10" s="117">
        <v>369.61672959999999</v>
      </c>
      <c r="I10" s="152">
        <f>G10+H10</f>
        <v>13358.8997296</v>
      </c>
      <c r="J10" s="119">
        <v>18415</v>
      </c>
      <c r="K10" s="117">
        <v>13429.00225</v>
      </c>
      <c r="L10" s="117">
        <v>368.61672959999999</v>
      </c>
      <c r="M10" s="19">
        <f>K10+L10</f>
        <v>13797.6189796</v>
      </c>
      <c r="N10" s="88">
        <v>54</v>
      </c>
      <c r="O10" s="88">
        <v>52</v>
      </c>
      <c r="P10" s="145">
        <v>52</v>
      </c>
    </row>
    <row r="11" spans="2:27" x14ac:dyDescent="0.3">
      <c r="B11" s="16" t="s">
        <v>30</v>
      </c>
      <c r="C11" s="17">
        <v>1974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7788</v>
      </c>
      <c r="E12" s="140" t="s">
        <v>35</v>
      </c>
      <c r="F12" s="119">
        <v>17004</v>
      </c>
      <c r="G12" s="117">
        <v>16837.799249999989</v>
      </c>
      <c r="H12" s="117">
        <v>20587.343573540002</v>
      </c>
      <c r="I12" s="152">
        <f>G12+H12</f>
        <v>37425.142823539994</v>
      </c>
      <c r="J12" s="119">
        <v>18077</v>
      </c>
      <c r="K12" s="117">
        <v>17026.53100000001</v>
      </c>
      <c r="L12" s="117">
        <v>21496.775613450009</v>
      </c>
      <c r="M12" s="19">
        <f>K12+L12</f>
        <v>38523.306613450019</v>
      </c>
      <c r="N12" s="88">
        <v>61</v>
      </c>
      <c r="O12" s="88">
        <v>59</v>
      </c>
      <c r="P12" s="145">
        <v>57</v>
      </c>
    </row>
    <row r="13" spans="2:27" x14ac:dyDescent="0.3">
      <c r="B13" s="16" t="s">
        <v>40</v>
      </c>
      <c r="C13" s="17">
        <v>1902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3">
      <c r="B14" s="28" t="s">
        <v>42</v>
      </c>
      <c r="C14" s="17">
        <v>32249</v>
      </c>
      <c r="E14" s="18" t="s">
        <v>39</v>
      </c>
      <c r="F14" s="119">
        <v>17040</v>
      </c>
      <c r="G14" s="117">
        <v>15566</v>
      </c>
      <c r="H14" s="117">
        <v>20874.24781532001</v>
      </c>
      <c r="I14" s="152">
        <f>G14+H14</f>
        <v>36440.247815320006</v>
      </c>
      <c r="J14" s="119">
        <v>19482</v>
      </c>
      <c r="K14" s="117">
        <v>19950.536250000001</v>
      </c>
      <c r="L14" s="117">
        <v>25492.41738573998</v>
      </c>
      <c r="M14" s="19">
        <f>K14+L14</f>
        <v>45442.953635739977</v>
      </c>
      <c r="N14" s="88">
        <v>68</v>
      </c>
      <c r="O14" s="88">
        <v>64</v>
      </c>
      <c r="P14" s="145">
        <v>59</v>
      </c>
    </row>
    <row r="15" spans="2:27" x14ac:dyDescent="0.3">
      <c r="B15" s="43" t="s">
        <v>47</v>
      </c>
      <c r="C15" s="17">
        <v>1018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5</v>
      </c>
    </row>
    <row r="16" spans="2:27" x14ac:dyDescent="0.3">
      <c r="B16" s="43" t="s">
        <v>48</v>
      </c>
      <c r="C16" s="50">
        <v>288</v>
      </c>
      <c r="E16" s="18" t="s">
        <v>79</v>
      </c>
      <c r="F16" s="119">
        <v>0</v>
      </c>
      <c r="G16" s="117">
        <v>0</v>
      </c>
      <c r="H16" s="117">
        <v>5665.2775958599996</v>
      </c>
      <c r="I16" s="152">
        <f>G16+H16</f>
        <v>5665.2775958599996</v>
      </c>
      <c r="J16" s="119">
        <v>0</v>
      </c>
      <c r="K16" s="117">
        <v>0</v>
      </c>
      <c r="L16" s="117">
        <v>5569.0501380200003</v>
      </c>
      <c r="M16" s="19">
        <f>K16+L16</f>
        <v>5569.0501380200003</v>
      </c>
      <c r="N16" s="88">
        <v>12</v>
      </c>
      <c r="O16" s="88">
        <v>12</v>
      </c>
      <c r="P16" s="145">
        <v>10</v>
      </c>
    </row>
    <row r="17" spans="2:28" s="4" customFormat="1" ht="15" customHeight="1" thickBot="1" x14ac:dyDescent="0.35">
      <c r="B17" s="16" t="s">
        <v>50</v>
      </c>
      <c r="C17" s="17">
        <v>11059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964</v>
      </c>
      <c r="E18" s="84"/>
      <c r="F18" s="148">
        <f t="shared" ref="F18:M18" si="0">SUM(F6:F17)</f>
        <v>75475</v>
      </c>
      <c r="G18" s="149">
        <f t="shared" si="0"/>
        <v>59130.640999999989</v>
      </c>
      <c r="H18" s="149">
        <f t="shared" si="0"/>
        <v>56936.388489320001</v>
      </c>
      <c r="I18" s="150">
        <f t="shared" si="0"/>
        <v>116067.02948931999</v>
      </c>
      <c r="J18" s="149">
        <f t="shared" si="0"/>
        <v>82485</v>
      </c>
      <c r="K18" s="149">
        <f t="shared" si="0"/>
        <v>65395.364566666685</v>
      </c>
      <c r="L18" s="149">
        <f t="shared" si="0"/>
        <v>62682.872794909985</v>
      </c>
      <c r="M18" s="157">
        <f t="shared" si="0"/>
        <v>107254.19959165</v>
      </c>
      <c r="N18" s="149">
        <f>SUM(N16,N14,N12,N10,N8,N6)</f>
        <v>287</v>
      </c>
      <c r="O18" s="149">
        <f>SUM(O16,O14,O12,O10,O8,O6)</f>
        <v>277</v>
      </c>
      <c r="P18" s="158">
        <f>SUM(P16,P14,P12,P10,P8,P6)</f>
        <v>253</v>
      </c>
    </row>
    <row r="19" spans="2:28" ht="15" customHeight="1" thickBot="1" x14ac:dyDescent="0.35">
      <c r="B19" s="57" t="s">
        <v>52</v>
      </c>
      <c r="C19" s="58">
        <v>4544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8.6642599277978335E-2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10808</v>
      </c>
      <c r="D27" s="76">
        <f>C12</f>
        <v>7788</v>
      </c>
      <c r="E27" s="77">
        <f t="shared" ref="E27:E33" si="1">D27-C27</f>
        <v>-3020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95</v>
      </c>
      <c r="E28" s="77">
        <f t="shared" si="1"/>
        <v>95</v>
      </c>
      <c r="M28" s="4"/>
    </row>
    <row r="29" spans="2:28" x14ac:dyDescent="0.3">
      <c r="B29" s="74" t="s">
        <v>56</v>
      </c>
      <c r="C29" s="122">
        <v>39140</v>
      </c>
      <c r="D29" s="76">
        <f>C8+C13+C14+C15+C16</f>
        <v>36823</v>
      </c>
      <c r="E29" s="77">
        <f t="shared" si="1"/>
        <v>-2317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1579</v>
      </c>
      <c r="D31" s="76">
        <f>C11</f>
        <v>1974</v>
      </c>
      <c r="E31" s="77">
        <f t="shared" si="1"/>
        <v>395</v>
      </c>
      <c r="P31" s="4"/>
    </row>
    <row r="32" spans="2:28" x14ac:dyDescent="0.3">
      <c r="B32" s="74" t="s">
        <v>59</v>
      </c>
      <c r="C32" s="122">
        <v>16567</v>
      </c>
      <c r="D32" s="76">
        <f>C17+C18+C19</f>
        <v>16567</v>
      </c>
      <c r="E32" s="77">
        <f t="shared" si="1"/>
        <v>0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2709</v>
      </c>
      <c r="D33" s="80">
        <f>C9+C10</f>
        <v>2881</v>
      </c>
      <c r="E33" s="81">
        <f t="shared" si="1"/>
        <v>172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44605</v>
      </c>
    </row>
    <row r="3" spans="2:27" ht="18.75" customHeight="1" thickBot="1" x14ac:dyDescent="0.35">
      <c r="B3" t="s">
        <v>1</v>
      </c>
      <c r="C3" s="3">
        <f>C2+1</f>
        <v>44606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10884</v>
      </c>
      <c r="G6" s="117">
        <v>13095.849099999999</v>
      </c>
      <c r="H6" s="117">
        <v>775.10832499999992</v>
      </c>
      <c r="I6" s="152">
        <f>G6+H6</f>
        <v>13870.957424999999</v>
      </c>
      <c r="J6" s="119">
        <v>9970</v>
      </c>
      <c r="K6" s="117">
        <v>11306</v>
      </c>
      <c r="L6" s="117">
        <v>678</v>
      </c>
      <c r="M6" s="19">
        <v>0</v>
      </c>
      <c r="N6" s="85">
        <v>48</v>
      </c>
      <c r="O6" s="85">
        <v>48</v>
      </c>
      <c r="P6" s="142">
        <v>40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455.03055920000003</v>
      </c>
      <c r="I8" s="152">
        <f>G8+H8</f>
        <v>455.03055920000003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1</v>
      </c>
      <c r="O8" s="87">
        <v>0</v>
      </c>
      <c r="P8" s="144">
        <v>1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-1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5575</v>
      </c>
      <c r="G10" s="117">
        <v>6713.5485000000008</v>
      </c>
      <c r="H10" s="117">
        <v>321.59561500000001</v>
      </c>
      <c r="I10" s="152">
        <f>G10+H10</f>
        <v>7035.144115000001</v>
      </c>
      <c r="J10" s="119">
        <v>5191</v>
      </c>
      <c r="K10" s="117">
        <v>6325</v>
      </c>
      <c r="L10" s="117">
        <v>298</v>
      </c>
      <c r="M10" s="19">
        <f>K10+L10</f>
        <v>6623</v>
      </c>
      <c r="N10" s="88">
        <v>0</v>
      </c>
      <c r="O10" s="88">
        <v>0</v>
      </c>
      <c r="P10" s="145">
        <v>0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12543.805</v>
      </c>
      <c r="H12" s="117">
        <v>137.4411398</v>
      </c>
      <c r="I12" s="152">
        <f>G12+H12</f>
        <v>12681.2461398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145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15521.422500000001</v>
      </c>
      <c r="H14" s="117">
        <v>0</v>
      </c>
      <c r="I14" s="152">
        <f>G14+H14</f>
        <v>15521.422500000001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145">
        <v>0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35">
      <c r="B17" s="16" t="s">
        <v>50</v>
      </c>
      <c r="C17" s="17">
        <v>10404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0</v>
      </c>
      <c r="E18" s="84"/>
      <c r="F18" s="148">
        <f t="shared" ref="F18:M18" si="0">SUM(F6:F17)</f>
        <v>16459</v>
      </c>
      <c r="G18" s="149">
        <f t="shared" si="0"/>
        <v>47874.625100000005</v>
      </c>
      <c r="H18" s="149">
        <f t="shared" si="0"/>
        <v>1689.1756389999998</v>
      </c>
      <c r="I18" s="150">
        <f t="shared" si="0"/>
        <v>49563.800738999998</v>
      </c>
      <c r="J18" s="149">
        <f t="shared" si="0"/>
        <v>15161</v>
      </c>
      <c r="K18" s="149">
        <f t="shared" si="0"/>
        <v>17631</v>
      </c>
      <c r="L18" s="149">
        <f t="shared" si="0"/>
        <v>976</v>
      </c>
      <c r="M18" s="157">
        <f t="shared" si="0"/>
        <v>6623</v>
      </c>
      <c r="N18" s="149">
        <f>SUM(N16,N14,N12,N10,N8,N6)</f>
        <v>50</v>
      </c>
      <c r="O18" s="149">
        <f>SUM(O16,O14,O12,O10,O8,O6)</f>
        <v>48</v>
      </c>
      <c r="P18" s="158">
        <f>SUM(P16,P14,P12,P10,P8,P6)</f>
        <v>41</v>
      </c>
    </row>
    <row r="19" spans="2:28" ht="15" customHeight="1" thickBot="1" x14ac:dyDescent="0.35">
      <c r="B19" s="57" t="s">
        <v>52</v>
      </c>
      <c r="C19" s="58">
        <v>4757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0.14583333333333334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/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/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/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/>
      <c r="D31" s="76">
        <f>C11</f>
        <v>0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16459</v>
      </c>
      <c r="D32" s="76">
        <f>C17+C18+C19</f>
        <v>15161</v>
      </c>
      <c r="E32" s="77">
        <f t="shared" si="1"/>
        <v>-1298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/>
      <c r="D33" s="80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44606</v>
      </c>
    </row>
    <row r="3" spans="2:27" ht="18.75" customHeight="1" thickBot="1" x14ac:dyDescent="0.35">
      <c r="B3" t="s">
        <v>1</v>
      </c>
      <c r="C3" s="3">
        <f>C2+1</f>
        <v>44607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91</v>
      </c>
      <c r="E6" s="18" t="s">
        <v>22</v>
      </c>
      <c r="F6" s="119">
        <v>26004</v>
      </c>
      <c r="G6" s="117">
        <v>11918.35328333333</v>
      </c>
      <c r="H6" s="117">
        <v>6107.8302721799992</v>
      </c>
      <c r="I6" s="152">
        <f>G6+H6</f>
        <v>18026.183555513329</v>
      </c>
      <c r="J6" s="119">
        <v>26533</v>
      </c>
      <c r="K6" s="117">
        <v>13493.87403333333</v>
      </c>
      <c r="L6" s="117">
        <v>5646.1308604199976</v>
      </c>
      <c r="M6" s="19">
        <v>0</v>
      </c>
      <c r="N6" s="85">
        <v>77</v>
      </c>
      <c r="O6" s="85">
        <v>75</v>
      </c>
      <c r="P6" s="142">
        <v>66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3808.4728194999998</v>
      </c>
      <c r="I8" s="152">
        <f>G8+H8</f>
        <v>3808.4728194999998</v>
      </c>
      <c r="J8" s="119">
        <v>0</v>
      </c>
      <c r="K8" s="117">
        <v>0</v>
      </c>
      <c r="L8" s="117">
        <v>3718.1676966</v>
      </c>
      <c r="M8" s="19">
        <f>K8+L8</f>
        <v>3718.1676966</v>
      </c>
      <c r="N8" s="87">
        <v>8</v>
      </c>
      <c r="O8" s="87">
        <v>8</v>
      </c>
      <c r="P8" s="144">
        <v>8</v>
      </c>
    </row>
    <row r="9" spans="2:27" x14ac:dyDescent="0.3">
      <c r="B9" s="28" t="s">
        <v>26</v>
      </c>
      <c r="C9" s="17">
        <v>1675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28</v>
      </c>
      <c r="C10" s="17">
        <v>936</v>
      </c>
      <c r="E10" s="18" t="s">
        <v>31</v>
      </c>
      <c r="F10" s="119">
        <v>18899</v>
      </c>
      <c r="G10" s="117">
        <v>13276.28</v>
      </c>
      <c r="H10" s="117">
        <v>373.752455</v>
      </c>
      <c r="I10" s="152">
        <f>G10+H10</f>
        <v>13650.032455</v>
      </c>
      <c r="J10" s="119">
        <v>18921</v>
      </c>
      <c r="K10" s="117">
        <v>13819.870999999999</v>
      </c>
      <c r="L10" s="117">
        <v>370.15668340000002</v>
      </c>
      <c r="M10" s="19">
        <f>K10+L10</f>
        <v>14190.0276834</v>
      </c>
      <c r="N10" s="88">
        <v>46</v>
      </c>
      <c r="O10" s="88">
        <v>46</v>
      </c>
      <c r="P10" s="145">
        <v>37</v>
      </c>
    </row>
    <row r="11" spans="2:27" x14ac:dyDescent="0.3">
      <c r="B11" s="16" t="s">
        <v>30</v>
      </c>
      <c r="C11" s="17">
        <v>1457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3">
      <c r="B12" s="16" t="s">
        <v>38</v>
      </c>
      <c r="C12" s="17">
        <v>10809</v>
      </c>
      <c r="E12" s="140" t="s">
        <v>35</v>
      </c>
      <c r="F12" s="119">
        <v>14688</v>
      </c>
      <c r="G12" s="117">
        <v>10657.766</v>
      </c>
      <c r="H12" s="117">
        <v>15086.18740744</v>
      </c>
      <c r="I12" s="152">
        <f>G12+H12</f>
        <v>25743.95340744</v>
      </c>
      <c r="J12" s="119">
        <v>13749</v>
      </c>
      <c r="K12" s="117">
        <v>12599.361500000001</v>
      </c>
      <c r="L12" s="117">
        <v>14469.248926619999</v>
      </c>
      <c r="M12" s="19">
        <f>K12+L12</f>
        <v>27068.610426619998</v>
      </c>
      <c r="N12" s="88">
        <v>56</v>
      </c>
      <c r="O12" s="88">
        <v>54</v>
      </c>
      <c r="P12" s="145">
        <v>54</v>
      </c>
    </row>
    <row r="13" spans="2:27" x14ac:dyDescent="0.3">
      <c r="B13" s="16" t="s">
        <v>40</v>
      </c>
      <c r="C13" s="17">
        <v>2387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34683</v>
      </c>
      <c r="E14" s="18" t="s">
        <v>39</v>
      </c>
      <c r="F14" s="119">
        <v>19470</v>
      </c>
      <c r="G14" s="117">
        <v>15769.458000000001</v>
      </c>
      <c r="H14" s="117">
        <v>22489.744075099989</v>
      </c>
      <c r="I14" s="152">
        <f>G14+H14</f>
        <v>38259.202075099987</v>
      </c>
      <c r="J14" s="119">
        <v>17312</v>
      </c>
      <c r="K14" s="117">
        <v>18131.984250000001</v>
      </c>
      <c r="L14" s="117">
        <v>21416.730526899999</v>
      </c>
      <c r="M14" s="19">
        <f>K14+L14</f>
        <v>39548.7147769</v>
      </c>
      <c r="N14" s="88">
        <v>70</v>
      </c>
      <c r="O14" s="88">
        <v>66</v>
      </c>
      <c r="P14" s="145">
        <v>57</v>
      </c>
    </row>
    <row r="15" spans="2:27" x14ac:dyDescent="0.3">
      <c r="B15" s="43" t="s">
        <v>47</v>
      </c>
      <c r="C15" s="17">
        <v>1381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3">
      <c r="B16" s="43" t="s">
        <v>48</v>
      </c>
      <c r="C16" s="50">
        <v>464</v>
      </c>
      <c r="E16" s="18" t="s">
        <v>79</v>
      </c>
      <c r="F16" s="119">
        <v>0</v>
      </c>
      <c r="G16" s="117">
        <v>0</v>
      </c>
      <c r="H16" s="117">
        <v>8720.2555577000003</v>
      </c>
      <c r="I16" s="152">
        <f>G16+H16</f>
        <v>8720.2555577000003</v>
      </c>
      <c r="J16" s="119">
        <v>0</v>
      </c>
      <c r="K16" s="117">
        <v>0</v>
      </c>
      <c r="L16" s="117">
        <v>8349.1573888000003</v>
      </c>
      <c r="M16" s="19">
        <f>K16+L16</f>
        <v>8349.1573888000003</v>
      </c>
      <c r="N16" s="88">
        <v>10</v>
      </c>
      <c r="O16" s="88">
        <v>10</v>
      </c>
      <c r="P16" s="145">
        <v>10</v>
      </c>
    </row>
    <row r="17" spans="2:28" s="4" customFormat="1" ht="15" customHeight="1" thickBot="1" x14ac:dyDescent="0.35">
      <c r="B17" s="16" t="s">
        <v>50</v>
      </c>
      <c r="C17" s="17">
        <v>11946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1352</v>
      </c>
      <c r="E18" s="84"/>
      <c r="F18" s="148">
        <f t="shared" ref="F18:M18" si="0">SUM(F6:F17)</f>
        <v>79061</v>
      </c>
      <c r="G18" s="149">
        <f t="shared" si="0"/>
        <v>51621.857283333331</v>
      </c>
      <c r="H18" s="149">
        <f t="shared" si="0"/>
        <v>56586.242586919987</v>
      </c>
      <c r="I18" s="150">
        <f t="shared" si="0"/>
        <v>108208.09987025333</v>
      </c>
      <c r="J18" s="149">
        <f t="shared" si="0"/>
        <v>76515</v>
      </c>
      <c r="K18" s="149">
        <f t="shared" si="0"/>
        <v>58045.090783333333</v>
      </c>
      <c r="L18" s="149">
        <f t="shared" si="0"/>
        <v>53969.592082739997</v>
      </c>
      <c r="M18" s="157">
        <f t="shared" si="0"/>
        <v>92874.677972320002</v>
      </c>
      <c r="N18" s="149">
        <f>SUM(N16,N14,N12,N10,N8,N6)</f>
        <v>267</v>
      </c>
      <c r="O18" s="149">
        <f>SUM(O16,O14,O12,O10,O8,O6)</f>
        <v>259</v>
      </c>
      <c r="P18" s="158">
        <f>SUM(P16,P14,P12,P10,P8,P6)</f>
        <v>232</v>
      </c>
    </row>
    <row r="19" spans="2:28" ht="15" customHeight="1" thickBot="1" x14ac:dyDescent="0.35">
      <c r="B19" s="57" t="s">
        <v>52</v>
      </c>
      <c r="C19" s="58">
        <v>4803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0.10424710424710425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12184</v>
      </c>
      <c r="D27" s="76">
        <f>C12</f>
        <v>10809</v>
      </c>
      <c r="E27" s="77">
        <f t="shared" ref="E27:E33" si="1">D27-C27</f>
        <v>-1375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38406</v>
      </c>
      <c r="D29" s="76">
        <f>C8+C13+C14+C15+C16</f>
        <v>38915</v>
      </c>
      <c r="E29" s="77">
        <f t="shared" si="1"/>
        <v>509</v>
      </c>
      <c r="P29" s="4"/>
    </row>
    <row r="30" spans="2:28" x14ac:dyDescent="0.3">
      <c r="B30" s="74" t="s">
        <v>21</v>
      </c>
      <c r="C30" s="122">
        <v>91</v>
      </c>
      <c r="D30" s="76">
        <f>C6</f>
        <v>91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1457</v>
      </c>
      <c r="D31" s="76">
        <f>C11</f>
        <v>1457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16345</v>
      </c>
      <c r="D32" s="76">
        <f>C17+C18+C19</f>
        <v>18101</v>
      </c>
      <c r="E32" s="77">
        <f t="shared" si="1"/>
        <v>1756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2611</v>
      </c>
      <c r="D33" s="80">
        <f>C9+C10</f>
        <v>2611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44607</v>
      </c>
    </row>
    <row r="3" spans="2:27" ht="18.75" customHeight="1" thickBot="1" x14ac:dyDescent="0.35">
      <c r="B3" t="s">
        <v>1</v>
      </c>
      <c r="C3" s="3">
        <f>C2+1</f>
        <v>44608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159</v>
      </c>
      <c r="E6" s="18" t="s">
        <v>22</v>
      </c>
      <c r="F6" s="119">
        <v>26778</v>
      </c>
      <c r="G6" s="117">
        <v>12594.15881666667</v>
      </c>
      <c r="H6" s="117">
        <v>6561.677940980001</v>
      </c>
      <c r="I6" s="152">
        <f>G6+H6</f>
        <v>19155.83675764667</v>
      </c>
      <c r="J6" s="119">
        <v>26020</v>
      </c>
      <c r="K6" s="117">
        <v>12884.50131666667</v>
      </c>
      <c r="L6" s="117">
        <v>6390.5451611600029</v>
      </c>
      <c r="M6" s="19">
        <v>0</v>
      </c>
      <c r="N6" s="85">
        <v>89</v>
      </c>
      <c r="O6" s="85">
        <v>85</v>
      </c>
      <c r="P6" s="142">
        <v>77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1601</v>
      </c>
      <c r="E8" s="140" t="s">
        <v>27</v>
      </c>
      <c r="F8" s="119">
        <v>0</v>
      </c>
      <c r="G8" s="117">
        <v>0</v>
      </c>
      <c r="H8" s="117">
        <v>3587.7427395599998</v>
      </c>
      <c r="I8" s="152">
        <f>G8+H8</f>
        <v>3587.7427395599998</v>
      </c>
      <c r="J8" s="119">
        <v>0</v>
      </c>
      <c r="K8" s="117">
        <v>0</v>
      </c>
      <c r="L8" s="117">
        <v>3392.8707752999999</v>
      </c>
      <c r="M8" s="19">
        <f>K8+L8</f>
        <v>3392.8707752999999</v>
      </c>
      <c r="N8" s="87">
        <v>7</v>
      </c>
      <c r="O8" s="87">
        <v>7</v>
      </c>
      <c r="P8" s="144">
        <v>7</v>
      </c>
    </row>
    <row r="9" spans="2:27" x14ac:dyDescent="0.3">
      <c r="B9" s="28" t="s">
        <v>26</v>
      </c>
      <c r="C9" s="17">
        <v>1864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28</v>
      </c>
      <c r="C10" s="17">
        <v>975</v>
      </c>
      <c r="E10" s="18" t="s">
        <v>31</v>
      </c>
      <c r="F10" s="119">
        <v>18655</v>
      </c>
      <c r="G10" s="117">
        <v>12546.87175</v>
      </c>
      <c r="H10" s="117">
        <v>379.14702999999997</v>
      </c>
      <c r="I10" s="152">
        <f>G10+H10</f>
        <v>12926.01878</v>
      </c>
      <c r="J10" s="119">
        <v>18175</v>
      </c>
      <c r="K10" s="117">
        <v>12220.11325</v>
      </c>
      <c r="L10" s="117">
        <v>354.95404159999998</v>
      </c>
      <c r="M10" s="19">
        <f>K10+L10</f>
        <v>12575.0672916</v>
      </c>
      <c r="N10" s="88">
        <v>52</v>
      </c>
      <c r="O10" s="88">
        <v>50</v>
      </c>
      <c r="P10" s="145">
        <v>46</v>
      </c>
    </row>
    <row r="11" spans="2:27" x14ac:dyDescent="0.3">
      <c r="B11" s="16" t="s">
        <v>30</v>
      </c>
      <c r="C11" s="17">
        <v>1399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38</v>
      </c>
      <c r="C12" s="17">
        <v>8797</v>
      </c>
      <c r="E12" s="140" t="s">
        <v>35</v>
      </c>
      <c r="F12" s="119">
        <v>13667</v>
      </c>
      <c r="G12" s="117">
        <v>11969.583500000001</v>
      </c>
      <c r="H12" s="117">
        <v>16756.087049390011</v>
      </c>
      <c r="I12" s="152">
        <f>G12+H12</f>
        <v>28725.670549390012</v>
      </c>
      <c r="J12" s="119">
        <v>12523</v>
      </c>
      <c r="K12" s="117">
        <v>12038.237499999999</v>
      </c>
      <c r="L12" s="117">
        <v>15906.57923190001</v>
      </c>
      <c r="M12" s="19">
        <f>K12+L12</f>
        <v>27944.816731900009</v>
      </c>
      <c r="N12" s="88">
        <v>56</v>
      </c>
      <c r="O12" s="88">
        <v>53</v>
      </c>
      <c r="P12" s="145">
        <v>53</v>
      </c>
    </row>
    <row r="13" spans="2:27" x14ac:dyDescent="0.3">
      <c r="B13" s="16" t="s">
        <v>40</v>
      </c>
      <c r="C13" s="17">
        <v>1698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21252</v>
      </c>
      <c r="E14" s="18" t="s">
        <v>39</v>
      </c>
      <c r="F14" s="119">
        <v>14900</v>
      </c>
      <c r="G14" s="117">
        <v>13819.213750000001</v>
      </c>
      <c r="H14" s="117">
        <v>18228.45543196001</v>
      </c>
      <c r="I14" s="152">
        <f>G14+H14</f>
        <v>32047.669181960009</v>
      </c>
      <c r="J14" s="119">
        <v>14345</v>
      </c>
      <c r="K14" s="117">
        <v>13901.653749999999</v>
      </c>
      <c r="L14" s="117">
        <v>17548.205110280011</v>
      </c>
      <c r="M14" s="19">
        <f>K14+L14</f>
        <v>31449.858860280008</v>
      </c>
      <c r="N14" s="88">
        <v>73</v>
      </c>
      <c r="O14" s="88">
        <v>68</v>
      </c>
      <c r="P14" s="145">
        <v>62</v>
      </c>
    </row>
    <row r="15" spans="2:27" x14ac:dyDescent="0.3">
      <c r="B15" s="43" t="s">
        <v>47</v>
      </c>
      <c r="C15" s="17">
        <v>1081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3">
      <c r="B16" s="43" t="s">
        <v>48</v>
      </c>
      <c r="C16" s="50">
        <v>215</v>
      </c>
      <c r="E16" s="18" t="s">
        <v>79</v>
      </c>
      <c r="F16" s="119">
        <v>0</v>
      </c>
      <c r="G16" s="117">
        <v>0</v>
      </c>
      <c r="H16" s="117">
        <v>5112.3583881999994</v>
      </c>
      <c r="I16" s="152">
        <f>G16+H16</f>
        <v>5112.3583881999994</v>
      </c>
      <c r="J16" s="119">
        <v>0</v>
      </c>
      <c r="K16" s="117">
        <v>0</v>
      </c>
      <c r="L16" s="117">
        <v>5118.3561761799992</v>
      </c>
      <c r="M16" s="19">
        <f>K16+L16</f>
        <v>5118.3561761799992</v>
      </c>
      <c r="N16" s="88">
        <v>12</v>
      </c>
      <c r="O16" s="88">
        <v>12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10718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800</v>
      </c>
      <c r="E18" s="84"/>
      <c r="F18" s="148">
        <f t="shared" ref="F18:M18" si="0">SUM(F6:F17)</f>
        <v>74000</v>
      </c>
      <c r="G18" s="149">
        <f t="shared" si="0"/>
        <v>50929.827816666671</v>
      </c>
      <c r="H18" s="149">
        <f t="shared" si="0"/>
        <v>50625.468580090026</v>
      </c>
      <c r="I18" s="150">
        <f t="shared" si="0"/>
        <v>101555.29639675669</v>
      </c>
      <c r="J18" s="149">
        <f t="shared" si="0"/>
        <v>71063</v>
      </c>
      <c r="K18" s="149">
        <f t="shared" si="0"/>
        <v>51044.505816666671</v>
      </c>
      <c r="L18" s="149">
        <f t="shared" si="0"/>
        <v>48711.510496420022</v>
      </c>
      <c r="M18" s="157">
        <f t="shared" si="0"/>
        <v>80480.96983526001</v>
      </c>
      <c r="N18" s="149">
        <f>SUM(N16,N14,N12,N10,N8,N6)</f>
        <v>289</v>
      </c>
      <c r="O18" s="149">
        <f>SUM(O16,O14,O12,O10,O8,O6)</f>
        <v>275</v>
      </c>
      <c r="P18" s="158">
        <f>SUM(P16,P14,P12,P10,P8,P6)</f>
        <v>257</v>
      </c>
    </row>
    <row r="19" spans="2:28" ht="15" customHeight="1" thickBot="1" x14ac:dyDescent="0.35">
      <c r="B19" s="57" t="s">
        <v>52</v>
      </c>
      <c r="C19" s="58">
        <v>5094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6.545454545454546E-2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10733</v>
      </c>
      <c r="D27" s="76">
        <f>C12</f>
        <v>8797</v>
      </c>
      <c r="E27" s="77">
        <f t="shared" ref="E27:E33" si="1">D27-C27</f>
        <v>-1936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31553</v>
      </c>
      <c r="D29" s="76">
        <f>C8+C13+C14+C15+C16</f>
        <v>25847</v>
      </c>
      <c r="E29" s="77">
        <f t="shared" si="1"/>
        <v>-5706</v>
      </c>
      <c r="P29" s="4"/>
    </row>
    <row r="30" spans="2:28" x14ac:dyDescent="0.3">
      <c r="B30" s="74" t="s">
        <v>21</v>
      </c>
      <c r="C30" s="122">
        <v>159</v>
      </c>
      <c r="D30" s="76">
        <f>C6</f>
        <v>159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1399</v>
      </c>
      <c r="D31" s="76">
        <f>C11</f>
        <v>1399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17020</v>
      </c>
      <c r="D32" s="76">
        <f>C17+C18+C19</f>
        <v>16612</v>
      </c>
      <c r="E32" s="77">
        <f t="shared" si="1"/>
        <v>-408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3401</v>
      </c>
      <c r="D33" s="80">
        <f>C9+C10</f>
        <v>2839</v>
      </c>
      <c r="E33" s="81">
        <f t="shared" si="1"/>
        <v>-562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44608</v>
      </c>
    </row>
    <row r="3" spans="2:27" ht="18.75" customHeight="1" thickBot="1" x14ac:dyDescent="0.35">
      <c r="B3" t="s">
        <v>1</v>
      </c>
      <c r="C3" s="3">
        <f>C2+1</f>
        <v>44609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96</v>
      </c>
    </row>
    <row r="6" spans="2:27" x14ac:dyDescent="0.3">
      <c r="B6" s="16" t="s">
        <v>21</v>
      </c>
      <c r="C6" s="17">
        <v>66</v>
      </c>
      <c r="E6" s="18" t="s">
        <v>22</v>
      </c>
      <c r="F6" s="119">
        <v>24980</v>
      </c>
      <c r="G6" s="117">
        <v>13292.789500000001</v>
      </c>
      <c r="H6" s="117">
        <v>5518.4790468199972</v>
      </c>
      <c r="I6" s="152">
        <f>G6+H6</f>
        <v>18811.26854682</v>
      </c>
      <c r="J6" s="119">
        <v>27072</v>
      </c>
      <c r="K6" s="117">
        <v>14277.531999999999</v>
      </c>
      <c r="L6" s="117">
        <v>5464.7418168799959</v>
      </c>
      <c r="M6" s="19">
        <v>0</v>
      </c>
      <c r="N6" s="85">
        <v>84</v>
      </c>
      <c r="O6" s="85">
        <v>79</v>
      </c>
      <c r="P6" s="142">
        <v>74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5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1796</v>
      </c>
      <c r="E8" s="140" t="s">
        <v>27</v>
      </c>
      <c r="F8" s="119">
        <v>0</v>
      </c>
      <c r="G8" s="117">
        <v>0</v>
      </c>
      <c r="H8" s="117">
        <v>3673.8548846600002</v>
      </c>
      <c r="I8" s="152">
        <f>G8+H8</f>
        <v>3673.8548846600002</v>
      </c>
      <c r="J8" s="119">
        <v>0</v>
      </c>
      <c r="K8" s="117">
        <v>0</v>
      </c>
      <c r="L8" s="117">
        <v>3735.2757183399999</v>
      </c>
      <c r="M8" s="19">
        <f>K8+L8</f>
        <v>3735.2757183399999</v>
      </c>
      <c r="N8" s="87">
        <v>5</v>
      </c>
      <c r="O8" s="87">
        <v>5</v>
      </c>
      <c r="P8" s="144">
        <v>4</v>
      </c>
    </row>
    <row r="9" spans="2:27" x14ac:dyDescent="0.3">
      <c r="B9" s="28" t="s">
        <v>26</v>
      </c>
      <c r="C9" s="17">
        <v>1592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28</v>
      </c>
      <c r="C10" s="17">
        <v>1115</v>
      </c>
      <c r="E10" s="18" t="s">
        <v>31</v>
      </c>
      <c r="F10" s="119">
        <v>17185</v>
      </c>
      <c r="G10" s="117">
        <v>12624.009</v>
      </c>
      <c r="H10" s="117">
        <v>378.07545320000003</v>
      </c>
      <c r="I10" s="152">
        <f>G10+H10</f>
        <v>13002.084453199999</v>
      </c>
      <c r="J10" s="119">
        <v>17569</v>
      </c>
      <c r="K10" s="117">
        <v>12922.802</v>
      </c>
      <c r="L10" s="117">
        <v>359.18549359999997</v>
      </c>
      <c r="M10" s="19">
        <f>K10+L10</f>
        <v>13281.9874936</v>
      </c>
      <c r="N10" s="88">
        <v>45</v>
      </c>
      <c r="O10" s="88">
        <v>44</v>
      </c>
      <c r="P10" s="145">
        <v>42</v>
      </c>
    </row>
    <row r="11" spans="2:27" x14ac:dyDescent="0.3">
      <c r="B11" s="16" t="s">
        <v>30</v>
      </c>
      <c r="C11" s="17">
        <v>2388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2</v>
      </c>
    </row>
    <row r="12" spans="2:27" x14ac:dyDescent="0.3">
      <c r="B12" s="16" t="s">
        <v>38</v>
      </c>
      <c r="C12" s="17">
        <v>9899</v>
      </c>
      <c r="E12" s="140" t="s">
        <v>35</v>
      </c>
      <c r="F12" s="119">
        <v>14904</v>
      </c>
      <c r="G12" s="117">
        <v>12088.7935</v>
      </c>
      <c r="H12" s="117">
        <v>16694.182415809999</v>
      </c>
      <c r="I12" s="152">
        <f>G12+H12</f>
        <v>28782.975915809999</v>
      </c>
      <c r="J12" s="119">
        <v>13884</v>
      </c>
      <c r="K12" s="117">
        <v>13319.009749999999</v>
      </c>
      <c r="L12" s="117">
        <v>16024.27842576999</v>
      </c>
      <c r="M12" s="19">
        <f>K12+L12</f>
        <v>29343.288175769987</v>
      </c>
      <c r="N12" s="88">
        <v>56</v>
      </c>
      <c r="O12" s="88">
        <v>53</v>
      </c>
      <c r="P12" s="145">
        <v>52</v>
      </c>
    </row>
    <row r="13" spans="2:27" x14ac:dyDescent="0.3">
      <c r="B13" s="16" t="s">
        <v>40</v>
      </c>
      <c r="C13" s="17">
        <v>2280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1</v>
      </c>
    </row>
    <row r="14" spans="2:27" x14ac:dyDescent="0.3">
      <c r="B14" s="28" t="s">
        <v>42</v>
      </c>
      <c r="C14" s="17">
        <v>28488</v>
      </c>
      <c r="E14" s="18" t="s">
        <v>39</v>
      </c>
      <c r="F14" s="119">
        <v>18865</v>
      </c>
      <c r="G14" s="117">
        <v>14635.05875</v>
      </c>
      <c r="H14" s="117">
        <v>21965.609886680009</v>
      </c>
      <c r="I14" s="152">
        <f>G14+H14</f>
        <v>36600.668636680013</v>
      </c>
      <c r="J14" s="119">
        <v>19665</v>
      </c>
      <c r="K14" s="117">
        <v>16719.938750000001</v>
      </c>
      <c r="L14" s="117">
        <v>22637.201766720009</v>
      </c>
      <c r="M14" s="19">
        <f>K14+L14</f>
        <v>39357.140516720014</v>
      </c>
      <c r="N14" s="88">
        <v>69</v>
      </c>
      <c r="O14" s="88">
        <v>65</v>
      </c>
      <c r="P14" s="145">
        <v>58</v>
      </c>
    </row>
    <row r="15" spans="2:27" x14ac:dyDescent="0.3">
      <c r="B15" s="43" t="s">
        <v>47</v>
      </c>
      <c r="C15" s="17">
        <v>1093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3">
      <c r="B16" s="43" t="s">
        <v>48</v>
      </c>
      <c r="C16" s="50">
        <v>439</v>
      </c>
      <c r="E16" s="18" t="s">
        <v>79</v>
      </c>
      <c r="F16" s="119">
        <v>0</v>
      </c>
      <c r="G16" s="117">
        <v>0</v>
      </c>
      <c r="H16" s="117">
        <v>7537.1940431999992</v>
      </c>
      <c r="I16" s="152">
        <f>G16+H16</f>
        <v>7537.1940431999992</v>
      </c>
      <c r="J16" s="119">
        <v>0</v>
      </c>
      <c r="K16" s="117">
        <v>0</v>
      </c>
      <c r="L16" s="117">
        <v>7631.8071568599998</v>
      </c>
      <c r="M16" s="19">
        <f>K16+L16</f>
        <v>7631.8071568599998</v>
      </c>
      <c r="N16" s="88">
        <v>11</v>
      </c>
      <c r="O16" s="88">
        <v>11</v>
      </c>
      <c r="P16" s="145">
        <v>9</v>
      </c>
    </row>
    <row r="17" spans="2:28" s="4" customFormat="1" ht="15" customHeight="1" thickBot="1" x14ac:dyDescent="0.35">
      <c r="B17" s="16" t="s">
        <v>50</v>
      </c>
      <c r="C17" s="17">
        <v>11080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1557</v>
      </c>
      <c r="E18" s="84"/>
      <c r="F18" s="148">
        <f t="shared" ref="F18:M18" si="0">SUM(F6:F17)</f>
        <v>75934</v>
      </c>
      <c r="G18" s="149">
        <f t="shared" si="0"/>
        <v>52640.650750000001</v>
      </c>
      <c r="H18" s="149">
        <f t="shared" si="0"/>
        <v>55767.395730370001</v>
      </c>
      <c r="I18" s="150">
        <f t="shared" si="0"/>
        <v>108408.04648037002</v>
      </c>
      <c r="J18" s="149">
        <f t="shared" si="0"/>
        <v>78190</v>
      </c>
      <c r="K18" s="149">
        <f t="shared" si="0"/>
        <v>57239.282500000001</v>
      </c>
      <c r="L18" s="149">
        <f t="shared" si="0"/>
        <v>55852.490378169998</v>
      </c>
      <c r="M18" s="157">
        <f t="shared" si="0"/>
        <v>93349.49906129</v>
      </c>
      <c r="N18" s="149">
        <f>SUM(N16,N14,N12,N10,N8,N6)</f>
        <v>270</v>
      </c>
      <c r="O18" s="149">
        <f>SUM(O16,O14,O12,O10,O8,O6)</f>
        <v>257</v>
      </c>
      <c r="P18" s="158">
        <f>SUM(P16,P14,P12,P10,P8,P6)</f>
        <v>239</v>
      </c>
    </row>
    <row r="19" spans="2:28" ht="15" customHeight="1" thickBot="1" x14ac:dyDescent="0.35">
      <c r="B19" s="57" t="s">
        <v>52</v>
      </c>
      <c r="C19" s="58">
        <v>4950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7.0038910505836577E-2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10859</v>
      </c>
      <c r="D27" s="76">
        <f>C12</f>
        <v>9899</v>
      </c>
      <c r="E27" s="77">
        <f t="shared" ref="E27:E33" si="1">D27-C27</f>
        <v>-960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20</v>
      </c>
      <c r="E28" s="77">
        <f t="shared" si="1"/>
        <v>20</v>
      </c>
      <c r="M28" s="4"/>
    </row>
    <row r="29" spans="2:28" x14ac:dyDescent="0.3">
      <c r="B29" s="74" t="s">
        <v>56</v>
      </c>
      <c r="C29" s="122">
        <v>35059</v>
      </c>
      <c r="D29" s="76">
        <f>C8+C13+C14+C15+C16</f>
        <v>34096</v>
      </c>
      <c r="E29" s="77">
        <f t="shared" si="1"/>
        <v>-963</v>
      </c>
      <c r="P29" s="4"/>
    </row>
    <row r="30" spans="2:28" x14ac:dyDescent="0.3">
      <c r="B30" s="74" t="s">
        <v>21</v>
      </c>
      <c r="C30" s="122">
        <v>66</v>
      </c>
      <c r="D30" s="76">
        <f>C6</f>
        <v>66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2388</v>
      </c>
      <c r="D31" s="76">
        <f>C11</f>
        <v>2388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17663</v>
      </c>
      <c r="D32" s="76">
        <f>C17+C18+C19</f>
        <v>17587</v>
      </c>
      <c r="E32" s="77">
        <f t="shared" si="1"/>
        <v>-76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3079</v>
      </c>
      <c r="D33" s="80">
        <f>C9+C10</f>
        <v>2707</v>
      </c>
      <c r="E33" s="81">
        <f t="shared" si="1"/>
        <v>-372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44609</v>
      </c>
    </row>
    <row r="3" spans="2:27" ht="18.75" customHeight="1" thickBot="1" x14ac:dyDescent="0.35">
      <c r="B3" t="s">
        <v>1</v>
      </c>
      <c r="C3" s="3">
        <f>C2+1</f>
        <v>44610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111</v>
      </c>
      <c r="E6" s="18" t="s">
        <v>22</v>
      </c>
      <c r="F6" s="119">
        <v>26557</v>
      </c>
      <c r="G6" s="117">
        <v>14454.42115</v>
      </c>
      <c r="H6" s="117">
        <v>8126.6627528799972</v>
      </c>
      <c r="I6" s="152">
        <f>G6+H6</f>
        <v>22581.083902879996</v>
      </c>
      <c r="J6" s="119">
        <v>29160</v>
      </c>
      <c r="K6" s="117">
        <v>16666.9169</v>
      </c>
      <c r="L6" s="117">
        <v>8494.6481148200019</v>
      </c>
      <c r="M6" s="19">
        <v>0</v>
      </c>
      <c r="N6" s="85">
        <v>87</v>
      </c>
      <c r="O6" s="85">
        <v>83</v>
      </c>
      <c r="P6" s="142">
        <v>74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1508</v>
      </c>
      <c r="E8" s="140" t="s">
        <v>27</v>
      </c>
      <c r="F8" s="119">
        <v>0</v>
      </c>
      <c r="G8" s="117">
        <v>0</v>
      </c>
      <c r="H8" s="117">
        <v>4150.3770913399994</v>
      </c>
      <c r="I8" s="152">
        <f>G8+H8</f>
        <v>4150.3770913399994</v>
      </c>
      <c r="J8" s="119">
        <v>0</v>
      </c>
      <c r="K8" s="117">
        <v>0</v>
      </c>
      <c r="L8" s="117">
        <v>4307.6869719200013</v>
      </c>
      <c r="M8" s="19">
        <f>K8+L8</f>
        <v>4307.6869719200013</v>
      </c>
      <c r="N8" s="87">
        <v>5</v>
      </c>
      <c r="O8" s="87">
        <v>5</v>
      </c>
      <c r="P8" s="144">
        <v>5</v>
      </c>
    </row>
    <row r="9" spans="2:27" x14ac:dyDescent="0.3">
      <c r="B9" s="28" t="s">
        <v>26</v>
      </c>
      <c r="C9" s="17">
        <v>1616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28</v>
      </c>
      <c r="C10" s="17">
        <v>858</v>
      </c>
      <c r="E10" s="18" t="s">
        <v>31</v>
      </c>
      <c r="F10" s="119">
        <v>19234</v>
      </c>
      <c r="G10" s="117">
        <v>12579.19375</v>
      </c>
      <c r="H10" s="117">
        <v>350.74273899999997</v>
      </c>
      <c r="I10" s="152">
        <f>G10+H10</f>
        <v>12929.936489</v>
      </c>
      <c r="J10" s="119">
        <v>26795</v>
      </c>
      <c r="K10" s="117">
        <v>19774.271250000002</v>
      </c>
      <c r="L10" s="117">
        <v>333.82123139999999</v>
      </c>
      <c r="M10" s="19">
        <f>K10+L10</f>
        <v>20108.092481400003</v>
      </c>
      <c r="N10" s="88">
        <v>52</v>
      </c>
      <c r="O10" s="88">
        <v>47</v>
      </c>
      <c r="P10" s="145">
        <v>50</v>
      </c>
    </row>
    <row r="11" spans="2:27" x14ac:dyDescent="0.3">
      <c r="B11" s="16" t="s">
        <v>30</v>
      </c>
      <c r="C11" s="17">
        <v>2359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-3</v>
      </c>
    </row>
    <row r="12" spans="2:27" x14ac:dyDescent="0.3">
      <c r="B12" s="16" t="s">
        <v>38</v>
      </c>
      <c r="C12" s="17">
        <v>12234</v>
      </c>
      <c r="E12" s="140" t="s">
        <v>35</v>
      </c>
      <c r="F12" s="119">
        <v>15195</v>
      </c>
      <c r="G12" s="117">
        <v>12504.24675</v>
      </c>
      <c r="H12" s="117">
        <v>18283.14960491001</v>
      </c>
      <c r="I12" s="152">
        <f>G12+H12</f>
        <v>30787.396354910008</v>
      </c>
      <c r="J12" s="119">
        <v>15024</v>
      </c>
      <c r="K12" s="117">
        <v>14408.425499999999</v>
      </c>
      <c r="L12" s="117">
        <v>18601.759580000002</v>
      </c>
      <c r="M12" s="19">
        <f>K12+L12</f>
        <v>33010.185080000003</v>
      </c>
      <c r="N12" s="88">
        <v>52</v>
      </c>
      <c r="O12" s="88">
        <v>50</v>
      </c>
      <c r="P12" s="145">
        <v>50</v>
      </c>
    </row>
    <row r="13" spans="2:27" x14ac:dyDescent="0.3">
      <c r="B13" s="16" t="s">
        <v>40</v>
      </c>
      <c r="C13" s="17">
        <v>1680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29225</v>
      </c>
      <c r="E14" s="18" t="s">
        <v>39</v>
      </c>
      <c r="F14" s="119">
        <v>19194</v>
      </c>
      <c r="G14" s="117">
        <v>14757.653749999999</v>
      </c>
      <c r="H14" s="117">
        <v>23137.843240200011</v>
      </c>
      <c r="I14" s="152">
        <f>G14+H14</f>
        <v>37895.496990200008</v>
      </c>
      <c r="J14" s="119">
        <v>18943</v>
      </c>
      <c r="K14" s="117">
        <v>16500.942999999999</v>
      </c>
      <c r="L14" s="117">
        <v>22699.454413580021</v>
      </c>
      <c r="M14" s="19">
        <f>K14+L14</f>
        <v>39200.397413580024</v>
      </c>
      <c r="N14" s="88">
        <v>71</v>
      </c>
      <c r="O14" s="88">
        <v>67</v>
      </c>
      <c r="P14" s="145">
        <v>63</v>
      </c>
    </row>
    <row r="15" spans="2:27" x14ac:dyDescent="0.3">
      <c r="B15" s="43" t="s">
        <v>47</v>
      </c>
      <c r="C15" s="17">
        <v>1317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4</v>
      </c>
    </row>
    <row r="16" spans="2:27" x14ac:dyDescent="0.3">
      <c r="B16" s="43" t="s">
        <v>48</v>
      </c>
      <c r="C16" s="50">
        <v>217</v>
      </c>
      <c r="E16" s="18" t="s">
        <v>79</v>
      </c>
      <c r="F16" s="119">
        <v>0</v>
      </c>
      <c r="G16" s="117">
        <v>0</v>
      </c>
      <c r="H16" s="117">
        <v>6854.4675743400003</v>
      </c>
      <c r="I16" s="152">
        <f>G16+H16</f>
        <v>6854.4675743400003</v>
      </c>
      <c r="J16" s="119">
        <v>0</v>
      </c>
      <c r="K16" s="117">
        <v>0</v>
      </c>
      <c r="L16" s="117">
        <v>11109.476363960001</v>
      </c>
      <c r="M16" s="19">
        <f>K16+L16</f>
        <v>11109.476363960001</v>
      </c>
      <c r="N16" s="88">
        <v>13</v>
      </c>
      <c r="O16" s="88">
        <v>11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9277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1808</v>
      </c>
      <c r="E18" s="84"/>
      <c r="F18" s="148">
        <f t="shared" ref="F18:M18" si="0">SUM(F6:F17)</f>
        <v>80180</v>
      </c>
      <c r="G18" s="149">
        <f t="shared" si="0"/>
        <v>54295.515399999997</v>
      </c>
      <c r="H18" s="149">
        <f t="shared" si="0"/>
        <v>60903.243002670017</v>
      </c>
      <c r="I18" s="150">
        <f t="shared" si="0"/>
        <v>115198.75840267001</v>
      </c>
      <c r="J18" s="149">
        <f t="shared" si="0"/>
        <v>89922</v>
      </c>
      <c r="K18" s="149">
        <f t="shared" si="0"/>
        <v>67350.556649999999</v>
      </c>
      <c r="L18" s="149">
        <f t="shared" si="0"/>
        <v>65546.846675680019</v>
      </c>
      <c r="M18" s="157">
        <f t="shared" si="0"/>
        <v>107735.83831086002</v>
      </c>
      <c r="N18" s="149">
        <f>SUM(N16,N14,N12,N10,N8,N6)</f>
        <v>280</v>
      </c>
      <c r="O18" s="149">
        <f>SUM(O16,O14,O12,O10,O8,O6)</f>
        <v>263</v>
      </c>
      <c r="P18" s="158">
        <f>SUM(P16,P14,P12,P10,P8,P6)</f>
        <v>254</v>
      </c>
    </row>
    <row r="19" spans="2:28" ht="15" customHeight="1" thickBot="1" x14ac:dyDescent="0.35">
      <c r="B19" s="57" t="s">
        <v>52</v>
      </c>
      <c r="C19" s="58">
        <v>4484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3.4220532319391636E-2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11270</v>
      </c>
      <c r="D27" s="76">
        <f>C12</f>
        <v>12234</v>
      </c>
      <c r="E27" s="77">
        <f t="shared" ref="E27:E33" si="1">D27-C27</f>
        <v>964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36357</v>
      </c>
      <c r="D29" s="76">
        <f>C8+C13+C14+C15+C16</f>
        <v>33947</v>
      </c>
      <c r="E29" s="77">
        <f t="shared" si="1"/>
        <v>-2410</v>
      </c>
      <c r="P29" s="4"/>
    </row>
    <row r="30" spans="2:28" x14ac:dyDescent="0.3">
      <c r="B30" s="74" t="s">
        <v>21</v>
      </c>
      <c r="C30" s="122">
        <v>111</v>
      </c>
      <c r="D30" s="76">
        <f>C6</f>
        <v>111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2359</v>
      </c>
      <c r="D31" s="76">
        <f>C11</f>
        <v>2359</v>
      </c>
      <c r="E31" s="77">
        <f t="shared" si="1"/>
        <v>0</v>
      </c>
      <c r="P31" s="4"/>
    </row>
    <row r="32" spans="2:28" x14ac:dyDescent="0.3">
      <c r="B32" s="74" t="s">
        <v>59</v>
      </c>
      <c r="C32" s="122">
        <v>16105</v>
      </c>
      <c r="D32" s="76">
        <f>C17+C18+C19</f>
        <v>15569</v>
      </c>
      <c r="E32" s="77">
        <f t="shared" si="1"/>
        <v>-536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2474</v>
      </c>
      <c r="D33" s="80">
        <f>C9+C10</f>
        <v>2474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44610</v>
      </c>
    </row>
    <row r="3" spans="2:27" ht="18.75" customHeight="1" thickBot="1" x14ac:dyDescent="0.35">
      <c r="B3" t="s">
        <v>1</v>
      </c>
      <c r="C3" s="3">
        <f>C2+1</f>
        <v>44611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23420</v>
      </c>
      <c r="G6" s="117">
        <v>13501.032499999999</v>
      </c>
      <c r="H6" s="117">
        <v>5889.7645638200011</v>
      </c>
      <c r="I6" s="152">
        <f>G6+H6</f>
        <v>19390.797063819999</v>
      </c>
      <c r="J6" s="119">
        <v>23775</v>
      </c>
      <c r="K6" s="117">
        <v>14510.23</v>
      </c>
      <c r="L6" s="117">
        <v>5895.8749068200013</v>
      </c>
      <c r="M6" s="19">
        <v>0</v>
      </c>
      <c r="N6" s="85">
        <v>83</v>
      </c>
      <c r="O6" s="85">
        <v>78</v>
      </c>
      <c r="P6" s="142">
        <v>71</v>
      </c>
    </row>
    <row r="7" spans="2:27" x14ac:dyDescent="0.3">
      <c r="B7" s="16" t="s">
        <v>43</v>
      </c>
      <c r="C7" s="17">
        <v>152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1911</v>
      </c>
      <c r="E8" s="140" t="s">
        <v>27</v>
      </c>
      <c r="F8" s="119">
        <v>0</v>
      </c>
      <c r="G8" s="117">
        <v>0</v>
      </c>
      <c r="H8" s="117">
        <v>4119.1681793799999</v>
      </c>
      <c r="I8" s="152">
        <f>G8+H8</f>
        <v>4119.1681793799999</v>
      </c>
      <c r="J8" s="119">
        <v>0</v>
      </c>
      <c r="K8" s="117">
        <v>0</v>
      </c>
      <c r="L8" s="117">
        <v>4647.8193135600004</v>
      </c>
      <c r="M8" s="19">
        <f>K8+L8</f>
        <v>4647.8193135600004</v>
      </c>
      <c r="N8" s="87">
        <v>8</v>
      </c>
      <c r="O8" s="87">
        <v>8</v>
      </c>
      <c r="P8" s="144">
        <v>7</v>
      </c>
    </row>
    <row r="9" spans="2:27" x14ac:dyDescent="0.3">
      <c r="B9" s="28" t="s">
        <v>26</v>
      </c>
      <c r="C9" s="17">
        <v>2226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28</v>
      </c>
      <c r="C10" s="17">
        <v>1182</v>
      </c>
      <c r="E10" s="18" t="s">
        <v>31</v>
      </c>
      <c r="F10" s="119">
        <v>10521</v>
      </c>
      <c r="G10" s="117">
        <v>6746.9489999999996</v>
      </c>
      <c r="H10" s="117">
        <v>339.385245</v>
      </c>
      <c r="I10" s="152">
        <f>G10+H10</f>
        <v>7086.334245</v>
      </c>
      <c r="J10" s="119">
        <v>19532</v>
      </c>
      <c r="K10" s="117">
        <v>12941.8055</v>
      </c>
      <c r="L10" s="117">
        <v>338.18317580000001</v>
      </c>
      <c r="M10" s="19">
        <f>K10+L10</f>
        <v>13279.988675800001</v>
      </c>
      <c r="N10" s="88">
        <v>52</v>
      </c>
      <c r="O10" s="88">
        <v>50</v>
      </c>
      <c r="P10" s="145">
        <v>49</v>
      </c>
    </row>
    <row r="11" spans="2:27" x14ac:dyDescent="0.3">
      <c r="B11" s="16" t="s">
        <v>30</v>
      </c>
      <c r="C11" s="17">
        <v>3659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1</v>
      </c>
    </row>
    <row r="12" spans="2:27" x14ac:dyDescent="0.3">
      <c r="B12" s="16" t="s">
        <v>38</v>
      </c>
      <c r="C12" s="17">
        <v>9520</v>
      </c>
      <c r="E12" s="140" t="s">
        <v>35</v>
      </c>
      <c r="F12" s="119">
        <v>16147</v>
      </c>
      <c r="G12" s="117">
        <v>13272.87925</v>
      </c>
      <c r="H12" s="117">
        <v>18395.92692798001</v>
      </c>
      <c r="I12" s="152">
        <f>G12+H12</f>
        <v>31668.806177980012</v>
      </c>
      <c r="J12" s="119">
        <v>16508</v>
      </c>
      <c r="K12" s="117">
        <v>16146.072749999999</v>
      </c>
      <c r="L12" s="117">
        <v>18645.409521059999</v>
      </c>
      <c r="M12" s="19">
        <f>K12+L12</f>
        <v>34791.482271059998</v>
      </c>
      <c r="N12" s="88">
        <v>60</v>
      </c>
      <c r="O12" s="88">
        <v>59</v>
      </c>
      <c r="P12" s="145">
        <v>59</v>
      </c>
    </row>
    <row r="13" spans="2:27" x14ac:dyDescent="0.3">
      <c r="B13" s="16" t="s">
        <v>40</v>
      </c>
      <c r="C13" s="17">
        <v>1889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31636</v>
      </c>
      <c r="E14" s="18" t="s">
        <v>39</v>
      </c>
      <c r="F14" s="119">
        <v>20623</v>
      </c>
      <c r="G14" s="117">
        <v>15735.759249999999</v>
      </c>
      <c r="H14" s="117">
        <v>24698.082458900011</v>
      </c>
      <c r="I14" s="152">
        <f>G14+H14</f>
        <v>40433.841708900014</v>
      </c>
      <c r="J14" s="119">
        <v>25658</v>
      </c>
      <c r="K14" s="117">
        <v>21283.774249999999</v>
      </c>
      <c r="L14" s="117">
        <v>30340.284613300009</v>
      </c>
      <c r="M14" s="19">
        <f>K14+L14</f>
        <v>51624.058863300008</v>
      </c>
      <c r="N14" s="88">
        <v>73</v>
      </c>
      <c r="O14" s="88">
        <v>72</v>
      </c>
      <c r="P14" s="145">
        <v>64</v>
      </c>
    </row>
    <row r="15" spans="2:27" x14ac:dyDescent="0.3">
      <c r="B15" s="43" t="s">
        <v>47</v>
      </c>
      <c r="C15" s="17">
        <v>1885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8</v>
      </c>
    </row>
    <row r="16" spans="2:27" x14ac:dyDescent="0.3">
      <c r="B16" s="43" t="s">
        <v>48</v>
      </c>
      <c r="C16" s="50">
        <v>347</v>
      </c>
      <c r="E16" s="18" t="s">
        <v>79</v>
      </c>
      <c r="F16" s="119">
        <v>0</v>
      </c>
      <c r="G16" s="117">
        <v>0</v>
      </c>
      <c r="H16" s="117">
        <v>4115.5791611200002</v>
      </c>
      <c r="I16" s="152">
        <f>G16+H16</f>
        <v>4115.5791611200002</v>
      </c>
      <c r="J16" s="119">
        <v>0</v>
      </c>
      <c r="K16" s="117">
        <v>0</v>
      </c>
      <c r="L16" s="117">
        <v>9626.1224772599999</v>
      </c>
      <c r="M16" s="19">
        <f>K16+L16</f>
        <v>9626.1224772599999</v>
      </c>
      <c r="N16" s="88">
        <v>14</v>
      </c>
      <c r="O16" s="88">
        <v>14</v>
      </c>
      <c r="P16" s="145">
        <v>14</v>
      </c>
    </row>
    <row r="17" spans="2:28" s="4" customFormat="1" ht="15" customHeight="1" thickBot="1" x14ac:dyDescent="0.35">
      <c r="B17" s="16" t="s">
        <v>50</v>
      </c>
      <c r="C17" s="17">
        <v>10404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495</v>
      </c>
      <c r="E18" s="84"/>
      <c r="F18" s="148">
        <f t="shared" ref="F18:M18" si="0">SUM(F6:F17)</f>
        <v>70711</v>
      </c>
      <c r="G18" s="149">
        <f t="shared" si="0"/>
        <v>49256.619999999995</v>
      </c>
      <c r="H18" s="149">
        <f t="shared" si="0"/>
        <v>57557.906536200026</v>
      </c>
      <c r="I18" s="150">
        <f t="shared" si="0"/>
        <v>106814.52653620002</v>
      </c>
      <c r="J18" s="149">
        <f t="shared" si="0"/>
        <v>85473</v>
      </c>
      <c r="K18" s="149">
        <f t="shared" si="0"/>
        <v>64881.882499999992</v>
      </c>
      <c r="L18" s="149">
        <f t="shared" si="0"/>
        <v>69493.694007800004</v>
      </c>
      <c r="M18" s="157">
        <f t="shared" si="0"/>
        <v>113969.47160098</v>
      </c>
      <c r="N18" s="149">
        <f>SUM(N16,N14,N12,N10,N8,N6)</f>
        <v>290</v>
      </c>
      <c r="O18" s="149">
        <f>SUM(O16,O14,O12,O10,O8,O6)</f>
        <v>281</v>
      </c>
      <c r="P18" s="158">
        <f>SUM(P16,P14,P12,P10,P8,P6)</f>
        <v>264</v>
      </c>
    </row>
    <row r="19" spans="2:28" ht="15" customHeight="1" thickBot="1" x14ac:dyDescent="0.35">
      <c r="B19" s="57" t="s">
        <v>52</v>
      </c>
      <c r="C19" s="58">
        <v>4627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6.0498220640569395E-2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10077</v>
      </c>
      <c r="D27" s="76">
        <f>C12</f>
        <v>9520</v>
      </c>
      <c r="E27" s="77">
        <f t="shared" ref="E27:E33" si="1">D27-C27</f>
        <v>-557</v>
      </c>
      <c r="J27" s="123"/>
      <c r="M27" s="4"/>
      <c r="Q27" s="69"/>
    </row>
    <row r="28" spans="2:28" x14ac:dyDescent="0.3">
      <c r="B28" s="74" t="s">
        <v>58</v>
      </c>
      <c r="C28" s="122">
        <v>152</v>
      </c>
      <c r="D28" s="76">
        <f>C7</f>
        <v>152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30926</v>
      </c>
      <c r="D29" s="76">
        <f>C8+C13+C14+C15+C16</f>
        <v>37668</v>
      </c>
      <c r="E29" s="77">
        <f t="shared" si="1"/>
        <v>6742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2485</v>
      </c>
      <c r="D31" s="76">
        <f>C11</f>
        <v>3659</v>
      </c>
      <c r="E31" s="77">
        <f t="shared" si="1"/>
        <v>1174</v>
      </c>
      <c r="F31" s="1" t="s">
        <v>75</v>
      </c>
      <c r="P31" s="4"/>
    </row>
    <row r="32" spans="2:28" x14ac:dyDescent="0.3">
      <c r="B32" s="74" t="s">
        <v>59</v>
      </c>
      <c r="C32" s="122">
        <v>15025</v>
      </c>
      <c r="D32" s="76">
        <f>C17+C18+C19</f>
        <v>15526</v>
      </c>
      <c r="E32" s="77">
        <f t="shared" si="1"/>
        <v>501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3718</v>
      </c>
      <c r="D33" s="80">
        <f>C9+C10</f>
        <v>3408</v>
      </c>
      <c r="E33" s="81">
        <f t="shared" si="1"/>
        <v>-310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44611</v>
      </c>
    </row>
    <row r="3" spans="2:27" ht="18.75" customHeight="1" thickBot="1" x14ac:dyDescent="0.35">
      <c r="B3" t="s">
        <v>1</v>
      </c>
      <c r="C3" s="3">
        <f>C2+1</f>
        <v>44612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75</v>
      </c>
      <c r="E6" s="18" t="s">
        <v>22</v>
      </c>
      <c r="F6" s="119">
        <v>23606</v>
      </c>
      <c r="G6" s="117">
        <v>12888.365</v>
      </c>
      <c r="H6" s="117">
        <v>6155.8090562399984</v>
      </c>
      <c r="I6" s="152">
        <f>G6+H6</f>
        <v>19044.174056239997</v>
      </c>
      <c r="J6" s="119">
        <v>25889</v>
      </c>
      <c r="K6" s="117">
        <v>14597.186183333341</v>
      </c>
      <c r="L6" s="117">
        <v>6757.2379274199966</v>
      </c>
      <c r="M6" s="19">
        <v>0</v>
      </c>
      <c r="N6" s="85">
        <v>90</v>
      </c>
      <c r="O6" s="85">
        <v>84</v>
      </c>
      <c r="P6" s="142">
        <v>73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1552</v>
      </c>
      <c r="E8" s="140" t="s">
        <v>27</v>
      </c>
      <c r="F8" s="119">
        <v>0</v>
      </c>
      <c r="G8" s="117">
        <v>0</v>
      </c>
      <c r="H8" s="117">
        <v>3776.3012333999991</v>
      </c>
      <c r="I8" s="152">
        <f>G8+H8</f>
        <v>3776.3012333999991</v>
      </c>
      <c r="J8" s="119">
        <v>0</v>
      </c>
      <c r="K8" s="117">
        <v>0</v>
      </c>
      <c r="L8" s="117">
        <v>3890.9959266800001</v>
      </c>
      <c r="M8" s="19">
        <f>K8+L8</f>
        <v>3890.9959266800001</v>
      </c>
      <c r="N8" s="87">
        <v>6</v>
      </c>
      <c r="O8" s="87">
        <v>7</v>
      </c>
      <c r="P8" s="144">
        <v>4</v>
      </c>
    </row>
    <row r="9" spans="2:27" x14ac:dyDescent="0.3">
      <c r="B9" s="28" t="s">
        <v>26</v>
      </c>
      <c r="C9" s="17">
        <v>2420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3</v>
      </c>
    </row>
    <row r="10" spans="2:27" x14ac:dyDescent="0.3">
      <c r="B10" s="28" t="s">
        <v>28</v>
      </c>
      <c r="C10" s="17">
        <v>930</v>
      </c>
      <c r="E10" s="18" t="s">
        <v>31</v>
      </c>
      <c r="F10" s="119">
        <v>18655</v>
      </c>
      <c r="G10" s="117">
        <v>13127.648999999999</v>
      </c>
      <c r="H10" s="117">
        <v>369.98962</v>
      </c>
      <c r="I10" s="152">
        <f>G10+H10</f>
        <v>13497.63862</v>
      </c>
      <c r="J10" s="119">
        <v>19545</v>
      </c>
      <c r="K10" s="117">
        <v>14193.044250000001</v>
      </c>
      <c r="L10" s="117">
        <v>367.48867239999998</v>
      </c>
      <c r="M10" s="19">
        <f>K10+L10</f>
        <v>14560.532922400002</v>
      </c>
      <c r="N10" s="88">
        <v>56</v>
      </c>
      <c r="O10" s="88">
        <v>55</v>
      </c>
      <c r="P10" s="145">
        <v>50</v>
      </c>
    </row>
    <row r="11" spans="2:27" x14ac:dyDescent="0.3">
      <c r="B11" s="16" t="s">
        <v>30</v>
      </c>
      <c r="C11" s="17">
        <v>1943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5</v>
      </c>
    </row>
    <row r="12" spans="2:27" x14ac:dyDescent="0.3">
      <c r="B12" s="16" t="s">
        <v>38</v>
      </c>
      <c r="C12" s="17">
        <v>8690</v>
      </c>
      <c r="E12" s="140" t="s">
        <v>35</v>
      </c>
      <c r="F12" s="119">
        <v>15190</v>
      </c>
      <c r="G12" s="117">
        <v>12922.1595</v>
      </c>
      <c r="H12" s="117">
        <v>19027.502870589989</v>
      </c>
      <c r="I12" s="152">
        <f>G12+H12</f>
        <v>31949.662370589991</v>
      </c>
      <c r="J12" s="119">
        <v>15689</v>
      </c>
      <c r="K12" s="117">
        <v>14852.151750000001</v>
      </c>
      <c r="L12" s="117">
        <v>19426.66309319</v>
      </c>
      <c r="M12" s="19">
        <f>K12+L12</f>
        <v>34278.814843190004</v>
      </c>
      <c r="N12" s="88">
        <v>60</v>
      </c>
      <c r="O12" s="88">
        <v>59</v>
      </c>
      <c r="P12" s="145">
        <v>58</v>
      </c>
    </row>
    <row r="13" spans="2:27" x14ac:dyDescent="0.3">
      <c r="B13" s="16" t="s">
        <v>40</v>
      </c>
      <c r="C13" s="17">
        <v>2088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1</v>
      </c>
    </row>
    <row r="14" spans="2:27" x14ac:dyDescent="0.3">
      <c r="B14" s="28" t="s">
        <v>42</v>
      </c>
      <c r="C14" s="17">
        <v>26995</v>
      </c>
      <c r="E14" s="18" t="s">
        <v>39</v>
      </c>
      <c r="F14" s="119">
        <v>18305</v>
      </c>
      <c r="G14" s="117">
        <v>16034.88775</v>
      </c>
      <c r="H14" s="117">
        <v>22148.117053539991</v>
      </c>
      <c r="I14" s="152">
        <f>G14+H14</f>
        <v>38183.004803539989</v>
      </c>
      <c r="J14" s="119">
        <v>18884</v>
      </c>
      <c r="K14" s="117">
        <v>18728.935000000001</v>
      </c>
      <c r="L14" s="117">
        <v>24240.692366380001</v>
      </c>
      <c r="M14" s="19">
        <f>K14+L14</f>
        <v>42969.627366380002</v>
      </c>
      <c r="N14" s="88">
        <v>67</v>
      </c>
      <c r="O14" s="88">
        <v>64</v>
      </c>
      <c r="P14" s="145">
        <v>58</v>
      </c>
    </row>
    <row r="15" spans="2:27" x14ac:dyDescent="0.3">
      <c r="B15" s="43" t="s">
        <v>47</v>
      </c>
      <c r="C15" s="17">
        <v>1215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3">
      <c r="B16" s="43" t="s">
        <v>48</v>
      </c>
      <c r="C16" s="50">
        <v>303</v>
      </c>
      <c r="E16" s="18" t="s">
        <v>79</v>
      </c>
      <c r="F16" s="119">
        <v>0</v>
      </c>
      <c r="G16" s="117">
        <v>0</v>
      </c>
      <c r="H16" s="117">
        <v>5767.5423876999994</v>
      </c>
      <c r="I16" s="152">
        <f>G16+H16</f>
        <v>5767.5423876999994</v>
      </c>
      <c r="J16" s="119">
        <v>0</v>
      </c>
      <c r="K16" s="117">
        <v>0</v>
      </c>
      <c r="L16" s="117">
        <v>5770.2593588199998</v>
      </c>
      <c r="M16" s="19">
        <f>K16+L16</f>
        <v>5770.2593588199998</v>
      </c>
      <c r="N16" s="88">
        <v>12</v>
      </c>
      <c r="O16" s="88">
        <v>12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10688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871</v>
      </c>
      <c r="E18" s="84"/>
      <c r="F18" s="148">
        <f t="shared" ref="F18:M18" si="0">SUM(F6:F17)</f>
        <v>75756</v>
      </c>
      <c r="G18" s="149">
        <f t="shared" si="0"/>
        <v>54973.061249999999</v>
      </c>
      <c r="H18" s="149">
        <f t="shared" si="0"/>
        <v>57245.26222146998</v>
      </c>
      <c r="I18" s="150">
        <f t="shared" si="0"/>
        <v>112218.32347146998</v>
      </c>
      <c r="J18" s="149">
        <f t="shared" si="0"/>
        <v>80007</v>
      </c>
      <c r="K18" s="149">
        <f t="shared" si="0"/>
        <v>62371.317183333347</v>
      </c>
      <c r="L18" s="149">
        <f t="shared" si="0"/>
        <v>60453.337344889995</v>
      </c>
      <c r="M18" s="157">
        <f t="shared" si="0"/>
        <v>101470.23041747</v>
      </c>
      <c r="N18" s="149">
        <f>SUM(N16,N14,N12,N10,N8,N6)</f>
        <v>291</v>
      </c>
      <c r="O18" s="149">
        <f>SUM(O16,O14,O12,O10,O8,O6)</f>
        <v>281</v>
      </c>
      <c r="P18" s="158">
        <f>SUM(P16,P14,P12,P10,P8,P6)</f>
        <v>255</v>
      </c>
    </row>
    <row r="19" spans="2:28" ht="15" customHeight="1" thickBot="1" x14ac:dyDescent="0.35">
      <c r="B19" s="57" t="s">
        <v>52</v>
      </c>
      <c r="C19" s="58">
        <v>4703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9.2526690391459068E-2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11464</v>
      </c>
      <c r="D27" s="76">
        <f>C12</f>
        <v>8690</v>
      </c>
      <c r="E27" s="77">
        <f t="shared" ref="E27:E33" si="1">D27-C27</f>
        <v>-2774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36814</v>
      </c>
      <c r="D29" s="76">
        <f>C8+C13+C14+C15+C16</f>
        <v>32153</v>
      </c>
      <c r="E29" s="77">
        <f t="shared" si="1"/>
        <v>-4661</v>
      </c>
      <c r="P29" s="4"/>
    </row>
    <row r="30" spans="2:28" x14ac:dyDescent="0.3">
      <c r="B30" s="74" t="s">
        <v>21</v>
      </c>
      <c r="C30" s="122">
        <v>0</v>
      </c>
      <c r="D30" s="76">
        <f>C6</f>
        <v>75</v>
      </c>
      <c r="E30" s="77">
        <f t="shared" si="1"/>
        <v>75</v>
      </c>
      <c r="P30" s="4"/>
    </row>
    <row r="31" spans="2:28" x14ac:dyDescent="0.3">
      <c r="B31" s="74" t="s">
        <v>57</v>
      </c>
      <c r="C31" s="122">
        <v>1985</v>
      </c>
      <c r="D31" s="76">
        <f>C11</f>
        <v>1943</v>
      </c>
      <c r="E31" s="77">
        <f t="shared" si="1"/>
        <v>-42</v>
      </c>
      <c r="F31" s="1" t="s">
        <v>75</v>
      </c>
      <c r="P31" s="4"/>
    </row>
    <row r="32" spans="2:28" x14ac:dyDescent="0.3">
      <c r="B32" s="74" t="s">
        <v>59</v>
      </c>
      <c r="C32" s="122">
        <v>16590</v>
      </c>
      <c r="D32" s="76">
        <f>C17+C18+C19</f>
        <v>16262</v>
      </c>
      <c r="E32" s="77">
        <f t="shared" si="1"/>
        <v>-328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3264</v>
      </c>
      <c r="D33" s="80">
        <f>C9+C10</f>
        <v>3350</v>
      </c>
      <c r="E33" s="81">
        <f t="shared" si="1"/>
        <v>86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>
    <tabColor theme="1"/>
    <pageSetUpPr fitToPage="1"/>
  </sheetPr>
  <dimension ref="B1:AB34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44612</v>
      </c>
    </row>
    <row r="3" spans="2:27" ht="18.75" customHeight="1" thickBot="1" x14ac:dyDescent="0.35">
      <c r="B3" t="s">
        <v>1</v>
      </c>
      <c r="C3" s="3">
        <f>C2+1</f>
        <v>44613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8" t="s">
        <v>22</v>
      </c>
      <c r="F6" s="119">
        <v>10557</v>
      </c>
      <c r="G6" s="117">
        <v>12744.80813333333</v>
      </c>
      <c r="H6" s="117">
        <v>726.95187500000009</v>
      </c>
      <c r="I6" s="152">
        <f>G6+H6</f>
        <v>13471.760008333331</v>
      </c>
      <c r="J6" s="119">
        <v>11839</v>
      </c>
      <c r="K6" s="117">
        <v>12744.80813333333</v>
      </c>
      <c r="L6" s="117">
        <v>726.95187500000009</v>
      </c>
      <c r="M6" s="19">
        <v>0</v>
      </c>
      <c r="N6" s="85">
        <v>49</v>
      </c>
      <c r="O6" s="85">
        <v>49</v>
      </c>
      <c r="P6" s="142">
        <v>41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437.72528890000001</v>
      </c>
      <c r="I8" s="152">
        <f>G8+H8</f>
        <v>437.72528890000001</v>
      </c>
      <c r="J8" s="119">
        <v>0</v>
      </c>
      <c r="K8" s="117">
        <v>0</v>
      </c>
      <c r="L8" s="117">
        <v>437.72528890000001</v>
      </c>
      <c r="M8" s="19">
        <f>K8+L8</f>
        <v>437.72528890000001</v>
      </c>
      <c r="N8" s="87">
        <v>1</v>
      </c>
      <c r="O8" s="87">
        <v>0</v>
      </c>
      <c r="P8" s="144">
        <v>1</v>
      </c>
    </row>
    <row r="9" spans="2:27" x14ac:dyDescent="0.3">
      <c r="B9" s="28" t="s">
        <v>26</v>
      </c>
      <c r="C9" s="17">
        <v>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-1</v>
      </c>
    </row>
    <row r="10" spans="2:27" x14ac:dyDescent="0.3">
      <c r="B10" s="28" t="s">
        <v>28</v>
      </c>
      <c r="C10" s="17">
        <v>0</v>
      </c>
      <c r="E10" s="18" t="s">
        <v>31</v>
      </c>
      <c r="F10" s="119">
        <v>5364</v>
      </c>
      <c r="G10" s="117">
        <v>6422.6445000000003</v>
      </c>
      <c r="H10" s="117">
        <v>316.45261140000002</v>
      </c>
      <c r="I10" s="152">
        <f>G10+H10</f>
        <v>6739.0971114000004</v>
      </c>
      <c r="J10" s="119">
        <v>5790</v>
      </c>
      <c r="K10" s="117">
        <v>6422.6445000000003</v>
      </c>
      <c r="L10" s="117">
        <v>316.45261140000002</v>
      </c>
      <c r="M10" s="19">
        <f>K10+L10</f>
        <v>6739.0971114000004</v>
      </c>
      <c r="N10" s="88">
        <v>0</v>
      </c>
      <c r="O10" s="88">
        <v>0</v>
      </c>
      <c r="P10" s="145">
        <v>0</v>
      </c>
    </row>
    <row r="11" spans="2:27" x14ac:dyDescent="0.3">
      <c r="B11" s="16" t="s">
        <v>30</v>
      </c>
      <c r="C11" s="17">
        <v>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38</v>
      </c>
      <c r="C12" s="17">
        <v>0</v>
      </c>
      <c r="E12" s="140" t="s">
        <v>35</v>
      </c>
      <c r="F12" s="119">
        <v>0</v>
      </c>
      <c r="G12" s="117">
        <v>11741.874</v>
      </c>
      <c r="H12" s="117">
        <v>130.5224</v>
      </c>
      <c r="I12" s="152">
        <f>G12+H12</f>
        <v>11872.3964</v>
      </c>
      <c r="J12" s="119">
        <v>0</v>
      </c>
      <c r="K12" s="117">
        <v>11741.874</v>
      </c>
      <c r="L12" s="117">
        <v>130.5224</v>
      </c>
      <c r="M12" s="19">
        <f>K12+L12</f>
        <v>11872.3964</v>
      </c>
      <c r="N12" s="88">
        <v>0</v>
      </c>
      <c r="O12" s="88">
        <v>0</v>
      </c>
      <c r="P12" s="145">
        <v>0</v>
      </c>
    </row>
    <row r="13" spans="2:27" x14ac:dyDescent="0.3">
      <c r="B13" s="16" t="s">
        <v>40</v>
      </c>
      <c r="C13" s="17">
        <v>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28" t="s">
        <v>42</v>
      </c>
      <c r="C14" s="17">
        <v>0</v>
      </c>
      <c r="E14" s="18" t="s">
        <v>39</v>
      </c>
      <c r="F14" s="119">
        <v>0</v>
      </c>
      <c r="G14" s="117">
        <v>15165.9175</v>
      </c>
      <c r="H14" s="117">
        <v>0</v>
      </c>
      <c r="I14" s="152">
        <f>G14+H14</f>
        <v>15165.9175</v>
      </c>
      <c r="J14" s="119">
        <v>0</v>
      </c>
      <c r="K14" s="117">
        <v>15165.9175</v>
      </c>
      <c r="L14" s="117">
        <v>0</v>
      </c>
      <c r="M14" s="19">
        <f>K14+L14</f>
        <v>15165.9175</v>
      </c>
      <c r="N14" s="88">
        <v>1</v>
      </c>
      <c r="O14" s="88">
        <v>0</v>
      </c>
      <c r="P14" s="145">
        <v>0</v>
      </c>
    </row>
    <row r="15" spans="2:27" x14ac:dyDescent="0.3">
      <c r="B15" s="43" t="s">
        <v>47</v>
      </c>
      <c r="C15" s="17">
        <v>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3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35">
      <c r="B17" s="16" t="s">
        <v>50</v>
      </c>
      <c r="C17" s="17">
        <v>11669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1073</v>
      </c>
      <c r="E18" s="84"/>
      <c r="F18" s="148">
        <f t="shared" ref="F18:M18" si="0">SUM(F6:F17)</f>
        <v>15921</v>
      </c>
      <c r="G18" s="149">
        <f t="shared" si="0"/>
        <v>46075.244133333326</v>
      </c>
      <c r="H18" s="149">
        <f t="shared" si="0"/>
        <v>1611.6521753000002</v>
      </c>
      <c r="I18" s="150">
        <f t="shared" si="0"/>
        <v>47686.896308633324</v>
      </c>
      <c r="J18" s="149">
        <f t="shared" si="0"/>
        <v>17629</v>
      </c>
      <c r="K18" s="149">
        <f t="shared" si="0"/>
        <v>46075.244133333326</v>
      </c>
      <c r="L18" s="149">
        <f t="shared" si="0"/>
        <v>1611.6521753000002</v>
      </c>
      <c r="M18" s="157">
        <f t="shared" si="0"/>
        <v>34215.136300300001</v>
      </c>
      <c r="N18" s="149">
        <f>SUM(N16,N14,N12,N10,N8,N6)</f>
        <v>51</v>
      </c>
      <c r="O18" s="149">
        <f>SUM(O16,O14,O12,O10,O8,O6)</f>
        <v>49</v>
      </c>
      <c r="P18" s="158">
        <f>SUM(P16,P14,P12,P10,P8,P6)</f>
        <v>42</v>
      </c>
    </row>
    <row r="19" spans="2:28" ht="15" customHeight="1" thickBot="1" x14ac:dyDescent="0.35">
      <c r="B19" s="57" t="s">
        <v>52</v>
      </c>
      <c r="C19" s="58">
        <v>4887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0.14285714285714285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3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F31" s="1" t="s">
        <v>75</v>
      </c>
      <c r="P31" s="4"/>
    </row>
    <row r="32" spans="2:28" x14ac:dyDescent="0.3">
      <c r="B32" s="74" t="s">
        <v>59</v>
      </c>
      <c r="C32" s="122">
        <v>15921</v>
      </c>
      <c r="D32" s="76">
        <f>C17+C18+C19</f>
        <v>17629</v>
      </c>
      <c r="E32" s="77">
        <f t="shared" si="1"/>
        <v>1708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0</v>
      </c>
      <c r="D33" s="80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44613</v>
      </c>
    </row>
    <row r="3" spans="2:27" ht="18.75" customHeight="1" thickBot="1" x14ac:dyDescent="0.35">
      <c r="B3" t="s">
        <v>1</v>
      </c>
      <c r="C3" s="3">
        <f>C2+1</f>
        <v>44614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72</v>
      </c>
      <c r="E6" s="18" t="s">
        <v>22</v>
      </c>
      <c r="F6" s="119">
        <v>25341</v>
      </c>
      <c r="G6" s="117">
        <v>12399.9313</v>
      </c>
      <c r="H6" s="117">
        <v>5712.5045415199966</v>
      </c>
      <c r="I6" s="152">
        <f>G6+H6</f>
        <v>18112.435841519997</v>
      </c>
      <c r="J6" s="119">
        <v>25003</v>
      </c>
      <c r="K6" s="117">
        <v>13256.038049999999</v>
      </c>
      <c r="L6" s="117">
        <v>5846.5615723199953</v>
      </c>
      <c r="M6" s="19">
        <v>0</v>
      </c>
      <c r="N6" s="85">
        <v>80</v>
      </c>
      <c r="O6" s="85">
        <v>75</v>
      </c>
      <c r="P6" s="142">
        <v>74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2015</v>
      </c>
      <c r="E8" s="140" t="s">
        <v>27</v>
      </c>
      <c r="F8" s="119">
        <v>0</v>
      </c>
      <c r="G8" s="117">
        <v>0</v>
      </c>
      <c r="H8" s="117">
        <v>3820.1086542399999</v>
      </c>
      <c r="I8" s="152">
        <f>G8+H8</f>
        <v>3820.1086542399999</v>
      </c>
      <c r="J8" s="119">
        <v>0</v>
      </c>
      <c r="K8" s="117">
        <v>0</v>
      </c>
      <c r="L8" s="117">
        <v>3753.1679261999998</v>
      </c>
      <c r="M8" s="19">
        <f>K8+L8</f>
        <v>3753.1679261999998</v>
      </c>
      <c r="N8" s="87">
        <v>8</v>
      </c>
      <c r="O8" s="87">
        <v>8</v>
      </c>
      <c r="P8" s="144">
        <v>6</v>
      </c>
    </row>
    <row r="9" spans="2:27" x14ac:dyDescent="0.3">
      <c r="B9" s="28" t="s">
        <v>26</v>
      </c>
      <c r="C9" s="17">
        <v>1760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28</v>
      </c>
      <c r="C10" s="17">
        <v>942</v>
      </c>
      <c r="E10" s="18" t="s">
        <v>31</v>
      </c>
      <c r="F10" s="119">
        <v>18873</v>
      </c>
      <c r="G10" s="117">
        <v>13349.724</v>
      </c>
      <c r="H10" s="117">
        <v>377.12071500000002</v>
      </c>
      <c r="I10" s="152">
        <f>G10+H10</f>
        <v>13726.844714999999</v>
      </c>
      <c r="J10" s="119">
        <v>18652</v>
      </c>
      <c r="K10" s="117">
        <v>13779.574000000001</v>
      </c>
      <c r="L10" s="117">
        <v>355.60139059999989</v>
      </c>
      <c r="M10" s="19">
        <f>K10+L10</f>
        <v>14135.175390600001</v>
      </c>
      <c r="N10" s="88">
        <v>47</v>
      </c>
      <c r="O10" s="88">
        <v>48</v>
      </c>
      <c r="P10" s="145">
        <v>44</v>
      </c>
    </row>
    <row r="11" spans="2:27" x14ac:dyDescent="0.3">
      <c r="B11" s="16" t="s">
        <v>30</v>
      </c>
      <c r="C11" s="17">
        <v>2420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38</v>
      </c>
      <c r="C12" s="17">
        <v>10875</v>
      </c>
      <c r="E12" s="140" t="s">
        <v>35</v>
      </c>
      <c r="F12" s="119">
        <v>13425</v>
      </c>
      <c r="G12" s="117">
        <v>11013.36575000001</v>
      </c>
      <c r="H12" s="117">
        <v>14412.09083894001</v>
      </c>
      <c r="I12" s="152">
        <f>G12+H12</f>
        <v>25425.456588940018</v>
      </c>
      <c r="J12" s="119">
        <v>13576</v>
      </c>
      <c r="K12" s="117">
        <v>12398.527</v>
      </c>
      <c r="L12" s="117">
        <v>14485.46612647001</v>
      </c>
      <c r="M12" s="19">
        <f>K12+L12</f>
        <v>26883.99312647001</v>
      </c>
      <c r="N12" s="88">
        <v>56</v>
      </c>
      <c r="O12" s="88">
        <v>55</v>
      </c>
      <c r="P12" s="145">
        <v>53</v>
      </c>
    </row>
    <row r="13" spans="2:27" x14ac:dyDescent="0.3">
      <c r="B13" s="16" t="s">
        <v>40</v>
      </c>
      <c r="C13" s="17">
        <v>2292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3">
      <c r="B14" s="28" t="s">
        <v>42</v>
      </c>
      <c r="C14" s="17">
        <v>26274</v>
      </c>
      <c r="E14" s="18" t="s">
        <v>39</v>
      </c>
      <c r="F14" s="119">
        <v>19500</v>
      </c>
      <c r="G14" s="117">
        <v>15874.473749999999</v>
      </c>
      <c r="H14" s="117">
        <v>23465.709466100001</v>
      </c>
      <c r="I14" s="152">
        <f>G14+H14</f>
        <v>39340.183216099998</v>
      </c>
      <c r="J14" s="119">
        <v>20284</v>
      </c>
      <c r="K14" s="117">
        <v>18771.425749999999</v>
      </c>
      <c r="L14" s="117">
        <v>24702.852138539991</v>
      </c>
      <c r="M14" s="19">
        <f>K14+L14</f>
        <v>43474.277888539989</v>
      </c>
      <c r="N14" s="88">
        <v>71</v>
      </c>
      <c r="O14" s="88">
        <v>67</v>
      </c>
      <c r="P14" s="145">
        <v>58</v>
      </c>
    </row>
    <row r="15" spans="2:27" x14ac:dyDescent="0.3">
      <c r="B15" s="43" t="s">
        <v>47</v>
      </c>
      <c r="C15" s="17">
        <v>1378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3">
      <c r="B16" s="43" t="s">
        <v>48</v>
      </c>
      <c r="C16" s="50">
        <v>446</v>
      </c>
      <c r="E16" s="18" t="s">
        <v>79</v>
      </c>
      <c r="F16" s="119">
        <v>0</v>
      </c>
      <c r="G16" s="117">
        <v>0</v>
      </c>
      <c r="H16" s="117">
        <v>8548.0661402799997</v>
      </c>
      <c r="I16" s="152">
        <f>G16+H16</f>
        <v>8548.0661402799997</v>
      </c>
      <c r="J16" s="119">
        <v>0</v>
      </c>
      <c r="K16" s="117">
        <v>0</v>
      </c>
      <c r="L16" s="117">
        <v>8707.018661600001</v>
      </c>
      <c r="M16" s="19">
        <f>K16+L16</f>
        <v>8707.018661600001</v>
      </c>
      <c r="N16" s="88">
        <v>10</v>
      </c>
      <c r="O16" s="88">
        <v>10</v>
      </c>
      <c r="P16" s="145">
        <v>9</v>
      </c>
    </row>
    <row r="17" spans="2:28" s="4" customFormat="1" ht="15" customHeight="1" thickBot="1" x14ac:dyDescent="0.35">
      <c r="B17" s="16" t="s">
        <v>50</v>
      </c>
      <c r="C17" s="17">
        <v>11093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803</v>
      </c>
      <c r="E18" s="84"/>
      <c r="F18" s="148">
        <f t="shared" ref="F18:M18" si="0">SUM(F6:F17)</f>
        <v>77139</v>
      </c>
      <c r="G18" s="149">
        <f t="shared" si="0"/>
        <v>52637.494800000008</v>
      </c>
      <c r="H18" s="149">
        <f t="shared" si="0"/>
        <v>56335.600356080016</v>
      </c>
      <c r="I18" s="150">
        <f t="shared" si="0"/>
        <v>108973.09515608002</v>
      </c>
      <c r="J18" s="149">
        <f t="shared" si="0"/>
        <v>77515</v>
      </c>
      <c r="K18" s="149">
        <f t="shared" si="0"/>
        <v>58205.564799999993</v>
      </c>
      <c r="L18" s="149">
        <f t="shared" si="0"/>
        <v>57850.66781572999</v>
      </c>
      <c r="M18" s="157">
        <f t="shared" si="0"/>
        <v>96953.632993410007</v>
      </c>
      <c r="N18" s="149">
        <f>SUM(N16,N14,N12,N10,N8,N6)</f>
        <v>272</v>
      </c>
      <c r="O18" s="149">
        <f>SUM(O16,O14,O12,O10,O8,O6)</f>
        <v>263</v>
      </c>
      <c r="P18" s="158">
        <f>SUM(P16,P14,P12,P10,P8,P6)</f>
        <v>244</v>
      </c>
    </row>
    <row r="19" spans="2:28" ht="15" customHeight="1" thickBot="1" x14ac:dyDescent="0.35">
      <c r="B19" s="57" t="s">
        <v>52</v>
      </c>
      <c r="C19" s="58">
        <v>4902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7.2243346007604556E-2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10777</v>
      </c>
      <c r="D27" s="76">
        <f>C12</f>
        <v>10875</v>
      </c>
      <c r="E27" s="77">
        <f t="shared" ref="E27:E33" si="1">D27-C27</f>
        <v>98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34150</v>
      </c>
      <c r="D29" s="76">
        <f>C8+C13+C14+C15+C16</f>
        <v>32405</v>
      </c>
      <c r="E29" s="77">
        <f t="shared" si="1"/>
        <v>-1745</v>
      </c>
      <c r="P29" s="4"/>
    </row>
    <row r="30" spans="2:28" x14ac:dyDescent="0.3">
      <c r="B30" s="74" t="s">
        <v>21</v>
      </c>
      <c r="C30" s="122">
        <v>72</v>
      </c>
      <c r="D30" s="76">
        <f>C6</f>
        <v>72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2420</v>
      </c>
      <c r="D31" s="76">
        <f>C11</f>
        <v>2420</v>
      </c>
      <c r="E31" s="77">
        <f t="shared" si="1"/>
        <v>0</v>
      </c>
      <c r="F31" s="1" t="s">
        <v>75</v>
      </c>
      <c r="P31" s="4"/>
    </row>
    <row r="32" spans="2:28" x14ac:dyDescent="0.3">
      <c r="B32" s="74" t="s">
        <v>59</v>
      </c>
      <c r="C32" s="122">
        <v>17490</v>
      </c>
      <c r="D32" s="76">
        <f>C17+C18+C19</f>
        <v>16798</v>
      </c>
      <c r="E32" s="77">
        <f t="shared" si="1"/>
        <v>-692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2702</v>
      </c>
      <c r="D33" s="80">
        <f>C9+C10</f>
        <v>2702</v>
      </c>
      <c r="E33" s="81">
        <f t="shared" si="1"/>
        <v>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44614</v>
      </c>
    </row>
    <row r="3" spans="2:27" ht="18.75" customHeight="1" thickBot="1" x14ac:dyDescent="0.35">
      <c r="B3" t="s">
        <v>1</v>
      </c>
      <c r="C3" s="3">
        <f>C2+1</f>
        <v>44615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102</v>
      </c>
    </row>
    <row r="6" spans="2:27" x14ac:dyDescent="0.3">
      <c r="B6" s="16" t="s">
        <v>21</v>
      </c>
      <c r="C6" s="17">
        <v>121</v>
      </c>
      <c r="E6" s="18" t="s">
        <v>22</v>
      </c>
      <c r="F6" s="119">
        <v>27483</v>
      </c>
      <c r="G6" s="117">
        <v>13133.290416666659</v>
      </c>
      <c r="H6" s="117">
        <v>6504.0788792999929</v>
      </c>
      <c r="I6" s="152">
        <f>G6+H6</f>
        <v>19637.369295966651</v>
      </c>
      <c r="J6" s="119">
        <v>29059</v>
      </c>
      <c r="K6" s="117">
        <v>15323.94241666667</v>
      </c>
      <c r="L6" s="117">
        <v>6686.1604500999974</v>
      </c>
      <c r="M6" s="19">
        <v>0</v>
      </c>
      <c r="N6" s="85">
        <v>90</v>
      </c>
      <c r="O6" s="85">
        <v>86</v>
      </c>
      <c r="P6" s="142">
        <v>82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4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2766</v>
      </c>
      <c r="E8" s="140" t="s">
        <v>27</v>
      </c>
      <c r="F8" s="119">
        <v>0</v>
      </c>
      <c r="G8" s="117">
        <v>0</v>
      </c>
      <c r="H8" s="117">
        <v>3712.48613256</v>
      </c>
      <c r="I8" s="152">
        <f>G8+H8</f>
        <v>3712.48613256</v>
      </c>
      <c r="J8" s="119">
        <v>0</v>
      </c>
      <c r="K8" s="117">
        <v>0</v>
      </c>
      <c r="L8" s="117">
        <v>3764.87555294</v>
      </c>
      <c r="M8" s="19">
        <f>K8+L8</f>
        <v>3764.87555294</v>
      </c>
      <c r="N8" s="87">
        <v>6</v>
      </c>
      <c r="O8" s="87">
        <v>6</v>
      </c>
      <c r="P8" s="144">
        <v>5</v>
      </c>
    </row>
    <row r="9" spans="2:27" x14ac:dyDescent="0.3">
      <c r="B9" s="28" t="s">
        <v>26</v>
      </c>
      <c r="C9" s="17">
        <v>1873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28</v>
      </c>
      <c r="C10" s="17">
        <v>1021</v>
      </c>
      <c r="E10" s="18" t="s">
        <v>31</v>
      </c>
      <c r="F10" s="119">
        <v>19759</v>
      </c>
      <c r="G10" s="117">
        <v>13426.6335</v>
      </c>
      <c r="H10" s="117">
        <v>365.100053</v>
      </c>
      <c r="I10" s="152">
        <f>G10+H10</f>
        <v>13791.733553</v>
      </c>
      <c r="J10" s="119">
        <v>20074</v>
      </c>
      <c r="K10" s="117">
        <v>14396.4375</v>
      </c>
      <c r="L10" s="117">
        <v>375.84818159999998</v>
      </c>
      <c r="M10" s="19">
        <f>K10+L10</f>
        <v>14772.2856816</v>
      </c>
      <c r="N10" s="88">
        <v>54</v>
      </c>
      <c r="O10" s="88">
        <v>53</v>
      </c>
      <c r="P10" s="145">
        <v>45</v>
      </c>
    </row>
    <row r="11" spans="2:27" x14ac:dyDescent="0.3">
      <c r="B11" s="16" t="s">
        <v>30</v>
      </c>
      <c r="C11" s="17">
        <v>2427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8</v>
      </c>
    </row>
    <row r="12" spans="2:27" x14ac:dyDescent="0.3">
      <c r="B12" s="16" t="s">
        <v>38</v>
      </c>
      <c r="C12" s="17">
        <v>9752</v>
      </c>
      <c r="E12" s="140" t="s">
        <v>35</v>
      </c>
      <c r="F12" s="119">
        <v>13904</v>
      </c>
      <c r="G12" s="117">
        <v>10850.21</v>
      </c>
      <c r="H12" s="117">
        <v>16222.33430036</v>
      </c>
      <c r="I12" s="152">
        <f>G12+H12</f>
        <v>27072.544300360001</v>
      </c>
      <c r="J12" s="119">
        <v>14338</v>
      </c>
      <c r="K12" s="117">
        <v>13083.7855</v>
      </c>
      <c r="L12" s="117">
        <v>16573.029239089999</v>
      </c>
      <c r="M12" s="19">
        <f>K12+L12</f>
        <v>29656.814739089998</v>
      </c>
      <c r="N12" s="88">
        <v>56</v>
      </c>
      <c r="O12" s="88">
        <v>54</v>
      </c>
      <c r="P12" s="145">
        <v>45</v>
      </c>
    </row>
    <row r="13" spans="2:27" x14ac:dyDescent="0.3">
      <c r="B13" s="16" t="s">
        <v>40</v>
      </c>
      <c r="C13" s="17">
        <v>1668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9</v>
      </c>
    </row>
    <row r="14" spans="2:27" x14ac:dyDescent="0.3">
      <c r="B14" s="28" t="s">
        <v>42</v>
      </c>
      <c r="C14" s="17">
        <v>23628</v>
      </c>
      <c r="E14" s="18" t="s">
        <v>39</v>
      </c>
      <c r="F14" s="119">
        <v>18818</v>
      </c>
      <c r="G14" s="117">
        <v>14618.09</v>
      </c>
      <c r="H14" s="117">
        <v>23206.264137440019</v>
      </c>
      <c r="I14" s="152">
        <f>G14+H14</f>
        <v>37824.354137440023</v>
      </c>
      <c r="J14" s="119">
        <v>19523</v>
      </c>
      <c r="K14" s="117">
        <v>17668.998749999999</v>
      </c>
      <c r="L14" s="117">
        <v>24284.253199520012</v>
      </c>
      <c r="M14" s="19">
        <f>K14+L14</f>
        <v>41953.25194952001</v>
      </c>
      <c r="N14" s="88">
        <v>73</v>
      </c>
      <c r="O14" s="88">
        <v>69</v>
      </c>
      <c r="P14" s="145">
        <v>58</v>
      </c>
    </row>
    <row r="15" spans="2:27" x14ac:dyDescent="0.3">
      <c r="B15" s="43" t="s">
        <v>47</v>
      </c>
      <c r="C15" s="17">
        <v>1092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3">
      <c r="B16" s="43" t="s">
        <v>48</v>
      </c>
      <c r="C16" s="50">
        <v>210</v>
      </c>
      <c r="E16" s="18" t="s">
        <v>79</v>
      </c>
      <c r="F16" s="119">
        <v>0</v>
      </c>
      <c r="G16" s="117">
        <v>0</v>
      </c>
      <c r="H16" s="117">
        <v>5655.3505248999991</v>
      </c>
      <c r="I16" s="152">
        <f>G16+H16</f>
        <v>5655.3505248999991</v>
      </c>
      <c r="J16" s="119">
        <v>0</v>
      </c>
      <c r="K16" s="117">
        <v>0</v>
      </c>
      <c r="L16" s="117">
        <v>5617.1815068199994</v>
      </c>
      <c r="M16" s="19">
        <f>K16+L16</f>
        <v>5617.1815068199994</v>
      </c>
      <c r="N16" s="88">
        <v>10</v>
      </c>
      <c r="O16" s="88">
        <v>12</v>
      </c>
      <c r="P16" s="145">
        <v>10</v>
      </c>
    </row>
    <row r="17" spans="2:28" s="4" customFormat="1" ht="15" customHeight="1" thickBot="1" x14ac:dyDescent="0.35">
      <c r="B17" s="16" t="s">
        <v>50</v>
      </c>
      <c r="C17" s="17">
        <v>12171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799</v>
      </c>
      <c r="E18" s="84"/>
      <c r="F18" s="148">
        <f t="shared" ref="F18:M18" si="0">SUM(F6:F17)</f>
        <v>79964</v>
      </c>
      <c r="G18" s="149">
        <f t="shared" si="0"/>
        <v>52028.223916666655</v>
      </c>
      <c r="H18" s="149">
        <f t="shared" si="0"/>
        <v>55665.614027560012</v>
      </c>
      <c r="I18" s="150">
        <f t="shared" si="0"/>
        <v>107693.83794422667</v>
      </c>
      <c r="J18" s="149">
        <f t="shared" si="0"/>
        <v>82994</v>
      </c>
      <c r="K18" s="149">
        <f t="shared" si="0"/>
        <v>60473.164166666669</v>
      </c>
      <c r="L18" s="149">
        <f t="shared" si="0"/>
        <v>57301.348130070008</v>
      </c>
      <c r="M18" s="157">
        <f t="shared" si="0"/>
        <v>95764.409429969994</v>
      </c>
      <c r="N18" s="149">
        <f>SUM(N16,N14,N12,N10,N8,N6)</f>
        <v>289</v>
      </c>
      <c r="O18" s="149">
        <f>SUM(O16,O14,O12,O10,O8,O6)</f>
        <v>280</v>
      </c>
      <c r="P18" s="158">
        <f>SUM(P16,P14,P12,P10,P8,P6)</f>
        <v>245</v>
      </c>
    </row>
    <row r="19" spans="2:28" ht="15" customHeight="1" thickBot="1" x14ac:dyDescent="0.35">
      <c r="B19" s="57" t="s">
        <v>52</v>
      </c>
      <c r="C19" s="58">
        <v>5044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0.125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11340</v>
      </c>
      <c r="D27" s="76">
        <f>C12</f>
        <v>9752</v>
      </c>
      <c r="E27" s="77">
        <f t="shared" ref="E27:E33" si="1">D27-C27</f>
        <v>-1588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35022</v>
      </c>
      <c r="D29" s="76">
        <f>C8+C13+C14+C15+C16</f>
        <v>29364</v>
      </c>
      <c r="E29" s="77">
        <f t="shared" si="1"/>
        <v>-5658</v>
      </c>
      <c r="P29" s="4"/>
    </row>
    <row r="30" spans="2:28" x14ac:dyDescent="0.3">
      <c r="B30" s="74" t="s">
        <v>21</v>
      </c>
      <c r="C30" s="122">
        <v>121</v>
      </c>
      <c r="D30" s="76">
        <f>C6</f>
        <v>121</v>
      </c>
      <c r="E30" s="77">
        <f t="shared" si="1"/>
        <v>0</v>
      </c>
      <c r="P30" s="4"/>
    </row>
    <row r="31" spans="2:28" x14ac:dyDescent="0.3">
      <c r="B31" s="74" t="s">
        <v>57</v>
      </c>
      <c r="C31" s="122">
        <v>2427</v>
      </c>
      <c r="D31" s="76">
        <f>C11</f>
        <v>2427</v>
      </c>
      <c r="E31" s="77">
        <f t="shared" si="1"/>
        <v>0</v>
      </c>
      <c r="F31" s="1" t="s">
        <v>75</v>
      </c>
      <c r="P31" s="4"/>
    </row>
    <row r="32" spans="2:28" x14ac:dyDescent="0.3">
      <c r="B32" s="74" t="s">
        <v>59</v>
      </c>
      <c r="C32" s="122">
        <v>16753</v>
      </c>
      <c r="D32" s="76">
        <f>C17+C18+C19</f>
        <v>18014</v>
      </c>
      <c r="E32" s="77">
        <f t="shared" si="1"/>
        <v>1261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3307</v>
      </c>
      <c r="D33" s="80">
        <f>C9+C10</f>
        <v>2894</v>
      </c>
      <c r="E33" s="81">
        <f t="shared" si="1"/>
        <v>-413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44615</v>
      </c>
    </row>
    <row r="3" spans="2:27" ht="18.75" customHeight="1" thickBot="1" x14ac:dyDescent="0.35">
      <c r="B3" t="s">
        <v>1</v>
      </c>
      <c r="C3" s="3">
        <f>C2+1</f>
        <v>44616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62</v>
      </c>
      <c r="E6" s="18" t="s">
        <v>22</v>
      </c>
      <c r="F6" s="119">
        <v>25060</v>
      </c>
      <c r="G6" s="117">
        <v>13286.54775</v>
      </c>
      <c r="H6" s="117">
        <v>6101.6888596399958</v>
      </c>
      <c r="I6" s="152">
        <f>G6+H6</f>
        <v>19388.236609639996</v>
      </c>
      <c r="J6" s="119">
        <v>27427</v>
      </c>
      <c r="K6" s="117">
        <v>15748.759</v>
      </c>
      <c r="L6" s="117">
        <v>6296.1792352799948</v>
      </c>
      <c r="M6" s="19">
        <v>0</v>
      </c>
      <c r="N6" s="85">
        <v>82</v>
      </c>
      <c r="O6" s="85">
        <v>78</v>
      </c>
      <c r="P6" s="142">
        <v>75</v>
      </c>
    </row>
    <row r="7" spans="2:27" x14ac:dyDescent="0.3">
      <c r="B7" s="16" t="s">
        <v>43</v>
      </c>
      <c r="C7" s="17">
        <v>20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3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1819</v>
      </c>
      <c r="E8" s="140" t="s">
        <v>27</v>
      </c>
      <c r="F8" s="119">
        <v>0</v>
      </c>
      <c r="G8" s="117">
        <v>0</v>
      </c>
      <c r="H8" s="117">
        <v>4373.1374803800009</v>
      </c>
      <c r="I8" s="152">
        <f>G8+H8</f>
        <v>4373.1374803800009</v>
      </c>
      <c r="J8" s="119">
        <v>0</v>
      </c>
      <c r="K8" s="117">
        <v>0</v>
      </c>
      <c r="L8" s="117">
        <v>4514.932469880001</v>
      </c>
      <c r="M8" s="19">
        <f>K8+L8</f>
        <v>4514.932469880001</v>
      </c>
      <c r="N8" s="87">
        <v>4</v>
      </c>
      <c r="O8" s="87">
        <v>4</v>
      </c>
      <c r="P8" s="144">
        <v>3</v>
      </c>
    </row>
    <row r="9" spans="2:27" x14ac:dyDescent="0.3">
      <c r="B9" s="28" t="s">
        <v>26</v>
      </c>
      <c r="C9" s="17">
        <v>1971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28</v>
      </c>
      <c r="C10" s="17">
        <v>1049</v>
      </c>
      <c r="E10" s="18" t="s">
        <v>31</v>
      </c>
      <c r="F10" s="119">
        <v>19143</v>
      </c>
      <c r="G10" s="117">
        <v>12832.3205</v>
      </c>
      <c r="H10" s="117">
        <v>360.90017899999998</v>
      </c>
      <c r="I10" s="152">
        <f>G10+H10</f>
        <v>13193.220679</v>
      </c>
      <c r="J10" s="119">
        <v>19221</v>
      </c>
      <c r="K10" s="117">
        <v>13639.2325</v>
      </c>
      <c r="L10" s="117">
        <v>358.75398760000007</v>
      </c>
      <c r="M10" s="19">
        <f>K10+L10</f>
        <v>13997.986487599999</v>
      </c>
      <c r="N10" s="88">
        <v>47</v>
      </c>
      <c r="O10" s="88">
        <v>46</v>
      </c>
      <c r="P10" s="145">
        <v>43</v>
      </c>
    </row>
    <row r="11" spans="2:27" x14ac:dyDescent="0.3">
      <c r="B11" s="16" t="s">
        <v>30</v>
      </c>
      <c r="C11" s="17">
        <v>2147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3</v>
      </c>
    </row>
    <row r="12" spans="2:27" x14ac:dyDescent="0.3">
      <c r="B12" s="16" t="s">
        <v>38</v>
      </c>
      <c r="C12" s="17">
        <v>10560</v>
      </c>
      <c r="E12" s="140" t="s">
        <v>35</v>
      </c>
      <c r="F12" s="119">
        <v>14021</v>
      </c>
      <c r="G12" s="117">
        <v>11063.69075</v>
      </c>
      <c r="H12" s="117">
        <v>15542.91554026998</v>
      </c>
      <c r="I12" s="152">
        <f>G12+H12</f>
        <v>26606.606290269978</v>
      </c>
      <c r="J12" s="119">
        <v>14129</v>
      </c>
      <c r="K12" s="117">
        <v>12927.402749999999</v>
      </c>
      <c r="L12" s="117">
        <v>15729.809546500001</v>
      </c>
      <c r="M12" s="19">
        <f>K12+L12</f>
        <v>28657.212296500002</v>
      </c>
      <c r="N12" s="88">
        <v>56</v>
      </c>
      <c r="O12" s="88">
        <v>54</v>
      </c>
      <c r="P12" s="145">
        <v>49</v>
      </c>
    </row>
    <row r="13" spans="2:27" x14ac:dyDescent="0.3">
      <c r="B13" s="16" t="s">
        <v>40</v>
      </c>
      <c r="C13" s="17">
        <v>2141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5</v>
      </c>
    </row>
    <row r="14" spans="2:27" x14ac:dyDescent="0.3">
      <c r="B14" s="28" t="s">
        <v>42</v>
      </c>
      <c r="C14" s="17">
        <v>27603</v>
      </c>
      <c r="E14" s="18" t="s">
        <v>39</v>
      </c>
      <c r="F14" s="119">
        <v>18271</v>
      </c>
      <c r="G14" s="117">
        <v>14758.34</v>
      </c>
      <c r="H14" s="117">
        <v>21667.117036340002</v>
      </c>
      <c r="I14" s="152">
        <f>G14+H14</f>
        <v>36425.457036339998</v>
      </c>
      <c r="J14" s="119">
        <v>18321</v>
      </c>
      <c r="K14" s="117">
        <v>16022.217000000001</v>
      </c>
      <c r="L14" s="117">
        <v>21222.925885059991</v>
      </c>
      <c r="M14" s="19">
        <f>K14+L14</f>
        <v>37245.142885059991</v>
      </c>
      <c r="N14" s="88">
        <v>69</v>
      </c>
      <c r="O14" s="88">
        <v>65</v>
      </c>
      <c r="P14" s="145">
        <v>58</v>
      </c>
    </row>
    <row r="15" spans="2:27" x14ac:dyDescent="0.3">
      <c r="B15" s="43" t="s">
        <v>47</v>
      </c>
      <c r="C15" s="17">
        <v>1364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3">
      <c r="B16" s="43" t="s">
        <v>48</v>
      </c>
      <c r="C16" s="50">
        <v>431</v>
      </c>
      <c r="E16" s="18" t="s">
        <v>79</v>
      </c>
      <c r="F16" s="119">
        <v>0</v>
      </c>
      <c r="G16" s="117">
        <v>0</v>
      </c>
      <c r="H16" s="117">
        <v>8673.5097984799995</v>
      </c>
      <c r="I16" s="152">
        <f>G16+H16</f>
        <v>8673.5097984799995</v>
      </c>
      <c r="J16" s="119">
        <v>0</v>
      </c>
      <c r="K16" s="117">
        <v>0</v>
      </c>
      <c r="L16" s="117">
        <v>8733.4704664400015</v>
      </c>
      <c r="M16" s="19">
        <f>K16+L16</f>
        <v>8733.4704664400015</v>
      </c>
      <c r="N16" s="88">
        <v>10</v>
      </c>
      <c r="O16" s="88">
        <v>11</v>
      </c>
      <c r="P16" s="145">
        <v>9</v>
      </c>
    </row>
    <row r="17" spans="2:28" s="4" customFormat="1" ht="15" customHeight="1" thickBot="1" x14ac:dyDescent="0.35">
      <c r="B17" s="16" t="s">
        <v>50</v>
      </c>
      <c r="C17" s="17">
        <v>10528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1253</v>
      </c>
      <c r="E18" s="84"/>
      <c r="F18" s="148">
        <f t="shared" ref="F18:M18" si="0">SUM(F6:F17)</f>
        <v>76495</v>
      </c>
      <c r="G18" s="149">
        <f t="shared" si="0"/>
        <v>51940.899000000005</v>
      </c>
      <c r="H18" s="149">
        <f t="shared" si="0"/>
        <v>56719.268894109984</v>
      </c>
      <c r="I18" s="150">
        <f t="shared" si="0"/>
        <v>108660.16789410997</v>
      </c>
      <c r="J18" s="149">
        <f t="shared" si="0"/>
        <v>79098</v>
      </c>
      <c r="K18" s="149">
        <f t="shared" si="0"/>
        <v>58337.611250000002</v>
      </c>
      <c r="L18" s="149">
        <f t="shared" si="0"/>
        <v>56856.071590759995</v>
      </c>
      <c r="M18" s="157">
        <f t="shared" si="0"/>
        <v>93148.744605479995</v>
      </c>
      <c r="N18" s="149">
        <f>SUM(N16,N14,N12,N10,N8,N6)</f>
        <v>268</v>
      </c>
      <c r="O18" s="149">
        <f>SUM(O16,O14,O12,O10,O8,O6)</f>
        <v>258</v>
      </c>
      <c r="P18" s="158">
        <f>SUM(P16,P14,P12,P10,P8,P6)</f>
        <v>237</v>
      </c>
    </row>
    <row r="19" spans="2:28" ht="15" customHeight="1" thickBot="1" x14ac:dyDescent="0.35">
      <c r="B19" s="57" t="s">
        <v>52</v>
      </c>
      <c r="C19" s="58">
        <v>5023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8.1395348837209308E-2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11874</v>
      </c>
      <c r="D27" s="76">
        <f>C12</f>
        <v>10560</v>
      </c>
      <c r="E27" s="77">
        <f t="shared" ref="E27:E33" si="1">D27-C27</f>
        <v>-1314</v>
      </c>
      <c r="J27" s="123"/>
      <c r="M27" s="4"/>
      <c r="Q27" s="69"/>
    </row>
    <row r="28" spans="2:28" x14ac:dyDescent="0.3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34348</v>
      </c>
      <c r="D29" s="76">
        <f>C8+C13+C14+C15+C16</f>
        <v>33358</v>
      </c>
      <c r="E29" s="77">
        <f t="shared" si="1"/>
        <v>-990</v>
      </c>
      <c r="P29" s="4"/>
    </row>
    <row r="30" spans="2:28" x14ac:dyDescent="0.3">
      <c r="B30" s="74" t="s">
        <v>21</v>
      </c>
      <c r="C30" s="122">
        <v>0</v>
      </c>
      <c r="D30" s="76">
        <f>C6</f>
        <v>62</v>
      </c>
      <c r="E30" s="77">
        <f t="shared" si="1"/>
        <v>62</v>
      </c>
      <c r="P30" s="4"/>
    </row>
    <row r="31" spans="2:28" x14ac:dyDescent="0.3">
      <c r="B31" s="74" t="s">
        <v>57</v>
      </c>
      <c r="C31" s="122">
        <v>2147</v>
      </c>
      <c r="D31" s="76">
        <f>C11</f>
        <v>2147</v>
      </c>
      <c r="E31" s="77">
        <f t="shared" si="1"/>
        <v>0</v>
      </c>
      <c r="F31" s="1" t="s">
        <v>75</v>
      </c>
      <c r="P31" s="4"/>
    </row>
    <row r="32" spans="2:28" x14ac:dyDescent="0.3">
      <c r="B32" s="74" t="s">
        <v>59</v>
      </c>
      <c r="C32" s="122">
        <v>16970</v>
      </c>
      <c r="D32" s="76">
        <f>C17+C18+C19</f>
        <v>16804</v>
      </c>
      <c r="E32" s="77">
        <f t="shared" si="1"/>
        <v>-166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3472</v>
      </c>
      <c r="D33" s="80">
        <f>C9+C10</f>
        <v>3020</v>
      </c>
      <c r="E33" s="81">
        <f t="shared" si="1"/>
        <v>-452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44616</v>
      </c>
    </row>
    <row r="3" spans="2:27" ht="18.75" customHeight="1" thickBot="1" x14ac:dyDescent="0.35">
      <c r="B3" t="s">
        <v>1</v>
      </c>
      <c r="C3" s="3">
        <f>C2+1</f>
        <v>44617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92</v>
      </c>
    </row>
    <row r="6" spans="2:27" x14ac:dyDescent="0.3">
      <c r="B6" s="16" t="s">
        <v>21</v>
      </c>
      <c r="C6" s="17">
        <v>141</v>
      </c>
      <c r="E6" s="18" t="s">
        <v>22</v>
      </c>
      <c r="F6" s="119">
        <v>26209</v>
      </c>
      <c r="G6" s="117">
        <v>13817.63913333333</v>
      </c>
      <c r="H6" s="117">
        <v>7252.6233568399994</v>
      </c>
      <c r="I6" s="152">
        <f>G6+H6</f>
        <v>21070.262490173329</v>
      </c>
      <c r="J6" s="119">
        <v>29262</v>
      </c>
      <c r="K6" s="117">
        <v>15695.003883333329</v>
      </c>
      <c r="L6" s="117">
        <v>7307.5016719999994</v>
      </c>
      <c r="M6" s="19">
        <v>0</v>
      </c>
      <c r="N6" s="85">
        <v>86</v>
      </c>
      <c r="O6" s="85">
        <v>84</v>
      </c>
      <c r="P6" s="142">
        <v>74</v>
      </c>
    </row>
    <row r="7" spans="2:27" x14ac:dyDescent="0.3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3">
      <c r="B8" s="16" t="s">
        <v>23</v>
      </c>
      <c r="C8" s="17">
        <v>2621</v>
      </c>
      <c r="E8" s="140" t="s">
        <v>27</v>
      </c>
      <c r="F8" s="119">
        <v>0</v>
      </c>
      <c r="G8" s="117">
        <v>0</v>
      </c>
      <c r="H8" s="117">
        <v>3822.392412839999</v>
      </c>
      <c r="I8" s="152">
        <f>G8+H8</f>
        <v>3822.392412839999</v>
      </c>
      <c r="J8" s="119">
        <v>0</v>
      </c>
      <c r="K8" s="117">
        <v>0</v>
      </c>
      <c r="L8" s="117">
        <v>4225.4443804000002</v>
      </c>
      <c r="M8" s="19">
        <f>K8+L8</f>
        <v>4225.4443804000002</v>
      </c>
      <c r="N8" s="87">
        <v>7</v>
      </c>
      <c r="O8" s="87">
        <v>5</v>
      </c>
      <c r="P8" s="144">
        <v>7</v>
      </c>
    </row>
    <row r="9" spans="2:27" x14ac:dyDescent="0.3">
      <c r="B9" s="28" t="s">
        <v>26</v>
      </c>
      <c r="C9" s="17">
        <v>1829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-2</v>
      </c>
    </row>
    <row r="10" spans="2:27" x14ac:dyDescent="0.3">
      <c r="B10" s="28" t="s">
        <v>28</v>
      </c>
      <c r="C10" s="17">
        <v>1017</v>
      </c>
      <c r="E10" s="18" t="s">
        <v>31</v>
      </c>
      <c r="F10" s="119">
        <v>20850</v>
      </c>
      <c r="G10" s="117">
        <v>13206.81575</v>
      </c>
      <c r="H10" s="117">
        <v>322.61200400000001</v>
      </c>
      <c r="I10" s="152">
        <f>G10+H10</f>
        <v>13529.427754</v>
      </c>
      <c r="J10" s="119">
        <v>21174</v>
      </c>
      <c r="K10" s="117">
        <v>13899.793750000001</v>
      </c>
      <c r="L10" s="117">
        <v>342.30617999999998</v>
      </c>
      <c r="M10" s="19">
        <f>K10+L10</f>
        <v>14242.09993</v>
      </c>
      <c r="N10" s="88">
        <v>58</v>
      </c>
      <c r="O10" s="88">
        <v>56</v>
      </c>
      <c r="P10" s="145">
        <v>52</v>
      </c>
    </row>
    <row r="11" spans="2:27" x14ac:dyDescent="0.3">
      <c r="B11" s="16" t="s">
        <v>30</v>
      </c>
      <c r="C11" s="17">
        <v>2413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38</v>
      </c>
      <c r="C12" s="17">
        <v>10610</v>
      </c>
      <c r="E12" s="140" t="s">
        <v>35</v>
      </c>
      <c r="F12" s="119">
        <v>15176</v>
      </c>
      <c r="G12" s="117">
        <v>11288.567999999999</v>
      </c>
      <c r="H12" s="117">
        <v>17963.250715580001</v>
      </c>
      <c r="I12" s="152">
        <f>G12+H12</f>
        <v>29251.818715580001</v>
      </c>
      <c r="J12" s="119">
        <v>15276</v>
      </c>
      <c r="K12" s="117">
        <v>14263.843000000001</v>
      </c>
      <c r="L12" s="117">
        <v>18055.368273700009</v>
      </c>
      <c r="M12" s="19">
        <f>K12+L12</f>
        <v>32319.21127370001</v>
      </c>
      <c r="N12" s="88">
        <v>52</v>
      </c>
      <c r="O12" s="88">
        <v>50</v>
      </c>
      <c r="P12" s="145">
        <v>47</v>
      </c>
    </row>
    <row r="13" spans="2:27" x14ac:dyDescent="0.3">
      <c r="B13" s="16" t="s">
        <v>40</v>
      </c>
      <c r="C13" s="17">
        <v>1620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3</v>
      </c>
    </row>
    <row r="14" spans="2:27" x14ac:dyDescent="0.3">
      <c r="B14" s="28" t="s">
        <v>42</v>
      </c>
      <c r="C14" s="17">
        <v>23762</v>
      </c>
      <c r="E14" s="18" t="s">
        <v>39</v>
      </c>
      <c r="F14" s="119">
        <v>19401</v>
      </c>
      <c r="G14" s="117">
        <v>14713.31</v>
      </c>
      <c r="H14" s="117">
        <v>24107.77385568</v>
      </c>
      <c r="I14" s="152">
        <f>G14+H14</f>
        <v>38821.083855680001</v>
      </c>
      <c r="J14" s="119">
        <v>19536</v>
      </c>
      <c r="K14" s="117">
        <v>18096.259249999999</v>
      </c>
      <c r="L14" s="117">
        <v>24601.311792180019</v>
      </c>
      <c r="M14" s="19">
        <f>K14+L14</f>
        <v>42697.571042180018</v>
      </c>
      <c r="N14" s="88">
        <v>72</v>
      </c>
      <c r="O14" s="88">
        <v>68</v>
      </c>
      <c r="P14" s="145">
        <v>65</v>
      </c>
    </row>
    <row r="15" spans="2:27" x14ac:dyDescent="0.3">
      <c r="B15" s="43" t="s">
        <v>47</v>
      </c>
      <c r="C15" s="17">
        <v>1087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3</v>
      </c>
    </row>
    <row r="16" spans="2:27" x14ac:dyDescent="0.3">
      <c r="B16" s="43" t="s">
        <v>48</v>
      </c>
      <c r="C16" s="50">
        <v>206</v>
      </c>
      <c r="E16" s="18" t="s">
        <v>79</v>
      </c>
      <c r="F16" s="119">
        <v>0</v>
      </c>
      <c r="G16" s="117">
        <v>0</v>
      </c>
      <c r="H16" s="117">
        <v>6033.7705917200001</v>
      </c>
      <c r="I16" s="152">
        <f>G16+H16</f>
        <v>6033.7705917200001</v>
      </c>
      <c r="J16" s="119">
        <v>0</v>
      </c>
      <c r="K16" s="117">
        <v>0</v>
      </c>
      <c r="L16" s="117">
        <v>6008.3264366599997</v>
      </c>
      <c r="M16" s="19">
        <f>K16+L16</f>
        <v>6008.3264366599997</v>
      </c>
      <c r="N16" s="88">
        <v>13</v>
      </c>
      <c r="O16" s="88">
        <v>11</v>
      </c>
      <c r="P16" s="145">
        <v>12</v>
      </c>
    </row>
    <row r="17" spans="2:28" s="4" customFormat="1" ht="15" customHeight="1" thickBot="1" x14ac:dyDescent="0.35">
      <c r="B17" s="16" t="s">
        <v>50</v>
      </c>
      <c r="C17" s="17">
        <v>10528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51</v>
      </c>
      <c r="C18" s="17">
        <v>1253</v>
      </c>
      <c r="E18" s="84"/>
      <c r="F18" s="148">
        <f t="shared" ref="F18:M18" si="0">SUM(F6:F17)</f>
        <v>81636</v>
      </c>
      <c r="G18" s="149">
        <f t="shared" si="0"/>
        <v>53026.332883333329</v>
      </c>
      <c r="H18" s="149">
        <f t="shared" si="0"/>
        <v>59502.422936659998</v>
      </c>
      <c r="I18" s="150">
        <f t="shared" si="0"/>
        <v>112528.75581999333</v>
      </c>
      <c r="J18" s="149">
        <f t="shared" si="0"/>
        <v>85248</v>
      </c>
      <c r="K18" s="149">
        <f t="shared" si="0"/>
        <v>61954.899883333332</v>
      </c>
      <c r="L18" s="149">
        <f t="shared" si="0"/>
        <v>60540.25873494002</v>
      </c>
      <c r="M18" s="157">
        <f t="shared" si="0"/>
        <v>99492.653062940037</v>
      </c>
      <c r="N18" s="149">
        <f>SUM(N16,N14,N12,N10,N8,N6)</f>
        <v>288</v>
      </c>
      <c r="O18" s="149">
        <f>SUM(O16,O14,O12,O10,O8,O6)</f>
        <v>274</v>
      </c>
      <c r="P18" s="158">
        <f>SUM(P16,P14,P12,P10,P8,P6)</f>
        <v>257</v>
      </c>
    </row>
    <row r="19" spans="2:28" ht="15" customHeight="1" thickBot="1" x14ac:dyDescent="0.35">
      <c r="B19" s="57" t="s">
        <v>52</v>
      </c>
      <c r="C19" s="58">
        <v>5023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x14ac:dyDescent="0.3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6.2043795620437957E-2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4" spans="2:28" ht="15" customHeight="1" thickBot="1" x14ac:dyDescent="0.35">
      <c r="M24" s="4"/>
    </row>
    <row r="25" spans="2:28" ht="15" customHeight="1" thickBot="1" x14ac:dyDescent="0.35">
      <c r="C25" s="68" t="s">
        <v>2</v>
      </c>
      <c r="D25" s="209" t="s">
        <v>3</v>
      </c>
      <c r="E25" s="210"/>
      <c r="M25" s="4"/>
    </row>
    <row r="26" spans="2:28" x14ac:dyDescent="0.3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3">
      <c r="B27" s="74" t="s">
        <v>55</v>
      </c>
      <c r="C27" s="122">
        <v>11795</v>
      </c>
      <c r="D27" s="76">
        <f>C12</f>
        <v>10610</v>
      </c>
      <c r="E27" s="77">
        <f t="shared" ref="E27:E33" si="1">D27-C27</f>
        <v>-1185</v>
      </c>
      <c r="J27" s="123"/>
      <c r="M27" s="4"/>
      <c r="Q27" s="69"/>
    </row>
    <row r="28" spans="2:28" x14ac:dyDescent="0.3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3">
      <c r="B29" s="74" t="s">
        <v>56</v>
      </c>
      <c r="C29" s="122">
        <v>36136</v>
      </c>
      <c r="D29" s="76">
        <f>C8+C13+C14+C15+C16</f>
        <v>29296</v>
      </c>
      <c r="E29" s="77">
        <f t="shared" si="1"/>
        <v>-6840</v>
      </c>
      <c r="P29" s="4"/>
    </row>
    <row r="30" spans="2:28" x14ac:dyDescent="0.3">
      <c r="B30" s="74" t="s">
        <v>21</v>
      </c>
      <c r="C30" s="122">
        <v>104</v>
      </c>
      <c r="D30" s="76">
        <f>C6</f>
        <v>141</v>
      </c>
      <c r="E30" s="77">
        <f t="shared" si="1"/>
        <v>37</v>
      </c>
      <c r="P30" s="4"/>
    </row>
    <row r="31" spans="2:28" x14ac:dyDescent="0.3">
      <c r="B31" s="74" t="s">
        <v>57</v>
      </c>
      <c r="C31" s="122">
        <v>2413</v>
      </c>
      <c r="D31" s="76">
        <f>C11</f>
        <v>2413</v>
      </c>
      <c r="E31" s="77">
        <f t="shared" si="1"/>
        <v>0</v>
      </c>
      <c r="F31" s="1" t="s">
        <v>75</v>
      </c>
      <c r="P31" s="4"/>
    </row>
    <row r="32" spans="2:28" x14ac:dyDescent="0.3">
      <c r="B32" s="74" t="s">
        <v>59</v>
      </c>
      <c r="C32" s="122">
        <v>15590</v>
      </c>
      <c r="D32" s="76">
        <f>C17+C18+C19</f>
        <v>16804</v>
      </c>
      <c r="E32" s="77">
        <f t="shared" si="1"/>
        <v>1214</v>
      </c>
      <c r="F32" s="1" t="s">
        <v>75</v>
      </c>
      <c r="J32" s="53"/>
      <c r="P32" s="4"/>
    </row>
    <row r="33" spans="2:16" ht="15" customHeight="1" thickBot="1" x14ac:dyDescent="0.35">
      <c r="B33" s="78" t="s">
        <v>60</v>
      </c>
      <c r="C33" s="121">
        <v>3606</v>
      </c>
      <c r="D33" s="80">
        <f>C9+C10</f>
        <v>2846</v>
      </c>
      <c r="E33" s="81">
        <f t="shared" si="1"/>
        <v>-760</v>
      </c>
      <c r="J33" s="53"/>
      <c r="K33" s="53"/>
      <c r="P33" s="4"/>
    </row>
    <row r="34" spans="2:16" ht="18" customHeight="1" x14ac:dyDescent="0.3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>
    <tabColor theme="1"/>
    <pageSetUpPr fitToPage="1"/>
  </sheetPr>
  <dimension ref="B1:AB35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44617</v>
      </c>
    </row>
    <row r="3" spans="2:27" ht="18.75" customHeight="1" thickBot="1" x14ac:dyDescent="0.35">
      <c r="B3" t="s">
        <v>1</v>
      </c>
      <c r="C3" s="3">
        <f>C2+1</f>
        <v>44618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22798</v>
      </c>
      <c r="G6" s="117">
        <v>13074.670249999999</v>
      </c>
      <c r="H6" s="117">
        <v>5515.9810742400005</v>
      </c>
      <c r="I6" s="152">
        <f>G6+H6</f>
        <v>18590.65132424</v>
      </c>
      <c r="J6" s="119">
        <v>22616</v>
      </c>
      <c r="K6" s="117">
        <v>13875.254999999999</v>
      </c>
      <c r="L6" s="117">
        <v>5378.0981582199984</v>
      </c>
      <c r="M6" s="19">
        <v>0</v>
      </c>
      <c r="N6" s="85">
        <v>81</v>
      </c>
      <c r="O6" s="85">
        <v>78</v>
      </c>
      <c r="P6" s="142">
        <v>71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161</v>
      </c>
      <c r="E8" s="161" t="s">
        <v>27</v>
      </c>
      <c r="F8" s="119">
        <v>0</v>
      </c>
      <c r="G8" s="117">
        <v>0</v>
      </c>
      <c r="H8" s="117">
        <v>4048.1450494000001</v>
      </c>
      <c r="I8" s="152">
        <f>G8+H8</f>
        <v>4048.1450494000001</v>
      </c>
      <c r="J8" s="119">
        <v>0</v>
      </c>
      <c r="K8" s="117">
        <v>0</v>
      </c>
      <c r="L8" s="117">
        <v>4367.710275299999</v>
      </c>
      <c r="M8" s="19">
        <f>K8+L8</f>
        <v>4367.710275299999</v>
      </c>
      <c r="N8" s="87">
        <v>9</v>
      </c>
      <c r="O8" s="87">
        <v>8</v>
      </c>
      <c r="P8" s="144">
        <v>7</v>
      </c>
    </row>
    <row r="9" spans="2:27" x14ac:dyDescent="0.3">
      <c r="B9" s="16" t="s">
        <v>23</v>
      </c>
      <c r="C9" s="17">
        <v>1849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26</v>
      </c>
      <c r="C10" s="17">
        <v>2025</v>
      </c>
      <c r="E10" s="161" t="s">
        <v>31</v>
      </c>
      <c r="F10" s="119">
        <v>17652</v>
      </c>
      <c r="G10" s="117">
        <v>12558.885</v>
      </c>
      <c r="H10" s="117">
        <v>309.88852150000002</v>
      </c>
      <c r="I10" s="152">
        <f>G10+H10</f>
        <v>12868.773521499999</v>
      </c>
      <c r="J10" s="119">
        <v>20637</v>
      </c>
      <c r="K10" s="117">
        <v>12371.7605</v>
      </c>
      <c r="L10" s="117">
        <v>302.72818000000001</v>
      </c>
      <c r="M10" s="19">
        <f>K10+L10</f>
        <v>12674.48868</v>
      </c>
      <c r="N10" s="88">
        <v>57</v>
      </c>
      <c r="O10" s="88">
        <v>55</v>
      </c>
      <c r="P10" s="145">
        <v>51</v>
      </c>
    </row>
    <row r="11" spans="2:27" x14ac:dyDescent="0.3">
      <c r="B11" s="28" t="s">
        <v>28</v>
      </c>
      <c r="C11" s="17">
        <v>927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30</v>
      </c>
      <c r="C12" s="17">
        <v>3559</v>
      </c>
      <c r="E12" s="161" t="s">
        <v>35</v>
      </c>
      <c r="F12" s="119">
        <v>14883</v>
      </c>
      <c r="G12" s="117">
        <v>12304.342000000001</v>
      </c>
      <c r="H12" s="117">
        <v>16589.634337809999</v>
      </c>
      <c r="I12" s="152">
        <f>G12+H12</f>
        <v>28893.97633781</v>
      </c>
      <c r="J12" s="119">
        <v>15074</v>
      </c>
      <c r="K12" s="117">
        <v>14378.163500000001</v>
      </c>
      <c r="L12" s="117">
        <v>16740.649522169999</v>
      </c>
      <c r="M12" s="19">
        <f>K12+L12</f>
        <v>31118.813022169998</v>
      </c>
      <c r="N12" s="88">
        <v>60</v>
      </c>
      <c r="O12" s="88">
        <v>59</v>
      </c>
      <c r="P12" s="145">
        <v>51</v>
      </c>
    </row>
    <row r="13" spans="2:27" x14ac:dyDescent="0.3">
      <c r="B13" s="16" t="s">
        <v>38</v>
      </c>
      <c r="C13" s="17">
        <v>9400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8</v>
      </c>
    </row>
    <row r="14" spans="2:27" x14ac:dyDescent="0.3">
      <c r="B14" s="16" t="s">
        <v>40</v>
      </c>
      <c r="C14" s="17">
        <v>1774</v>
      </c>
      <c r="E14" s="161" t="s">
        <v>39</v>
      </c>
      <c r="F14" s="119">
        <v>24833</v>
      </c>
      <c r="G14" s="117">
        <v>16668.293750000001</v>
      </c>
      <c r="H14" s="117">
        <v>26282.024653699991</v>
      </c>
      <c r="I14" s="152">
        <f>G14+H14</f>
        <v>42950.318403699988</v>
      </c>
      <c r="J14" s="119">
        <v>24381</v>
      </c>
      <c r="K14" s="117">
        <v>20061.897499999999</v>
      </c>
      <c r="L14" s="117">
        <v>28499.359656019999</v>
      </c>
      <c r="M14" s="19">
        <f>K14+L14</f>
        <v>48561.257156020001</v>
      </c>
      <c r="N14" s="88">
        <v>76</v>
      </c>
      <c r="O14" s="88">
        <v>75</v>
      </c>
      <c r="P14" s="145">
        <v>64</v>
      </c>
    </row>
    <row r="15" spans="2:27" x14ac:dyDescent="0.3">
      <c r="B15" s="28" t="s">
        <v>42</v>
      </c>
      <c r="C15" s="17">
        <v>29358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3">
      <c r="B16" s="43" t="s">
        <v>47</v>
      </c>
      <c r="C16" s="17">
        <v>1910</v>
      </c>
      <c r="E16" s="161" t="s">
        <v>79</v>
      </c>
      <c r="F16" s="119">
        <v>0</v>
      </c>
      <c r="G16" s="117">
        <v>0</v>
      </c>
      <c r="H16" s="117">
        <v>9137.5900815000005</v>
      </c>
      <c r="I16" s="152">
        <f>G16+H16</f>
        <v>9137.5900815000005</v>
      </c>
      <c r="J16" s="119">
        <v>0</v>
      </c>
      <c r="K16" s="117">
        <v>0</v>
      </c>
      <c r="L16" s="117">
        <v>8992.6070965399995</v>
      </c>
      <c r="M16" s="19">
        <f>K16+L16</f>
        <v>8992.6070965399995</v>
      </c>
      <c r="N16" s="88">
        <v>14</v>
      </c>
      <c r="O16" s="88">
        <v>14</v>
      </c>
      <c r="P16" s="145">
        <v>13</v>
      </c>
    </row>
    <row r="17" spans="2:28" s="4" customFormat="1" ht="15" customHeight="1" thickBot="1" x14ac:dyDescent="0.35">
      <c r="B17" s="43" t="s">
        <v>48</v>
      </c>
      <c r="C17" s="50">
        <v>335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10581</v>
      </c>
      <c r="E18" s="84"/>
      <c r="F18" s="148">
        <f t="shared" ref="F18:M18" si="0">SUM(F6:F17)</f>
        <v>80166</v>
      </c>
      <c r="G18" s="149">
        <f t="shared" si="0"/>
        <v>54606.190999999992</v>
      </c>
      <c r="H18" s="149">
        <f t="shared" si="0"/>
        <v>61883.263718149989</v>
      </c>
      <c r="I18" s="150">
        <f t="shared" si="0"/>
        <v>116489.45471814999</v>
      </c>
      <c r="J18" s="149">
        <f t="shared" si="0"/>
        <v>82708</v>
      </c>
      <c r="K18" s="149">
        <f t="shared" si="0"/>
        <v>60687.076500000003</v>
      </c>
      <c r="L18" s="149">
        <f t="shared" si="0"/>
        <v>64281.152888249999</v>
      </c>
      <c r="M18" s="157">
        <f t="shared" si="0"/>
        <v>105714.87623003</v>
      </c>
      <c r="N18" s="149">
        <f>SUM(N16,N14,N12,N10,N8,N6)</f>
        <v>297</v>
      </c>
      <c r="O18" s="149">
        <f>SUM(O16,O14,O12,O10,O8,O6)</f>
        <v>289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1759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35">
      <c r="B20" s="57" t="s">
        <v>52</v>
      </c>
      <c r="C20" s="58">
        <v>4620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0.11072664359861592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10115</v>
      </c>
      <c r="D28" s="76">
        <f>C13</f>
        <v>9400</v>
      </c>
      <c r="E28" s="77">
        <f t="shared" ref="E28:E35" si="1">D28-C28</f>
        <v>-715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161</v>
      </c>
      <c r="D30" s="76">
        <f>C8</f>
        <v>161</v>
      </c>
      <c r="E30" s="77">
        <f t="shared" si="1"/>
        <v>0</v>
      </c>
      <c r="P30" s="4"/>
    </row>
    <row r="31" spans="2:28" x14ac:dyDescent="0.3">
      <c r="B31" s="74" t="s">
        <v>56</v>
      </c>
      <c r="C31" s="122">
        <v>36322</v>
      </c>
      <c r="D31" s="76">
        <f>C9+C14+C15+C16+C17</f>
        <v>35226</v>
      </c>
      <c r="E31" s="77">
        <f t="shared" si="1"/>
        <v>-1096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2617</v>
      </c>
      <c r="D33" s="76">
        <f>C12</f>
        <v>3559</v>
      </c>
      <c r="E33" s="77">
        <f t="shared" si="1"/>
        <v>942</v>
      </c>
      <c r="J33" s="53"/>
      <c r="K33" s="53"/>
      <c r="P33" s="4"/>
    </row>
    <row r="34" spans="2:16" x14ac:dyDescent="0.3">
      <c r="B34" s="74" t="s">
        <v>59</v>
      </c>
      <c r="C34" s="122">
        <v>15241</v>
      </c>
      <c r="D34" s="76">
        <f>C18+C19+C20</f>
        <v>16960</v>
      </c>
      <c r="E34" s="77">
        <f t="shared" si="1"/>
        <v>1719</v>
      </c>
      <c r="K34" s="53"/>
      <c r="P34" s="4"/>
    </row>
    <row r="35" spans="2:16" ht="15" customHeight="1" thickBot="1" x14ac:dyDescent="0.35">
      <c r="B35" s="78" t="s">
        <v>60</v>
      </c>
      <c r="C35" s="121">
        <v>3327</v>
      </c>
      <c r="D35" s="80">
        <f>C10+C11</f>
        <v>2952</v>
      </c>
      <c r="E35" s="81">
        <f t="shared" si="1"/>
        <v>-375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>
    <tabColor theme="1"/>
    <pageSetUpPr fitToPage="1"/>
  </sheetPr>
  <dimension ref="B1:AB35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44618</v>
      </c>
    </row>
    <row r="3" spans="2:27" ht="18.75" customHeight="1" thickBot="1" x14ac:dyDescent="0.35">
      <c r="B3" t="s">
        <v>1</v>
      </c>
      <c r="C3" s="3">
        <f>C2+1</f>
        <v>44619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162</v>
      </c>
      <c r="E6" s="161" t="s">
        <v>22</v>
      </c>
      <c r="F6" s="119">
        <v>23962</v>
      </c>
      <c r="G6" s="117">
        <v>12527.03975</v>
      </c>
      <c r="H6" s="117">
        <v>5796.1383479799952</v>
      </c>
      <c r="I6" s="152">
        <f>G6+H6</f>
        <v>18323.178097979995</v>
      </c>
      <c r="J6" s="119">
        <v>24707</v>
      </c>
      <c r="K6" s="117">
        <v>15394.225233333331</v>
      </c>
      <c r="L6" s="117">
        <v>6598.3410774399954</v>
      </c>
      <c r="M6" s="19">
        <v>0</v>
      </c>
      <c r="N6" s="85">
        <v>89</v>
      </c>
      <c r="O6" s="85">
        <v>85</v>
      </c>
      <c r="P6" s="142">
        <v>74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3800.685217199999</v>
      </c>
      <c r="I8" s="152">
        <f>G8+H8</f>
        <v>3800.685217199999</v>
      </c>
      <c r="J8" s="119">
        <v>0</v>
      </c>
      <c r="K8" s="117">
        <v>0</v>
      </c>
      <c r="L8" s="117">
        <v>3889.997575639999</v>
      </c>
      <c r="M8" s="19">
        <f>K8+L8</f>
        <v>3889.997575639999</v>
      </c>
      <c r="N8" s="87">
        <v>7</v>
      </c>
      <c r="O8" s="87">
        <v>6</v>
      </c>
      <c r="P8" s="144">
        <v>3</v>
      </c>
    </row>
    <row r="9" spans="2:27" x14ac:dyDescent="0.3">
      <c r="B9" s="16" t="s">
        <v>23</v>
      </c>
      <c r="C9" s="17">
        <v>2626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3</v>
      </c>
    </row>
    <row r="10" spans="2:27" x14ac:dyDescent="0.3">
      <c r="B10" s="28" t="s">
        <v>26</v>
      </c>
      <c r="C10" s="17">
        <v>2384</v>
      </c>
      <c r="E10" s="161" t="s">
        <v>31</v>
      </c>
      <c r="F10" s="119">
        <v>18768</v>
      </c>
      <c r="G10" s="117">
        <v>13801.078</v>
      </c>
      <c r="H10" s="117">
        <v>342.553361</v>
      </c>
      <c r="I10" s="152">
        <f>G10+H10</f>
        <v>14143.631361</v>
      </c>
      <c r="J10" s="119">
        <v>19438</v>
      </c>
      <c r="K10" s="117">
        <v>15060.263000000001</v>
      </c>
      <c r="L10" s="117">
        <v>351.38675019999999</v>
      </c>
      <c r="M10" s="19">
        <f>K10+L10</f>
        <v>15411.6497502</v>
      </c>
      <c r="N10" s="88">
        <v>61</v>
      </c>
      <c r="O10" s="88">
        <v>60</v>
      </c>
      <c r="P10" s="145">
        <v>51</v>
      </c>
    </row>
    <row r="11" spans="2:27" x14ac:dyDescent="0.3">
      <c r="B11" s="28" t="s">
        <v>28</v>
      </c>
      <c r="C11" s="17">
        <v>977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3">
      <c r="B12" s="16" t="s">
        <v>30</v>
      </c>
      <c r="C12" s="17">
        <v>2018</v>
      </c>
      <c r="E12" s="161" t="s">
        <v>35</v>
      </c>
      <c r="F12" s="119">
        <v>15780</v>
      </c>
      <c r="G12" s="117">
        <v>12926.85475</v>
      </c>
      <c r="H12" s="117">
        <v>19069.089612809999</v>
      </c>
      <c r="I12" s="152">
        <f>G12+H12</f>
        <v>31995.944362809998</v>
      </c>
      <c r="J12" s="119">
        <v>16122</v>
      </c>
      <c r="K12" s="117">
        <v>15321.636</v>
      </c>
      <c r="L12" s="117">
        <v>19536.616765170002</v>
      </c>
      <c r="M12" s="19">
        <f>K12+L12</f>
        <v>34858.25276517</v>
      </c>
      <c r="N12" s="88">
        <v>60</v>
      </c>
      <c r="O12" s="88">
        <v>59</v>
      </c>
      <c r="P12" s="145">
        <v>50</v>
      </c>
    </row>
    <row r="13" spans="2:27" x14ac:dyDescent="0.3">
      <c r="B13" s="16" t="s">
        <v>38</v>
      </c>
      <c r="C13" s="17">
        <v>7757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9</v>
      </c>
    </row>
    <row r="14" spans="2:27" x14ac:dyDescent="0.3">
      <c r="B14" s="16" t="s">
        <v>40</v>
      </c>
      <c r="C14" s="17">
        <v>1996</v>
      </c>
      <c r="E14" s="161" t="s">
        <v>39</v>
      </c>
      <c r="F14" s="119">
        <v>18573</v>
      </c>
      <c r="G14" s="117">
        <v>16875.893749999999</v>
      </c>
      <c r="H14" s="117">
        <v>22607.355255760009</v>
      </c>
      <c r="I14" s="152">
        <f>G14+H14</f>
        <v>39483.249005760008</v>
      </c>
      <c r="J14" s="119">
        <v>18874</v>
      </c>
      <c r="K14" s="117">
        <v>17735.587749999999</v>
      </c>
      <c r="L14" s="117">
        <v>23358.350006440021</v>
      </c>
      <c r="M14" s="19">
        <f>K14+L14</f>
        <v>41093.93775644002</v>
      </c>
      <c r="N14" s="88">
        <v>68</v>
      </c>
      <c r="O14" s="88">
        <v>65</v>
      </c>
      <c r="P14" s="145">
        <v>50</v>
      </c>
    </row>
    <row r="15" spans="2:27" x14ac:dyDescent="0.3">
      <c r="B15" s="28" t="s">
        <v>42</v>
      </c>
      <c r="C15" s="17">
        <v>26083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15</v>
      </c>
    </row>
    <row r="16" spans="2:27" x14ac:dyDescent="0.3">
      <c r="B16" s="43" t="s">
        <v>47</v>
      </c>
      <c r="C16" s="17">
        <v>1224</v>
      </c>
      <c r="E16" s="161" t="s">
        <v>79</v>
      </c>
      <c r="F16" s="119">
        <v>0</v>
      </c>
      <c r="G16" s="117">
        <v>0</v>
      </c>
      <c r="H16" s="117">
        <v>6043.40023716</v>
      </c>
      <c r="I16" s="152">
        <f>G16+H16</f>
        <v>6043.40023716</v>
      </c>
      <c r="J16" s="119">
        <v>0</v>
      </c>
      <c r="K16" s="117">
        <v>0</v>
      </c>
      <c r="L16" s="117">
        <v>6044.6458211200006</v>
      </c>
      <c r="M16" s="19">
        <f>K16+L16</f>
        <v>6044.6458211200006</v>
      </c>
      <c r="N16" s="88">
        <v>12</v>
      </c>
      <c r="O16" s="88">
        <v>12</v>
      </c>
      <c r="P16" s="145">
        <v>11</v>
      </c>
    </row>
    <row r="17" spans="2:28" s="4" customFormat="1" ht="15" customHeight="1" thickBot="1" x14ac:dyDescent="0.35">
      <c r="B17" s="43" t="s">
        <v>48</v>
      </c>
      <c r="C17" s="50">
        <v>293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12332</v>
      </c>
      <c r="E18" s="84"/>
      <c r="F18" s="148">
        <f t="shared" ref="F18:M18" si="0">SUM(F6:F17)</f>
        <v>77083</v>
      </c>
      <c r="G18" s="149">
        <f t="shared" si="0"/>
        <v>56130.866249999992</v>
      </c>
      <c r="H18" s="149">
        <f t="shared" si="0"/>
        <v>57659.222031910009</v>
      </c>
      <c r="I18" s="150">
        <f t="shared" si="0"/>
        <v>113790.08828190999</v>
      </c>
      <c r="J18" s="149">
        <f t="shared" si="0"/>
        <v>79141</v>
      </c>
      <c r="K18" s="149">
        <f t="shared" si="0"/>
        <v>63511.711983333327</v>
      </c>
      <c r="L18" s="149">
        <f t="shared" si="0"/>
        <v>59779.337996010021</v>
      </c>
      <c r="M18" s="157">
        <f t="shared" si="0"/>
        <v>101298.48366857003</v>
      </c>
      <c r="N18" s="149">
        <f>SUM(N16,N14,N12,N10,N8,N6)</f>
        <v>297</v>
      </c>
      <c r="O18" s="149">
        <f>SUM(O16,O14,O12,O10,O8,O6)</f>
        <v>287</v>
      </c>
      <c r="P18" s="158">
        <f>SUM(P16,P14,P12,P10,P8,P6)</f>
        <v>239</v>
      </c>
    </row>
    <row r="19" spans="2:28" ht="15" customHeight="1" thickBot="1" x14ac:dyDescent="0.35">
      <c r="B19" s="16" t="s">
        <v>51</v>
      </c>
      <c r="C19" s="17">
        <v>1621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48</v>
      </c>
    </row>
    <row r="20" spans="2:28" ht="15" customHeight="1" thickBot="1" x14ac:dyDescent="0.35">
      <c r="B20" s="57" t="s">
        <v>52</v>
      </c>
      <c r="C20" s="58">
        <v>4910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0.1672473867595819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11315</v>
      </c>
      <c r="D28" s="76">
        <f>C13</f>
        <v>7757</v>
      </c>
      <c r="E28" s="77">
        <f t="shared" ref="E28:E35" si="1">D28-C28</f>
        <v>-3558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P30" s="4"/>
    </row>
    <row r="31" spans="2:28" x14ac:dyDescent="0.3">
      <c r="B31" s="74" t="s">
        <v>56</v>
      </c>
      <c r="C31" s="122">
        <v>38650</v>
      </c>
      <c r="D31" s="76">
        <f>C9+C14+C15+C16+C17</f>
        <v>32222</v>
      </c>
      <c r="E31" s="77">
        <f t="shared" si="1"/>
        <v>-6428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162</v>
      </c>
      <c r="E32" s="77">
        <f t="shared" si="1"/>
        <v>162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1905</v>
      </c>
      <c r="D33" s="76">
        <f>C12</f>
        <v>2018</v>
      </c>
      <c r="E33" s="77">
        <f t="shared" si="1"/>
        <v>113</v>
      </c>
      <c r="J33" s="53"/>
      <c r="K33" s="53"/>
      <c r="P33" s="4"/>
    </row>
    <row r="34" spans="2:16" x14ac:dyDescent="0.3">
      <c r="B34" s="74" t="s">
        <v>59</v>
      </c>
      <c r="C34" s="122">
        <v>16470</v>
      </c>
      <c r="D34" s="76">
        <f>C18+C19+C20</f>
        <v>18863</v>
      </c>
      <c r="E34" s="77">
        <f t="shared" si="1"/>
        <v>2393</v>
      </c>
      <c r="K34" s="53"/>
      <c r="P34" s="4"/>
    </row>
    <row r="35" spans="2:16" ht="15" customHeight="1" thickBot="1" x14ac:dyDescent="0.35">
      <c r="B35" s="78" t="s">
        <v>60</v>
      </c>
      <c r="C35" s="121">
        <v>3224</v>
      </c>
      <c r="D35" s="80">
        <f>C10+C11</f>
        <v>3361</v>
      </c>
      <c r="E35" s="81">
        <f t="shared" si="1"/>
        <v>137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44619</v>
      </c>
    </row>
    <row r="3" spans="2:27" ht="18.75" customHeight="1" thickBot="1" x14ac:dyDescent="0.35">
      <c r="B3" t="s">
        <v>1</v>
      </c>
      <c r="C3" s="3">
        <f>C2+1</f>
        <v>44620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8415</v>
      </c>
      <c r="G6" s="117">
        <v>3095.35</v>
      </c>
      <c r="H6" s="117">
        <v>1348</v>
      </c>
      <c r="I6" s="152">
        <f>G6+H6</f>
        <v>4443.3500000000004</v>
      </c>
      <c r="J6" s="119">
        <v>8330</v>
      </c>
      <c r="K6" s="117">
        <v>3074</v>
      </c>
      <c r="L6" s="117">
        <v>1284</v>
      </c>
      <c r="M6" s="19">
        <v>0</v>
      </c>
      <c r="N6" s="85">
        <v>49</v>
      </c>
      <c r="O6" s="85">
        <v>48</v>
      </c>
      <c r="P6" s="142">
        <v>35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1</v>
      </c>
      <c r="O8" s="87">
        <v>0</v>
      </c>
      <c r="P8" s="144">
        <v>1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8500</v>
      </c>
      <c r="G10" s="117">
        <v>3795.28</v>
      </c>
      <c r="H10" s="117">
        <v>329</v>
      </c>
      <c r="I10" s="152">
        <f>G10+H10</f>
        <v>4124.2800000000007</v>
      </c>
      <c r="J10" s="119">
        <v>8576</v>
      </c>
      <c r="K10" s="117">
        <v>3931</v>
      </c>
      <c r="L10" s="117">
        <v>322</v>
      </c>
      <c r="M10" s="19">
        <f>K10+L10</f>
        <v>4253</v>
      </c>
      <c r="N10" s="88">
        <v>0</v>
      </c>
      <c r="O10" s="88">
        <v>0</v>
      </c>
      <c r="P10" s="145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145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145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10886</v>
      </c>
      <c r="E18" s="84"/>
      <c r="F18" s="148">
        <f t="shared" ref="F18:M18" si="0">SUM(F6:F17)</f>
        <v>16915</v>
      </c>
      <c r="G18" s="149">
        <f t="shared" si="0"/>
        <v>6890.63</v>
      </c>
      <c r="H18" s="149">
        <f t="shared" si="0"/>
        <v>1677</v>
      </c>
      <c r="I18" s="150">
        <f t="shared" si="0"/>
        <v>8567.630000000001</v>
      </c>
      <c r="J18" s="149">
        <f t="shared" si="0"/>
        <v>16906</v>
      </c>
      <c r="K18" s="149">
        <f t="shared" si="0"/>
        <v>7005</v>
      </c>
      <c r="L18" s="149">
        <f t="shared" si="0"/>
        <v>1606</v>
      </c>
      <c r="M18" s="157">
        <f t="shared" si="0"/>
        <v>4253</v>
      </c>
      <c r="N18" s="149">
        <f>SUM(N16,N14,N12,N10,N8,N6)</f>
        <v>51</v>
      </c>
      <c r="O18" s="149">
        <f>SUM(O16,O14,O12,O10,O8,O6)</f>
        <v>48</v>
      </c>
      <c r="P18" s="158">
        <f>SUM(P16,P14,P12,P10,P8,P6)</f>
        <v>36</v>
      </c>
    </row>
    <row r="19" spans="2:28" ht="15" customHeight="1" thickBot="1" x14ac:dyDescent="0.35">
      <c r="B19" s="16" t="s">
        <v>51</v>
      </c>
      <c r="C19" s="17">
        <v>837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35">
      <c r="B20" s="57" t="s">
        <v>52</v>
      </c>
      <c r="C20" s="58">
        <v>5183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0.25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16915</v>
      </c>
      <c r="D34" s="76">
        <f>C18+C19+C20</f>
        <v>16906</v>
      </c>
      <c r="E34" s="77">
        <f t="shared" si="1"/>
        <v>-9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>
    <tabColor theme="1"/>
    <pageSetUpPr fitToPage="1"/>
  </sheetPr>
  <dimension ref="B1:AB35"/>
  <sheetViews>
    <sheetView zoomScale="85" zoomScaleNormal="85" zoomScaleSheetLayoutView="70" workbookViewId="0">
      <selection activeCell="G28" sqref="G28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44620</v>
      </c>
    </row>
    <row r="3" spans="2:27" ht="18.75" customHeight="1" thickBot="1" x14ac:dyDescent="0.35">
      <c r="B3" t="s">
        <v>1</v>
      </c>
      <c r="C3" s="3">
        <f>C2+1</f>
        <v>44621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69</v>
      </c>
      <c r="E6" s="161" t="s">
        <v>22</v>
      </c>
      <c r="F6" s="119">
        <v>24914</v>
      </c>
      <c r="G6" s="117">
        <v>13513.474783333329</v>
      </c>
      <c r="H6" s="117">
        <v>5854.9285844200022</v>
      </c>
      <c r="I6" s="152">
        <f>G6+H6</f>
        <v>19368.40336775333</v>
      </c>
      <c r="J6" s="119">
        <v>24972</v>
      </c>
      <c r="K6" s="117">
        <v>13781.52603333333</v>
      </c>
      <c r="L6" s="117">
        <v>5697.1716821800028</v>
      </c>
      <c r="M6" s="19">
        <v>0</v>
      </c>
      <c r="N6" s="85">
        <v>77</v>
      </c>
      <c r="O6" s="85">
        <v>75</v>
      </c>
      <c r="P6" s="142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3938.24821062</v>
      </c>
      <c r="I8" s="152">
        <f>G8+H8</f>
        <v>3938.24821062</v>
      </c>
      <c r="J8" s="119">
        <v>0</v>
      </c>
      <c r="K8" s="117">
        <v>0</v>
      </c>
      <c r="L8" s="117">
        <v>3729.9100404199999</v>
      </c>
      <c r="M8" s="19">
        <f>K8+L8</f>
        <v>3729.9100404199999</v>
      </c>
      <c r="N8" s="87">
        <v>9</v>
      </c>
      <c r="O8" s="87">
        <v>7</v>
      </c>
      <c r="P8" s="144">
        <v>5</v>
      </c>
    </row>
    <row r="9" spans="2:27" x14ac:dyDescent="0.3">
      <c r="B9" s="16" t="s">
        <v>23</v>
      </c>
      <c r="C9" s="17">
        <v>1819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26</v>
      </c>
      <c r="C10" s="17">
        <v>2010</v>
      </c>
      <c r="E10" s="161" t="s">
        <v>31</v>
      </c>
      <c r="F10" s="119">
        <v>18137</v>
      </c>
      <c r="G10" s="117">
        <v>12919.563999999989</v>
      </c>
      <c r="H10" s="117">
        <v>347.59531500000003</v>
      </c>
      <c r="I10" s="152">
        <f>G10+H10</f>
        <v>13267.15931499999</v>
      </c>
      <c r="J10" s="119">
        <v>18717</v>
      </c>
      <c r="K10" s="117">
        <v>13380.025</v>
      </c>
      <c r="L10" s="117">
        <v>364.45106510000011</v>
      </c>
      <c r="M10" s="19">
        <f>K10+L10</f>
        <v>13744.4760651</v>
      </c>
      <c r="N10" s="88">
        <v>49</v>
      </c>
      <c r="O10" s="88">
        <v>50</v>
      </c>
      <c r="P10" s="145">
        <v>41</v>
      </c>
    </row>
    <row r="11" spans="2:27" x14ac:dyDescent="0.3">
      <c r="B11" s="28" t="s">
        <v>28</v>
      </c>
      <c r="C11" s="17">
        <v>974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3">
      <c r="B12" s="16" t="s">
        <v>30</v>
      </c>
      <c r="C12" s="17">
        <v>2388</v>
      </c>
      <c r="E12" s="161" t="s">
        <v>35</v>
      </c>
      <c r="F12" s="119">
        <v>14066</v>
      </c>
      <c r="G12" s="117">
        <v>12073.87775</v>
      </c>
      <c r="H12" s="117">
        <v>15692.542986230001</v>
      </c>
      <c r="I12" s="152">
        <f>G12+H12</f>
        <v>27766.42073623</v>
      </c>
      <c r="J12" s="119">
        <v>13939</v>
      </c>
      <c r="K12" s="117">
        <v>13080.022999999999</v>
      </c>
      <c r="L12" s="117">
        <v>15624.629048250001</v>
      </c>
      <c r="M12" s="19">
        <f>K12+L12</f>
        <v>28704.652048249998</v>
      </c>
      <c r="N12" s="88">
        <v>56</v>
      </c>
      <c r="O12" s="88">
        <v>55</v>
      </c>
      <c r="P12" s="145">
        <v>49</v>
      </c>
    </row>
    <row r="13" spans="2:27" x14ac:dyDescent="0.3">
      <c r="B13" s="16" t="s">
        <v>38</v>
      </c>
      <c r="C13" s="17">
        <v>9154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2:27" x14ac:dyDescent="0.3">
      <c r="B14" s="16" t="s">
        <v>40</v>
      </c>
      <c r="C14" s="17">
        <v>2141</v>
      </c>
      <c r="E14" s="161" t="s">
        <v>39</v>
      </c>
      <c r="F14" s="119">
        <v>20061</v>
      </c>
      <c r="G14" s="117">
        <v>16794.482499999998</v>
      </c>
      <c r="H14" s="117">
        <v>24683.716584999991</v>
      </c>
      <c r="I14" s="152">
        <f>G14+H14</f>
        <v>41478.199084999986</v>
      </c>
      <c r="J14" s="119">
        <v>19327</v>
      </c>
      <c r="K14" s="117">
        <v>17487.481</v>
      </c>
      <c r="L14" s="117">
        <v>23821.153757380001</v>
      </c>
      <c r="M14" s="19">
        <f>K14+L14</f>
        <v>41308.634757380001</v>
      </c>
      <c r="N14" s="88">
        <v>69</v>
      </c>
      <c r="O14" s="88">
        <v>65</v>
      </c>
      <c r="P14" s="145">
        <v>54</v>
      </c>
    </row>
    <row r="15" spans="2:27" x14ac:dyDescent="0.3">
      <c r="B15" s="28" t="s">
        <v>42</v>
      </c>
      <c r="C15" s="17">
        <v>28284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3">
      <c r="B16" s="43" t="s">
        <v>47</v>
      </c>
      <c r="C16" s="17">
        <v>1407</v>
      </c>
      <c r="E16" s="161" t="s">
        <v>79</v>
      </c>
      <c r="F16" s="119">
        <v>0</v>
      </c>
      <c r="G16" s="117">
        <v>0</v>
      </c>
      <c r="H16" s="117">
        <v>8492.3901932199988</v>
      </c>
      <c r="I16" s="152">
        <f>G16+H16</f>
        <v>8492.3901932199988</v>
      </c>
      <c r="J16" s="119">
        <v>0</v>
      </c>
      <c r="K16" s="117">
        <v>0</v>
      </c>
      <c r="L16" s="117">
        <v>8435.1518247200001</v>
      </c>
      <c r="M16" s="19">
        <f>K16+L16</f>
        <v>8435.1518247200001</v>
      </c>
      <c r="N16" s="88">
        <v>10</v>
      </c>
      <c r="O16" s="88">
        <v>10</v>
      </c>
      <c r="P16" s="145">
        <v>10</v>
      </c>
    </row>
    <row r="17" spans="2:28" s="4" customFormat="1" ht="15" customHeight="1" thickBot="1" x14ac:dyDescent="0.35">
      <c r="B17" s="43" t="s">
        <v>48</v>
      </c>
      <c r="C17" s="50">
        <v>431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12629</v>
      </c>
      <c r="E18" s="84"/>
      <c r="F18" s="148">
        <f t="shared" ref="F18:M18" si="0">SUM(F6:F17)</f>
        <v>77178</v>
      </c>
      <c r="G18" s="149">
        <f t="shared" si="0"/>
        <v>55301.39903333332</v>
      </c>
      <c r="H18" s="149">
        <f t="shared" si="0"/>
        <v>59009.421874489984</v>
      </c>
      <c r="I18" s="150">
        <f t="shared" si="0"/>
        <v>114310.8209078233</v>
      </c>
      <c r="J18" s="149">
        <f t="shared" si="0"/>
        <v>76955</v>
      </c>
      <c r="K18" s="149">
        <f t="shared" si="0"/>
        <v>57729.05503333333</v>
      </c>
      <c r="L18" s="149">
        <f t="shared" si="0"/>
        <v>57672.467418050008</v>
      </c>
      <c r="M18" s="157">
        <f t="shared" si="0"/>
        <v>95922.824735870003</v>
      </c>
      <c r="N18" s="149">
        <f>SUM(N16,N14,N12,N10,N8,N6)</f>
        <v>270</v>
      </c>
      <c r="O18" s="149">
        <f>SUM(O16,O14,O12,O10,O8,O6)</f>
        <v>262</v>
      </c>
      <c r="P18" s="158">
        <f>SUM(P16,P14,P12,P10,P8,P6)</f>
        <v>227</v>
      </c>
    </row>
    <row r="19" spans="2:28" ht="15" customHeight="1" thickBot="1" x14ac:dyDescent="0.35">
      <c r="B19" s="16" t="s">
        <v>51</v>
      </c>
      <c r="C19" s="17">
        <v>1049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5080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0.13358778625954199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9846</v>
      </c>
      <c r="D28" s="76">
        <f>C13</f>
        <v>9154</v>
      </c>
      <c r="E28" s="77">
        <f t="shared" ref="E28:E35" si="1">D28-C28</f>
        <v>-692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P30" s="4"/>
    </row>
    <row r="31" spans="2:28" x14ac:dyDescent="0.3">
      <c r="B31" s="74" t="s">
        <v>56</v>
      </c>
      <c r="C31" s="122">
        <v>35642</v>
      </c>
      <c r="D31" s="76">
        <f>C9+C14+C15+C16+C17</f>
        <v>34082</v>
      </c>
      <c r="E31" s="77">
        <f t="shared" si="1"/>
        <v>-1560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69</v>
      </c>
      <c r="D32" s="76">
        <f>C6</f>
        <v>69</v>
      </c>
      <c r="E32" s="77">
        <f t="shared" si="1"/>
        <v>0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2388</v>
      </c>
      <c r="D33" s="76">
        <f>C12</f>
        <v>2388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16882</v>
      </c>
      <c r="D34" s="76">
        <f>C18+C19+C20</f>
        <v>18758</v>
      </c>
      <c r="E34" s="77">
        <f t="shared" si="1"/>
        <v>1876</v>
      </c>
      <c r="K34" s="53"/>
      <c r="P34" s="4"/>
    </row>
    <row r="35" spans="2:16" ht="15" customHeight="1" thickBot="1" x14ac:dyDescent="0.35">
      <c r="B35" s="78" t="s">
        <v>60</v>
      </c>
      <c r="C35" s="121">
        <v>2984</v>
      </c>
      <c r="D35" s="80">
        <f>C10+C11</f>
        <v>2984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44621</v>
      </c>
    </row>
    <row r="3" spans="2:27" ht="18.75" customHeight="1" thickBot="1" x14ac:dyDescent="0.35">
      <c r="B3" t="s">
        <v>1</v>
      </c>
      <c r="C3" s="3">
        <f>C2+1</f>
        <v>44622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126</v>
      </c>
      <c r="E6" s="161" t="s">
        <v>22</v>
      </c>
      <c r="F6" s="119">
        <v>27297</v>
      </c>
      <c r="G6" s="117">
        <v>13240.68193333333</v>
      </c>
      <c r="H6" s="117">
        <v>6447.1586800599971</v>
      </c>
      <c r="I6" s="152">
        <f>G6+H6</f>
        <v>19687.840613393328</v>
      </c>
      <c r="J6" s="119">
        <v>27488</v>
      </c>
      <c r="K6" s="117">
        <v>14345.587183333329</v>
      </c>
      <c r="L6" s="117">
        <v>6271.4197418599979</v>
      </c>
      <c r="M6" s="19">
        <v>0</v>
      </c>
      <c r="N6" s="85">
        <v>90</v>
      </c>
      <c r="O6" s="85">
        <v>84</v>
      </c>
      <c r="P6" s="142">
        <v>77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3581.3705404399998</v>
      </c>
      <c r="I8" s="152">
        <f>G8+H8</f>
        <v>3581.3705404399998</v>
      </c>
      <c r="J8" s="119">
        <v>0</v>
      </c>
      <c r="K8" s="117">
        <v>0</v>
      </c>
      <c r="L8" s="117">
        <v>3763.283774980001</v>
      </c>
      <c r="M8" s="19">
        <f>K8+L8</f>
        <v>3763.283774980001</v>
      </c>
      <c r="N8" s="87">
        <v>7</v>
      </c>
      <c r="O8" s="87">
        <v>6</v>
      </c>
      <c r="P8" s="144">
        <v>6</v>
      </c>
    </row>
    <row r="9" spans="2:27" x14ac:dyDescent="0.3">
      <c r="B9" s="16" t="s">
        <v>23</v>
      </c>
      <c r="C9" s="17">
        <v>2708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26</v>
      </c>
      <c r="C10" s="17">
        <v>1845</v>
      </c>
      <c r="E10" s="161" t="s">
        <v>31</v>
      </c>
      <c r="F10" s="119">
        <v>19478</v>
      </c>
      <c r="G10" s="117">
        <v>13381.126</v>
      </c>
      <c r="H10" s="117">
        <v>368.4289005</v>
      </c>
      <c r="I10" s="152">
        <f>G10+H10</f>
        <v>13749.554900499999</v>
      </c>
      <c r="J10" s="119">
        <v>19691</v>
      </c>
      <c r="K10" s="117">
        <v>14001.539000000001</v>
      </c>
      <c r="L10" s="117">
        <v>363.86058650000001</v>
      </c>
      <c r="M10" s="19">
        <f>K10+L10</f>
        <v>14365.399586500002</v>
      </c>
      <c r="N10" s="88">
        <v>56</v>
      </c>
      <c r="O10" s="88">
        <v>55</v>
      </c>
      <c r="P10" s="145">
        <v>48</v>
      </c>
    </row>
    <row r="11" spans="2:27" x14ac:dyDescent="0.3">
      <c r="B11" s="28" t="s">
        <v>28</v>
      </c>
      <c r="C11" s="17">
        <v>1049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7</v>
      </c>
    </row>
    <row r="12" spans="2:27" x14ac:dyDescent="0.3">
      <c r="B12" s="16" t="s">
        <v>30</v>
      </c>
      <c r="C12" s="17">
        <v>3361</v>
      </c>
      <c r="E12" s="161" t="s">
        <v>35</v>
      </c>
      <c r="F12" s="119">
        <v>14376</v>
      </c>
      <c r="G12" s="117">
        <v>11473.325000000001</v>
      </c>
      <c r="H12" s="117">
        <v>16720.20664783</v>
      </c>
      <c r="I12" s="152">
        <f>G12+H12</f>
        <v>28193.531647830001</v>
      </c>
      <c r="J12" s="119">
        <v>15286</v>
      </c>
      <c r="K12" s="117">
        <v>13851.1445</v>
      </c>
      <c r="L12" s="117">
        <v>17810.019766590001</v>
      </c>
      <c r="M12" s="19">
        <f>K12+L12</f>
        <v>31661.16426659</v>
      </c>
      <c r="N12" s="88">
        <v>56</v>
      </c>
      <c r="O12" s="88">
        <v>53</v>
      </c>
      <c r="P12" s="145">
        <v>47</v>
      </c>
    </row>
    <row r="13" spans="2:27" x14ac:dyDescent="0.3">
      <c r="B13" s="16" t="s">
        <v>38</v>
      </c>
      <c r="C13" s="17">
        <v>10905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2:27" x14ac:dyDescent="0.3">
      <c r="B14" s="16" t="s">
        <v>40</v>
      </c>
      <c r="C14" s="17">
        <v>1620</v>
      </c>
      <c r="E14" s="161" t="s">
        <v>39</v>
      </c>
      <c r="F14" s="119">
        <v>21752</v>
      </c>
      <c r="G14" s="117">
        <v>17024.11825</v>
      </c>
      <c r="H14" s="117">
        <v>28164.160837759999</v>
      </c>
      <c r="I14" s="152">
        <f>G14+H14</f>
        <v>45188.279087759998</v>
      </c>
      <c r="J14" s="119">
        <v>23355</v>
      </c>
      <c r="K14" s="117">
        <v>21141.817500000001</v>
      </c>
      <c r="L14" s="117">
        <v>30417.324111380021</v>
      </c>
      <c r="M14" s="19">
        <f>K14+L14</f>
        <v>51559.141611380022</v>
      </c>
      <c r="N14" s="88">
        <v>74</v>
      </c>
      <c r="O14" s="88">
        <v>70</v>
      </c>
      <c r="P14" s="145">
        <v>64</v>
      </c>
    </row>
    <row r="15" spans="2:27" x14ac:dyDescent="0.3">
      <c r="B15" s="28" t="s">
        <v>42</v>
      </c>
      <c r="C15" s="17">
        <v>31700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3">
      <c r="B16" s="43" t="s">
        <v>47</v>
      </c>
      <c r="C16" s="17">
        <v>1102</v>
      </c>
      <c r="E16" s="161" t="s">
        <v>79</v>
      </c>
      <c r="F16" s="119">
        <v>0</v>
      </c>
      <c r="G16" s="117">
        <v>0</v>
      </c>
      <c r="H16" s="117">
        <v>5634.3464287000006</v>
      </c>
      <c r="I16" s="152">
        <f>G16+H16</f>
        <v>5634.3464287000006</v>
      </c>
      <c r="J16" s="119">
        <v>0</v>
      </c>
      <c r="K16" s="117">
        <v>0</v>
      </c>
      <c r="L16" s="117">
        <v>5602.9160625599998</v>
      </c>
      <c r="M16" s="19">
        <f>K16+L16</f>
        <v>5602.9160625599998</v>
      </c>
      <c r="N16" s="88">
        <v>12</v>
      </c>
      <c r="O16" s="88">
        <v>12</v>
      </c>
      <c r="P16" s="145">
        <v>12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11344</v>
      </c>
      <c r="E18" s="84"/>
      <c r="F18" s="148">
        <f t="shared" ref="F18:M18" si="0">SUM(F6:F17)</f>
        <v>82903</v>
      </c>
      <c r="G18" s="149">
        <f t="shared" si="0"/>
        <v>55119.251183333326</v>
      </c>
      <c r="H18" s="149">
        <f t="shared" si="0"/>
        <v>60915.672035289994</v>
      </c>
      <c r="I18" s="150">
        <f t="shared" si="0"/>
        <v>116034.92321862333</v>
      </c>
      <c r="J18" s="149">
        <f t="shared" si="0"/>
        <v>85820</v>
      </c>
      <c r="K18" s="149">
        <f t="shared" si="0"/>
        <v>63340.088183333326</v>
      </c>
      <c r="L18" s="149">
        <f t="shared" si="0"/>
        <v>64228.824043870023</v>
      </c>
      <c r="M18" s="157">
        <f t="shared" si="0"/>
        <v>106951.90530201003</v>
      </c>
      <c r="N18" s="149">
        <f>SUM(N16,N14,N12,N10,N8,N6)</f>
        <v>295</v>
      </c>
      <c r="O18" s="149">
        <f>SUM(O16,O14,O12,O10,O8,O6)</f>
        <v>280</v>
      </c>
      <c r="P18" s="158">
        <f>SUM(P16,P14,P12,P10,P8,P6)</f>
        <v>254</v>
      </c>
    </row>
    <row r="19" spans="2:28" ht="15" customHeight="1" thickBot="1" x14ac:dyDescent="0.35">
      <c r="B19" s="16" t="s">
        <v>51</v>
      </c>
      <c r="C19" s="17">
        <v>953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35">
      <c r="B20" s="57" t="s">
        <v>52</v>
      </c>
      <c r="C20" s="58">
        <v>5458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9.285714285714286E-2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10766</v>
      </c>
      <c r="D28" s="76">
        <f>C13</f>
        <v>10905</v>
      </c>
      <c r="E28" s="77">
        <f t="shared" ref="E28:E35" si="1">D28-C28</f>
        <v>139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34786</v>
      </c>
      <c r="D31" s="76">
        <f>C9+C14+C15+C16+C17</f>
        <v>37336</v>
      </c>
      <c r="E31" s="77">
        <f t="shared" si="1"/>
        <v>2550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126</v>
      </c>
      <c r="D32" s="76">
        <f>C6</f>
        <v>126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3361</v>
      </c>
      <c r="D33" s="76">
        <f>C12</f>
        <v>3361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17480</v>
      </c>
      <c r="D34" s="76">
        <f>C18+C19+C20</f>
        <v>17755</v>
      </c>
      <c r="E34" s="77">
        <f t="shared" si="1"/>
        <v>275</v>
      </c>
      <c r="K34" s="53"/>
      <c r="P34" s="4"/>
    </row>
    <row r="35" spans="2:16" ht="15" customHeight="1" thickBot="1" x14ac:dyDescent="0.35">
      <c r="B35" s="78" t="s">
        <v>60</v>
      </c>
      <c r="C35" s="121">
        <v>2894</v>
      </c>
      <c r="D35" s="80">
        <f>C10+C11</f>
        <v>2894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22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44622</v>
      </c>
    </row>
    <row r="3" spans="2:27" ht="18.75" customHeight="1" thickBot="1" x14ac:dyDescent="0.35">
      <c r="B3" t="s">
        <v>1</v>
      </c>
      <c r="C3" s="3">
        <f>C2+1</f>
        <v>44623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104</v>
      </c>
    </row>
    <row r="6" spans="2:27" x14ac:dyDescent="0.3">
      <c r="B6" s="16" t="s">
        <v>21</v>
      </c>
      <c r="C6" s="17">
        <v>57</v>
      </c>
      <c r="E6" s="161" t="s">
        <v>22</v>
      </c>
      <c r="F6" s="119">
        <v>26668</v>
      </c>
      <c r="G6" s="117">
        <v>12955.30875</v>
      </c>
      <c r="H6" s="117">
        <v>5821.8536002399997</v>
      </c>
      <c r="I6" s="152">
        <f>G6+H6</f>
        <v>18777.16235024</v>
      </c>
      <c r="J6" s="119">
        <v>27661</v>
      </c>
      <c r="K6" s="117">
        <v>15182.5335</v>
      </c>
      <c r="L6" s="117">
        <v>5577.5800865599949</v>
      </c>
      <c r="M6" s="19">
        <v>0</v>
      </c>
      <c r="N6" s="85">
        <v>82</v>
      </c>
      <c r="O6" s="85">
        <v>77</v>
      </c>
      <c r="P6" s="142">
        <v>68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31</v>
      </c>
      <c r="E8" s="161" t="s">
        <v>27</v>
      </c>
      <c r="F8" s="119">
        <v>0</v>
      </c>
      <c r="G8" s="117">
        <v>0</v>
      </c>
      <c r="H8" s="117">
        <v>4646.0276019199991</v>
      </c>
      <c r="I8" s="152">
        <f>G8+H8</f>
        <v>4646.0276019199991</v>
      </c>
      <c r="J8" s="119">
        <v>0</v>
      </c>
      <c r="K8" s="117">
        <v>0</v>
      </c>
      <c r="L8" s="117">
        <v>4673.3417903599984</v>
      </c>
      <c r="M8" s="19">
        <f>K8+L8</f>
        <v>4673.3417903599984</v>
      </c>
      <c r="N8" s="87">
        <v>4</v>
      </c>
      <c r="O8" s="87">
        <v>4</v>
      </c>
      <c r="P8" s="144">
        <v>3</v>
      </c>
    </row>
    <row r="9" spans="2:27" x14ac:dyDescent="0.3">
      <c r="B9" s="16" t="s">
        <v>23</v>
      </c>
      <c r="C9" s="17">
        <v>1644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26</v>
      </c>
      <c r="C10" s="17">
        <v>1869</v>
      </c>
      <c r="E10" s="161" t="s">
        <v>31</v>
      </c>
      <c r="F10" s="119">
        <v>19545</v>
      </c>
      <c r="G10" s="117">
        <v>12929.5455</v>
      </c>
      <c r="H10" s="117">
        <v>338.13510250000002</v>
      </c>
      <c r="I10" s="152">
        <f>G10+H10</f>
        <v>13267.680602500001</v>
      </c>
      <c r="J10" s="119">
        <v>19220</v>
      </c>
      <c r="K10" s="117">
        <v>13164.7595</v>
      </c>
      <c r="L10" s="117">
        <v>363.59954169999997</v>
      </c>
      <c r="M10" s="19">
        <f>K10+L10</f>
        <v>13528.3590417</v>
      </c>
      <c r="N10" s="88">
        <v>50</v>
      </c>
      <c r="O10" s="88">
        <v>47</v>
      </c>
      <c r="P10" s="145">
        <v>43</v>
      </c>
    </row>
    <row r="11" spans="2:27" x14ac:dyDescent="0.3">
      <c r="B11" s="28" t="s">
        <v>28</v>
      </c>
      <c r="C11" s="17">
        <v>1158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3">
      <c r="B12" s="16" t="s">
        <v>30</v>
      </c>
      <c r="C12" s="17">
        <v>2302</v>
      </c>
      <c r="E12" s="161" t="s">
        <v>35</v>
      </c>
      <c r="F12" s="119">
        <v>14026</v>
      </c>
      <c r="G12" s="117">
        <v>10968.985000000001</v>
      </c>
      <c r="H12" s="117">
        <v>16351.3657915</v>
      </c>
      <c r="I12" s="152">
        <f>G12+H12</f>
        <v>27320.350791500001</v>
      </c>
      <c r="J12" s="119">
        <v>14928</v>
      </c>
      <c r="K12" s="117">
        <v>13622.642250000001</v>
      </c>
      <c r="L12" s="117">
        <v>16780.368926529991</v>
      </c>
      <c r="M12" s="19">
        <f>K12+L12</f>
        <v>30403.011176529992</v>
      </c>
      <c r="N12" s="88">
        <v>53</v>
      </c>
      <c r="O12" s="88">
        <v>51</v>
      </c>
      <c r="P12" s="145">
        <v>46</v>
      </c>
    </row>
    <row r="13" spans="2:27" x14ac:dyDescent="0.3">
      <c r="B13" s="16" t="s">
        <v>38</v>
      </c>
      <c r="C13" s="17">
        <v>11837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5</v>
      </c>
    </row>
    <row r="14" spans="2:27" x14ac:dyDescent="0.3">
      <c r="B14" s="16" t="s">
        <v>40</v>
      </c>
      <c r="C14" s="17">
        <v>1736</v>
      </c>
      <c r="E14" s="161" t="s">
        <v>39</v>
      </c>
      <c r="F14" s="119">
        <v>19384</v>
      </c>
      <c r="G14" s="117">
        <v>14657.0275</v>
      </c>
      <c r="H14" s="117">
        <v>22184.655126419999</v>
      </c>
      <c r="I14" s="152">
        <f>G14+H14</f>
        <v>36841.682626419999</v>
      </c>
      <c r="J14" s="119">
        <v>20464</v>
      </c>
      <c r="K14" s="117">
        <v>18241.69875</v>
      </c>
      <c r="L14" s="117">
        <v>23848.32901736</v>
      </c>
      <c r="M14" s="19">
        <f>K14+L14</f>
        <v>42090.027767359999</v>
      </c>
      <c r="N14" s="88">
        <v>69</v>
      </c>
      <c r="O14" s="88">
        <v>66</v>
      </c>
      <c r="P14" s="145">
        <v>51</v>
      </c>
    </row>
    <row r="15" spans="2:27" x14ac:dyDescent="0.3">
      <c r="B15" s="28" t="s">
        <v>42</v>
      </c>
      <c r="C15" s="17">
        <v>28419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15</v>
      </c>
    </row>
    <row r="16" spans="2:27" x14ac:dyDescent="0.3">
      <c r="B16" s="43" t="s">
        <v>47</v>
      </c>
      <c r="C16" s="17">
        <v>1396</v>
      </c>
      <c r="E16" s="161" t="s">
        <v>79</v>
      </c>
      <c r="F16" s="119">
        <v>0</v>
      </c>
      <c r="G16" s="117">
        <v>0</v>
      </c>
      <c r="H16" s="117">
        <v>9214.2868578800008</v>
      </c>
      <c r="I16" s="152">
        <f>G16+H16</f>
        <v>9214.2868578800008</v>
      </c>
      <c r="J16" s="119">
        <v>0</v>
      </c>
      <c r="K16" s="117">
        <v>0</v>
      </c>
      <c r="L16" s="117">
        <v>8940.9955084600006</v>
      </c>
      <c r="M16" s="19">
        <f>K16+L16</f>
        <v>8940.9955084600006</v>
      </c>
      <c r="N16" s="88">
        <v>9</v>
      </c>
      <c r="O16" s="88">
        <v>10</v>
      </c>
      <c r="P16" s="145">
        <v>9</v>
      </c>
    </row>
    <row r="17" spans="2:28" s="4" customFormat="1" ht="15" customHeight="1" thickBot="1" x14ac:dyDescent="0.35">
      <c r="B17" s="43" t="s">
        <v>48</v>
      </c>
      <c r="C17" s="50">
        <v>340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12041</v>
      </c>
      <c r="E18" s="84"/>
      <c r="F18" s="148">
        <f t="shared" ref="F18:M18" si="0">SUM(F6:F17)</f>
        <v>79623</v>
      </c>
      <c r="G18" s="149">
        <f t="shared" si="0"/>
        <v>51510.866750000001</v>
      </c>
      <c r="H18" s="149">
        <f t="shared" si="0"/>
        <v>58556.324080459992</v>
      </c>
      <c r="I18" s="150">
        <f t="shared" si="0"/>
        <v>110067.19083045999</v>
      </c>
      <c r="J18" s="149">
        <f t="shared" si="0"/>
        <v>82273</v>
      </c>
      <c r="K18" s="149">
        <f t="shared" si="0"/>
        <v>60211.633999999991</v>
      </c>
      <c r="L18" s="149">
        <f t="shared" si="0"/>
        <v>60184.21487096999</v>
      </c>
      <c r="M18" s="157">
        <f t="shared" si="0"/>
        <v>99635.73528441001</v>
      </c>
      <c r="N18" s="149">
        <f>SUM(N16,N14,N12,N10,N8,N6)</f>
        <v>267</v>
      </c>
      <c r="O18" s="149">
        <f>SUM(O16,O14,O12,O10,O8,O6)</f>
        <v>255</v>
      </c>
      <c r="P18" s="158">
        <f>SUM(P16,P14,P12,P10,P8,P6)</f>
        <v>220</v>
      </c>
    </row>
    <row r="19" spans="2:28" ht="15" customHeight="1" thickBot="1" x14ac:dyDescent="0.35">
      <c r="B19" s="16" t="s">
        <v>51</v>
      </c>
      <c r="C19" s="17">
        <v>1294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5283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0.13725490196078433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12040</v>
      </c>
      <c r="D28" s="76">
        <f>C13</f>
        <v>11837</v>
      </c>
      <c r="E28" s="77">
        <f t="shared" ref="E28:E35" si="1">D28-C28</f>
        <v>-203</v>
      </c>
    </row>
    <row r="29" spans="2:28" x14ac:dyDescent="0.3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31</v>
      </c>
      <c r="D30" s="76">
        <f>C8</f>
        <v>31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34022</v>
      </c>
      <c r="D31" s="76">
        <f>C9+C14+C15+C16+C17</f>
        <v>33535</v>
      </c>
      <c r="E31" s="77">
        <f t="shared" si="1"/>
        <v>-487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57</v>
      </c>
      <c r="D32" s="76">
        <f>C6</f>
        <v>57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2302</v>
      </c>
      <c r="D33" s="76">
        <f>C12</f>
        <v>2302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16919</v>
      </c>
      <c r="D34" s="76">
        <f>C18+C19+C20</f>
        <v>18618</v>
      </c>
      <c r="E34" s="77">
        <f t="shared" si="1"/>
        <v>1699</v>
      </c>
      <c r="K34" s="53"/>
      <c r="P34" s="4"/>
    </row>
    <row r="35" spans="2:16" ht="15" customHeight="1" thickBot="1" x14ac:dyDescent="0.35">
      <c r="B35" s="78" t="s">
        <v>60</v>
      </c>
      <c r="C35" s="121">
        <v>3229</v>
      </c>
      <c r="D35" s="80">
        <f>C10+C11</f>
        <v>3027</v>
      </c>
      <c r="E35" s="81">
        <f t="shared" si="1"/>
        <v>-202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26.332031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44623</v>
      </c>
    </row>
    <row r="3" spans="2:27" ht="18.75" customHeight="1" thickBot="1" x14ac:dyDescent="0.35">
      <c r="B3" t="s">
        <v>1</v>
      </c>
      <c r="C3" s="3">
        <f>C2+1</f>
        <v>44624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113</v>
      </c>
      <c r="E6" s="161" t="s">
        <v>22</v>
      </c>
      <c r="F6" s="119">
        <v>27273</v>
      </c>
      <c r="G6" s="117">
        <v>13343.26506666667</v>
      </c>
      <c r="H6" s="117">
        <v>6306.9721890799956</v>
      </c>
      <c r="I6" s="152">
        <f>G6+H6</f>
        <v>19650.237255746666</v>
      </c>
      <c r="J6" s="119">
        <v>27196</v>
      </c>
      <c r="K6" s="117">
        <v>14792.54531666667</v>
      </c>
      <c r="L6" s="117">
        <v>6263.701908279998</v>
      </c>
      <c r="M6" s="19">
        <v>0</v>
      </c>
      <c r="N6" s="85">
        <v>86</v>
      </c>
      <c r="O6" s="85">
        <v>82</v>
      </c>
      <c r="P6" s="142">
        <v>75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31</v>
      </c>
      <c r="E8" s="161" t="s">
        <v>27</v>
      </c>
      <c r="F8" s="119">
        <v>0</v>
      </c>
      <c r="G8" s="117">
        <v>0</v>
      </c>
      <c r="H8" s="117">
        <v>4254.5587253600006</v>
      </c>
      <c r="I8" s="152">
        <f>G8+H8</f>
        <v>4254.5587253600006</v>
      </c>
      <c r="J8" s="119">
        <v>0</v>
      </c>
      <c r="K8" s="117">
        <v>0</v>
      </c>
      <c r="L8" s="117">
        <v>4287.66845362</v>
      </c>
      <c r="M8" s="19">
        <f>K8+L8</f>
        <v>4287.66845362</v>
      </c>
      <c r="N8" s="87">
        <v>5</v>
      </c>
      <c r="O8" s="87">
        <v>5</v>
      </c>
      <c r="P8" s="144">
        <v>4</v>
      </c>
    </row>
    <row r="9" spans="2:27" x14ac:dyDescent="0.3">
      <c r="B9" s="16" t="s">
        <v>23</v>
      </c>
      <c r="C9" s="17">
        <v>2784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26</v>
      </c>
      <c r="C10" s="17">
        <v>2801</v>
      </c>
      <c r="E10" s="161" t="s">
        <v>31</v>
      </c>
      <c r="F10" s="119">
        <v>21030</v>
      </c>
      <c r="G10" s="117">
        <v>13076.23525</v>
      </c>
      <c r="H10" s="117">
        <v>321.85927500000003</v>
      </c>
      <c r="I10" s="152">
        <f>G10+H10</f>
        <v>13398.094525</v>
      </c>
      <c r="J10" s="119">
        <v>22140</v>
      </c>
      <c r="K10" s="117">
        <v>14576.05575</v>
      </c>
      <c r="L10" s="117">
        <v>325.91964949999999</v>
      </c>
      <c r="M10" s="19">
        <f>K10+L10</f>
        <v>14901.975399499999</v>
      </c>
      <c r="N10" s="88">
        <v>57</v>
      </c>
      <c r="O10" s="88">
        <v>55</v>
      </c>
      <c r="P10" s="145">
        <v>50</v>
      </c>
    </row>
    <row r="11" spans="2:27" x14ac:dyDescent="0.3">
      <c r="B11" s="28" t="s">
        <v>28</v>
      </c>
      <c r="C11" s="17">
        <v>1235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5</v>
      </c>
    </row>
    <row r="12" spans="2:27" x14ac:dyDescent="0.3">
      <c r="B12" s="16" t="s">
        <v>30</v>
      </c>
      <c r="C12" s="17">
        <v>1984</v>
      </c>
      <c r="E12" s="161" t="s">
        <v>35</v>
      </c>
      <c r="F12" s="119">
        <v>15357</v>
      </c>
      <c r="G12" s="117">
        <v>11355.1245</v>
      </c>
      <c r="H12" s="117">
        <v>18111.073959050002</v>
      </c>
      <c r="I12" s="152">
        <f>G12+H12</f>
        <v>29466.19845905</v>
      </c>
      <c r="J12" s="119">
        <v>15827</v>
      </c>
      <c r="K12" s="117">
        <v>14613.14875</v>
      </c>
      <c r="L12" s="117">
        <v>19653.468739489999</v>
      </c>
      <c r="M12" s="19">
        <f>K12+L12</f>
        <v>34266.617489490003</v>
      </c>
      <c r="N12" s="88">
        <v>50</v>
      </c>
      <c r="O12" s="88">
        <v>48</v>
      </c>
      <c r="P12" s="145">
        <v>48</v>
      </c>
    </row>
    <row r="13" spans="2:27" x14ac:dyDescent="0.3">
      <c r="B13" s="16" t="s">
        <v>38</v>
      </c>
      <c r="C13" s="17">
        <v>11641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16" t="s">
        <v>40</v>
      </c>
      <c r="C14" s="17">
        <v>1941</v>
      </c>
      <c r="E14" s="161" t="s">
        <v>39</v>
      </c>
      <c r="F14" s="119">
        <v>18542</v>
      </c>
      <c r="G14" s="117">
        <v>14450.24625</v>
      </c>
      <c r="H14" s="117">
        <v>22553.89445661999</v>
      </c>
      <c r="I14" s="152">
        <f>G14+H14</f>
        <v>37004.14070661999</v>
      </c>
      <c r="J14" s="119">
        <v>19658</v>
      </c>
      <c r="K14" s="117">
        <v>18919.731749999999</v>
      </c>
      <c r="L14" s="117">
        <v>24149.5210501</v>
      </c>
      <c r="M14" s="19">
        <f>K14+L14</f>
        <v>43069.252800100003</v>
      </c>
      <c r="N14" s="88">
        <v>73</v>
      </c>
      <c r="O14" s="88">
        <v>69</v>
      </c>
      <c r="P14" s="145">
        <v>62</v>
      </c>
    </row>
    <row r="15" spans="2:27" x14ac:dyDescent="0.3">
      <c r="B15" s="28" t="s">
        <v>42</v>
      </c>
      <c r="C15" s="17">
        <v>24722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3">
      <c r="B16" s="43" t="s">
        <v>47</v>
      </c>
      <c r="C16" s="17">
        <v>1090</v>
      </c>
      <c r="E16" s="161" t="s">
        <v>79</v>
      </c>
      <c r="F16" s="119">
        <v>0</v>
      </c>
      <c r="G16" s="117">
        <v>0</v>
      </c>
      <c r="H16" s="117">
        <v>5927.2970508999997</v>
      </c>
      <c r="I16" s="152">
        <f>G16+H16</f>
        <v>5927.2970508999997</v>
      </c>
      <c r="J16" s="119">
        <v>0</v>
      </c>
      <c r="K16" s="117">
        <v>0</v>
      </c>
      <c r="L16" s="117">
        <v>6498.2281407999999</v>
      </c>
      <c r="M16" s="19">
        <f>K16+L16</f>
        <v>6498.2281407999999</v>
      </c>
      <c r="N16" s="88">
        <v>12</v>
      </c>
      <c r="O16" s="88">
        <v>12</v>
      </c>
      <c r="P16" s="145">
        <v>11</v>
      </c>
    </row>
    <row r="17" spans="2:28" s="4" customFormat="1" ht="15" customHeight="1" thickBot="1" x14ac:dyDescent="0.35">
      <c r="B17" s="43" t="s">
        <v>48</v>
      </c>
      <c r="C17" s="50">
        <v>263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9761</v>
      </c>
      <c r="E18" s="84"/>
      <c r="F18" s="148">
        <f t="shared" ref="F18:M18" si="0">SUM(F6:F17)</f>
        <v>82202</v>
      </c>
      <c r="G18" s="149">
        <f t="shared" si="0"/>
        <v>52224.871066666674</v>
      </c>
      <c r="H18" s="149">
        <f t="shared" si="0"/>
        <v>57475.655656009985</v>
      </c>
      <c r="I18" s="150">
        <f t="shared" si="0"/>
        <v>109700.52672267666</v>
      </c>
      <c r="J18" s="149">
        <f t="shared" si="0"/>
        <v>84821</v>
      </c>
      <c r="K18" s="149">
        <f t="shared" si="0"/>
        <v>62901.481566666669</v>
      </c>
      <c r="L18" s="149">
        <f t="shared" si="0"/>
        <v>61178.507941789998</v>
      </c>
      <c r="M18" s="157">
        <f t="shared" si="0"/>
        <v>103023.74228351</v>
      </c>
      <c r="N18" s="149">
        <f>SUM(N16,N14,N12,N10,N8,N6)</f>
        <v>283</v>
      </c>
      <c r="O18" s="149">
        <f>SUM(O16,O14,O12,O10,O8,O6)</f>
        <v>271</v>
      </c>
      <c r="P18" s="158">
        <f>SUM(P16,P14,P12,P10,P8,P6)</f>
        <v>250</v>
      </c>
    </row>
    <row r="19" spans="2:28" ht="15" customHeight="1" thickBot="1" x14ac:dyDescent="0.35">
      <c r="B19" s="16" t="s">
        <v>51</v>
      </c>
      <c r="C19" s="17">
        <v>1618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35">
      <c r="B20" s="57" t="s">
        <v>52</v>
      </c>
      <c r="C20" s="58">
        <v>4762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7.7490774907749083E-2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11373</v>
      </c>
      <c r="D28" s="76">
        <f>C13</f>
        <v>11641</v>
      </c>
      <c r="E28" s="77">
        <f t="shared" ref="E28:E35" si="1">D28-C28</f>
        <v>268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31</v>
      </c>
      <c r="D30" s="76">
        <f>C8</f>
        <v>31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36725</v>
      </c>
      <c r="D31" s="76">
        <f>C9+C14+C15+C16+C17</f>
        <v>30800</v>
      </c>
      <c r="E31" s="77">
        <f t="shared" si="1"/>
        <v>-5925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113</v>
      </c>
      <c r="D32" s="76">
        <f>C6</f>
        <v>113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1984</v>
      </c>
      <c r="D33" s="76">
        <f>C12</f>
        <v>1984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16315</v>
      </c>
      <c r="D34" s="76">
        <f>C18+C19+C20</f>
        <v>16141</v>
      </c>
      <c r="E34" s="77">
        <f t="shared" si="1"/>
        <v>-174</v>
      </c>
      <c r="K34" s="53"/>
      <c r="P34" s="4"/>
    </row>
    <row r="35" spans="2:16" ht="15" customHeight="1" thickBot="1" x14ac:dyDescent="0.35">
      <c r="B35" s="78" t="s">
        <v>60</v>
      </c>
      <c r="C35" s="121">
        <v>4036</v>
      </c>
      <c r="D35" s="80">
        <f>C10+C11</f>
        <v>4036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>
    <tabColor theme="1"/>
    <pageSetUpPr fitToPage="1"/>
  </sheetPr>
  <dimension ref="A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26.332031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44624</v>
      </c>
    </row>
    <row r="3" spans="1:27" ht="18.75" customHeight="1" thickBot="1" x14ac:dyDescent="0.35">
      <c r="B3" t="s">
        <v>1</v>
      </c>
      <c r="C3" s="3">
        <f>C2+1</f>
        <v>44625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102</v>
      </c>
    </row>
    <row r="6" spans="1:27" x14ac:dyDescent="0.3">
      <c r="B6" s="16" t="s">
        <v>21</v>
      </c>
      <c r="C6" s="17">
        <v>0</v>
      </c>
      <c r="E6" s="161" t="s">
        <v>22</v>
      </c>
      <c r="F6" s="119">
        <v>23087</v>
      </c>
      <c r="G6" s="117">
        <v>13289.999250000001</v>
      </c>
      <c r="H6" s="117">
        <v>5229.9298196799946</v>
      </c>
      <c r="I6" s="152">
        <f>G6+H6</f>
        <v>18519.929069679994</v>
      </c>
      <c r="J6" s="119">
        <v>23533</v>
      </c>
      <c r="K6" s="117">
        <v>14363.58625</v>
      </c>
      <c r="L6" s="117">
        <v>5055.1742203999956</v>
      </c>
      <c r="M6" s="19">
        <v>0</v>
      </c>
      <c r="N6" s="85">
        <v>80</v>
      </c>
      <c r="O6" s="85">
        <v>77</v>
      </c>
      <c r="P6" s="142">
        <v>66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1:27" x14ac:dyDescent="0.3">
      <c r="A8" s="1" t="s">
        <v>105</v>
      </c>
      <c r="B8" s="16" t="s">
        <v>103</v>
      </c>
      <c r="C8" s="17">
        <v>65</v>
      </c>
      <c r="E8" s="161" t="s">
        <v>27</v>
      </c>
      <c r="F8" s="119">
        <v>0</v>
      </c>
      <c r="G8" s="117">
        <v>0</v>
      </c>
      <c r="H8" s="117">
        <v>4912.1784364399991</v>
      </c>
      <c r="I8" s="152">
        <f>G8+H8</f>
        <v>4912.1784364399991</v>
      </c>
      <c r="J8" s="119">
        <v>0</v>
      </c>
      <c r="K8" s="117">
        <v>0</v>
      </c>
      <c r="L8" s="117">
        <v>4451.0503745199994</v>
      </c>
      <c r="M8" s="19">
        <f>K8+L8</f>
        <v>4451.0503745199994</v>
      </c>
      <c r="N8" s="87">
        <v>7</v>
      </c>
      <c r="O8" s="87">
        <v>7</v>
      </c>
      <c r="P8" s="144">
        <v>6</v>
      </c>
    </row>
    <row r="9" spans="1:27" x14ac:dyDescent="0.3">
      <c r="B9" s="16" t="s">
        <v>23</v>
      </c>
      <c r="C9" s="17">
        <v>2104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1:27" x14ac:dyDescent="0.3">
      <c r="B10" s="28" t="s">
        <v>26</v>
      </c>
      <c r="C10" s="17">
        <v>2570</v>
      </c>
      <c r="E10" s="161" t="s">
        <v>31</v>
      </c>
      <c r="F10" s="119">
        <v>20282</v>
      </c>
      <c r="G10" s="117">
        <v>13242.914500000001</v>
      </c>
      <c r="H10" s="117">
        <v>311.01749500000011</v>
      </c>
      <c r="I10" s="152">
        <f>G10+H10</f>
        <v>13553.931995000001</v>
      </c>
      <c r="J10" s="119">
        <v>21018</v>
      </c>
      <c r="K10" s="117">
        <v>14132.0915</v>
      </c>
      <c r="L10" s="117">
        <v>339.43819130000003</v>
      </c>
      <c r="M10" s="19">
        <f>K10+L10</f>
        <v>14471.5296913</v>
      </c>
      <c r="N10" s="88">
        <v>55</v>
      </c>
      <c r="O10" s="88">
        <v>52</v>
      </c>
      <c r="P10" s="145">
        <v>45</v>
      </c>
    </row>
    <row r="11" spans="1:27" x14ac:dyDescent="0.3">
      <c r="B11" s="28" t="s">
        <v>28</v>
      </c>
      <c r="C11" s="17">
        <v>1236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7</v>
      </c>
    </row>
    <row r="12" spans="1:27" x14ac:dyDescent="0.3">
      <c r="B12" s="16" t="s">
        <v>30</v>
      </c>
      <c r="C12" s="17">
        <v>3823</v>
      </c>
      <c r="E12" s="161" t="s">
        <v>35</v>
      </c>
      <c r="F12" s="119">
        <v>15601</v>
      </c>
      <c r="G12" s="117">
        <v>12418.982</v>
      </c>
      <c r="H12" s="117">
        <v>18430.510424799999</v>
      </c>
      <c r="I12" s="152">
        <f>G12+H12</f>
        <v>30849.492424799999</v>
      </c>
      <c r="J12" s="119">
        <v>15479</v>
      </c>
      <c r="K12" s="117">
        <v>14825.9635</v>
      </c>
      <c r="L12" s="117">
        <v>18827.777466119991</v>
      </c>
      <c r="M12" s="19">
        <f>K12+L12</f>
        <v>33653.740966119993</v>
      </c>
      <c r="N12" s="88">
        <v>60</v>
      </c>
      <c r="O12" s="88">
        <v>59</v>
      </c>
      <c r="P12" s="145">
        <v>53</v>
      </c>
    </row>
    <row r="13" spans="1:27" x14ac:dyDescent="0.3">
      <c r="B13" s="16" t="s">
        <v>38</v>
      </c>
      <c r="C13" s="17">
        <v>10250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1:27" x14ac:dyDescent="0.3">
      <c r="B14" s="16" t="s">
        <v>40</v>
      </c>
      <c r="C14" s="17">
        <v>2095</v>
      </c>
      <c r="E14" s="161" t="s">
        <v>39</v>
      </c>
      <c r="F14" s="119">
        <v>25388</v>
      </c>
      <c r="G14" s="117">
        <v>17820.541499999999</v>
      </c>
      <c r="H14" s="117">
        <v>29771.657093860002</v>
      </c>
      <c r="I14" s="152">
        <f>G14+H14</f>
        <v>47592.198593859997</v>
      </c>
      <c r="J14" s="119">
        <v>26740</v>
      </c>
      <c r="K14" s="117">
        <v>22810.19125</v>
      </c>
      <c r="L14" s="117">
        <v>31768.309537760018</v>
      </c>
      <c r="M14" s="19">
        <f>K14+L14</f>
        <v>54578.500787760015</v>
      </c>
      <c r="N14" s="88">
        <v>75</v>
      </c>
      <c r="O14" s="88">
        <v>72</v>
      </c>
      <c r="P14" s="145">
        <v>62</v>
      </c>
    </row>
    <row r="15" spans="1:27" x14ac:dyDescent="0.3">
      <c r="B15" s="28" t="s">
        <v>42</v>
      </c>
      <c r="C15" s="17">
        <v>29810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1:27" x14ac:dyDescent="0.3">
      <c r="B16" s="43" t="s">
        <v>47</v>
      </c>
      <c r="C16" s="17">
        <v>1968</v>
      </c>
      <c r="E16" s="161" t="s">
        <v>79</v>
      </c>
      <c r="F16" s="119">
        <v>0</v>
      </c>
      <c r="G16" s="117">
        <v>0</v>
      </c>
      <c r="H16" s="117">
        <v>9759.2748958399989</v>
      </c>
      <c r="I16" s="152">
        <f>G16+H16</f>
        <v>9759.2748958399989</v>
      </c>
      <c r="J16" s="119">
        <v>0</v>
      </c>
      <c r="K16" s="117">
        <v>0</v>
      </c>
      <c r="L16" s="117">
        <v>10127.17019386</v>
      </c>
      <c r="M16" s="19">
        <f>K16+L16</f>
        <v>10127.17019386</v>
      </c>
      <c r="N16" s="88">
        <v>14</v>
      </c>
      <c r="O16" s="88">
        <v>14</v>
      </c>
      <c r="P16" s="145">
        <v>13</v>
      </c>
    </row>
    <row r="17" spans="2:28" s="4" customFormat="1" ht="15" customHeight="1" thickBot="1" x14ac:dyDescent="0.35">
      <c r="B17" s="43" t="s">
        <v>48</v>
      </c>
      <c r="C17" s="50">
        <v>396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10740</v>
      </c>
      <c r="E18" s="84"/>
      <c r="F18" s="148">
        <f t="shared" ref="F18:M18" si="0">SUM(F6:F17)</f>
        <v>84358</v>
      </c>
      <c r="G18" s="149">
        <f t="shared" si="0"/>
        <v>56772.437249999995</v>
      </c>
      <c r="H18" s="149">
        <f t="shared" si="0"/>
        <v>68414.568165620003</v>
      </c>
      <c r="I18" s="150">
        <f t="shared" si="0"/>
        <v>125187.00541561999</v>
      </c>
      <c r="J18" s="149">
        <f t="shared" si="0"/>
        <v>86770</v>
      </c>
      <c r="K18" s="149">
        <f t="shared" si="0"/>
        <v>66131.832500000004</v>
      </c>
      <c r="L18" s="149">
        <f t="shared" si="0"/>
        <v>70568.919983960004</v>
      </c>
      <c r="M18" s="157">
        <f t="shared" si="0"/>
        <v>117281.99201356001</v>
      </c>
      <c r="N18" s="149">
        <f>SUM(N16,N14,N12,N10,N8,N6)</f>
        <v>291</v>
      </c>
      <c r="O18" s="149">
        <f>SUM(O16,O14,O12,O10,O8,O6)</f>
        <v>281</v>
      </c>
      <c r="P18" s="158">
        <f>SUM(P16,P14,P12,P10,P8,P6)</f>
        <v>245</v>
      </c>
    </row>
    <row r="19" spans="2:28" ht="15" customHeight="1" thickBot="1" x14ac:dyDescent="0.35">
      <c r="B19" s="16" t="s">
        <v>51</v>
      </c>
      <c r="C19" s="17">
        <v>463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ht="15" customHeight="1" thickBot="1" x14ac:dyDescent="0.35">
      <c r="B20" s="57" t="s">
        <v>52</v>
      </c>
      <c r="C20" s="58">
        <v>4929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0.12811387900355872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10168</v>
      </c>
      <c r="D28" s="76">
        <f>C13</f>
        <v>10250</v>
      </c>
      <c r="E28" s="77">
        <f t="shared" ref="E28:E35" si="1">D28-C28</f>
        <v>82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65</v>
      </c>
      <c r="D30" s="76">
        <f>C8</f>
        <v>65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37645</v>
      </c>
      <c r="D31" s="76">
        <f>C9+C14+C15+C16+C17</f>
        <v>36373</v>
      </c>
      <c r="E31" s="77">
        <f t="shared" si="1"/>
        <v>-1272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3823</v>
      </c>
      <c r="D33" s="76">
        <f>C12</f>
        <v>3823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15206</v>
      </c>
      <c r="D34" s="76">
        <f>C18+C19+C20</f>
        <v>16132</v>
      </c>
      <c r="E34" s="77">
        <f t="shared" si="1"/>
        <v>926</v>
      </c>
      <c r="K34" s="53"/>
      <c r="P34" s="4"/>
    </row>
    <row r="35" spans="2:16" ht="15" customHeight="1" thickBot="1" x14ac:dyDescent="0.35">
      <c r="B35" s="78" t="s">
        <v>60</v>
      </c>
      <c r="C35" s="121">
        <v>3806</v>
      </c>
      <c r="D35" s="80">
        <f>C10+C11</f>
        <v>3806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bestFit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44625</v>
      </c>
    </row>
    <row r="3" spans="2:27" ht="18.75" customHeight="1" thickBot="1" x14ac:dyDescent="0.35">
      <c r="B3" t="s">
        <v>1</v>
      </c>
      <c r="C3" s="3">
        <f>C2+1</f>
        <v>44626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72</v>
      </c>
      <c r="E6" s="161" t="s">
        <v>22</v>
      </c>
      <c r="F6" s="119">
        <v>27093</v>
      </c>
      <c r="G6" s="117">
        <v>13058.02968333333</v>
      </c>
      <c r="H6" s="117">
        <v>6200.9626994399987</v>
      </c>
      <c r="I6" s="152">
        <f>G6+H6</f>
        <v>19258.992382773329</v>
      </c>
      <c r="J6" s="119">
        <v>27400</v>
      </c>
      <c r="K6" s="117">
        <v>16204.02568333333</v>
      </c>
      <c r="L6" s="117">
        <v>6274.4354425599986</v>
      </c>
      <c r="M6" s="19">
        <v>0</v>
      </c>
      <c r="N6" s="85">
        <v>88</v>
      </c>
      <c r="O6" s="85">
        <v>84</v>
      </c>
      <c r="P6" s="142">
        <v>74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3959.8421354000002</v>
      </c>
      <c r="I8" s="152">
        <f>G8+H8</f>
        <v>3959.8421354000002</v>
      </c>
      <c r="J8" s="119">
        <v>0</v>
      </c>
      <c r="K8" s="117">
        <v>0</v>
      </c>
      <c r="L8" s="117">
        <v>4052.1163586799998</v>
      </c>
      <c r="M8" s="19">
        <f>K8+L8</f>
        <v>4052.1163586799998</v>
      </c>
      <c r="N8" s="87">
        <v>4</v>
      </c>
      <c r="O8" s="87">
        <v>4</v>
      </c>
      <c r="P8" s="144">
        <v>2</v>
      </c>
    </row>
    <row r="9" spans="2:27" x14ac:dyDescent="0.3">
      <c r="B9" s="16" t="s">
        <v>23</v>
      </c>
      <c r="C9" s="17">
        <v>2411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3">
      <c r="B10" s="28" t="s">
        <v>26</v>
      </c>
      <c r="C10" s="17">
        <v>2338</v>
      </c>
      <c r="E10" s="161" t="s">
        <v>31</v>
      </c>
      <c r="F10" s="119">
        <v>19352</v>
      </c>
      <c r="G10" s="117">
        <v>13275.093000000001</v>
      </c>
      <c r="H10" s="117">
        <v>354.60296949999997</v>
      </c>
      <c r="I10" s="152">
        <f>G10+H10</f>
        <v>13629.695969500001</v>
      </c>
      <c r="J10" s="119">
        <v>19201</v>
      </c>
      <c r="K10" s="117">
        <v>14373.344999999999</v>
      </c>
      <c r="L10" s="117">
        <v>343.4017566</v>
      </c>
      <c r="M10" s="19">
        <f>K10+L10</f>
        <v>14716.7467566</v>
      </c>
      <c r="N10" s="88">
        <v>58</v>
      </c>
      <c r="O10" s="88">
        <v>60</v>
      </c>
      <c r="P10" s="145">
        <v>49</v>
      </c>
    </row>
    <row r="11" spans="2:27" x14ac:dyDescent="0.3">
      <c r="B11" s="28" t="s">
        <v>28</v>
      </c>
      <c r="C11" s="17">
        <v>977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11</v>
      </c>
    </row>
    <row r="12" spans="2:27" x14ac:dyDescent="0.3">
      <c r="B12" s="16" t="s">
        <v>30</v>
      </c>
      <c r="C12" s="17">
        <v>1974</v>
      </c>
      <c r="E12" s="161" t="s">
        <v>35</v>
      </c>
      <c r="F12" s="119">
        <v>14667</v>
      </c>
      <c r="G12" s="117">
        <v>13479.338250000001</v>
      </c>
      <c r="H12" s="117">
        <v>19066.58464976</v>
      </c>
      <c r="I12" s="152">
        <f>G12+H12</f>
        <v>32545.92289976</v>
      </c>
      <c r="J12" s="119">
        <v>14691</v>
      </c>
      <c r="K12" s="117">
        <v>14759.867749999999</v>
      </c>
      <c r="L12" s="117">
        <v>19266.769117340009</v>
      </c>
      <c r="M12" s="19">
        <f>K12+L12</f>
        <v>34026.636867340007</v>
      </c>
      <c r="N12" s="88">
        <v>58</v>
      </c>
      <c r="O12" s="88">
        <v>58</v>
      </c>
      <c r="P12" s="145">
        <v>52</v>
      </c>
    </row>
    <row r="13" spans="2:27" x14ac:dyDescent="0.3">
      <c r="B13" s="16" t="s">
        <v>38</v>
      </c>
      <c r="C13" s="17">
        <v>11352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2:27" x14ac:dyDescent="0.3">
      <c r="B14" s="16" t="s">
        <v>40</v>
      </c>
      <c r="C14" s="17">
        <v>1582</v>
      </c>
      <c r="E14" s="161" t="s">
        <v>39</v>
      </c>
      <c r="F14" s="119">
        <v>18795</v>
      </c>
      <c r="G14" s="117">
        <v>16547.643749999999</v>
      </c>
      <c r="H14" s="117">
        <v>23378.657086620031</v>
      </c>
      <c r="I14" s="152">
        <f>G14+H14</f>
        <v>39926.30083662003</v>
      </c>
      <c r="J14" s="119">
        <v>19289</v>
      </c>
      <c r="K14" s="117">
        <v>19093.95925</v>
      </c>
      <c r="L14" s="117">
        <v>24527.346548080011</v>
      </c>
      <c r="M14" s="19">
        <f>K14+L14</f>
        <v>43621.305798080008</v>
      </c>
      <c r="N14" s="88">
        <v>68</v>
      </c>
      <c r="O14" s="88">
        <v>62</v>
      </c>
      <c r="P14" s="145">
        <v>55</v>
      </c>
    </row>
    <row r="15" spans="2:27" x14ac:dyDescent="0.3">
      <c r="B15" s="28" t="s">
        <v>42</v>
      </c>
      <c r="C15" s="17">
        <v>30210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3">
      <c r="B16" s="43" t="s">
        <v>47</v>
      </c>
      <c r="C16" s="17">
        <v>1247</v>
      </c>
      <c r="E16" s="161" t="s">
        <v>79</v>
      </c>
      <c r="F16" s="119">
        <v>0</v>
      </c>
      <c r="G16" s="117">
        <v>0</v>
      </c>
      <c r="H16" s="117">
        <v>6085.0803996000004</v>
      </c>
      <c r="I16" s="152">
        <f>G16+H16</f>
        <v>6085.0803996000004</v>
      </c>
      <c r="J16" s="119">
        <v>0</v>
      </c>
      <c r="K16" s="117">
        <v>0</v>
      </c>
      <c r="L16" s="117">
        <v>6277.7633159999996</v>
      </c>
      <c r="M16" s="19">
        <f>K16+L16</f>
        <v>6277.7633159999996</v>
      </c>
      <c r="N16" s="88">
        <v>11</v>
      </c>
      <c r="O16" s="88">
        <v>11</v>
      </c>
      <c r="P16" s="145">
        <v>11</v>
      </c>
    </row>
    <row r="17" spans="2:28" s="4" customFormat="1" ht="15" customHeight="1" thickBot="1" x14ac:dyDescent="0.35">
      <c r="B17" s="43" t="s">
        <v>48</v>
      </c>
      <c r="C17" s="50">
        <v>207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10669</v>
      </c>
      <c r="E18" s="84"/>
      <c r="F18" s="148">
        <f t="shared" ref="F18:M18" si="0">SUM(F6:F17)</f>
        <v>79907</v>
      </c>
      <c r="G18" s="149">
        <f t="shared" si="0"/>
        <v>56360.104683333338</v>
      </c>
      <c r="H18" s="149">
        <f t="shared" si="0"/>
        <v>59045.72994032003</v>
      </c>
      <c r="I18" s="150">
        <f t="shared" si="0"/>
        <v>115405.83462365335</v>
      </c>
      <c r="J18" s="149">
        <f t="shared" si="0"/>
        <v>80581</v>
      </c>
      <c r="K18" s="149">
        <f t="shared" si="0"/>
        <v>64431.197683333325</v>
      </c>
      <c r="L18" s="149">
        <f t="shared" si="0"/>
        <v>60741.832539260016</v>
      </c>
      <c r="M18" s="157">
        <f t="shared" si="0"/>
        <v>102694.56909670001</v>
      </c>
      <c r="N18" s="149">
        <f>SUM(N16,N14,N12,N10,N8,N6)</f>
        <v>287</v>
      </c>
      <c r="O18" s="149">
        <f>SUM(O16,O14,O12,O10,O8,O6)</f>
        <v>279</v>
      </c>
      <c r="P18" s="158">
        <f>SUM(P16,P14,P12,P10,P8,P6)</f>
        <v>243</v>
      </c>
    </row>
    <row r="19" spans="2:28" ht="15" customHeight="1" thickBot="1" x14ac:dyDescent="0.35">
      <c r="B19" s="16" t="s">
        <v>51</v>
      </c>
      <c r="C19" s="17">
        <v>1418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ht="15" customHeight="1" thickBot="1" x14ac:dyDescent="0.35">
      <c r="B20" s="57" t="s">
        <v>52</v>
      </c>
      <c r="C20" s="58">
        <v>4986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0.12903225806451613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10945</v>
      </c>
      <c r="D28" s="76">
        <f>C13</f>
        <v>11352</v>
      </c>
      <c r="E28" s="77">
        <f t="shared" ref="E28:E35" si="1">D28-C28</f>
        <v>407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37576</v>
      </c>
      <c r="D31" s="76">
        <f>C9+C14+C15+C16+C17</f>
        <v>35657</v>
      </c>
      <c r="E31" s="77">
        <f t="shared" si="1"/>
        <v>-1919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72</v>
      </c>
      <c r="D32" s="76">
        <f>C6</f>
        <v>72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1974</v>
      </c>
      <c r="D33" s="76">
        <f>C12</f>
        <v>1974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17773</v>
      </c>
      <c r="D34" s="76">
        <f>C18+C19+C20</f>
        <v>17073</v>
      </c>
      <c r="E34" s="77">
        <f t="shared" si="1"/>
        <v>-700</v>
      </c>
      <c r="K34" s="53"/>
      <c r="P34" s="4"/>
    </row>
    <row r="35" spans="2:16" ht="15" customHeight="1" thickBot="1" x14ac:dyDescent="0.35">
      <c r="B35" s="78" t="s">
        <v>60</v>
      </c>
      <c r="C35" s="121">
        <v>3154</v>
      </c>
      <c r="D35" s="80">
        <f>C10+C11</f>
        <v>3315</v>
      </c>
      <c r="E35" s="81">
        <f t="shared" si="1"/>
        <v>161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customWidth="1" collapsed="1"/>
    <col min="15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44626</v>
      </c>
    </row>
    <row r="3" spans="2:27" ht="18.75" customHeight="1" thickBot="1" x14ac:dyDescent="0.35">
      <c r="B3" t="s">
        <v>1</v>
      </c>
      <c r="C3" s="3">
        <f>C2+1</f>
        <v>44627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11310</v>
      </c>
      <c r="G6" s="117">
        <v>0</v>
      </c>
      <c r="H6" s="117">
        <v>0</v>
      </c>
      <c r="I6" s="152">
        <f>G6+H6</f>
        <v>0</v>
      </c>
      <c r="J6" s="119">
        <v>11257</v>
      </c>
      <c r="K6" s="117"/>
      <c r="L6" s="117"/>
      <c r="M6" s="19"/>
      <c r="N6" s="85">
        <v>48</v>
      </c>
      <c r="O6" s="85">
        <v>47</v>
      </c>
      <c r="P6" s="142">
        <v>36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/>
      <c r="K8" s="117"/>
      <c r="L8" s="117"/>
      <c r="M8" s="19"/>
      <c r="N8" s="87">
        <v>0</v>
      </c>
      <c r="O8" s="87">
        <v>0</v>
      </c>
      <c r="P8" s="144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5860</v>
      </c>
      <c r="G10" s="117">
        <v>0</v>
      </c>
      <c r="H10" s="117">
        <v>0</v>
      </c>
      <c r="I10" s="152">
        <f>G10+H10</f>
        <v>0</v>
      </c>
      <c r="J10" s="119">
        <v>5793</v>
      </c>
      <c r="K10" s="117"/>
      <c r="L10" s="117"/>
      <c r="M10" s="19"/>
      <c r="N10" s="88">
        <v>0</v>
      </c>
      <c r="O10" s="88">
        <v>0</v>
      </c>
      <c r="P10" s="145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/>
      <c r="K12" s="117"/>
      <c r="L12" s="117"/>
      <c r="M12" s="19"/>
      <c r="N12" s="88">
        <v>0</v>
      </c>
      <c r="O12" s="88">
        <v>0</v>
      </c>
      <c r="P12" s="145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/>
      <c r="K14" s="117"/>
      <c r="L14" s="117"/>
      <c r="M14" s="19"/>
      <c r="N14" s="88">
        <v>0</v>
      </c>
      <c r="O14" s="88">
        <v>0</v>
      </c>
      <c r="P14" s="145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/>
      <c r="K16" s="117"/>
      <c r="L16" s="117"/>
      <c r="M16" s="19"/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11151</v>
      </c>
      <c r="E18" s="84"/>
      <c r="F18" s="148">
        <f t="shared" ref="F18:M18" si="0">SUM(F6:F17)</f>
        <v>17170</v>
      </c>
      <c r="G18" s="149">
        <f t="shared" si="0"/>
        <v>0</v>
      </c>
      <c r="H18" s="149">
        <f t="shared" si="0"/>
        <v>0</v>
      </c>
      <c r="I18" s="150">
        <f t="shared" si="0"/>
        <v>0</v>
      </c>
      <c r="J18" s="149">
        <f t="shared" si="0"/>
        <v>17050</v>
      </c>
      <c r="K18" s="149">
        <f t="shared" si="0"/>
        <v>0</v>
      </c>
      <c r="L18" s="149">
        <f t="shared" si="0"/>
        <v>0</v>
      </c>
      <c r="M18" s="157">
        <f t="shared" si="0"/>
        <v>0</v>
      </c>
      <c r="N18" s="149">
        <f>SUM(N16,N14,N12,N10,N8,N6)</f>
        <v>48</v>
      </c>
      <c r="O18" s="149">
        <f>SUM(O16,O14,O12,O10,O8,O6)</f>
        <v>47</v>
      </c>
      <c r="P18" s="158">
        <f>SUM(P16,P14,P12,P10,P8,P6)</f>
        <v>36</v>
      </c>
    </row>
    <row r="19" spans="2:28" ht="15" customHeight="1" thickBot="1" x14ac:dyDescent="0.35">
      <c r="B19" s="16" t="s">
        <v>51</v>
      </c>
      <c r="C19" s="17">
        <v>850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35">
      <c r="B20" s="57" t="s">
        <v>52</v>
      </c>
      <c r="C20" s="58">
        <v>5049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0.23404255319148937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17170</v>
      </c>
      <c r="D34" s="76">
        <f>C18+C19+C20</f>
        <v>17050</v>
      </c>
      <c r="E34" s="77">
        <f t="shared" si="1"/>
        <v>-120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44627</v>
      </c>
    </row>
    <row r="3" spans="2:27" ht="18.75" customHeight="1" thickBot="1" x14ac:dyDescent="0.35">
      <c r="B3" t="s">
        <v>1</v>
      </c>
      <c r="C3" s="3">
        <f>C2+1</f>
        <v>44628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72</v>
      </c>
      <c r="E6" s="161" t="s">
        <v>22</v>
      </c>
      <c r="F6" s="119">
        <v>25430</v>
      </c>
      <c r="G6" s="117">
        <v>12687.8858</v>
      </c>
      <c r="H6" s="117">
        <v>5683.5443303199972</v>
      </c>
      <c r="I6" s="152">
        <f>G6+H6</f>
        <v>18371.430130319997</v>
      </c>
      <c r="J6" s="119">
        <v>24825</v>
      </c>
      <c r="K6" s="117">
        <v>13774.02305</v>
      </c>
      <c r="L6" s="117">
        <v>5691.478092299998</v>
      </c>
      <c r="M6" s="19"/>
      <c r="N6" s="85">
        <v>78</v>
      </c>
      <c r="O6" s="85">
        <v>76</v>
      </c>
      <c r="P6" s="142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3932.14502356</v>
      </c>
      <c r="I8" s="152">
        <f>G8+H8</f>
        <v>3932.14502356</v>
      </c>
      <c r="J8" s="119">
        <v>0</v>
      </c>
      <c r="K8" s="117">
        <v>0</v>
      </c>
      <c r="L8" s="117">
        <v>3854.7360680000002</v>
      </c>
      <c r="M8" s="19"/>
      <c r="N8" s="87">
        <v>6</v>
      </c>
      <c r="O8" s="87">
        <v>5</v>
      </c>
      <c r="P8" s="144">
        <v>5</v>
      </c>
    </row>
    <row r="9" spans="2:27" x14ac:dyDescent="0.3">
      <c r="B9" s="16" t="s">
        <v>23</v>
      </c>
      <c r="C9" s="17">
        <v>1918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26</v>
      </c>
      <c r="C10" s="17">
        <v>1849</v>
      </c>
      <c r="E10" s="161" t="s">
        <v>31</v>
      </c>
      <c r="F10" s="119">
        <v>18556</v>
      </c>
      <c r="G10" s="117">
        <v>13167.9395</v>
      </c>
      <c r="H10" s="117">
        <v>363.526386</v>
      </c>
      <c r="I10" s="152">
        <f>G10+H10</f>
        <v>13531.465886</v>
      </c>
      <c r="J10" s="119">
        <v>18236</v>
      </c>
      <c r="K10" s="117">
        <v>13497.564</v>
      </c>
      <c r="L10" s="117">
        <v>348.60683360000007</v>
      </c>
      <c r="M10" s="19"/>
      <c r="N10" s="88">
        <v>48</v>
      </c>
      <c r="O10" s="88">
        <v>48</v>
      </c>
      <c r="P10" s="145">
        <v>40</v>
      </c>
    </row>
    <row r="11" spans="2:27" x14ac:dyDescent="0.3">
      <c r="B11" s="28" t="s">
        <v>28</v>
      </c>
      <c r="C11" s="17">
        <v>815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8</v>
      </c>
    </row>
    <row r="12" spans="2:27" x14ac:dyDescent="0.3">
      <c r="B12" s="16" t="s">
        <v>30</v>
      </c>
      <c r="C12" s="17">
        <v>2138</v>
      </c>
      <c r="E12" s="161" t="s">
        <v>35</v>
      </c>
      <c r="F12" s="119">
        <v>12458</v>
      </c>
      <c r="G12" s="117">
        <v>11060.391</v>
      </c>
      <c r="H12" s="117">
        <v>15759.455795660009</v>
      </c>
      <c r="I12" s="152">
        <f>G12+H12</f>
        <v>26819.846795660007</v>
      </c>
      <c r="J12" s="119">
        <v>12762</v>
      </c>
      <c r="K12" s="117">
        <v>12420.28299999999</v>
      </c>
      <c r="L12" s="117">
        <v>16193.594293270011</v>
      </c>
      <c r="M12" s="19"/>
      <c r="N12" s="88">
        <v>53</v>
      </c>
      <c r="O12" s="88">
        <v>53</v>
      </c>
      <c r="P12" s="145">
        <v>46</v>
      </c>
    </row>
    <row r="13" spans="2:27" x14ac:dyDescent="0.3">
      <c r="B13" s="16" t="s">
        <v>38</v>
      </c>
      <c r="C13" s="17">
        <v>10713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7</v>
      </c>
    </row>
    <row r="14" spans="2:27" x14ac:dyDescent="0.3">
      <c r="B14" s="16" t="s">
        <v>40</v>
      </c>
      <c r="C14" s="17">
        <v>2090</v>
      </c>
      <c r="E14" s="161" t="s">
        <v>39</v>
      </c>
      <c r="F14" s="119">
        <v>18826</v>
      </c>
      <c r="G14" s="117">
        <v>15756.6625</v>
      </c>
      <c r="H14" s="117">
        <v>23462.100377739989</v>
      </c>
      <c r="I14" s="152">
        <f>G14+H14</f>
        <v>39218.762877739988</v>
      </c>
      <c r="J14" s="119">
        <v>19837</v>
      </c>
      <c r="K14" s="117">
        <v>19534.274249999999</v>
      </c>
      <c r="L14" s="117">
        <v>25128.611311460001</v>
      </c>
      <c r="M14" s="19"/>
      <c r="N14" s="88">
        <v>66</v>
      </c>
      <c r="O14" s="88">
        <v>61</v>
      </c>
      <c r="P14" s="145">
        <v>54</v>
      </c>
    </row>
    <row r="15" spans="2:27" x14ac:dyDescent="0.3">
      <c r="B15" s="28" t="s">
        <v>42</v>
      </c>
      <c r="C15" s="17">
        <v>25801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3">
      <c r="B16" s="43" t="s">
        <v>47</v>
      </c>
      <c r="C16" s="17">
        <v>1449</v>
      </c>
      <c r="E16" s="161" t="s">
        <v>79</v>
      </c>
      <c r="F16" s="119">
        <v>0</v>
      </c>
      <c r="G16" s="117">
        <v>0</v>
      </c>
      <c r="H16" s="117">
        <v>9033.3980837999989</v>
      </c>
      <c r="I16" s="152">
        <f>G16+H16</f>
        <v>9033.3980837999989</v>
      </c>
      <c r="J16" s="119">
        <v>0</v>
      </c>
      <c r="K16" s="117">
        <v>0</v>
      </c>
      <c r="L16" s="117">
        <v>9115.450943079999</v>
      </c>
      <c r="M16" s="19"/>
      <c r="N16" s="88">
        <v>11</v>
      </c>
      <c r="O16" s="88">
        <v>10</v>
      </c>
      <c r="P16" s="145">
        <v>10</v>
      </c>
    </row>
    <row r="17" spans="2:28" s="4" customFormat="1" ht="15" customHeight="1" thickBot="1" x14ac:dyDescent="0.35">
      <c r="B17" s="43" t="s">
        <v>48</v>
      </c>
      <c r="C17" s="50">
        <v>396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10599</v>
      </c>
      <c r="E18" s="84"/>
      <c r="F18" s="148">
        <f t="shared" ref="F18:M18" si="0">SUM(F6:F17)</f>
        <v>75270</v>
      </c>
      <c r="G18" s="149">
        <f t="shared" si="0"/>
        <v>52672.878799999999</v>
      </c>
      <c r="H18" s="149">
        <f t="shared" si="0"/>
        <v>58234.169997079996</v>
      </c>
      <c r="I18" s="150">
        <f t="shared" si="0"/>
        <v>110907.04879707999</v>
      </c>
      <c r="J18" s="149">
        <f t="shared" si="0"/>
        <v>75660</v>
      </c>
      <c r="K18" s="149">
        <f t="shared" si="0"/>
        <v>59226.144299999985</v>
      </c>
      <c r="L18" s="149">
        <f t="shared" si="0"/>
        <v>60332.477541710003</v>
      </c>
      <c r="M18" s="157">
        <f t="shared" si="0"/>
        <v>0</v>
      </c>
      <c r="N18" s="149">
        <f>SUM(N16,N14,N12,N10,N8,N6)</f>
        <v>262</v>
      </c>
      <c r="O18" s="149">
        <f>SUM(O16,O14,O12,O10,O8,O6)</f>
        <v>253</v>
      </c>
      <c r="P18" s="158">
        <f>SUM(P16,P14,P12,P10,P8,P6)</f>
        <v>225</v>
      </c>
    </row>
    <row r="19" spans="2:28" ht="15" customHeight="1" thickBot="1" x14ac:dyDescent="0.35">
      <c r="B19" s="16" t="s">
        <v>51</v>
      </c>
      <c r="C19" s="17">
        <v>1197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35">
      <c r="B20" s="57" t="s">
        <v>52</v>
      </c>
      <c r="C20" s="58">
        <v>5097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0.11067193675889328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10756</v>
      </c>
      <c r="D28" s="76">
        <f>C13</f>
        <v>10713</v>
      </c>
      <c r="E28" s="77">
        <f t="shared" ref="E28:E35" si="1">D28-C28</f>
        <v>-43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32858</v>
      </c>
      <c r="D31" s="76">
        <f>C9+C14+C15+C16+C17</f>
        <v>31654</v>
      </c>
      <c r="E31" s="77">
        <f t="shared" si="1"/>
        <v>-1204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72</v>
      </c>
      <c r="D32" s="76">
        <f>C6</f>
        <v>72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2138</v>
      </c>
      <c r="D33" s="76">
        <f>C12</f>
        <v>2138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17868</v>
      </c>
      <c r="D34" s="76">
        <f>C18+C19+C20</f>
        <v>16893</v>
      </c>
      <c r="E34" s="77">
        <f t="shared" si="1"/>
        <v>-975</v>
      </c>
      <c r="K34" s="53"/>
      <c r="P34" s="4"/>
    </row>
    <row r="35" spans="2:16" ht="15" customHeight="1" thickBot="1" x14ac:dyDescent="0.35">
      <c r="B35" s="78" t="s">
        <v>60</v>
      </c>
      <c r="C35" s="121">
        <v>2664</v>
      </c>
      <c r="D35" s="80">
        <f>C10+C11</f>
        <v>2664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44628</v>
      </c>
    </row>
    <row r="3" spans="2:27" ht="18.75" customHeight="1" thickBot="1" x14ac:dyDescent="0.35">
      <c r="B3" t="s">
        <v>1</v>
      </c>
      <c r="C3" s="3">
        <f>C2+1</f>
        <v>44629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151</v>
      </c>
      <c r="E6" s="161" t="s">
        <v>22</v>
      </c>
      <c r="F6" s="119">
        <v>27833</v>
      </c>
      <c r="G6" s="117">
        <v>13328.688083333331</v>
      </c>
      <c r="H6" s="117">
        <v>6683.325994959996</v>
      </c>
      <c r="I6" s="152">
        <f>G6+H6</f>
        <v>20012.014078293327</v>
      </c>
      <c r="J6" s="119">
        <v>28865</v>
      </c>
      <c r="K6" s="117">
        <v>15022.33183333333</v>
      </c>
      <c r="L6" s="117">
        <v>6900.2459942599971</v>
      </c>
      <c r="M6" s="152">
        <f>K6+L6</f>
        <v>21922.577827593326</v>
      </c>
      <c r="N6" s="85">
        <v>93</v>
      </c>
      <c r="O6" s="85">
        <v>88</v>
      </c>
      <c r="P6" s="142">
        <v>83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3598.9765963</v>
      </c>
      <c r="I8" s="152">
        <f>G8+H8</f>
        <v>3598.9765963</v>
      </c>
      <c r="J8" s="119">
        <v>0</v>
      </c>
      <c r="K8" s="117">
        <v>0</v>
      </c>
      <c r="L8" s="117">
        <v>3791.6472060000001</v>
      </c>
      <c r="M8" s="152">
        <f>K8+L8</f>
        <v>3791.6472060000001</v>
      </c>
      <c r="N8" s="87">
        <v>5</v>
      </c>
      <c r="O8" s="87">
        <v>5</v>
      </c>
      <c r="P8" s="144">
        <v>4</v>
      </c>
    </row>
    <row r="9" spans="2:27" x14ac:dyDescent="0.3">
      <c r="B9" s="16" t="s">
        <v>23</v>
      </c>
      <c r="C9" s="17">
        <v>2790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26</v>
      </c>
      <c r="C10" s="17">
        <v>1948</v>
      </c>
      <c r="E10" s="161" t="s">
        <v>31</v>
      </c>
      <c r="F10" s="119">
        <v>20261</v>
      </c>
      <c r="G10" s="117">
        <v>13622.745000000001</v>
      </c>
      <c r="H10" s="117">
        <v>370.20516300000003</v>
      </c>
      <c r="I10" s="152">
        <f>G10+H10</f>
        <v>13992.950163000001</v>
      </c>
      <c r="J10" s="119">
        <v>21008</v>
      </c>
      <c r="K10" s="117">
        <v>14488.416499999999</v>
      </c>
      <c r="L10" s="117">
        <v>386.70943469999997</v>
      </c>
      <c r="M10" s="152">
        <f>K10+L10</f>
        <v>14875.1259347</v>
      </c>
      <c r="N10" s="88">
        <v>54</v>
      </c>
      <c r="O10" s="88">
        <v>53</v>
      </c>
      <c r="P10" s="145">
        <v>47</v>
      </c>
    </row>
    <row r="11" spans="2:27" x14ac:dyDescent="0.3">
      <c r="B11" s="28" t="s">
        <v>28</v>
      </c>
      <c r="C11" s="17">
        <v>1066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6</v>
      </c>
    </row>
    <row r="12" spans="2:27" x14ac:dyDescent="0.3">
      <c r="B12" s="16" t="s">
        <v>30</v>
      </c>
      <c r="C12" s="17">
        <v>2308</v>
      </c>
      <c r="E12" s="161" t="s">
        <v>35</v>
      </c>
      <c r="F12" s="119">
        <v>13222</v>
      </c>
      <c r="G12" s="117">
        <v>11428.147999999999</v>
      </c>
      <c r="H12" s="117">
        <v>16589.983320949988</v>
      </c>
      <c r="I12" s="152">
        <f>G12+H12</f>
        <v>28018.131320949986</v>
      </c>
      <c r="J12" s="119">
        <v>13411</v>
      </c>
      <c r="K12" s="117">
        <v>12616.86825</v>
      </c>
      <c r="L12" s="117">
        <v>17010.933640859999</v>
      </c>
      <c r="M12" s="152">
        <f>K12+L12</f>
        <v>29627.801890859999</v>
      </c>
      <c r="N12" s="88">
        <v>54</v>
      </c>
      <c r="O12" s="88">
        <v>53</v>
      </c>
      <c r="P12" s="145">
        <v>49</v>
      </c>
    </row>
    <row r="13" spans="2:27" x14ac:dyDescent="0.3">
      <c r="B13" s="16" t="s">
        <v>38</v>
      </c>
      <c r="C13" s="17">
        <v>11750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4</v>
      </c>
    </row>
    <row r="14" spans="2:27" x14ac:dyDescent="0.3">
      <c r="B14" s="16" t="s">
        <v>40</v>
      </c>
      <c r="C14" s="17">
        <v>1582</v>
      </c>
      <c r="E14" s="161" t="s">
        <v>39</v>
      </c>
      <c r="F14" s="119">
        <v>19981</v>
      </c>
      <c r="G14" s="117">
        <v>16306.529</v>
      </c>
      <c r="H14" s="117">
        <v>24632.31974354</v>
      </c>
      <c r="I14" s="152">
        <f>G14+H14</f>
        <v>40938.848743540002</v>
      </c>
      <c r="J14" s="119">
        <v>21154</v>
      </c>
      <c r="K14" s="117">
        <v>19374.038250000001</v>
      </c>
      <c r="L14" s="117">
        <v>25767.905750199989</v>
      </c>
      <c r="M14" s="152">
        <f>K14+L14</f>
        <v>45141.94400019999</v>
      </c>
      <c r="N14" s="88">
        <v>72</v>
      </c>
      <c r="O14" s="88">
        <v>66</v>
      </c>
      <c r="P14" s="145">
        <v>62</v>
      </c>
    </row>
    <row r="15" spans="2:27" x14ac:dyDescent="0.3">
      <c r="B15" s="28" t="s">
        <v>42</v>
      </c>
      <c r="C15" s="17">
        <v>30122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4</v>
      </c>
    </row>
    <row r="16" spans="2:27" x14ac:dyDescent="0.3">
      <c r="B16" s="43" t="s">
        <v>47</v>
      </c>
      <c r="C16" s="17">
        <v>1121</v>
      </c>
      <c r="E16" s="161" t="s">
        <v>79</v>
      </c>
      <c r="F16" s="119">
        <v>0</v>
      </c>
      <c r="G16" s="117">
        <v>0</v>
      </c>
      <c r="H16" s="117">
        <v>5502.0713999599993</v>
      </c>
      <c r="I16" s="152">
        <f>G16+H16</f>
        <v>5502.0713999599993</v>
      </c>
      <c r="J16" s="119">
        <v>0</v>
      </c>
      <c r="K16" s="117">
        <v>0</v>
      </c>
      <c r="L16" s="117">
        <v>5687.1892467600001</v>
      </c>
      <c r="M16" s="152">
        <f>K16+L16</f>
        <v>5687.1892467600001</v>
      </c>
      <c r="N16" s="88">
        <v>13</v>
      </c>
      <c r="O16" s="88">
        <v>12</v>
      </c>
      <c r="P16" s="145">
        <v>11</v>
      </c>
    </row>
    <row r="17" spans="2:28" s="4" customFormat="1" ht="15" customHeight="1" thickBot="1" x14ac:dyDescent="0.35">
      <c r="B17" s="43" t="s">
        <v>48</v>
      </c>
      <c r="C17" s="50">
        <v>207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11811</v>
      </c>
      <c r="E18" s="84"/>
      <c r="F18" s="148">
        <f t="shared" ref="F18:M18" si="0">SUM(F6:F17)</f>
        <v>81297</v>
      </c>
      <c r="G18" s="149">
        <f t="shared" si="0"/>
        <v>54686.110083333333</v>
      </c>
      <c r="H18" s="149">
        <f t="shared" si="0"/>
        <v>57376.882218709979</v>
      </c>
      <c r="I18" s="150">
        <f t="shared" si="0"/>
        <v>112062.99230204331</v>
      </c>
      <c r="J18" s="149">
        <f t="shared" si="0"/>
        <v>84438</v>
      </c>
      <c r="K18" s="149">
        <f t="shared" si="0"/>
        <v>61501.654833333334</v>
      </c>
      <c r="L18" s="149">
        <f t="shared" si="0"/>
        <v>59544.631272779981</v>
      </c>
      <c r="M18" s="157">
        <f t="shared" si="0"/>
        <v>121046.28610611332</v>
      </c>
      <c r="N18" s="149">
        <f>SUM(N16,N14,N12,N10,N8,N6)</f>
        <v>291</v>
      </c>
      <c r="O18" s="149">
        <f>SUM(O16,O14,O12,O10,O8,O6)</f>
        <v>277</v>
      </c>
      <c r="P18" s="158">
        <f>SUM(P16,P14,P12,P10,P8,P6)</f>
        <v>256</v>
      </c>
    </row>
    <row r="19" spans="2:28" ht="15" customHeight="1" thickBot="1" x14ac:dyDescent="0.35">
      <c r="B19" s="16" t="s">
        <v>51</v>
      </c>
      <c r="C19" s="17">
        <v>876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35">
      <c r="B20" s="57" t="s">
        <v>52</v>
      </c>
      <c r="C20" s="58">
        <v>5444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7.5812274368231042E-2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11297</v>
      </c>
      <c r="D28" s="76">
        <f>C13</f>
        <v>11750</v>
      </c>
      <c r="E28" s="77">
        <f t="shared" ref="E28:E35" si="1">D28-C28</f>
        <v>453</v>
      </c>
    </row>
    <row r="29" spans="2:28" x14ac:dyDescent="0.3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34484</v>
      </c>
      <c r="D31" s="76">
        <f>C9+C14+C15+C16+C17</f>
        <v>35822</v>
      </c>
      <c r="E31" s="77">
        <f t="shared" si="1"/>
        <v>1338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151</v>
      </c>
      <c r="D32" s="76">
        <f>C6</f>
        <v>151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2308</v>
      </c>
      <c r="D33" s="76">
        <f>C12</f>
        <v>2308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17799</v>
      </c>
      <c r="D34" s="76">
        <f>C18+C19+C20</f>
        <v>18131</v>
      </c>
      <c r="E34" s="77">
        <f t="shared" si="1"/>
        <v>332</v>
      </c>
      <c r="K34" s="53"/>
      <c r="P34" s="4"/>
    </row>
    <row r="35" spans="2:16" ht="15" customHeight="1" thickBot="1" x14ac:dyDescent="0.35">
      <c r="B35" s="78" t="s">
        <v>60</v>
      </c>
      <c r="C35" s="121">
        <v>3014</v>
      </c>
      <c r="D35" s="80">
        <f>C10+C11</f>
        <v>3014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44629</v>
      </c>
    </row>
    <row r="3" spans="2:27" ht="18.75" customHeight="1" thickBot="1" x14ac:dyDescent="0.35">
      <c r="B3" t="s">
        <v>1</v>
      </c>
      <c r="C3" s="3">
        <f>C2+1</f>
        <v>44630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68</v>
      </c>
      <c r="E6" s="161" t="s">
        <v>22</v>
      </c>
      <c r="F6" s="119">
        <v>25699</v>
      </c>
      <c r="G6" s="117">
        <v>13581.907999999999</v>
      </c>
      <c r="H6" s="117">
        <v>5542.3156732399966</v>
      </c>
      <c r="I6" s="152">
        <f>G6+H6</f>
        <v>19124.223673239998</v>
      </c>
      <c r="J6" s="119">
        <v>27444</v>
      </c>
      <c r="K6" s="117">
        <v>15207.67475</v>
      </c>
      <c r="L6" s="117">
        <v>5522.3317464600004</v>
      </c>
      <c r="M6" s="152">
        <f>K6+L6</f>
        <v>20730.006496460002</v>
      </c>
      <c r="N6" s="85">
        <v>83</v>
      </c>
      <c r="O6" s="85">
        <v>78</v>
      </c>
      <c r="P6" s="142">
        <v>73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43</v>
      </c>
      <c r="E8" s="161" t="s">
        <v>27</v>
      </c>
      <c r="F8" s="119">
        <v>0</v>
      </c>
      <c r="G8" s="117">
        <v>0</v>
      </c>
      <c r="H8" s="117">
        <v>4531.1904096800008</v>
      </c>
      <c r="I8" s="152">
        <f>G8+H8</f>
        <v>4531.1904096800008</v>
      </c>
      <c r="J8" s="119">
        <v>0</v>
      </c>
      <c r="K8" s="117">
        <v>0</v>
      </c>
      <c r="L8" s="117">
        <v>4585.9671126399999</v>
      </c>
      <c r="M8" s="152">
        <f>K8+L8</f>
        <v>4585.9671126399999</v>
      </c>
      <c r="N8" s="87">
        <v>3</v>
      </c>
      <c r="O8" s="87">
        <v>3</v>
      </c>
      <c r="P8" s="144">
        <v>3</v>
      </c>
    </row>
    <row r="9" spans="2:27" x14ac:dyDescent="0.3">
      <c r="B9" s="16" t="s">
        <v>23</v>
      </c>
      <c r="C9" s="17">
        <v>1918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26</v>
      </c>
      <c r="C10" s="17">
        <v>1890</v>
      </c>
      <c r="E10" s="161" t="s">
        <v>31</v>
      </c>
      <c r="F10" s="119">
        <v>19823</v>
      </c>
      <c r="G10" s="117">
        <v>13188.950500000001</v>
      </c>
      <c r="H10" s="117">
        <v>352.83571410000002</v>
      </c>
      <c r="I10" s="152">
        <f>G10+H10</f>
        <v>13541.786214100001</v>
      </c>
      <c r="J10" s="119">
        <v>19777</v>
      </c>
      <c r="K10" s="117">
        <v>13743.3825</v>
      </c>
      <c r="L10" s="117">
        <v>345.52698600000002</v>
      </c>
      <c r="M10" s="152">
        <f>K10+L10</f>
        <v>14088.909486</v>
      </c>
      <c r="N10" s="88">
        <v>51</v>
      </c>
      <c r="O10" s="88">
        <v>48</v>
      </c>
      <c r="P10" s="145">
        <v>45</v>
      </c>
    </row>
    <row r="11" spans="2:27" x14ac:dyDescent="0.3">
      <c r="B11" s="28" t="s">
        <v>28</v>
      </c>
      <c r="C11" s="17">
        <v>1189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3</v>
      </c>
    </row>
    <row r="12" spans="2:27" x14ac:dyDescent="0.3">
      <c r="B12" s="16" t="s">
        <v>30</v>
      </c>
      <c r="C12" s="17">
        <v>2008</v>
      </c>
      <c r="E12" s="161" t="s">
        <v>35</v>
      </c>
      <c r="F12" s="119">
        <v>14034</v>
      </c>
      <c r="G12" s="117">
        <v>11793.969499999999</v>
      </c>
      <c r="H12" s="117">
        <v>17248.96499466</v>
      </c>
      <c r="I12" s="152">
        <f>G12+H12</f>
        <v>29042.934494659999</v>
      </c>
      <c r="J12" s="119">
        <v>14912</v>
      </c>
      <c r="K12" s="117">
        <v>14154.4815</v>
      </c>
      <c r="L12" s="117">
        <v>18215.613784379981</v>
      </c>
      <c r="M12" s="152">
        <f>K12+L12</f>
        <v>32370.095284379982</v>
      </c>
      <c r="N12" s="88">
        <v>55</v>
      </c>
      <c r="O12" s="88">
        <v>52</v>
      </c>
      <c r="P12" s="145">
        <v>45</v>
      </c>
    </row>
    <row r="13" spans="2:27" x14ac:dyDescent="0.3">
      <c r="B13" s="16" t="s">
        <v>38</v>
      </c>
      <c r="C13" s="17">
        <v>12019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7</v>
      </c>
    </row>
    <row r="14" spans="2:27" x14ac:dyDescent="0.3">
      <c r="B14" s="16" t="s">
        <v>40</v>
      </c>
      <c r="C14" s="17">
        <v>2090</v>
      </c>
      <c r="E14" s="161" t="s">
        <v>39</v>
      </c>
      <c r="F14" s="119">
        <v>18648</v>
      </c>
      <c r="G14" s="117">
        <v>15365.846250000001</v>
      </c>
      <c r="H14" s="117">
        <v>22141.13654942</v>
      </c>
      <c r="I14" s="152">
        <f>G14+H14</f>
        <v>37506.982799420002</v>
      </c>
      <c r="J14" s="119">
        <v>19285</v>
      </c>
      <c r="K14" s="117">
        <v>18497.6875</v>
      </c>
      <c r="L14" s="117">
        <v>23334.414102660001</v>
      </c>
      <c r="M14" s="152">
        <f>K14+L14</f>
        <v>41832.101602659997</v>
      </c>
      <c r="N14" s="88">
        <v>69</v>
      </c>
      <c r="O14" s="88">
        <v>62</v>
      </c>
      <c r="P14" s="145">
        <v>59</v>
      </c>
    </row>
    <row r="15" spans="2:27" x14ac:dyDescent="0.3">
      <c r="B15" s="28" t="s">
        <v>42</v>
      </c>
      <c r="C15" s="17">
        <v>29865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3</v>
      </c>
    </row>
    <row r="16" spans="2:27" x14ac:dyDescent="0.3">
      <c r="B16" s="43" t="s">
        <v>47</v>
      </c>
      <c r="C16" s="17">
        <v>1449</v>
      </c>
      <c r="E16" s="161" t="s">
        <v>79</v>
      </c>
      <c r="F16" s="119">
        <v>0</v>
      </c>
      <c r="G16" s="117">
        <v>0</v>
      </c>
      <c r="H16" s="117">
        <v>9217.2207784399998</v>
      </c>
      <c r="I16" s="152">
        <f>G16+H16</f>
        <v>9217.2207784399998</v>
      </c>
      <c r="J16" s="119">
        <v>0</v>
      </c>
      <c r="K16" s="117">
        <v>0</v>
      </c>
      <c r="L16" s="117">
        <v>9392.6717343</v>
      </c>
      <c r="M16" s="152">
        <f>K16+L16</f>
        <v>9392.6717343</v>
      </c>
      <c r="N16" s="88">
        <v>12</v>
      </c>
      <c r="O16" s="88">
        <v>11</v>
      </c>
      <c r="P16" s="145">
        <v>11</v>
      </c>
    </row>
    <row r="17" spans="2:28" s="4" customFormat="1" ht="15" customHeight="1" thickBot="1" x14ac:dyDescent="0.35">
      <c r="B17" s="43" t="s">
        <v>48</v>
      </c>
      <c r="C17" s="50">
        <v>396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10241</v>
      </c>
      <c r="E18" s="84"/>
      <c r="F18" s="148">
        <f t="shared" ref="F18:M18" si="0">SUM(F6:F17)</f>
        <v>78204</v>
      </c>
      <c r="G18" s="149">
        <f t="shared" si="0"/>
        <v>53930.674250000004</v>
      </c>
      <c r="H18" s="149">
        <f t="shared" si="0"/>
        <v>59033.664119540001</v>
      </c>
      <c r="I18" s="150">
        <f t="shared" si="0"/>
        <v>112964.33836954</v>
      </c>
      <c r="J18" s="149">
        <f t="shared" si="0"/>
        <v>81418</v>
      </c>
      <c r="K18" s="149">
        <f t="shared" si="0"/>
        <v>61603.22625</v>
      </c>
      <c r="L18" s="149">
        <f t="shared" si="0"/>
        <v>61396.525466439976</v>
      </c>
      <c r="M18" s="157">
        <f t="shared" si="0"/>
        <v>122999.75171643999</v>
      </c>
      <c r="N18" s="149">
        <f>SUM(N16,N14,N12,N10,N8,N6)</f>
        <v>273</v>
      </c>
      <c r="O18" s="149">
        <f>SUM(O16,O14,O12,O10,O8,O6)</f>
        <v>254</v>
      </c>
      <c r="P18" s="158">
        <f>SUM(P16,P14,P12,P10,P8,P6)</f>
        <v>236</v>
      </c>
    </row>
    <row r="19" spans="2:28" ht="15" customHeight="1" thickBot="1" x14ac:dyDescent="0.35">
      <c r="B19" s="16" t="s">
        <v>51</v>
      </c>
      <c r="C19" s="17">
        <v>1472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35">
      <c r="B20" s="57" t="s">
        <v>52</v>
      </c>
      <c r="C20" s="58">
        <v>5203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7.0866141732283464E-2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11847</v>
      </c>
      <c r="D28" s="76">
        <f>C13</f>
        <v>12019</v>
      </c>
      <c r="E28" s="77">
        <f t="shared" ref="E28:E35" si="1">D28-C28</f>
        <v>172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43</v>
      </c>
      <c r="D30" s="76">
        <f>C8</f>
        <v>43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34979</v>
      </c>
      <c r="D31" s="76">
        <f>C9+C14+C15+C16+C17</f>
        <v>35718</v>
      </c>
      <c r="E31" s="77">
        <f t="shared" si="1"/>
        <v>739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68</v>
      </c>
      <c r="D32" s="76">
        <f>C6</f>
        <v>68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2008</v>
      </c>
      <c r="D33" s="76">
        <f>C12</f>
        <v>2008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17684</v>
      </c>
      <c r="D34" s="76">
        <f>C18+C19+C20</f>
        <v>16916</v>
      </c>
      <c r="E34" s="77">
        <f t="shared" si="1"/>
        <v>-768</v>
      </c>
      <c r="K34" s="53"/>
      <c r="P34" s="4"/>
    </row>
    <row r="35" spans="2:16" ht="15" customHeight="1" thickBot="1" x14ac:dyDescent="0.35">
      <c r="B35" s="78" t="s">
        <v>60</v>
      </c>
      <c r="C35" s="121">
        <v>3079</v>
      </c>
      <c r="D35" s="80">
        <f>C10+C11</f>
        <v>3079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44630</v>
      </c>
    </row>
    <row r="3" spans="2:27" ht="18.75" customHeight="1" thickBot="1" x14ac:dyDescent="0.35">
      <c r="B3" t="s">
        <v>1</v>
      </c>
      <c r="C3" s="3">
        <f>C2+1</f>
        <v>44631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111</v>
      </c>
      <c r="E6" s="161" t="s">
        <v>22</v>
      </c>
      <c r="F6" s="119">
        <v>26973</v>
      </c>
      <c r="G6" s="117">
        <v>13809.6788</v>
      </c>
      <c r="H6" s="117">
        <v>6725.3429740199972</v>
      </c>
      <c r="I6" s="152">
        <f>G6+H6</f>
        <v>20535.021774019995</v>
      </c>
      <c r="J6" s="119">
        <v>28769</v>
      </c>
      <c r="K6" s="117">
        <v>16120.425300000001</v>
      </c>
      <c r="L6" s="117">
        <v>6892.4515011199983</v>
      </c>
      <c r="M6" s="152">
        <f>K6+L6</f>
        <v>23012.876801120001</v>
      </c>
      <c r="N6" s="85">
        <v>86</v>
      </c>
      <c r="O6" s="85">
        <v>84</v>
      </c>
      <c r="P6" s="142">
        <v>74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3861.6065231200009</v>
      </c>
      <c r="I8" s="152">
        <f>G8+H8</f>
        <v>3861.6065231200009</v>
      </c>
      <c r="J8" s="119">
        <v>0</v>
      </c>
      <c r="K8" s="117">
        <v>0</v>
      </c>
      <c r="L8" s="117">
        <v>4084.594207520001</v>
      </c>
      <c r="M8" s="152">
        <f>K8+L8</f>
        <v>4084.594207520001</v>
      </c>
      <c r="N8" s="87">
        <v>5</v>
      </c>
      <c r="O8" s="87">
        <v>4</v>
      </c>
      <c r="P8" s="144">
        <v>4</v>
      </c>
    </row>
    <row r="9" spans="2:27" x14ac:dyDescent="0.3">
      <c r="B9" s="16" t="s">
        <v>23</v>
      </c>
      <c r="C9" s="17">
        <v>4984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3">
      <c r="B10" s="28" t="s">
        <v>26</v>
      </c>
      <c r="C10" s="17">
        <v>1730</v>
      </c>
      <c r="E10" s="161" t="s">
        <v>31</v>
      </c>
      <c r="F10" s="119">
        <v>19434</v>
      </c>
      <c r="G10" s="117">
        <v>13206.78775</v>
      </c>
      <c r="H10" s="117">
        <v>322.35659850000002</v>
      </c>
      <c r="I10" s="152">
        <f>G10+H10</f>
        <v>13529.1443485</v>
      </c>
      <c r="J10" s="119">
        <v>20015</v>
      </c>
      <c r="K10" s="117">
        <v>14034.23625</v>
      </c>
      <c r="L10" s="117">
        <v>330.63687640000001</v>
      </c>
      <c r="M10" s="152">
        <f>K10+L10</f>
        <v>14364.8731264</v>
      </c>
      <c r="N10" s="88">
        <v>54</v>
      </c>
      <c r="O10" s="88">
        <v>53</v>
      </c>
      <c r="P10" s="145">
        <v>45</v>
      </c>
    </row>
    <row r="11" spans="2:27" x14ac:dyDescent="0.3">
      <c r="B11" s="28" t="s">
        <v>28</v>
      </c>
      <c r="C11" s="17">
        <v>1120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8</v>
      </c>
    </row>
    <row r="12" spans="2:27" x14ac:dyDescent="0.3">
      <c r="B12" s="16" t="s">
        <v>30</v>
      </c>
      <c r="C12" s="17">
        <v>2431</v>
      </c>
      <c r="E12" s="161" t="s">
        <v>35</v>
      </c>
      <c r="F12" s="119">
        <v>14730</v>
      </c>
      <c r="G12" s="117">
        <v>11962.0075</v>
      </c>
      <c r="H12" s="117">
        <v>18621.09795689999</v>
      </c>
      <c r="I12" s="152">
        <f>G12+H12</f>
        <v>30583.10545689999</v>
      </c>
      <c r="J12" s="119">
        <v>15233</v>
      </c>
      <c r="K12" s="117">
        <v>14863.297500000001</v>
      </c>
      <c r="L12" s="117">
        <v>19416.644001159992</v>
      </c>
      <c r="M12" s="152">
        <f>K12+L12</f>
        <v>34279.941501159992</v>
      </c>
      <c r="N12" s="88">
        <v>52</v>
      </c>
      <c r="O12" s="88">
        <v>49</v>
      </c>
      <c r="P12" s="145">
        <v>44</v>
      </c>
    </row>
    <row r="13" spans="2:27" x14ac:dyDescent="0.3">
      <c r="B13" s="16" t="s">
        <v>38</v>
      </c>
      <c r="C13" s="17">
        <v>12389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5</v>
      </c>
    </row>
    <row r="14" spans="2:27" x14ac:dyDescent="0.3">
      <c r="B14" s="16" t="s">
        <v>40</v>
      </c>
      <c r="C14" s="17">
        <v>3184</v>
      </c>
      <c r="E14" s="161" t="s">
        <v>39</v>
      </c>
      <c r="F14" s="119">
        <v>20229</v>
      </c>
      <c r="G14" s="117">
        <v>15748.78</v>
      </c>
      <c r="H14" s="117">
        <v>25376.7846374</v>
      </c>
      <c r="I14" s="152">
        <f>G14+H14</f>
        <v>41125.564637399999</v>
      </c>
      <c r="J14" s="119">
        <v>21107</v>
      </c>
      <c r="K14" s="117">
        <v>20406.05875</v>
      </c>
      <c r="L14" s="117">
        <v>26781.85826022</v>
      </c>
      <c r="M14" s="152">
        <f>K14+L14</f>
        <v>47187.917010220001</v>
      </c>
      <c r="N14" s="88">
        <v>77</v>
      </c>
      <c r="O14" s="88">
        <v>69</v>
      </c>
      <c r="P14" s="145">
        <v>59</v>
      </c>
    </row>
    <row r="15" spans="2:27" x14ac:dyDescent="0.3">
      <c r="B15" s="28" t="s">
        <v>42</v>
      </c>
      <c r="C15" s="17">
        <v>24989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2:27" x14ac:dyDescent="0.3">
      <c r="B16" s="43" t="s">
        <v>47</v>
      </c>
      <c r="C16" s="17">
        <v>2204</v>
      </c>
      <c r="E16" s="161" t="s">
        <v>79</v>
      </c>
      <c r="F16" s="119">
        <v>0</v>
      </c>
      <c r="G16" s="117">
        <v>0</v>
      </c>
      <c r="H16" s="117">
        <v>5945.5412842400001</v>
      </c>
      <c r="I16" s="152">
        <f>G16+H16</f>
        <v>5945.5412842400001</v>
      </c>
      <c r="J16" s="119">
        <v>0</v>
      </c>
      <c r="K16" s="117">
        <v>0</v>
      </c>
      <c r="L16" s="117">
        <v>6195.310964979999</v>
      </c>
      <c r="M16" s="152">
        <f>K16+L16</f>
        <v>6195.310964979999</v>
      </c>
      <c r="N16" s="88">
        <v>12</v>
      </c>
      <c r="O16" s="88">
        <v>12</v>
      </c>
      <c r="P16" s="145">
        <v>8</v>
      </c>
    </row>
    <row r="17" spans="2:28" s="4" customFormat="1" ht="15" customHeight="1" thickBot="1" x14ac:dyDescent="0.35">
      <c r="B17" s="43" t="s">
        <v>48</v>
      </c>
      <c r="C17" s="50">
        <v>422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4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10746</v>
      </c>
      <c r="E18" s="84"/>
      <c r="F18" s="148">
        <f t="shared" ref="F18:M18" si="0">SUM(F6:F17)</f>
        <v>81366</v>
      </c>
      <c r="G18" s="149">
        <f t="shared" si="0"/>
        <v>54727.254049999996</v>
      </c>
      <c r="H18" s="149">
        <f t="shared" si="0"/>
        <v>60852.729974179994</v>
      </c>
      <c r="I18" s="150">
        <f t="shared" si="0"/>
        <v>115579.98402417998</v>
      </c>
      <c r="J18" s="149">
        <f t="shared" si="0"/>
        <v>85124</v>
      </c>
      <c r="K18" s="149">
        <f t="shared" si="0"/>
        <v>65424.017800000001</v>
      </c>
      <c r="L18" s="149">
        <f t="shared" si="0"/>
        <v>63701.495811399989</v>
      </c>
      <c r="M18" s="157">
        <f t="shared" si="0"/>
        <v>129125.51361139999</v>
      </c>
      <c r="N18" s="149">
        <f>SUM(N16,N14,N12,N10,N8,N6)</f>
        <v>286</v>
      </c>
      <c r="O18" s="149">
        <f>SUM(O16,O14,O12,O10,O8,O6)</f>
        <v>271</v>
      </c>
      <c r="P18" s="158">
        <f>SUM(P16,P14,P12,P10,P8,P6)</f>
        <v>234</v>
      </c>
    </row>
    <row r="19" spans="2:28" ht="15" customHeight="1" thickBot="1" x14ac:dyDescent="0.35">
      <c r="B19" s="16" t="s">
        <v>51</v>
      </c>
      <c r="C19" s="17">
        <v>1917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</row>
    <row r="20" spans="2:28" ht="15" customHeight="1" thickBot="1" x14ac:dyDescent="0.35">
      <c r="B20" s="57" t="s">
        <v>52</v>
      </c>
      <c r="C20" s="58">
        <v>4824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0.13653136531365315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11376</v>
      </c>
      <c r="D28" s="76">
        <f>C13</f>
        <v>12389</v>
      </c>
      <c r="E28" s="77">
        <f t="shared" ref="E28:E35" si="1">D28-C28</f>
        <v>1013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36789</v>
      </c>
      <c r="D31" s="76">
        <f>C9+C14+C15+C16+C17</f>
        <v>35783</v>
      </c>
      <c r="E31" s="77">
        <f t="shared" si="1"/>
        <v>-1006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111</v>
      </c>
      <c r="D32" s="76">
        <f>C6</f>
        <v>111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2431</v>
      </c>
      <c r="D33" s="76">
        <f>C12</f>
        <v>2431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16354</v>
      </c>
      <c r="D34" s="76">
        <f>C18+C19+C20</f>
        <v>17487</v>
      </c>
      <c r="E34" s="77">
        <f t="shared" si="1"/>
        <v>1133</v>
      </c>
      <c r="K34" s="53"/>
      <c r="P34" s="4"/>
    </row>
    <row r="35" spans="2:16" ht="15" customHeight="1" thickBot="1" x14ac:dyDescent="0.35">
      <c r="B35" s="78" t="s">
        <v>60</v>
      </c>
      <c r="C35" s="121">
        <v>2850</v>
      </c>
      <c r="D35" s="80">
        <f>C10+C11</f>
        <v>2850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44631</v>
      </c>
    </row>
    <row r="3" spans="2:27" ht="18.75" customHeight="1" thickBot="1" x14ac:dyDescent="0.35">
      <c r="B3" t="s">
        <v>1</v>
      </c>
      <c r="C3" s="3">
        <f>C2+1</f>
        <v>44632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106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23375</v>
      </c>
      <c r="G6" s="117">
        <v>12801.41575</v>
      </c>
      <c r="H6" s="117">
        <v>4716.0325213400019</v>
      </c>
      <c r="I6" s="152">
        <f>G6+H6</f>
        <v>17517.448271340003</v>
      </c>
      <c r="J6" s="119">
        <v>23806</v>
      </c>
      <c r="K6" s="117">
        <v>14089.745500000001</v>
      </c>
      <c r="L6" s="117">
        <v>5068.1106570799993</v>
      </c>
      <c r="M6" s="152">
        <f>K6+L6</f>
        <v>19157.856157080001</v>
      </c>
      <c r="N6" s="85">
        <v>79</v>
      </c>
      <c r="O6" s="85">
        <v>76</v>
      </c>
      <c r="P6" s="142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53</v>
      </c>
      <c r="E8" s="161" t="s">
        <v>27</v>
      </c>
      <c r="F8" s="119">
        <v>0</v>
      </c>
      <c r="G8" s="117">
        <v>0</v>
      </c>
      <c r="H8" s="117">
        <v>4302.7889340000002</v>
      </c>
      <c r="I8" s="152">
        <f>G8+H8</f>
        <v>4302.7889340000002</v>
      </c>
      <c r="J8" s="119">
        <v>0</v>
      </c>
      <c r="K8" s="117">
        <v>0</v>
      </c>
      <c r="L8" s="117">
        <v>4421.0945252799993</v>
      </c>
      <c r="M8" s="152">
        <f>K8+L8</f>
        <v>4421.0945252799993</v>
      </c>
      <c r="N8" s="87">
        <v>6</v>
      </c>
      <c r="O8" s="87">
        <v>6</v>
      </c>
      <c r="P8" s="144">
        <v>5</v>
      </c>
    </row>
    <row r="9" spans="2:27" x14ac:dyDescent="0.3">
      <c r="B9" s="16" t="s">
        <v>23</v>
      </c>
      <c r="C9" s="17">
        <v>2049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3">
      <c r="B10" s="28" t="s">
        <v>26</v>
      </c>
      <c r="C10" s="17">
        <v>1998</v>
      </c>
      <c r="E10" s="161" t="s">
        <v>31</v>
      </c>
      <c r="F10" s="119">
        <v>19862</v>
      </c>
      <c r="G10" s="117">
        <v>13373.2965</v>
      </c>
      <c r="H10" s="117">
        <v>308.13591250000002</v>
      </c>
      <c r="I10" s="152">
        <f>G10+H10</f>
        <v>13681.4324125</v>
      </c>
      <c r="J10" s="119">
        <v>20090</v>
      </c>
      <c r="K10" s="117">
        <v>14038.898999999999</v>
      </c>
      <c r="L10" s="117">
        <v>310.79750159999998</v>
      </c>
      <c r="M10" s="152">
        <f>K10+L10</f>
        <v>14349.696501599999</v>
      </c>
      <c r="N10" s="88">
        <v>53</v>
      </c>
      <c r="O10" s="88">
        <v>54</v>
      </c>
      <c r="P10" s="145">
        <v>45</v>
      </c>
    </row>
    <row r="11" spans="2:27" x14ac:dyDescent="0.3">
      <c r="B11" s="28" t="s">
        <v>28</v>
      </c>
      <c r="C11" s="17">
        <v>1102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3">
      <c r="B12" s="16" t="s">
        <v>30</v>
      </c>
      <c r="C12" s="17">
        <v>3781</v>
      </c>
      <c r="E12" s="161" t="s">
        <v>35</v>
      </c>
      <c r="F12" s="119">
        <v>14956</v>
      </c>
      <c r="G12" s="117">
        <v>12310.465</v>
      </c>
      <c r="H12" s="117">
        <v>18495.506946519999</v>
      </c>
      <c r="I12" s="152">
        <f>G12+H12</f>
        <v>30805.97194652</v>
      </c>
      <c r="J12" s="119">
        <v>15245</v>
      </c>
      <c r="K12" s="117">
        <v>14939.087</v>
      </c>
      <c r="L12" s="117">
        <v>18617.214695989991</v>
      </c>
      <c r="M12" s="152">
        <f>K12+L12</f>
        <v>33556.301695989991</v>
      </c>
      <c r="N12" s="88">
        <v>60</v>
      </c>
      <c r="O12" s="88">
        <v>58</v>
      </c>
      <c r="P12" s="145">
        <v>47</v>
      </c>
    </row>
    <row r="13" spans="2:27" x14ac:dyDescent="0.3">
      <c r="B13" s="16" t="s">
        <v>38</v>
      </c>
      <c r="C13" s="17">
        <v>11425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11</v>
      </c>
    </row>
    <row r="14" spans="2:27" x14ac:dyDescent="0.3">
      <c r="B14" s="16" t="s">
        <v>40</v>
      </c>
      <c r="C14" s="17">
        <v>2117</v>
      </c>
      <c r="E14" s="161" t="s">
        <v>39</v>
      </c>
      <c r="F14" s="119">
        <v>25121</v>
      </c>
      <c r="G14" s="117">
        <v>18822.770499999999</v>
      </c>
      <c r="H14" s="117">
        <v>29769.968569820001</v>
      </c>
      <c r="I14" s="152">
        <f>G14+H14</f>
        <v>48592.739069820003</v>
      </c>
      <c r="J14" s="119">
        <v>25715</v>
      </c>
      <c r="K14" s="117">
        <v>21995.8685</v>
      </c>
      <c r="L14" s="117">
        <v>30766.823653820011</v>
      </c>
      <c r="M14" s="152">
        <f>K14+L14</f>
        <v>52762.692153820011</v>
      </c>
      <c r="N14" s="88">
        <v>74</v>
      </c>
      <c r="O14" s="88">
        <v>71</v>
      </c>
      <c r="P14" s="145">
        <v>60</v>
      </c>
    </row>
    <row r="15" spans="2:27" x14ac:dyDescent="0.3">
      <c r="B15" s="28" t="s">
        <v>42</v>
      </c>
      <c r="C15" s="17">
        <v>30142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3">
      <c r="B16" s="43" t="s">
        <v>47</v>
      </c>
      <c r="C16" s="17">
        <v>2009</v>
      </c>
      <c r="E16" s="161" t="s">
        <v>79</v>
      </c>
      <c r="F16" s="119">
        <v>0</v>
      </c>
      <c r="G16" s="117">
        <v>0</v>
      </c>
      <c r="H16" s="117">
        <v>9766.3013910400005</v>
      </c>
      <c r="I16" s="152">
        <f>G16+H16</f>
        <v>9766.3013910400005</v>
      </c>
      <c r="J16" s="119">
        <v>0</v>
      </c>
      <c r="K16" s="117">
        <v>0</v>
      </c>
      <c r="L16" s="117">
        <v>10041.4996132</v>
      </c>
      <c r="M16" s="152">
        <f>K16+L16</f>
        <v>10041.4996132</v>
      </c>
      <c r="N16" s="88">
        <v>14</v>
      </c>
      <c r="O16" s="88">
        <v>14</v>
      </c>
      <c r="P16" s="145">
        <v>11</v>
      </c>
    </row>
    <row r="17" spans="2:28" s="4" customFormat="1" ht="15" customHeight="1" thickBot="1" x14ac:dyDescent="0.3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9605</v>
      </c>
      <c r="E18" s="84"/>
      <c r="F18" s="148">
        <f t="shared" ref="F18:M18" si="0">SUM(F6:F17)</f>
        <v>83314</v>
      </c>
      <c r="G18" s="149">
        <f t="shared" si="0"/>
        <v>57307.947749999999</v>
      </c>
      <c r="H18" s="149">
        <f t="shared" si="0"/>
        <v>67358.734275220006</v>
      </c>
      <c r="I18" s="150">
        <f t="shared" si="0"/>
        <v>124666.68202522001</v>
      </c>
      <c r="J18" s="149">
        <f t="shared" si="0"/>
        <v>84856</v>
      </c>
      <c r="K18" s="149">
        <f t="shared" si="0"/>
        <v>65063.600000000006</v>
      </c>
      <c r="L18" s="149">
        <f t="shared" si="0"/>
        <v>69225.540646969996</v>
      </c>
      <c r="M18" s="157">
        <f t="shared" si="0"/>
        <v>134289.14064696999</v>
      </c>
      <c r="N18" s="149">
        <f>SUM(N16,N14,N12,N10,N8,N6)</f>
        <v>286</v>
      </c>
      <c r="O18" s="149">
        <f>SUM(O16,O14,O12,O10,O8,O6)</f>
        <v>279</v>
      </c>
      <c r="P18" s="158">
        <f>SUM(P16,P14,P12,P10,P8,P6)</f>
        <v>234</v>
      </c>
    </row>
    <row r="19" spans="2:28" ht="15" customHeight="1" thickBot="1" x14ac:dyDescent="0.35">
      <c r="B19" s="16" t="s">
        <v>51</v>
      </c>
      <c r="C19" s="17">
        <v>376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</row>
    <row r="20" spans="2:28" ht="15" customHeight="1" thickBot="1" x14ac:dyDescent="0.35">
      <c r="B20" s="57" t="s">
        <v>52</v>
      </c>
      <c r="C20" s="58">
        <v>4956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0.16129032258064516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10201</v>
      </c>
      <c r="D28" s="76">
        <f>C13</f>
        <v>11425</v>
      </c>
      <c r="E28" s="77">
        <f t="shared" ref="E28:E35" si="1">D28-C28</f>
        <v>1224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53</v>
      </c>
      <c r="D30" s="76">
        <f>C8</f>
        <v>53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37100</v>
      </c>
      <c r="D31" s="76">
        <f>C9+C14+C15+C16+C17</f>
        <v>36721</v>
      </c>
      <c r="E31" s="77">
        <f t="shared" si="1"/>
        <v>-379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3781</v>
      </c>
      <c r="D33" s="76">
        <f>C12</f>
        <v>3781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15250</v>
      </c>
      <c r="D34" s="76">
        <f>C18+C19+C20</f>
        <v>14937</v>
      </c>
      <c r="E34" s="77">
        <f t="shared" si="1"/>
        <v>-313</v>
      </c>
      <c r="K34" s="53"/>
      <c r="P34" s="4"/>
    </row>
    <row r="35" spans="2:16" ht="15" customHeight="1" thickBot="1" x14ac:dyDescent="0.35">
      <c r="B35" s="78" t="s">
        <v>60</v>
      </c>
      <c r="C35" s="121">
        <v>3844</v>
      </c>
      <c r="D35" s="80">
        <f>C10+C11</f>
        <v>3100</v>
      </c>
      <c r="E35" s="81">
        <f t="shared" si="1"/>
        <v>-744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44632</v>
      </c>
    </row>
    <row r="3" spans="2:27" ht="18.75" customHeight="1" thickBot="1" x14ac:dyDescent="0.35">
      <c r="B3" t="s">
        <v>1</v>
      </c>
      <c r="C3" s="3">
        <f>C2+1</f>
        <v>44633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90</v>
      </c>
      <c r="E6" s="161" t="s">
        <v>22</v>
      </c>
      <c r="F6" s="119">
        <v>25500</v>
      </c>
      <c r="G6" s="117">
        <v>11864.677750000001</v>
      </c>
      <c r="H6" s="117">
        <v>5425.8874354799991</v>
      </c>
      <c r="I6" s="152">
        <f>G6+H6</f>
        <v>17290.565185480002</v>
      </c>
      <c r="J6" s="119">
        <v>25339</v>
      </c>
      <c r="K6" s="117">
        <v>15254.83271666667</v>
      </c>
      <c r="L6" s="117">
        <v>5736.6560793599992</v>
      </c>
      <c r="M6" s="162">
        <f>K6+L6</f>
        <v>20991.488796026668</v>
      </c>
      <c r="N6" s="87">
        <v>86</v>
      </c>
      <c r="O6" s="87">
        <v>81</v>
      </c>
      <c r="P6" s="87">
        <v>69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3885.2855800000011</v>
      </c>
      <c r="I8" s="152">
        <f>G8+H8</f>
        <v>3885.2855800000011</v>
      </c>
      <c r="J8" s="119">
        <v>0</v>
      </c>
      <c r="K8" s="117">
        <v>0</v>
      </c>
      <c r="L8" s="117">
        <v>3939.5099995199998</v>
      </c>
      <c r="M8" s="162">
        <f>K8+L8</f>
        <v>3939.5099995199998</v>
      </c>
      <c r="N8" s="87">
        <v>5</v>
      </c>
      <c r="O8" s="87">
        <v>4</v>
      </c>
      <c r="P8" s="87">
        <v>4</v>
      </c>
    </row>
    <row r="9" spans="2:27" x14ac:dyDescent="0.3">
      <c r="B9" s="16" t="s">
        <v>23</v>
      </c>
      <c r="C9" s="17">
        <v>2381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2393</v>
      </c>
      <c r="E10" s="161" t="s">
        <v>31</v>
      </c>
      <c r="F10" s="119">
        <v>18567</v>
      </c>
      <c r="G10" s="117">
        <v>13228.1425</v>
      </c>
      <c r="H10" s="117">
        <v>353.55832400000003</v>
      </c>
      <c r="I10" s="152">
        <f>G10+H10</f>
        <v>13581.700824</v>
      </c>
      <c r="J10" s="119">
        <v>18835</v>
      </c>
      <c r="K10" s="117">
        <v>14523.99</v>
      </c>
      <c r="L10" s="117">
        <v>364.99216150000001</v>
      </c>
      <c r="M10" s="162">
        <f>K10+L10</f>
        <v>14888.9821615</v>
      </c>
      <c r="N10" s="88">
        <v>60</v>
      </c>
      <c r="O10" s="88">
        <v>59</v>
      </c>
      <c r="P10" s="88">
        <v>51</v>
      </c>
    </row>
    <row r="11" spans="2:27" x14ac:dyDescent="0.3">
      <c r="B11" s="28" t="s">
        <v>28</v>
      </c>
      <c r="C11" s="17">
        <v>893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30</v>
      </c>
      <c r="C12" s="17">
        <v>2074</v>
      </c>
      <c r="E12" s="161" t="s">
        <v>35</v>
      </c>
      <c r="F12" s="119">
        <v>14747</v>
      </c>
      <c r="G12" s="117">
        <v>12171.244000000001</v>
      </c>
      <c r="H12" s="117">
        <v>18066.34031878</v>
      </c>
      <c r="I12" s="152">
        <f>G12+H12</f>
        <v>30237.584318779998</v>
      </c>
      <c r="J12" s="119">
        <v>14830</v>
      </c>
      <c r="K12" s="117">
        <v>14253.7775</v>
      </c>
      <c r="L12" s="117">
        <v>18369.243745200001</v>
      </c>
      <c r="M12" s="162">
        <f>K12+L12</f>
        <v>32623.021245200001</v>
      </c>
      <c r="N12" s="88">
        <v>59</v>
      </c>
      <c r="O12" s="88">
        <v>59</v>
      </c>
      <c r="P12" s="88">
        <v>48</v>
      </c>
    </row>
    <row r="13" spans="2:27" x14ac:dyDescent="0.3">
      <c r="B13" s="16" t="s">
        <v>38</v>
      </c>
      <c r="C13" s="17">
        <v>11700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3">
      <c r="B14" s="16" t="s">
        <v>40</v>
      </c>
      <c r="C14" s="17">
        <v>1592</v>
      </c>
      <c r="E14" s="161" t="s">
        <v>39</v>
      </c>
      <c r="F14" s="119">
        <v>17169</v>
      </c>
      <c r="G14" s="117">
        <v>16442.143749999999</v>
      </c>
      <c r="H14" s="117">
        <v>21402.546390099971</v>
      </c>
      <c r="I14" s="152">
        <f>G14+H14</f>
        <v>37844.69014009997</v>
      </c>
      <c r="J14" s="119">
        <v>19261</v>
      </c>
      <c r="K14" s="117">
        <v>18878.58725</v>
      </c>
      <c r="L14" s="117">
        <v>24689.69289491999</v>
      </c>
      <c r="M14" s="162">
        <f>K14+L14</f>
        <v>43568.280144919991</v>
      </c>
      <c r="N14" s="88">
        <v>68</v>
      </c>
      <c r="O14" s="88">
        <v>63</v>
      </c>
      <c r="P14" s="88">
        <v>52</v>
      </c>
    </row>
    <row r="15" spans="2:27" x14ac:dyDescent="0.3">
      <c r="B15" s="28" t="s">
        <v>42</v>
      </c>
      <c r="C15" s="17">
        <v>25929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1254</v>
      </c>
      <c r="E16" s="161" t="s">
        <v>79</v>
      </c>
      <c r="F16" s="119">
        <v>0</v>
      </c>
      <c r="G16" s="117">
        <v>0</v>
      </c>
      <c r="H16" s="117">
        <v>5978.9154258199997</v>
      </c>
      <c r="I16" s="152">
        <f>G16+H16</f>
        <v>5978.9154258199997</v>
      </c>
      <c r="J16" s="119">
        <v>0</v>
      </c>
      <c r="K16" s="117">
        <v>0</v>
      </c>
      <c r="L16" s="117">
        <v>5979.2355251199997</v>
      </c>
      <c r="M16" s="162">
        <f>K16+L16</f>
        <v>5979.2355251199997</v>
      </c>
      <c r="N16" s="88">
        <v>11</v>
      </c>
      <c r="O16" s="88">
        <v>11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211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12363</v>
      </c>
      <c r="E18" s="84"/>
      <c r="F18" s="148">
        <f t="shared" ref="F18:M18" si="0">SUM(F6:F17)</f>
        <v>75983</v>
      </c>
      <c r="G18" s="149">
        <f t="shared" si="0"/>
        <v>53706.207999999999</v>
      </c>
      <c r="H18" s="149">
        <f t="shared" si="0"/>
        <v>55112.533474179974</v>
      </c>
      <c r="I18" s="150">
        <f t="shared" si="0"/>
        <v>108818.74147417997</v>
      </c>
      <c r="J18" s="149">
        <f t="shared" si="0"/>
        <v>78265</v>
      </c>
      <c r="K18" s="149">
        <f t="shared" si="0"/>
        <v>62911.18746666667</v>
      </c>
      <c r="L18" s="149">
        <f t="shared" si="0"/>
        <v>59079.330405619992</v>
      </c>
      <c r="M18" s="157">
        <f t="shared" si="0"/>
        <v>121990.51787228667</v>
      </c>
      <c r="N18" s="149">
        <f>SUM(N16,N14,N12,N10,N8,N6)</f>
        <v>289</v>
      </c>
      <c r="O18" s="149">
        <f>SUM(O16,O14,O12,O10,O8,O6)</f>
        <v>277</v>
      </c>
      <c r="P18" s="158">
        <f>SUM(P16,P14,P12,P10,P8,P6)</f>
        <v>233</v>
      </c>
    </row>
    <row r="19" spans="2:28" ht="15" customHeight="1" thickBot="1" x14ac:dyDescent="0.35">
      <c r="B19" s="16" t="s">
        <v>51</v>
      </c>
      <c r="C19" s="17">
        <v>1494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44</v>
      </c>
    </row>
    <row r="20" spans="2:28" ht="15" customHeight="1" thickBot="1" x14ac:dyDescent="0.35">
      <c r="B20" s="57" t="s">
        <v>52</v>
      </c>
      <c r="C20" s="58">
        <v>5032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0.1588447653429603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11914</v>
      </c>
      <c r="D28" s="76">
        <f>C13</f>
        <v>11700</v>
      </c>
      <c r="E28" s="77">
        <f t="shared" ref="E28:E35" si="1">D28-C28</f>
        <v>-214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36243</v>
      </c>
      <c r="D31" s="76">
        <f>C9+C14+C15+C16+C17</f>
        <v>31367</v>
      </c>
      <c r="E31" s="77">
        <f t="shared" si="1"/>
        <v>-4876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90</v>
      </c>
      <c r="E32" s="77">
        <f t="shared" si="1"/>
        <v>90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1817</v>
      </c>
      <c r="D33" s="76">
        <f>C12</f>
        <v>2074</v>
      </c>
      <c r="E33" s="77">
        <f t="shared" si="1"/>
        <v>257</v>
      </c>
      <c r="J33" s="53"/>
      <c r="K33" s="53"/>
      <c r="P33" s="4"/>
    </row>
    <row r="34" spans="2:16" x14ac:dyDescent="0.3">
      <c r="B34" s="74" t="s">
        <v>59</v>
      </c>
      <c r="C34" s="122">
        <v>17448</v>
      </c>
      <c r="D34" s="76">
        <f>C18+C19+C20</f>
        <v>18889</v>
      </c>
      <c r="E34" s="77">
        <f t="shared" si="1"/>
        <v>1441</v>
      </c>
      <c r="K34" s="53"/>
      <c r="P34" s="4"/>
    </row>
    <row r="35" spans="2:16" ht="15" customHeight="1" thickBot="1" x14ac:dyDescent="0.35">
      <c r="B35" s="78" t="s">
        <v>60</v>
      </c>
      <c r="C35" s="121">
        <v>3036</v>
      </c>
      <c r="D35" s="80">
        <f>C10+C11</f>
        <v>3286</v>
      </c>
      <c r="E35" s="81">
        <f t="shared" si="1"/>
        <v>250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44632</v>
      </c>
    </row>
    <row r="3" spans="2:27" ht="18.75" customHeight="1" thickBot="1" x14ac:dyDescent="0.35">
      <c r="B3" t="s">
        <v>1</v>
      </c>
      <c r="C3" s="3">
        <f>C2+1</f>
        <v>44633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11269</v>
      </c>
      <c r="G6" s="117">
        <v>13041.43295</v>
      </c>
      <c r="H6" s="117">
        <v>801.29174999999998</v>
      </c>
      <c r="I6" s="152">
        <f>G6+H6</f>
        <v>13842.724700000001</v>
      </c>
      <c r="J6" s="119">
        <v>10956</v>
      </c>
      <c r="K6" s="117">
        <v>12873</v>
      </c>
      <c r="L6" s="117">
        <v>756</v>
      </c>
      <c r="M6" s="162">
        <f>K6+L6</f>
        <v>13629</v>
      </c>
      <c r="N6" s="87">
        <v>46</v>
      </c>
      <c r="O6" s="87">
        <v>46</v>
      </c>
      <c r="P6" s="87">
        <v>35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448.24444699999992</v>
      </c>
      <c r="I8" s="152">
        <f>G8+H8</f>
        <v>448.24444699999992</v>
      </c>
      <c r="J8" s="119">
        <v>0</v>
      </c>
      <c r="K8" s="117">
        <v>0</v>
      </c>
      <c r="L8" s="117">
        <v>435</v>
      </c>
      <c r="M8" s="162">
        <f>K8+L8</f>
        <v>435</v>
      </c>
      <c r="N8" s="87">
        <v>0</v>
      </c>
      <c r="O8" s="87">
        <v>0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5745</v>
      </c>
      <c r="G10" s="117">
        <v>7025.9160000000002</v>
      </c>
      <c r="H10" s="117">
        <v>332.00582900000001</v>
      </c>
      <c r="I10" s="152">
        <f>G10+H10</f>
        <v>7357.9218289999999</v>
      </c>
      <c r="J10" s="119">
        <v>5512</v>
      </c>
      <c r="K10" s="117">
        <v>6851</v>
      </c>
      <c r="L10" s="117">
        <v>310</v>
      </c>
      <c r="M10" s="162">
        <f>K10+L10</f>
        <v>7161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10593</v>
      </c>
      <c r="E18" s="84"/>
      <c r="F18" s="148">
        <f t="shared" ref="F18:M18" si="0">SUM(F6:F17)</f>
        <v>17014</v>
      </c>
      <c r="G18" s="149">
        <f t="shared" si="0"/>
        <v>20067.34895</v>
      </c>
      <c r="H18" s="149">
        <f t="shared" si="0"/>
        <v>1581.5420259999999</v>
      </c>
      <c r="I18" s="150">
        <f t="shared" si="0"/>
        <v>21648.890975999999</v>
      </c>
      <c r="J18" s="149">
        <f t="shared" si="0"/>
        <v>16468</v>
      </c>
      <c r="K18" s="149">
        <f t="shared" si="0"/>
        <v>19724</v>
      </c>
      <c r="L18" s="149">
        <f t="shared" si="0"/>
        <v>1501</v>
      </c>
      <c r="M18" s="157">
        <f t="shared" si="0"/>
        <v>21225</v>
      </c>
      <c r="N18" s="149">
        <f>SUM(N16,N14,N12,N10,N8,N6)</f>
        <v>47</v>
      </c>
      <c r="O18" s="149">
        <f>SUM(O16,O14,O12,O10,O8,O6)</f>
        <v>46</v>
      </c>
      <c r="P18" s="158">
        <f>SUM(P16,P14,P12,P10,P8,P6)</f>
        <v>35</v>
      </c>
    </row>
    <row r="19" spans="2:28" ht="15" customHeight="1" thickBot="1" x14ac:dyDescent="0.35">
      <c r="B19" s="16" t="s">
        <v>51</v>
      </c>
      <c r="C19" s="17">
        <v>711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35">
      <c r="B20" s="57" t="s">
        <v>52</v>
      </c>
      <c r="C20" s="58">
        <v>5164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0.2391304347826087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17014</v>
      </c>
      <c r="D34" s="76">
        <f>C18+C19+C20</f>
        <v>16468</v>
      </c>
      <c r="E34" s="77">
        <f t="shared" si="1"/>
        <v>-546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44634</v>
      </c>
    </row>
    <row r="3" spans="2:27" ht="18.75" customHeight="1" thickBot="1" x14ac:dyDescent="0.35">
      <c r="B3" t="s">
        <v>1</v>
      </c>
      <c r="C3" s="3">
        <f>C2+1</f>
        <v>44635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74</v>
      </c>
      <c r="E6" s="161" t="s">
        <v>22</v>
      </c>
      <c r="F6" s="119">
        <v>24979</v>
      </c>
      <c r="G6" s="117">
        <v>12207.79293333334</v>
      </c>
      <c r="H6" s="117">
        <v>5147.7715844000004</v>
      </c>
      <c r="I6" s="152">
        <f>G6+H6</f>
        <v>17355.564517733339</v>
      </c>
      <c r="J6" s="119">
        <v>26821</v>
      </c>
      <c r="K6" s="117">
        <v>13741.425433333339</v>
      </c>
      <c r="L6" s="117">
        <v>5313.983334739999</v>
      </c>
      <c r="M6" s="162">
        <f>K6+L6</f>
        <v>19055.408768073339</v>
      </c>
      <c r="N6" s="87">
        <v>76</v>
      </c>
      <c r="O6" s="87">
        <v>74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3875.2539461599999</v>
      </c>
      <c r="I8" s="152">
        <f>G8+H8</f>
        <v>3875.2539461599999</v>
      </c>
      <c r="J8" s="119">
        <v>0</v>
      </c>
      <c r="K8" s="117">
        <v>0</v>
      </c>
      <c r="L8" s="117">
        <v>3993.7769908999999</v>
      </c>
      <c r="M8" s="162">
        <f>K8+L8</f>
        <v>3993.7769908999999</v>
      </c>
      <c r="N8" s="87">
        <v>6</v>
      </c>
      <c r="O8" s="87">
        <v>6</v>
      </c>
      <c r="P8" s="87">
        <v>6</v>
      </c>
    </row>
    <row r="9" spans="2:27" x14ac:dyDescent="0.3">
      <c r="B9" s="16" t="s">
        <v>23</v>
      </c>
      <c r="C9" s="17">
        <v>1810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1875</v>
      </c>
      <c r="E10" s="161" t="s">
        <v>31</v>
      </c>
      <c r="F10" s="119">
        <v>17777</v>
      </c>
      <c r="G10" s="117">
        <v>12862.7075</v>
      </c>
      <c r="H10" s="117">
        <v>342.57698449999998</v>
      </c>
      <c r="I10" s="152">
        <f>G10+H10</f>
        <v>13205.2844845</v>
      </c>
      <c r="J10" s="119">
        <v>18281</v>
      </c>
      <c r="K10" s="117">
        <v>13419.127</v>
      </c>
      <c r="L10" s="117">
        <v>359.25964190000002</v>
      </c>
      <c r="M10" s="162">
        <f>K10+L10</f>
        <v>13778.386641900001</v>
      </c>
      <c r="N10" s="88">
        <v>51</v>
      </c>
      <c r="O10" s="88">
        <v>51</v>
      </c>
      <c r="P10" s="88">
        <v>45</v>
      </c>
    </row>
    <row r="11" spans="2:27" x14ac:dyDescent="0.3">
      <c r="B11" s="28" t="s">
        <v>28</v>
      </c>
      <c r="C11" s="17">
        <v>928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30</v>
      </c>
      <c r="C12" s="17">
        <v>1806</v>
      </c>
      <c r="E12" s="161" t="s">
        <v>35</v>
      </c>
      <c r="F12" s="119">
        <v>12871</v>
      </c>
      <c r="G12" s="117">
        <v>11849.284750000001</v>
      </c>
      <c r="H12" s="117">
        <v>15517.8540567</v>
      </c>
      <c r="I12" s="152">
        <f>G12+H12</f>
        <v>27367.138806700001</v>
      </c>
      <c r="J12" s="119">
        <v>13081</v>
      </c>
      <c r="K12" s="117">
        <v>12244.0985</v>
      </c>
      <c r="L12" s="117">
        <v>16160.426459449989</v>
      </c>
      <c r="M12" s="162">
        <f>K12+L12</f>
        <v>28404.524959449991</v>
      </c>
      <c r="N12" s="88">
        <v>51</v>
      </c>
      <c r="O12" s="88">
        <v>53</v>
      </c>
      <c r="P12" s="88">
        <v>44</v>
      </c>
    </row>
    <row r="13" spans="2:27" x14ac:dyDescent="0.3">
      <c r="B13" s="16" t="s">
        <v>38</v>
      </c>
      <c r="C13" s="17">
        <v>9777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2117</v>
      </c>
      <c r="E14" s="161" t="s">
        <v>39</v>
      </c>
      <c r="F14" s="119">
        <v>17597</v>
      </c>
      <c r="G14" s="117">
        <v>16520.30125</v>
      </c>
      <c r="H14" s="117">
        <v>22234.925509360019</v>
      </c>
      <c r="I14" s="152">
        <f>G14+H14</f>
        <v>38755.226759360019</v>
      </c>
      <c r="J14" s="119">
        <v>20101</v>
      </c>
      <c r="K14" s="117">
        <v>21131.0815</v>
      </c>
      <c r="L14" s="117">
        <v>25637.114325920011</v>
      </c>
      <c r="M14" s="162">
        <f>K14+L14</f>
        <v>46768.195825920011</v>
      </c>
      <c r="N14" s="88">
        <v>70</v>
      </c>
      <c r="O14" s="88">
        <v>65</v>
      </c>
      <c r="P14" s="88">
        <v>59</v>
      </c>
    </row>
    <row r="15" spans="2:27" x14ac:dyDescent="0.3">
      <c r="B15" s="28" t="s">
        <v>42</v>
      </c>
      <c r="C15" s="17">
        <v>27813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1401</v>
      </c>
      <c r="E16" s="161" t="s">
        <v>79</v>
      </c>
      <c r="F16" s="119">
        <v>0</v>
      </c>
      <c r="G16" s="117">
        <v>0</v>
      </c>
      <c r="H16" s="117">
        <v>8930.7474640199998</v>
      </c>
      <c r="I16" s="152">
        <f>G16+H16</f>
        <v>8930.7474640199998</v>
      </c>
      <c r="J16" s="119">
        <v>0</v>
      </c>
      <c r="K16" s="117">
        <v>0</v>
      </c>
      <c r="L16" s="117">
        <v>8915.9511946999992</v>
      </c>
      <c r="M16" s="162">
        <f>K16+L16</f>
        <v>8915.9511946999992</v>
      </c>
      <c r="N16" s="88">
        <v>10</v>
      </c>
      <c r="O16" s="88">
        <v>10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12464</v>
      </c>
      <c r="E18" s="84"/>
      <c r="F18" s="148">
        <f t="shared" ref="F18:M18" si="0">SUM(F6:F17)</f>
        <v>73224</v>
      </c>
      <c r="G18" s="149">
        <f t="shared" si="0"/>
        <v>53440.086433333345</v>
      </c>
      <c r="H18" s="149">
        <f t="shared" si="0"/>
        <v>56049.129545140015</v>
      </c>
      <c r="I18" s="150">
        <f t="shared" si="0"/>
        <v>109489.21597847335</v>
      </c>
      <c r="J18" s="149">
        <f t="shared" si="0"/>
        <v>78284</v>
      </c>
      <c r="K18" s="149">
        <f t="shared" si="0"/>
        <v>60535.732433333338</v>
      </c>
      <c r="L18" s="149">
        <f t="shared" si="0"/>
        <v>60380.511947610001</v>
      </c>
      <c r="M18" s="157">
        <f t="shared" si="0"/>
        <v>120916.24438094333</v>
      </c>
      <c r="N18" s="149">
        <f>SUM(N16,N14,N12,N10,N8,N6)</f>
        <v>264</v>
      </c>
      <c r="O18" s="149">
        <f>SUM(O16,O14,O12,O10,O8,O6)</f>
        <v>259</v>
      </c>
      <c r="P18" s="158">
        <f>SUM(P16,P14,P12,P10,P8,P6)</f>
        <v>233</v>
      </c>
    </row>
    <row r="19" spans="2:28" ht="15" customHeight="1" thickBot="1" x14ac:dyDescent="0.35">
      <c r="B19" s="16" t="s">
        <v>51</v>
      </c>
      <c r="C19" s="17">
        <v>4999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35">
      <c r="B20" s="57" t="s">
        <v>52</v>
      </c>
      <c r="C20" s="58">
        <v>1341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0.10038610038610038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10281</v>
      </c>
      <c r="D28" s="76">
        <f>C13</f>
        <v>9777</v>
      </c>
      <c r="E28" s="77">
        <f t="shared" ref="E28:E35" si="1">D28-C28</f>
        <v>-504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32994</v>
      </c>
      <c r="D31" s="76">
        <f>C9+C14+C15+C16+C17</f>
        <v>33545</v>
      </c>
      <c r="E31" s="77">
        <f t="shared" si="1"/>
        <v>551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74</v>
      </c>
      <c r="D32" s="76">
        <f>C6</f>
        <v>74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1806</v>
      </c>
      <c r="D33" s="76">
        <f>C12</f>
        <v>1806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17035</v>
      </c>
      <c r="D34" s="76">
        <f>C18+C19+C20</f>
        <v>18804</v>
      </c>
      <c r="E34" s="77">
        <f t="shared" si="1"/>
        <v>1769</v>
      </c>
      <c r="K34" s="53"/>
      <c r="P34" s="4"/>
    </row>
    <row r="35" spans="2:16" ht="15" customHeight="1" thickBot="1" x14ac:dyDescent="0.35">
      <c r="B35" s="78" t="s">
        <v>60</v>
      </c>
      <c r="C35" s="121">
        <v>2803</v>
      </c>
      <c r="D35" s="80">
        <f>C10+C11</f>
        <v>2803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44635</v>
      </c>
    </row>
    <row r="3" spans="2:27" ht="18.75" customHeight="1" thickBot="1" x14ac:dyDescent="0.35">
      <c r="B3" t="s">
        <v>1</v>
      </c>
      <c r="C3" s="3">
        <f>C2+1</f>
        <v>44636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149</v>
      </c>
      <c r="E6" s="161" t="s">
        <v>22</v>
      </c>
      <c r="F6" s="119">
        <v>30892</v>
      </c>
      <c r="G6" s="117">
        <v>14003.24</v>
      </c>
      <c r="H6" s="117">
        <v>6144.5417814599996</v>
      </c>
      <c r="I6" s="152">
        <f>G6+H6</f>
        <v>20147.781781459998</v>
      </c>
      <c r="J6" s="119">
        <v>30895</v>
      </c>
      <c r="K6" s="117">
        <v>15513.52125</v>
      </c>
      <c r="L6" s="117">
        <v>6186.2856870000014</v>
      </c>
      <c r="M6" s="162">
        <f>K6+L6</f>
        <v>21699.806937000001</v>
      </c>
      <c r="N6" s="87">
        <v>89</v>
      </c>
      <c r="O6" s="87">
        <v>74</v>
      </c>
      <c r="P6" s="87">
        <v>80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4026.1709076400011</v>
      </c>
      <c r="I8" s="152">
        <f>G8+H8</f>
        <v>4026.1709076400011</v>
      </c>
      <c r="J8" s="119">
        <v>0</v>
      </c>
      <c r="K8" s="117">
        <v>0</v>
      </c>
      <c r="L8" s="117">
        <v>4073.28275738</v>
      </c>
      <c r="M8" s="162">
        <f>K8+L8</f>
        <v>4073.28275738</v>
      </c>
      <c r="N8" s="87">
        <v>5</v>
      </c>
      <c r="O8" s="87">
        <v>5</v>
      </c>
      <c r="P8" s="87">
        <v>5</v>
      </c>
    </row>
    <row r="9" spans="2:27" x14ac:dyDescent="0.3">
      <c r="B9" s="16" t="s">
        <v>23</v>
      </c>
      <c r="C9" s="17">
        <v>2699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2027</v>
      </c>
      <c r="E10" s="161" t="s">
        <v>31</v>
      </c>
      <c r="F10" s="119">
        <v>20013</v>
      </c>
      <c r="G10" s="117">
        <v>13596.9715</v>
      </c>
      <c r="H10" s="117">
        <v>367.79997200000003</v>
      </c>
      <c r="I10" s="152">
        <f>G10+H10</f>
        <v>13964.771472</v>
      </c>
      <c r="J10" s="119">
        <v>20298</v>
      </c>
      <c r="K10" s="117">
        <v>14128.207</v>
      </c>
      <c r="L10" s="117">
        <v>359.826527</v>
      </c>
      <c r="M10" s="162">
        <f>K10+L10</f>
        <v>14488.033527</v>
      </c>
      <c r="N10" s="88">
        <v>56</v>
      </c>
      <c r="O10" s="88">
        <v>55</v>
      </c>
      <c r="P10" s="88">
        <v>50</v>
      </c>
    </row>
    <row r="11" spans="2:27" x14ac:dyDescent="0.3">
      <c r="B11" s="28" t="s">
        <v>28</v>
      </c>
      <c r="C11" s="17">
        <v>1105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2155</v>
      </c>
      <c r="E12" s="161" t="s">
        <v>35</v>
      </c>
      <c r="F12" s="119">
        <v>15707</v>
      </c>
      <c r="G12" s="117">
        <v>12225.915000000001</v>
      </c>
      <c r="H12" s="117">
        <v>18022.851678589988</v>
      </c>
      <c r="I12" s="152">
        <f>G12+H12</f>
        <v>30248.766678589989</v>
      </c>
      <c r="J12" s="119">
        <v>16455</v>
      </c>
      <c r="K12" s="117">
        <v>14880.59</v>
      </c>
      <c r="L12" s="117">
        <v>18761.20006743999</v>
      </c>
      <c r="M12" s="162">
        <f>K12+L12</f>
        <v>33641.790067439986</v>
      </c>
      <c r="N12" s="88">
        <v>54</v>
      </c>
      <c r="O12" s="88">
        <v>52</v>
      </c>
      <c r="P12" s="88">
        <v>44</v>
      </c>
    </row>
    <row r="13" spans="2:27" x14ac:dyDescent="0.3">
      <c r="B13" s="16" t="s">
        <v>38</v>
      </c>
      <c r="C13" s="17">
        <v>10112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16" t="s">
        <v>40</v>
      </c>
      <c r="C14" s="17">
        <v>1592</v>
      </c>
      <c r="E14" s="161" t="s">
        <v>39</v>
      </c>
      <c r="F14" s="119">
        <v>20386</v>
      </c>
      <c r="G14" s="117">
        <v>16867.311249999999</v>
      </c>
      <c r="H14" s="117">
        <v>25415.407498619999</v>
      </c>
      <c r="I14" s="152">
        <f>G14+H14</f>
        <v>42282.718748619998</v>
      </c>
      <c r="J14" s="119">
        <v>21979</v>
      </c>
      <c r="K14" s="117">
        <v>21094.355</v>
      </c>
      <c r="L14" s="117">
        <v>27195.422350799989</v>
      </c>
      <c r="M14" s="162">
        <f>K14+L14</f>
        <v>48289.777350799988</v>
      </c>
      <c r="N14" s="88">
        <v>72</v>
      </c>
      <c r="O14" s="88">
        <v>66</v>
      </c>
      <c r="P14" s="88">
        <v>60</v>
      </c>
    </row>
    <row r="15" spans="2:27" x14ac:dyDescent="0.3">
      <c r="B15" s="28" t="s">
        <v>42</v>
      </c>
      <c r="C15" s="17">
        <v>35491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1117</v>
      </c>
      <c r="E16" s="161" t="s">
        <v>79</v>
      </c>
      <c r="F16" s="119">
        <v>0</v>
      </c>
      <c r="G16" s="117">
        <v>0</v>
      </c>
      <c r="H16" s="117">
        <v>5988.0207905999996</v>
      </c>
      <c r="I16" s="152">
        <f>G16+H16</f>
        <v>5988.0207905999996</v>
      </c>
      <c r="J16" s="119">
        <v>0</v>
      </c>
      <c r="K16" s="117">
        <v>0</v>
      </c>
      <c r="L16" s="117">
        <v>6112.9252425399991</v>
      </c>
      <c r="M16" s="162">
        <f>K16+L16</f>
        <v>6112.9252425399991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211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11092</v>
      </c>
      <c r="E18" s="84"/>
      <c r="F18" s="148">
        <f t="shared" ref="F18:M18" si="0">SUM(F6:F17)</f>
        <v>86998</v>
      </c>
      <c r="G18" s="149">
        <f t="shared" si="0"/>
        <v>56693.437749999997</v>
      </c>
      <c r="H18" s="149">
        <f t="shared" si="0"/>
        <v>59964.792628909985</v>
      </c>
      <c r="I18" s="150">
        <f t="shared" si="0"/>
        <v>116658.23037890998</v>
      </c>
      <c r="J18" s="149">
        <f t="shared" si="0"/>
        <v>89627</v>
      </c>
      <c r="K18" s="149">
        <f t="shared" si="0"/>
        <v>65616.673249999993</v>
      </c>
      <c r="L18" s="149">
        <f t="shared" si="0"/>
        <v>62688.942632159982</v>
      </c>
      <c r="M18" s="157">
        <f t="shared" si="0"/>
        <v>128305.61588215998</v>
      </c>
      <c r="N18" s="149">
        <f>SUM(N16,N14,N12,N10,N8,N6)</f>
        <v>288</v>
      </c>
      <c r="O18" s="149">
        <f>SUM(O16,O14,O12,O10,O8,O6)</f>
        <v>264</v>
      </c>
      <c r="P18" s="158">
        <f>SUM(P16,P14,P12,P10,P8,P6)</f>
        <v>249</v>
      </c>
    </row>
    <row r="19" spans="2:28" ht="15" customHeight="1" thickBot="1" x14ac:dyDescent="0.35">
      <c r="B19" s="16" t="s">
        <v>51</v>
      </c>
      <c r="C19" s="17">
        <v>843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</row>
    <row r="20" spans="2:28" ht="15" customHeight="1" thickBot="1" x14ac:dyDescent="0.35">
      <c r="B20" s="57" t="s">
        <v>52</v>
      </c>
      <c r="C20" s="58">
        <v>5316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5.6818181818181816E-2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11580</v>
      </c>
      <c r="D28" s="76">
        <f>C13</f>
        <v>10112</v>
      </c>
      <c r="E28" s="77">
        <f t="shared" ref="E28:E35" si="1">D28-C28</f>
        <v>-1468</v>
      </c>
    </row>
    <row r="29" spans="2:28" x14ac:dyDescent="0.3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40532</v>
      </c>
      <c r="D31" s="76">
        <f>C9+C14+C15+C16+C17</f>
        <v>41110</v>
      </c>
      <c r="E31" s="77">
        <f t="shared" si="1"/>
        <v>578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149</v>
      </c>
      <c r="D32" s="76">
        <f>C6</f>
        <v>149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2155</v>
      </c>
      <c r="D33" s="76">
        <f>C12</f>
        <v>2155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17653</v>
      </c>
      <c r="D34" s="76">
        <f>C18+C19+C20</f>
        <v>17251</v>
      </c>
      <c r="E34" s="77">
        <f t="shared" si="1"/>
        <v>-402</v>
      </c>
      <c r="K34" s="53"/>
      <c r="P34" s="4"/>
    </row>
    <row r="35" spans="2:16" ht="15" customHeight="1" thickBot="1" x14ac:dyDescent="0.35">
      <c r="B35" s="78" t="s">
        <v>60</v>
      </c>
      <c r="C35" s="121">
        <v>3574</v>
      </c>
      <c r="D35" s="80">
        <f>C10+C11</f>
        <v>3132</v>
      </c>
      <c r="E35" s="81">
        <f t="shared" si="1"/>
        <v>-442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44636</v>
      </c>
    </row>
    <row r="3" spans="2:27" ht="18.75" customHeight="1" thickBot="1" x14ac:dyDescent="0.35">
      <c r="B3" t="s">
        <v>1</v>
      </c>
      <c r="C3" s="3">
        <f>C2+1</f>
        <v>44637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75</v>
      </c>
      <c r="E6" s="161" t="s">
        <v>22</v>
      </c>
      <c r="F6" s="119">
        <v>28854</v>
      </c>
      <c r="G6" s="117">
        <v>13720.00275</v>
      </c>
      <c r="H6" s="117">
        <v>5462.2703828000003</v>
      </c>
      <c r="I6" s="152">
        <f>G6+H6</f>
        <v>19182.273132800001</v>
      </c>
      <c r="J6" s="119">
        <v>30237</v>
      </c>
      <c r="K6" s="117">
        <v>15948.29175</v>
      </c>
      <c r="L6" s="117">
        <v>5396.6816136800007</v>
      </c>
      <c r="M6" s="162">
        <f>K6+L6</f>
        <v>21344.973363680001</v>
      </c>
      <c r="N6" s="87">
        <v>78</v>
      </c>
      <c r="O6" s="87">
        <v>74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30</v>
      </c>
      <c r="E8" s="161" t="s">
        <v>27</v>
      </c>
      <c r="F8" s="119">
        <v>0</v>
      </c>
      <c r="G8" s="117">
        <v>0</v>
      </c>
      <c r="H8" s="117">
        <v>4626.6446476799993</v>
      </c>
      <c r="I8" s="152">
        <f>G8+H8</f>
        <v>4626.6446476799993</v>
      </c>
      <c r="J8" s="119">
        <v>0</v>
      </c>
      <c r="K8" s="117">
        <v>0</v>
      </c>
      <c r="L8" s="117">
        <v>4608.44084802</v>
      </c>
      <c r="M8" s="162">
        <f>K8+L8</f>
        <v>4608.44084802</v>
      </c>
      <c r="N8" s="87">
        <v>4</v>
      </c>
      <c r="O8" s="87">
        <v>4</v>
      </c>
      <c r="P8" s="87">
        <v>3</v>
      </c>
    </row>
    <row r="9" spans="2:27" x14ac:dyDescent="0.3">
      <c r="B9" s="16" t="s">
        <v>23</v>
      </c>
      <c r="C9" s="17">
        <v>1931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1938</v>
      </c>
      <c r="E10" s="161" t="s">
        <v>31</v>
      </c>
      <c r="F10" s="119">
        <v>19560</v>
      </c>
      <c r="G10" s="117">
        <v>13322.488499999999</v>
      </c>
      <c r="H10" s="117">
        <v>347.747972</v>
      </c>
      <c r="I10" s="152">
        <f>G10+H10</f>
        <v>13670.236471999999</v>
      </c>
      <c r="J10" s="119">
        <v>19719</v>
      </c>
      <c r="K10" s="117">
        <v>14133.495999999999</v>
      </c>
      <c r="L10" s="117">
        <v>368.13469880000002</v>
      </c>
      <c r="M10" s="162">
        <f>K10+L10</f>
        <v>14501.6306988</v>
      </c>
      <c r="N10" s="88">
        <v>49</v>
      </c>
      <c r="O10" s="88">
        <v>53</v>
      </c>
      <c r="P10" s="88">
        <v>45</v>
      </c>
    </row>
    <row r="11" spans="2:27" x14ac:dyDescent="0.3">
      <c r="B11" s="28" t="s">
        <v>28</v>
      </c>
      <c r="C11" s="17">
        <v>1224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30</v>
      </c>
      <c r="C12" s="17">
        <v>3945</v>
      </c>
      <c r="E12" s="161" t="s">
        <v>35</v>
      </c>
      <c r="F12" s="119">
        <v>15756</v>
      </c>
      <c r="G12" s="117">
        <v>12712.09575</v>
      </c>
      <c r="H12" s="117">
        <v>18144.885670389991</v>
      </c>
      <c r="I12" s="152">
        <f>G12+H12</f>
        <v>30856.981420389991</v>
      </c>
      <c r="J12" s="119">
        <v>16020</v>
      </c>
      <c r="K12" s="117">
        <v>14940.89675</v>
      </c>
      <c r="L12" s="117">
        <v>18548.399269860001</v>
      </c>
      <c r="M12" s="162">
        <f>K12+L12</f>
        <v>33489.296019860005</v>
      </c>
      <c r="N12" s="88">
        <v>56</v>
      </c>
      <c r="O12" s="88">
        <v>53</v>
      </c>
      <c r="P12" s="88">
        <v>44</v>
      </c>
    </row>
    <row r="13" spans="2:27" x14ac:dyDescent="0.3">
      <c r="B13" s="16" t="s">
        <v>38</v>
      </c>
      <c r="C13" s="17">
        <v>11914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2224</v>
      </c>
      <c r="E14" s="161" t="s">
        <v>39</v>
      </c>
      <c r="F14" s="119">
        <v>25171</v>
      </c>
      <c r="G14" s="117">
        <v>18231.55875</v>
      </c>
      <c r="H14" s="117">
        <v>28877.99846438002</v>
      </c>
      <c r="I14" s="152">
        <f>G14+H14</f>
        <v>47109.557214380024</v>
      </c>
      <c r="J14" s="119">
        <v>26079</v>
      </c>
      <c r="K14" s="117">
        <v>20928.484499999999</v>
      </c>
      <c r="L14" s="117">
        <v>30328.667409839989</v>
      </c>
      <c r="M14" s="162">
        <f>K14+L14</f>
        <v>51257.151909839988</v>
      </c>
      <c r="N14" s="88">
        <v>68</v>
      </c>
      <c r="O14" s="88">
        <v>63</v>
      </c>
      <c r="P14" s="88">
        <v>61</v>
      </c>
    </row>
    <row r="15" spans="2:27" x14ac:dyDescent="0.3">
      <c r="B15" s="28" t="s">
        <v>42</v>
      </c>
      <c r="C15" s="17">
        <v>32409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2:27" x14ac:dyDescent="0.3">
      <c r="B16" s="43" t="s">
        <v>47</v>
      </c>
      <c r="C16" s="17">
        <v>1493</v>
      </c>
      <c r="E16" s="161" t="s">
        <v>79</v>
      </c>
      <c r="F16" s="119">
        <v>0</v>
      </c>
      <c r="G16" s="117">
        <v>0</v>
      </c>
      <c r="H16" s="117">
        <v>9580.2302915</v>
      </c>
      <c r="I16" s="152">
        <f>G16+H16</f>
        <v>9580.2302915</v>
      </c>
      <c r="J16" s="119">
        <v>0</v>
      </c>
      <c r="K16" s="117">
        <v>0</v>
      </c>
      <c r="L16" s="117">
        <v>9843.0064724200001</v>
      </c>
      <c r="M16" s="162">
        <f>K16+L16</f>
        <v>9843.0064724200001</v>
      </c>
      <c r="N16" s="88">
        <v>10</v>
      </c>
      <c r="O16" s="88">
        <v>11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421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12011</v>
      </c>
      <c r="E18" s="84"/>
      <c r="F18" s="148">
        <f t="shared" ref="F18:M18" si="0">SUM(F6:F17)</f>
        <v>89341</v>
      </c>
      <c r="G18" s="149">
        <f t="shared" si="0"/>
        <v>57986.145749999996</v>
      </c>
      <c r="H18" s="149">
        <f t="shared" si="0"/>
        <v>67039.777428750007</v>
      </c>
      <c r="I18" s="150">
        <f t="shared" si="0"/>
        <v>125025.92317875002</v>
      </c>
      <c r="J18" s="149">
        <f t="shared" si="0"/>
        <v>92055</v>
      </c>
      <c r="K18" s="149">
        <f t="shared" si="0"/>
        <v>65951.168999999994</v>
      </c>
      <c r="L18" s="149">
        <f t="shared" si="0"/>
        <v>69093.33031261999</v>
      </c>
      <c r="M18" s="157">
        <f t="shared" si="0"/>
        <v>135044.49931262</v>
      </c>
      <c r="N18" s="149">
        <f>SUM(N16,N14,N12,N10,N8,N6)</f>
        <v>265</v>
      </c>
      <c r="O18" s="149">
        <f>SUM(O16,O14,O12,O10,O8,O6)</f>
        <v>258</v>
      </c>
      <c r="P18" s="158">
        <f>SUM(P16,P14,P12,P10,P8,P6)</f>
        <v>232</v>
      </c>
    </row>
    <row r="19" spans="2:28" ht="15" customHeight="1" thickBot="1" x14ac:dyDescent="0.35">
      <c r="B19" s="16" t="s">
        <v>51</v>
      </c>
      <c r="C19" s="17">
        <v>1569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35">
      <c r="B20" s="57" t="s">
        <v>52</v>
      </c>
      <c r="C20" s="58">
        <v>5257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0.10077519379844961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12225</v>
      </c>
      <c r="D28" s="76">
        <f>C13</f>
        <v>11914</v>
      </c>
      <c r="E28" s="77">
        <f t="shared" ref="E28:E35" si="1">D28-C28</f>
        <v>-311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30</v>
      </c>
      <c r="D30" s="76">
        <f>C8</f>
        <v>30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37234</v>
      </c>
      <c r="D31" s="76">
        <f>C9+C14+C15+C16+C17</f>
        <v>38478</v>
      </c>
      <c r="E31" s="77">
        <f t="shared" si="1"/>
        <v>1244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75</v>
      </c>
      <c r="E32" s="77">
        <f t="shared" si="1"/>
        <v>75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3945</v>
      </c>
      <c r="D33" s="76">
        <f>C12</f>
        <v>3945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17095</v>
      </c>
      <c r="D34" s="76">
        <f>C18+C19+C20</f>
        <v>18837</v>
      </c>
      <c r="E34" s="77">
        <f t="shared" si="1"/>
        <v>1742</v>
      </c>
      <c r="K34" s="53"/>
      <c r="P34" s="4"/>
    </row>
    <row r="35" spans="2:16" ht="15" customHeight="1" thickBot="1" x14ac:dyDescent="0.35">
      <c r="B35" s="78" t="s">
        <v>60</v>
      </c>
      <c r="C35" s="121">
        <v>3560</v>
      </c>
      <c r="D35" s="80">
        <f>C10+C11</f>
        <v>3162</v>
      </c>
      <c r="E35" s="81">
        <f t="shared" si="1"/>
        <v>-398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44637</v>
      </c>
    </row>
    <row r="3" spans="2:27" ht="18.75" customHeight="1" thickBot="1" x14ac:dyDescent="0.35">
      <c r="B3" t="s">
        <v>1</v>
      </c>
      <c r="C3" s="3">
        <f>C2+1</f>
        <v>44638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122</v>
      </c>
      <c r="E6" s="161" t="s">
        <v>22</v>
      </c>
      <c r="F6" s="119">
        <v>28276</v>
      </c>
      <c r="G6" s="117">
        <v>13889.040466666671</v>
      </c>
      <c r="H6" s="117">
        <v>6788.4521260600004</v>
      </c>
      <c r="I6" s="152">
        <f>G6+H6</f>
        <v>20677.49259272667</v>
      </c>
      <c r="J6" s="119">
        <v>28299</v>
      </c>
      <c r="K6" s="117">
        <v>15286.496966666669</v>
      </c>
      <c r="L6" s="117">
        <v>6783.4187458200013</v>
      </c>
      <c r="M6" s="162">
        <f>K6+L6</f>
        <v>22069.915712486669</v>
      </c>
      <c r="N6" s="87">
        <v>80</v>
      </c>
      <c r="O6" s="87">
        <v>79</v>
      </c>
      <c r="P6" s="87">
        <v>76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3762.9794430000011</v>
      </c>
      <c r="I8" s="152">
        <f>G8+H8</f>
        <v>3762.9794430000011</v>
      </c>
      <c r="J8" s="119">
        <v>0</v>
      </c>
      <c r="K8" s="117">
        <v>0</v>
      </c>
      <c r="L8" s="117">
        <v>3750.6563527200001</v>
      </c>
      <c r="M8" s="162">
        <f>K8+L8</f>
        <v>3750.6563527200001</v>
      </c>
      <c r="N8" s="87">
        <v>4</v>
      </c>
      <c r="O8" s="87">
        <v>4</v>
      </c>
      <c r="P8" s="87">
        <v>4</v>
      </c>
    </row>
    <row r="9" spans="2:27" x14ac:dyDescent="0.3">
      <c r="B9" s="16" t="s">
        <v>23</v>
      </c>
      <c r="C9" s="17">
        <v>2632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1822</v>
      </c>
      <c r="E10" s="161" t="s">
        <v>31</v>
      </c>
      <c r="F10" s="119">
        <v>20188</v>
      </c>
      <c r="G10" s="117">
        <v>13479.219499999999</v>
      </c>
      <c r="H10" s="117">
        <v>330.8195925</v>
      </c>
      <c r="I10" s="152">
        <f>G10+H10</f>
        <v>13810.039092499999</v>
      </c>
      <c r="J10" s="119">
        <v>19838</v>
      </c>
      <c r="K10" s="117">
        <v>13988.146500000001</v>
      </c>
      <c r="L10" s="117">
        <v>313.21906790000003</v>
      </c>
      <c r="M10" s="162">
        <f>K10+L10</f>
        <v>14301.3655679</v>
      </c>
      <c r="N10" s="88">
        <v>56</v>
      </c>
      <c r="O10" s="88">
        <v>55</v>
      </c>
      <c r="P10" s="88">
        <v>57</v>
      </c>
    </row>
    <row r="11" spans="2:27" x14ac:dyDescent="0.3">
      <c r="B11" s="28" t="s">
        <v>28</v>
      </c>
      <c r="C11" s="17">
        <v>1121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-2</v>
      </c>
    </row>
    <row r="12" spans="2:27" x14ac:dyDescent="0.3">
      <c r="B12" s="16" t="s">
        <v>30</v>
      </c>
      <c r="C12" s="17">
        <v>2428</v>
      </c>
      <c r="E12" s="161" t="s">
        <v>35</v>
      </c>
      <c r="F12" s="119">
        <v>15455</v>
      </c>
      <c r="G12" s="117">
        <v>11980.605250000001</v>
      </c>
      <c r="H12" s="117">
        <v>17776.122674380011</v>
      </c>
      <c r="I12" s="152">
        <f>G12+H12</f>
        <v>29756.727924380011</v>
      </c>
      <c r="J12" s="119">
        <v>15722</v>
      </c>
      <c r="K12" s="117">
        <v>14373.51250000001</v>
      </c>
      <c r="L12" s="117">
        <v>17978.425772620001</v>
      </c>
      <c r="M12" s="162">
        <f>K12+L12</f>
        <v>32351.938272620013</v>
      </c>
      <c r="N12" s="88">
        <v>52</v>
      </c>
      <c r="O12" s="88">
        <v>49</v>
      </c>
      <c r="P12" s="88">
        <v>43</v>
      </c>
    </row>
    <row r="13" spans="2:27" x14ac:dyDescent="0.3">
      <c r="B13" s="16" t="s">
        <v>38</v>
      </c>
      <c r="C13" s="17">
        <v>12527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1625</v>
      </c>
      <c r="E14" s="161" t="s">
        <v>39</v>
      </c>
      <c r="F14" s="119">
        <v>21308</v>
      </c>
      <c r="G14" s="117">
        <v>16589.25</v>
      </c>
      <c r="H14" s="117">
        <v>27177.421294560008</v>
      </c>
      <c r="I14" s="152">
        <f>G14+H14</f>
        <v>43766.671294560008</v>
      </c>
      <c r="J14" s="119">
        <v>23128</v>
      </c>
      <c r="K14" s="117">
        <v>22882.846750000001</v>
      </c>
      <c r="L14" s="117">
        <v>29835.240562360021</v>
      </c>
      <c r="M14" s="162">
        <f>K14+L14</f>
        <v>52718.087312360018</v>
      </c>
      <c r="N14" s="88">
        <v>72</v>
      </c>
      <c r="O14" s="88">
        <v>67</v>
      </c>
      <c r="P14" s="88">
        <v>56</v>
      </c>
    </row>
    <row r="15" spans="2:27" x14ac:dyDescent="0.3">
      <c r="B15" s="28" t="s">
        <v>42</v>
      </c>
      <c r="C15" s="17">
        <v>32198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1136</v>
      </c>
      <c r="E16" s="161" t="s">
        <v>79</v>
      </c>
      <c r="F16" s="119">
        <v>0</v>
      </c>
      <c r="G16" s="117">
        <v>0</v>
      </c>
      <c r="H16" s="117">
        <v>6049.9274640599997</v>
      </c>
      <c r="I16" s="152">
        <f>G16+H16</f>
        <v>6049.9274640599997</v>
      </c>
      <c r="J16" s="119">
        <v>0</v>
      </c>
      <c r="K16" s="117">
        <v>0</v>
      </c>
      <c r="L16" s="117">
        <v>6224.0993269999999</v>
      </c>
      <c r="M16" s="162">
        <f>K16+L16</f>
        <v>6224.0993269999999</v>
      </c>
      <c r="N16" s="88">
        <v>13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9455</v>
      </c>
      <c r="E18" s="84"/>
      <c r="F18" s="148">
        <f t="shared" ref="F18:M18" si="0">SUM(F6:F17)</f>
        <v>85227</v>
      </c>
      <c r="G18" s="149">
        <f t="shared" si="0"/>
        <v>55938.115216666672</v>
      </c>
      <c r="H18" s="149">
        <f t="shared" si="0"/>
        <v>61885.722594560015</v>
      </c>
      <c r="I18" s="150">
        <f t="shared" si="0"/>
        <v>117823.83781122671</v>
      </c>
      <c r="J18" s="149">
        <f t="shared" si="0"/>
        <v>86987</v>
      </c>
      <c r="K18" s="149">
        <f t="shared" si="0"/>
        <v>66531.002716666684</v>
      </c>
      <c r="L18" s="149">
        <f t="shared" si="0"/>
        <v>64885.059828420024</v>
      </c>
      <c r="M18" s="157">
        <f t="shared" si="0"/>
        <v>131416.06254508669</v>
      </c>
      <c r="N18" s="149">
        <f>SUM(N16,N14,N12,N10,N8,N6)</f>
        <v>277</v>
      </c>
      <c r="O18" s="149">
        <f>SUM(O16,O14,O12,O10,O8,O6)</f>
        <v>265</v>
      </c>
      <c r="P18" s="158">
        <f>SUM(P16,P14,P12,P10,P8,P6)</f>
        <v>247</v>
      </c>
    </row>
    <row r="19" spans="2:28" ht="15" customHeight="1" thickBot="1" x14ac:dyDescent="0.35">
      <c r="B19" s="16" t="s">
        <v>51</v>
      </c>
      <c r="C19" s="17">
        <v>1956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35">
      <c r="B20" s="57" t="s">
        <v>52</v>
      </c>
      <c r="C20" s="58">
        <v>4727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6.7924528301886791E-2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12323</v>
      </c>
      <c r="D28" s="76">
        <f>C13</f>
        <v>12527</v>
      </c>
      <c r="E28" s="77">
        <f t="shared" ref="E28:E35" si="1">D28-C28</f>
        <v>204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38431</v>
      </c>
      <c r="D31" s="76">
        <f>C9+C14+C15+C16+C17</f>
        <v>37804</v>
      </c>
      <c r="E31" s="77">
        <f t="shared" si="1"/>
        <v>-627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122</v>
      </c>
      <c r="D32" s="76">
        <f>C6</f>
        <v>122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2428</v>
      </c>
      <c r="D33" s="76">
        <f>C12</f>
        <v>2428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16900</v>
      </c>
      <c r="D34" s="76">
        <f>C18+C19+C20</f>
        <v>16138</v>
      </c>
      <c r="E34" s="77">
        <f t="shared" si="1"/>
        <v>-762</v>
      </c>
      <c r="K34" s="53"/>
      <c r="P34" s="4"/>
    </row>
    <row r="35" spans="2:16" ht="15" customHeight="1" thickBot="1" x14ac:dyDescent="0.35">
      <c r="B35" s="78" t="s">
        <v>60</v>
      </c>
      <c r="C35" s="121">
        <v>3675</v>
      </c>
      <c r="D35" s="80">
        <f>C10+C11</f>
        <v>2943</v>
      </c>
      <c r="E35" s="81">
        <f t="shared" si="1"/>
        <v>-732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44638</v>
      </c>
    </row>
    <row r="3" spans="2:27" ht="18.75" customHeight="1" thickBot="1" x14ac:dyDescent="0.35">
      <c r="B3" t="s">
        <v>1</v>
      </c>
      <c r="C3" s="3">
        <f>C2+1</f>
        <v>44639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107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24472</v>
      </c>
      <c r="G6" s="117">
        <v>12944.457</v>
      </c>
      <c r="H6" s="117">
        <v>4476.6960305000011</v>
      </c>
      <c r="I6" s="152">
        <f>G6+H6</f>
        <v>17421.153030500001</v>
      </c>
      <c r="J6" s="119">
        <v>23438</v>
      </c>
      <c r="K6" s="117">
        <v>13001.52425</v>
      </c>
      <c r="L6" s="117">
        <v>3535.1175170400002</v>
      </c>
      <c r="M6" s="162">
        <f>K6+L6</f>
        <v>16536.641767040001</v>
      </c>
      <c r="N6" s="87">
        <v>78</v>
      </c>
      <c r="O6" s="87">
        <v>74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4059.8945437799989</v>
      </c>
      <c r="I8" s="152">
        <f>G8+H8</f>
        <v>4059.8945437799989</v>
      </c>
      <c r="J8" s="119">
        <v>0</v>
      </c>
      <c r="K8" s="117">
        <v>0</v>
      </c>
      <c r="L8" s="117">
        <v>3823.1363514999998</v>
      </c>
      <c r="M8" s="162">
        <f>K8+L8</f>
        <v>3823.1363514999998</v>
      </c>
      <c r="N8" s="87">
        <v>6</v>
      </c>
      <c r="O8" s="87">
        <v>6</v>
      </c>
      <c r="P8" s="87">
        <v>6</v>
      </c>
    </row>
    <row r="9" spans="2:27" x14ac:dyDescent="0.3">
      <c r="B9" s="16" t="s">
        <v>23</v>
      </c>
      <c r="C9" s="17">
        <v>2097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1958</v>
      </c>
      <c r="E10" s="161" t="s">
        <v>31</v>
      </c>
      <c r="F10" s="119">
        <v>17487</v>
      </c>
      <c r="G10" s="117">
        <v>13824.67</v>
      </c>
      <c r="H10" s="117">
        <v>773.95088499999997</v>
      </c>
      <c r="I10" s="152">
        <f>G10+H10</f>
        <v>14598.620885</v>
      </c>
      <c r="J10" s="119">
        <v>16777</v>
      </c>
      <c r="K10" s="117">
        <v>13047.238499999999</v>
      </c>
      <c r="L10" s="117">
        <v>799.71312</v>
      </c>
      <c r="M10" s="162">
        <f>K10+L10</f>
        <v>13846.95162</v>
      </c>
      <c r="N10" s="88">
        <v>55</v>
      </c>
      <c r="O10" s="88">
        <v>53</v>
      </c>
      <c r="P10" s="88">
        <v>52</v>
      </c>
    </row>
    <row r="11" spans="2:27" x14ac:dyDescent="0.3">
      <c r="B11" s="28" t="s">
        <v>28</v>
      </c>
      <c r="C11" s="17">
        <v>1292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30</v>
      </c>
      <c r="C12" s="17">
        <v>4163</v>
      </c>
      <c r="E12" s="161" t="s">
        <v>35</v>
      </c>
      <c r="F12" s="119">
        <v>15542</v>
      </c>
      <c r="G12" s="117">
        <v>11951.42300000001</v>
      </c>
      <c r="H12" s="117">
        <v>18748.8512882</v>
      </c>
      <c r="I12" s="152">
        <f>G12+H12</f>
        <v>30700.274288200009</v>
      </c>
      <c r="J12" s="119">
        <v>15398</v>
      </c>
      <c r="K12" s="117">
        <v>14765.357749999999</v>
      </c>
      <c r="L12" s="117">
        <v>18517.273672740001</v>
      </c>
      <c r="M12" s="162">
        <f>K12+L12</f>
        <v>33282.63142274</v>
      </c>
      <c r="N12" s="88">
        <v>60</v>
      </c>
      <c r="O12" s="88">
        <v>59</v>
      </c>
      <c r="P12" s="88">
        <v>52</v>
      </c>
    </row>
    <row r="13" spans="2:27" x14ac:dyDescent="0.3">
      <c r="B13" s="16" t="s">
        <v>38</v>
      </c>
      <c r="C13" s="17">
        <v>7160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16" t="s">
        <v>40</v>
      </c>
      <c r="C14" s="17">
        <v>2224</v>
      </c>
      <c r="E14" s="161" t="s">
        <v>39</v>
      </c>
      <c r="F14" s="119">
        <v>27244</v>
      </c>
      <c r="G14" s="117">
        <v>19851.331249999999</v>
      </c>
      <c r="H14" s="117">
        <v>32133.327104380001</v>
      </c>
      <c r="I14" s="152">
        <f>G14+H14</f>
        <v>51984.658354380001</v>
      </c>
      <c r="J14" s="119">
        <v>27656</v>
      </c>
      <c r="K14" s="117">
        <v>23358.653750000001</v>
      </c>
      <c r="L14" s="117">
        <v>32674.677571780008</v>
      </c>
      <c r="M14" s="162">
        <f>K14+L14</f>
        <v>56033.33132178001</v>
      </c>
      <c r="N14" s="88">
        <v>73</v>
      </c>
      <c r="O14" s="88">
        <v>70</v>
      </c>
      <c r="P14" s="88">
        <v>64</v>
      </c>
    </row>
    <row r="15" spans="2:27" x14ac:dyDescent="0.3">
      <c r="B15" s="28" t="s">
        <v>42</v>
      </c>
      <c r="C15" s="17">
        <f>31607+1851</f>
        <v>33458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2097</v>
      </c>
      <c r="E16" s="161" t="s">
        <v>79</v>
      </c>
      <c r="F16" s="119">
        <v>0</v>
      </c>
      <c r="G16" s="117">
        <v>0</v>
      </c>
      <c r="H16" s="117">
        <v>10297.71813144</v>
      </c>
      <c r="I16" s="152">
        <f>G16+H16</f>
        <v>10297.71813144</v>
      </c>
      <c r="J16" s="119">
        <v>0</v>
      </c>
      <c r="K16" s="117">
        <v>0</v>
      </c>
      <c r="L16" s="117">
        <v>10039.2176196</v>
      </c>
      <c r="M16" s="162">
        <f>K16+L16</f>
        <v>10039.2176196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421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9455</v>
      </c>
      <c r="E18" s="84"/>
      <c r="F18" s="148">
        <f t="shared" ref="F18:M18" si="0">SUM(F6:F17)</f>
        <v>84745</v>
      </c>
      <c r="G18" s="149">
        <f t="shared" si="0"/>
        <v>58571.881250000006</v>
      </c>
      <c r="H18" s="149">
        <f t="shared" si="0"/>
        <v>70490.437983300013</v>
      </c>
      <c r="I18" s="150">
        <f t="shared" si="0"/>
        <v>129062.31923329999</v>
      </c>
      <c r="J18" s="149">
        <f t="shared" si="0"/>
        <v>83269</v>
      </c>
      <c r="K18" s="149">
        <f t="shared" si="0"/>
        <v>64172.774250000002</v>
      </c>
      <c r="L18" s="149">
        <f t="shared" si="0"/>
        <v>69389.135852660009</v>
      </c>
      <c r="M18" s="157">
        <f t="shared" si="0"/>
        <v>133561.91010266001</v>
      </c>
      <c r="N18" s="149">
        <f>SUM(N16,N14,N12,N10,N8,N6)</f>
        <v>286</v>
      </c>
      <c r="O18" s="149">
        <f>SUM(O16,O14,O12,O10,O8,O6)</f>
        <v>276</v>
      </c>
      <c r="P18" s="158">
        <f>SUM(P16,P14,P12,P10,P8,P6)</f>
        <v>255</v>
      </c>
    </row>
    <row r="19" spans="2:28" ht="15" customHeight="1" thickBot="1" x14ac:dyDescent="0.35">
      <c r="B19" s="16" t="s">
        <v>51</v>
      </c>
      <c r="C19" s="17">
        <v>1956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35">
      <c r="B20" s="57" t="s">
        <v>52</v>
      </c>
      <c r="C20" s="58">
        <v>4727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7.6086956521739135E-2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10422</v>
      </c>
      <c r="D28" s="76">
        <f>C13</f>
        <v>7160</v>
      </c>
      <c r="E28" s="77">
        <f t="shared" ref="E28:E35" si="1">D28-C28</f>
        <v>-3262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39287</v>
      </c>
      <c r="D31" s="76">
        <f>C9+C14+C15+C16+C17</f>
        <v>40297</v>
      </c>
      <c r="E31" s="77">
        <f t="shared" si="1"/>
        <v>1010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4163</v>
      </c>
      <c r="D33" s="76">
        <f>C12</f>
        <v>4163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15367</v>
      </c>
      <c r="D34" s="76">
        <f>C18+C19+C20</f>
        <v>16138</v>
      </c>
      <c r="E34" s="77">
        <f t="shared" si="1"/>
        <v>771</v>
      </c>
      <c r="K34" s="53"/>
      <c r="P34" s="4"/>
    </row>
    <row r="35" spans="2:16" ht="15" customHeight="1" thickBot="1" x14ac:dyDescent="0.35">
      <c r="B35" s="78" t="s">
        <v>60</v>
      </c>
      <c r="C35" s="121">
        <v>4007</v>
      </c>
      <c r="D35" s="80">
        <f>C10+C11</f>
        <v>3250</v>
      </c>
      <c r="E35" s="81">
        <f t="shared" si="1"/>
        <v>-757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44639</v>
      </c>
    </row>
    <row r="3" spans="2:27" ht="18.75" customHeight="1" thickBot="1" x14ac:dyDescent="0.35">
      <c r="B3" t="s">
        <v>1</v>
      </c>
      <c r="C3" s="3">
        <f>C2+1</f>
        <v>44640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82</v>
      </c>
      <c r="E6" s="161" t="s">
        <v>22</v>
      </c>
      <c r="F6" s="119">
        <v>26530</v>
      </c>
      <c r="G6" s="117">
        <v>12123.58496666666</v>
      </c>
      <c r="H6" s="117">
        <v>5103.9254167799991</v>
      </c>
      <c r="I6" s="152">
        <f>G6+H6</f>
        <v>17227.510383446657</v>
      </c>
      <c r="J6" s="119">
        <v>26316</v>
      </c>
      <c r="K6" s="117">
        <v>13965.32146666667</v>
      </c>
      <c r="L6" s="117">
        <v>5041.9650103999993</v>
      </c>
      <c r="M6" s="162">
        <f>K6+L6</f>
        <v>19007.286477066671</v>
      </c>
      <c r="N6" s="87">
        <v>88</v>
      </c>
      <c r="O6" s="87">
        <v>76</v>
      </c>
      <c r="P6" s="87">
        <v>74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3521.7004852800001</v>
      </c>
      <c r="I8" s="152">
        <f>G8+H8</f>
        <v>3521.7004852800001</v>
      </c>
      <c r="J8" s="119">
        <v>0</v>
      </c>
      <c r="K8" s="117">
        <v>0</v>
      </c>
      <c r="L8" s="117">
        <v>3474.6385592800002</v>
      </c>
      <c r="M8" s="162">
        <f>K8+L8</f>
        <v>3474.6385592800002</v>
      </c>
      <c r="N8" s="87">
        <v>5</v>
      </c>
      <c r="O8" s="87">
        <v>4</v>
      </c>
      <c r="P8" s="87">
        <v>3</v>
      </c>
    </row>
    <row r="9" spans="2:27" x14ac:dyDescent="0.3">
      <c r="B9" s="16" t="s">
        <v>23</v>
      </c>
      <c r="C9" s="17">
        <v>2403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2407</v>
      </c>
      <c r="E10" s="161" t="s">
        <v>31</v>
      </c>
      <c r="F10" s="119">
        <v>19479</v>
      </c>
      <c r="G10" s="117">
        <v>13317.76425</v>
      </c>
      <c r="H10" s="117">
        <v>988.08393449999983</v>
      </c>
      <c r="I10" s="152">
        <f>G10+H10</f>
        <v>14305.848184500001</v>
      </c>
      <c r="J10" s="119">
        <v>19126</v>
      </c>
      <c r="K10" s="117">
        <v>14045.87275</v>
      </c>
      <c r="L10" s="117">
        <v>906.64532510000004</v>
      </c>
      <c r="M10" s="162">
        <f>K10+L10</f>
        <v>14952.518075100001</v>
      </c>
      <c r="N10" s="88">
        <v>60</v>
      </c>
      <c r="O10" s="88">
        <v>60</v>
      </c>
      <c r="P10" s="88">
        <v>56</v>
      </c>
    </row>
    <row r="11" spans="2:27" x14ac:dyDescent="0.3">
      <c r="B11" s="28" t="s">
        <v>28</v>
      </c>
      <c r="C11" s="17">
        <v>1020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2016</v>
      </c>
      <c r="E12" s="161" t="s">
        <v>35</v>
      </c>
      <c r="F12" s="119">
        <v>14344</v>
      </c>
      <c r="G12" s="117">
        <v>12646.36175</v>
      </c>
      <c r="H12" s="117">
        <v>16936.352909149999</v>
      </c>
      <c r="I12" s="152">
        <f>G12+H12</f>
        <v>29582.714659149999</v>
      </c>
      <c r="J12" s="119">
        <v>14285</v>
      </c>
      <c r="K12" s="117">
        <v>13073.7415</v>
      </c>
      <c r="L12" s="117">
        <v>17088.518778789989</v>
      </c>
      <c r="M12" s="162">
        <f>K12+L12</f>
        <v>30162.260278789989</v>
      </c>
      <c r="N12" s="88">
        <v>59</v>
      </c>
      <c r="O12" s="88">
        <v>57</v>
      </c>
      <c r="P12" s="88">
        <v>47</v>
      </c>
    </row>
    <row r="13" spans="2:27" x14ac:dyDescent="0.3">
      <c r="B13" s="16" t="s">
        <v>38</v>
      </c>
      <c r="C13" s="17">
        <v>10990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16" t="s">
        <v>40</v>
      </c>
      <c r="C14" s="17">
        <v>1625</v>
      </c>
      <c r="E14" s="161" t="s">
        <v>39</v>
      </c>
      <c r="F14" s="119">
        <v>17985</v>
      </c>
      <c r="G14" s="117">
        <v>18200.80875</v>
      </c>
      <c r="H14" s="117">
        <v>22913.37811329999</v>
      </c>
      <c r="I14" s="152">
        <f>G14+H14</f>
        <v>41114.18686329999</v>
      </c>
      <c r="J14" s="119">
        <v>19736</v>
      </c>
      <c r="K14" s="117">
        <v>19769.526999999998</v>
      </c>
      <c r="L14" s="117">
        <v>25202.79506715999</v>
      </c>
      <c r="M14" s="162">
        <f>K14+L14</f>
        <v>44972.322067159985</v>
      </c>
      <c r="N14" s="88">
        <v>68</v>
      </c>
      <c r="O14" s="88">
        <v>65</v>
      </c>
      <c r="P14" s="88">
        <v>60</v>
      </c>
    </row>
    <row r="15" spans="2:27" x14ac:dyDescent="0.3">
      <c r="B15" s="28" t="s">
        <v>42</v>
      </c>
      <c r="C15" s="17">
        <f>28399+8438</f>
        <v>36837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1300</v>
      </c>
      <c r="E16" s="161" t="s">
        <v>79</v>
      </c>
      <c r="F16" s="119">
        <v>0</v>
      </c>
      <c r="G16" s="117">
        <v>0</v>
      </c>
      <c r="H16" s="117">
        <v>5828.1846258999994</v>
      </c>
      <c r="I16" s="152">
        <f>G16+H16</f>
        <v>5828.1846258999994</v>
      </c>
      <c r="J16" s="119">
        <v>0</v>
      </c>
      <c r="K16" s="117">
        <v>0</v>
      </c>
      <c r="L16" s="117">
        <v>5813.0330008999999</v>
      </c>
      <c r="M16" s="162">
        <f>K16+L16</f>
        <v>5813.0330008999999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10931</v>
      </c>
      <c r="E18" s="84"/>
      <c r="F18" s="148">
        <f t="shared" ref="F18:M18" si="0">SUM(F6:F17)</f>
        <v>78338</v>
      </c>
      <c r="G18" s="149">
        <f t="shared" si="0"/>
        <v>56288.519716666662</v>
      </c>
      <c r="H18" s="149">
        <f t="shared" si="0"/>
        <v>55291.625484909993</v>
      </c>
      <c r="I18" s="150">
        <f t="shared" si="0"/>
        <v>111580.14520157664</v>
      </c>
      <c r="J18" s="149">
        <f t="shared" si="0"/>
        <v>79463</v>
      </c>
      <c r="K18" s="149">
        <f t="shared" si="0"/>
        <v>60854.462716666676</v>
      </c>
      <c r="L18" s="149">
        <f t="shared" si="0"/>
        <v>57527.595741629979</v>
      </c>
      <c r="M18" s="157">
        <f t="shared" si="0"/>
        <v>118382.05845829664</v>
      </c>
      <c r="N18" s="149">
        <f>SUM(N16,N14,N12,N10,N8,N6)</f>
        <v>292</v>
      </c>
      <c r="O18" s="149">
        <f>SUM(O16,O14,O12,O10,O8,O6)</f>
        <v>274</v>
      </c>
      <c r="P18" s="158">
        <f>SUM(P16,P14,P12,P10,P8,P6)</f>
        <v>251</v>
      </c>
    </row>
    <row r="19" spans="2:28" ht="15" customHeight="1" thickBot="1" x14ac:dyDescent="0.35">
      <c r="B19" s="16" t="s">
        <v>51</v>
      </c>
      <c r="C19" s="17">
        <v>1572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35">
      <c r="B20" s="57" t="s">
        <v>52</v>
      </c>
      <c r="C20" s="58">
        <v>5016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8.3941605839416053E-2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11070</v>
      </c>
      <c r="D28" s="76">
        <f>C13</f>
        <v>10990</v>
      </c>
      <c r="E28" s="77">
        <f t="shared" ref="E28:E35" si="1">D28-C28</f>
        <v>-80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36002</v>
      </c>
      <c r="D31" s="76">
        <f>C9+C14+C15+C16+C17</f>
        <v>42378</v>
      </c>
      <c r="E31" s="77">
        <f t="shared" si="1"/>
        <v>6376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82</v>
      </c>
      <c r="E32" s="77">
        <f t="shared" si="1"/>
        <v>82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1766</v>
      </c>
      <c r="D33" s="76">
        <f>C12</f>
        <v>2016</v>
      </c>
      <c r="E33" s="77">
        <f t="shared" si="1"/>
        <v>250</v>
      </c>
      <c r="J33" s="53"/>
      <c r="K33" s="53"/>
      <c r="P33" s="4"/>
    </row>
    <row r="34" spans="2:16" x14ac:dyDescent="0.3">
      <c r="B34" s="74" t="s">
        <v>59</v>
      </c>
      <c r="C34" s="122">
        <v>18150</v>
      </c>
      <c r="D34" s="76">
        <f>C18+C19+C20</f>
        <v>17519</v>
      </c>
      <c r="E34" s="77">
        <f t="shared" si="1"/>
        <v>-631</v>
      </c>
      <c r="K34" s="53"/>
      <c r="P34" s="4"/>
    </row>
    <row r="35" spans="2:16" ht="15" customHeight="1" thickBot="1" x14ac:dyDescent="0.35">
      <c r="B35" s="78" t="s">
        <v>60</v>
      </c>
      <c r="C35" s="121">
        <v>3150</v>
      </c>
      <c r="D35" s="80">
        <f>C10+C11</f>
        <v>3427</v>
      </c>
      <c r="E35" s="81">
        <f t="shared" si="1"/>
        <v>277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44640</v>
      </c>
    </row>
    <row r="3" spans="2:27" ht="18.75" customHeight="1" thickBot="1" x14ac:dyDescent="0.35">
      <c r="B3" t="s">
        <v>1</v>
      </c>
      <c r="C3" s="3">
        <f>C2+1</f>
        <v>44641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10980</v>
      </c>
      <c r="G6" s="117">
        <v>15473</v>
      </c>
      <c r="H6" s="117">
        <v>234</v>
      </c>
      <c r="I6" s="152">
        <f>G6+H6</f>
        <v>15707</v>
      </c>
      <c r="J6" s="119">
        <v>12125</v>
      </c>
      <c r="K6" s="117">
        <v>5064</v>
      </c>
      <c r="L6" s="117">
        <v>1483</v>
      </c>
      <c r="M6" s="162">
        <f>K6+L6</f>
        <v>6547</v>
      </c>
      <c r="N6" s="87">
        <v>49</v>
      </c>
      <c r="O6" s="87">
        <v>48</v>
      </c>
      <c r="P6" s="87">
        <v>38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5510</v>
      </c>
      <c r="G10" s="117">
        <v>6818</v>
      </c>
      <c r="H10" s="117">
        <v>833</v>
      </c>
      <c r="I10" s="152">
        <f>G10+H10</f>
        <v>7651</v>
      </c>
      <c r="J10" s="119">
        <v>5951</v>
      </c>
      <c r="K10" s="117">
        <v>3313</v>
      </c>
      <c r="L10" s="117">
        <v>927</v>
      </c>
      <c r="M10" s="162">
        <f>K10+L10</f>
        <v>4240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11852</v>
      </c>
      <c r="E18" s="84"/>
      <c r="F18" s="148">
        <f t="shared" ref="F18:M18" si="0">SUM(F6:F17)</f>
        <v>16490</v>
      </c>
      <c r="G18" s="149">
        <f t="shared" si="0"/>
        <v>22291</v>
      </c>
      <c r="H18" s="149">
        <f t="shared" si="0"/>
        <v>1067</v>
      </c>
      <c r="I18" s="150">
        <f t="shared" si="0"/>
        <v>23358</v>
      </c>
      <c r="J18" s="149">
        <f t="shared" si="0"/>
        <v>18076</v>
      </c>
      <c r="K18" s="149">
        <f t="shared" si="0"/>
        <v>8377</v>
      </c>
      <c r="L18" s="149">
        <f t="shared" si="0"/>
        <v>2410</v>
      </c>
      <c r="M18" s="157">
        <f t="shared" si="0"/>
        <v>10787</v>
      </c>
      <c r="N18" s="149">
        <f>SUM(N16,N14,N12,N10,N8,N6)</f>
        <v>50</v>
      </c>
      <c r="O18" s="149">
        <f>SUM(O16,O14,O12,O10,O8,O6)</f>
        <v>48</v>
      </c>
      <c r="P18" s="158">
        <f>SUM(P16,P14,P12,P10,P8,P6)</f>
        <v>38</v>
      </c>
    </row>
    <row r="19" spans="2:28" ht="15" customHeight="1" thickBot="1" x14ac:dyDescent="0.35">
      <c r="B19" s="16" t="s">
        <v>51</v>
      </c>
      <c r="C19" s="17">
        <v>1001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10</v>
      </c>
    </row>
    <row r="20" spans="2:28" ht="15" customHeight="1" thickBot="1" x14ac:dyDescent="0.35">
      <c r="B20" s="57" t="s">
        <v>52</v>
      </c>
      <c r="C20" s="58">
        <v>5223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0.20833333333333334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16490</v>
      </c>
      <c r="D34" s="76">
        <f>C18+C19+C20</f>
        <v>18076</v>
      </c>
      <c r="E34" s="77">
        <f t="shared" si="1"/>
        <v>1586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44641</v>
      </c>
    </row>
    <row r="3" spans="2:27" ht="18.75" customHeight="1" thickBot="1" x14ac:dyDescent="0.35">
      <c r="B3" t="s">
        <v>1</v>
      </c>
      <c r="C3" s="3">
        <f>C2+1</f>
        <v>44642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72</v>
      </c>
      <c r="E6" s="161" t="s">
        <v>22</v>
      </c>
      <c r="F6" s="119">
        <v>24949</v>
      </c>
      <c r="G6" s="117">
        <v>15296.16629999999</v>
      </c>
      <c r="H6" s="117">
        <v>5134.9101728799997</v>
      </c>
      <c r="I6" s="152">
        <f>G6+H6</f>
        <v>20431.076472879991</v>
      </c>
      <c r="J6" s="119">
        <v>25110</v>
      </c>
      <c r="K6" s="117">
        <v>15810.86205</v>
      </c>
      <c r="L6" s="117">
        <v>5351.665237539999</v>
      </c>
      <c r="M6" s="162">
        <f>K6+L6</f>
        <v>21162.527287539997</v>
      </c>
      <c r="N6" s="87">
        <v>80</v>
      </c>
      <c r="O6" s="87">
        <v>77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3601.1735514600009</v>
      </c>
      <c r="I8" s="152">
        <f>G8+H8</f>
        <v>3601.1735514600009</v>
      </c>
      <c r="J8" s="119">
        <v>0</v>
      </c>
      <c r="K8" s="117">
        <v>0</v>
      </c>
      <c r="L8" s="117">
        <v>3685.696366780001</v>
      </c>
      <c r="M8" s="162">
        <f>K8+L8</f>
        <v>3685.696366780001</v>
      </c>
      <c r="N8" s="87">
        <v>6</v>
      </c>
      <c r="O8" s="87">
        <v>6</v>
      </c>
      <c r="P8" s="87">
        <v>6</v>
      </c>
    </row>
    <row r="9" spans="2:27" x14ac:dyDescent="0.3">
      <c r="B9" s="16" t="s">
        <v>23</v>
      </c>
      <c r="C9" s="17">
        <v>1817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1963</v>
      </c>
      <c r="E10" s="161" t="s">
        <v>31</v>
      </c>
      <c r="F10" s="119">
        <v>18413</v>
      </c>
      <c r="G10" s="117">
        <v>13477.7495</v>
      </c>
      <c r="H10" s="117">
        <v>987.79926619999992</v>
      </c>
      <c r="I10" s="152">
        <f>G10+H10</f>
        <v>14465.5487662</v>
      </c>
      <c r="J10" s="119">
        <v>17572</v>
      </c>
      <c r="K10" s="117">
        <v>13073.795</v>
      </c>
      <c r="L10" s="117">
        <v>902.9829234</v>
      </c>
      <c r="M10" s="162">
        <f>K10+L10</f>
        <v>13976.777923400001</v>
      </c>
      <c r="N10" s="88">
        <v>51</v>
      </c>
      <c r="O10" s="88">
        <v>52</v>
      </c>
      <c r="P10" s="88">
        <v>48</v>
      </c>
    </row>
    <row r="11" spans="2:27" x14ac:dyDescent="0.3">
      <c r="B11" s="28" t="s">
        <v>28</v>
      </c>
      <c r="C11" s="17">
        <v>998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2379</v>
      </c>
      <c r="E12" s="161" t="s">
        <v>35</v>
      </c>
      <c r="F12" s="119">
        <v>13361</v>
      </c>
      <c r="G12" s="117">
        <v>11805.04975</v>
      </c>
      <c r="H12" s="117">
        <v>16244.0032047</v>
      </c>
      <c r="I12" s="152">
        <f>G12+H12</f>
        <v>28049.052954700001</v>
      </c>
      <c r="J12" s="119">
        <v>13735</v>
      </c>
      <c r="K12" s="117">
        <v>12892.694750000001</v>
      </c>
      <c r="L12" s="117">
        <v>16481.37530345999</v>
      </c>
      <c r="M12" s="162">
        <f>K12+L12</f>
        <v>29374.070053459989</v>
      </c>
      <c r="N12" s="88">
        <v>54</v>
      </c>
      <c r="O12" s="88">
        <v>53</v>
      </c>
      <c r="P12" s="88">
        <v>45</v>
      </c>
    </row>
    <row r="13" spans="2:27" x14ac:dyDescent="0.3">
      <c r="B13" s="16" t="s">
        <v>38</v>
      </c>
      <c r="C13" s="17">
        <v>10269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16" t="s">
        <v>40</v>
      </c>
      <c r="C14" s="17">
        <v>2353</v>
      </c>
      <c r="E14" s="161" t="s">
        <v>39</v>
      </c>
      <c r="F14" s="119">
        <v>22362</v>
      </c>
      <c r="G14" s="117">
        <v>18370.701249999998</v>
      </c>
      <c r="H14" s="117">
        <v>27275.269360319999</v>
      </c>
      <c r="I14" s="152">
        <f>G14+H14</f>
        <v>45645.970610320001</v>
      </c>
      <c r="J14" s="119">
        <v>22092</v>
      </c>
      <c r="K14" s="117">
        <v>21133.9005</v>
      </c>
      <c r="L14" s="117">
        <v>27099.737949579991</v>
      </c>
      <c r="M14" s="162">
        <f>K14+L14</f>
        <v>48233.638449579987</v>
      </c>
      <c r="N14" s="88">
        <v>71</v>
      </c>
      <c r="O14" s="88">
        <v>64</v>
      </c>
      <c r="P14" s="88">
        <v>56</v>
      </c>
    </row>
    <row r="15" spans="2:27" x14ac:dyDescent="0.3">
      <c r="B15" s="28" t="s">
        <v>42</v>
      </c>
      <c r="C15" s="17">
        <v>30310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47</v>
      </c>
      <c r="C16" s="17">
        <v>903</v>
      </c>
      <c r="E16" s="161" t="s">
        <v>79</v>
      </c>
      <c r="F16" s="119">
        <v>0</v>
      </c>
      <c r="G16" s="117">
        <v>0</v>
      </c>
      <c r="H16" s="117">
        <v>9047.939961439999</v>
      </c>
      <c r="I16" s="152">
        <f>G16+H16</f>
        <v>9047.939961439999</v>
      </c>
      <c r="J16" s="119">
        <v>0</v>
      </c>
      <c r="K16" s="117">
        <v>0</v>
      </c>
      <c r="L16" s="117">
        <v>5736.8985770999989</v>
      </c>
      <c r="M16" s="162">
        <f>K16+L16</f>
        <v>5736.8985770999989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485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10969</v>
      </c>
      <c r="E18" s="84"/>
      <c r="F18" s="148">
        <f t="shared" ref="F18:M18" si="0">SUM(F6:F17)</f>
        <v>79085</v>
      </c>
      <c r="G18" s="149">
        <f t="shared" si="0"/>
        <v>58949.666799999985</v>
      </c>
      <c r="H18" s="149">
        <f t="shared" si="0"/>
        <v>62291.095516999994</v>
      </c>
      <c r="I18" s="150">
        <f t="shared" si="0"/>
        <v>121240.762317</v>
      </c>
      <c r="J18" s="149">
        <f t="shared" si="0"/>
        <v>78509</v>
      </c>
      <c r="K18" s="149">
        <f t="shared" si="0"/>
        <v>62911.252300000007</v>
      </c>
      <c r="L18" s="149">
        <f t="shared" si="0"/>
        <v>59258.356357859986</v>
      </c>
      <c r="M18" s="157">
        <f t="shared" si="0"/>
        <v>122169.60865785998</v>
      </c>
      <c r="N18" s="149">
        <f>SUM(N16,N14,N12,N10,N8,N6)</f>
        <v>272</v>
      </c>
      <c r="O18" s="149">
        <f>SUM(O16,O14,O12,O10,O8,O6)</f>
        <v>262</v>
      </c>
      <c r="P18" s="158">
        <f>SUM(P16,P14,P12,P10,P8,P6)</f>
        <v>235</v>
      </c>
    </row>
    <row r="19" spans="2:28" ht="15" customHeight="1" thickBot="1" x14ac:dyDescent="0.35">
      <c r="B19" s="16" t="s">
        <v>51</v>
      </c>
      <c r="C19" s="17">
        <v>958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35">
      <c r="B20" s="57" t="s">
        <v>52</v>
      </c>
      <c r="C20" s="58">
        <v>5136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0.10305343511450382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9853</v>
      </c>
      <c r="D28" s="76">
        <f>C13</f>
        <v>10269</v>
      </c>
      <c r="E28" s="77">
        <f t="shared" ref="E28:E35" si="1">D28-C28</f>
        <v>416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35846</v>
      </c>
      <c r="D31" s="76">
        <f>C9+C14+C15+C16+C17</f>
        <v>35868</v>
      </c>
      <c r="E31" s="77">
        <f t="shared" si="1"/>
        <v>22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72</v>
      </c>
      <c r="D32" s="76">
        <f>C6</f>
        <v>72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2379</v>
      </c>
      <c r="D33" s="76">
        <f>C12</f>
        <v>2379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18068</v>
      </c>
      <c r="D34" s="76">
        <f>C18+C19+C20</f>
        <v>17063</v>
      </c>
      <c r="E34" s="77">
        <f t="shared" si="1"/>
        <v>-1005</v>
      </c>
      <c r="K34" s="53"/>
      <c r="P34" s="4"/>
    </row>
    <row r="35" spans="2:16" ht="15" customHeight="1" thickBot="1" x14ac:dyDescent="0.35">
      <c r="B35" s="78" t="s">
        <v>60</v>
      </c>
      <c r="C35" s="121">
        <v>2961</v>
      </c>
      <c r="D35" s="80">
        <f>C10+C11</f>
        <v>2961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44642</v>
      </c>
    </row>
    <row r="3" spans="2:27" ht="18.75" customHeight="1" thickBot="1" x14ac:dyDescent="0.35">
      <c r="B3" t="s">
        <v>1</v>
      </c>
      <c r="C3" s="3">
        <f>C2+1</f>
        <v>44643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152</v>
      </c>
      <c r="E6" s="161" t="s">
        <v>22</v>
      </c>
      <c r="F6" s="119">
        <v>28973</v>
      </c>
      <c r="G6" s="117">
        <v>15640.6702</v>
      </c>
      <c r="H6" s="117">
        <v>5544.0162704399991</v>
      </c>
      <c r="I6" s="152">
        <f>G6+H6</f>
        <v>21184.68647044</v>
      </c>
      <c r="J6" s="119">
        <v>30958</v>
      </c>
      <c r="K6" s="117">
        <v>17763.591949999991</v>
      </c>
      <c r="L6" s="117">
        <v>5745.6949318400002</v>
      </c>
      <c r="M6" s="162">
        <f>K6+L6</f>
        <v>23509.286881839991</v>
      </c>
      <c r="N6" s="87">
        <v>89</v>
      </c>
      <c r="O6" s="87">
        <v>84</v>
      </c>
      <c r="P6" s="87">
        <v>81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3588.4085123999989</v>
      </c>
      <c r="I8" s="152">
        <f>G8+H8</f>
        <v>3588.4085123999989</v>
      </c>
      <c r="J8" s="119">
        <v>0</v>
      </c>
      <c r="K8" s="117">
        <v>0</v>
      </c>
      <c r="L8" s="117">
        <v>3724.4986543199989</v>
      </c>
      <c r="M8" s="162">
        <f>K8+L8</f>
        <v>3724.4986543199989</v>
      </c>
      <c r="N8" s="87">
        <v>5</v>
      </c>
      <c r="O8" s="87">
        <v>5</v>
      </c>
      <c r="P8" s="87">
        <v>2</v>
      </c>
    </row>
    <row r="9" spans="2:27" x14ac:dyDescent="0.3">
      <c r="B9" s="16" t="s">
        <v>23</v>
      </c>
      <c r="C9" s="17">
        <v>2569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1960</v>
      </c>
      <c r="E10" s="161" t="s">
        <v>31</v>
      </c>
      <c r="F10" s="119">
        <v>20555</v>
      </c>
      <c r="G10" s="117">
        <v>13586.76225</v>
      </c>
      <c r="H10" s="117">
        <v>933.86459850000017</v>
      </c>
      <c r="I10" s="152">
        <f>G10+H10</f>
        <v>14520.6268485</v>
      </c>
      <c r="J10" s="119">
        <v>21200</v>
      </c>
      <c r="K10" s="117">
        <v>14726.892750000001</v>
      </c>
      <c r="L10" s="117">
        <v>1010.8828442</v>
      </c>
      <c r="M10" s="162">
        <f>K10+L10</f>
        <v>15737.7755942</v>
      </c>
      <c r="N10" s="88">
        <v>57</v>
      </c>
      <c r="O10" s="88">
        <v>55</v>
      </c>
      <c r="P10" s="88">
        <v>55</v>
      </c>
    </row>
    <row r="11" spans="2:27" x14ac:dyDescent="0.3">
      <c r="B11" s="28" t="s">
        <v>28</v>
      </c>
      <c r="C11" s="17">
        <v>1135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2395</v>
      </c>
      <c r="E12" s="161" t="s">
        <v>35</v>
      </c>
      <c r="F12" s="119">
        <v>15505</v>
      </c>
      <c r="G12" s="117">
        <v>12224.9125</v>
      </c>
      <c r="H12" s="117">
        <v>18382.261778249991</v>
      </c>
      <c r="I12" s="152">
        <f>G12+H12</f>
        <v>30607.174278249993</v>
      </c>
      <c r="J12" s="119">
        <v>15098</v>
      </c>
      <c r="K12" s="117">
        <v>13797.222250000001</v>
      </c>
      <c r="L12" s="117">
        <v>18245.643149820011</v>
      </c>
      <c r="M12" s="162">
        <f>K12+L12</f>
        <v>32042.86539982001</v>
      </c>
      <c r="N12" s="88">
        <v>53</v>
      </c>
      <c r="O12" s="88">
        <v>51</v>
      </c>
      <c r="P12" s="88">
        <v>46</v>
      </c>
    </row>
    <row r="13" spans="2:27" x14ac:dyDescent="0.3">
      <c r="B13" s="16" t="s">
        <v>38</v>
      </c>
      <c r="C13" s="17">
        <v>12669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1625</v>
      </c>
      <c r="E14" s="161" t="s">
        <v>39</v>
      </c>
      <c r="F14" s="119">
        <v>22581</v>
      </c>
      <c r="G14" s="117">
        <v>18157.846249999999</v>
      </c>
      <c r="H14" s="117">
        <v>27580.779960279979</v>
      </c>
      <c r="I14" s="152">
        <f>G14+H14</f>
        <v>45738.626210279981</v>
      </c>
      <c r="J14" s="119">
        <v>22637</v>
      </c>
      <c r="K14" s="117">
        <v>21161.194500000001</v>
      </c>
      <c r="L14" s="117">
        <v>27502.96101753999</v>
      </c>
      <c r="M14" s="162">
        <f>K14+L14</f>
        <v>48664.155517539992</v>
      </c>
      <c r="N14" s="88">
        <v>73</v>
      </c>
      <c r="O14" s="88">
        <v>69</v>
      </c>
      <c r="P14" s="88">
        <v>62</v>
      </c>
    </row>
    <row r="15" spans="2:27" x14ac:dyDescent="0.3">
      <c r="B15" s="28" t="s">
        <v>42</v>
      </c>
      <c r="C15" s="17">
        <f>30279+8280</f>
        <v>38559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47</v>
      </c>
      <c r="C16" s="17">
        <v>1142</v>
      </c>
      <c r="E16" s="161" t="s">
        <v>79</v>
      </c>
      <c r="F16" s="119">
        <v>0</v>
      </c>
      <c r="G16" s="117">
        <v>0</v>
      </c>
      <c r="H16" s="117">
        <v>6073.7032494799987</v>
      </c>
      <c r="I16" s="152">
        <f>G16+H16</f>
        <v>6073.7032494799987</v>
      </c>
      <c r="J16" s="119">
        <v>0</v>
      </c>
      <c r="K16" s="117">
        <v>0</v>
      </c>
      <c r="L16" s="117">
        <v>6183.7548213600003</v>
      </c>
      <c r="M16" s="162">
        <f>K16+L16</f>
        <v>6183.7548213600003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12405</v>
      </c>
      <c r="E18" s="84"/>
      <c r="F18" s="148">
        <f t="shared" ref="F18:M18" si="0">SUM(F6:F17)</f>
        <v>87614</v>
      </c>
      <c r="G18" s="149">
        <f t="shared" si="0"/>
        <v>59610.191200000001</v>
      </c>
      <c r="H18" s="149">
        <f t="shared" si="0"/>
        <v>62103.034369349967</v>
      </c>
      <c r="I18" s="150">
        <f t="shared" si="0"/>
        <v>121713.22556934996</v>
      </c>
      <c r="J18" s="149">
        <f t="shared" si="0"/>
        <v>89893</v>
      </c>
      <c r="K18" s="149">
        <f t="shared" si="0"/>
        <v>67448.90144999999</v>
      </c>
      <c r="L18" s="149">
        <f t="shared" si="0"/>
        <v>62413.43541908</v>
      </c>
      <c r="M18" s="157">
        <f t="shared" si="0"/>
        <v>129862.33686908</v>
      </c>
      <c r="N18" s="149">
        <f>SUM(N16,N14,N12,N10,N8,N6)</f>
        <v>289</v>
      </c>
      <c r="O18" s="149">
        <f>SUM(O16,O14,O12,O10,O8,O6)</f>
        <v>276</v>
      </c>
      <c r="P18" s="158">
        <f>SUM(P16,P14,P12,P10,P8,P6)</f>
        <v>258</v>
      </c>
    </row>
    <row r="19" spans="2:28" ht="15" customHeight="1" thickBot="1" x14ac:dyDescent="0.35">
      <c r="B19" s="16" t="s">
        <v>51</v>
      </c>
      <c r="C19" s="17">
        <v>1296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35">
      <c r="B20" s="57" t="s">
        <v>52</v>
      </c>
      <c r="C20" s="58">
        <v>5506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6.5217391304347824E-2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11861</v>
      </c>
      <c r="D28" s="76">
        <f>C13</f>
        <v>12669</v>
      </c>
      <c r="E28" s="77">
        <f t="shared" ref="E28:E35" si="1">D28-C28</f>
        <v>808</v>
      </c>
    </row>
    <row r="29" spans="2:28" x14ac:dyDescent="0.3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38871</v>
      </c>
      <c r="D31" s="76">
        <f>C9+C14+C15+C16+C17</f>
        <v>44108</v>
      </c>
      <c r="E31" s="77">
        <f t="shared" si="1"/>
        <v>5237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152</v>
      </c>
      <c r="D32" s="76">
        <f>C6</f>
        <v>152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2395</v>
      </c>
      <c r="D33" s="76">
        <f>C12</f>
        <v>2395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17615</v>
      </c>
      <c r="D34" s="76">
        <f>C18+C19+C20</f>
        <v>19207</v>
      </c>
      <c r="E34" s="77">
        <f t="shared" si="1"/>
        <v>1592</v>
      </c>
      <c r="K34" s="53"/>
      <c r="P34" s="4"/>
    </row>
    <row r="35" spans="2:16" ht="15" customHeight="1" thickBot="1" x14ac:dyDescent="0.35">
      <c r="B35" s="78" t="s">
        <v>60</v>
      </c>
      <c r="C35" s="121">
        <v>3677</v>
      </c>
      <c r="D35" s="80">
        <f>C10+C11</f>
        <v>3095</v>
      </c>
      <c r="E35" s="81">
        <f t="shared" si="1"/>
        <v>-582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44643</v>
      </c>
    </row>
    <row r="3" spans="2:27" ht="18.75" customHeight="1" thickBot="1" x14ac:dyDescent="0.35">
      <c r="B3" t="s">
        <v>1</v>
      </c>
      <c r="C3" s="3">
        <f>C2+1</f>
        <v>44644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107</v>
      </c>
    </row>
    <row r="6" spans="2:27" x14ac:dyDescent="0.3">
      <c r="B6" s="16" t="s">
        <v>21</v>
      </c>
      <c r="C6" s="17">
        <v>66</v>
      </c>
      <c r="E6" s="161" t="s">
        <v>22</v>
      </c>
      <c r="F6" s="119">
        <v>28146</v>
      </c>
      <c r="G6" s="117">
        <v>13502.38725</v>
      </c>
      <c r="H6" s="117">
        <v>4834.9848870399983</v>
      </c>
      <c r="I6" s="152">
        <f>G6+H6</f>
        <v>18337.372137039998</v>
      </c>
      <c r="J6" s="119">
        <v>28007</v>
      </c>
      <c r="K6" s="117">
        <v>15265.744250000011</v>
      </c>
      <c r="L6" s="117">
        <v>5030.5465887599967</v>
      </c>
      <c r="M6" s="162">
        <f>K6+L6</f>
        <v>20296.290838760007</v>
      </c>
      <c r="N6" s="87">
        <v>82</v>
      </c>
      <c r="O6" s="87">
        <v>74</v>
      </c>
      <c r="P6" s="87">
        <v>73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30</v>
      </c>
      <c r="E8" s="161" t="s">
        <v>27</v>
      </c>
      <c r="F8" s="119">
        <v>0</v>
      </c>
      <c r="G8" s="117">
        <v>0</v>
      </c>
      <c r="H8" s="117">
        <v>4119.7308042999994</v>
      </c>
      <c r="I8" s="152">
        <f>G8+H8</f>
        <v>4119.7308042999994</v>
      </c>
      <c r="J8" s="119">
        <v>0</v>
      </c>
      <c r="K8" s="117">
        <v>0</v>
      </c>
      <c r="L8" s="117">
        <v>4192.8331211799996</v>
      </c>
      <c r="M8" s="162">
        <f>K8+L8</f>
        <v>4192.8331211799996</v>
      </c>
      <c r="N8" s="87">
        <v>4</v>
      </c>
      <c r="O8" s="87">
        <v>4</v>
      </c>
      <c r="P8" s="87">
        <v>4</v>
      </c>
    </row>
    <row r="9" spans="2:27" x14ac:dyDescent="0.3">
      <c r="B9" s="16" t="s">
        <v>23</v>
      </c>
      <c r="C9" s="17">
        <v>1789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1980</v>
      </c>
      <c r="E10" s="161" t="s">
        <v>31</v>
      </c>
      <c r="F10" s="119">
        <v>19141</v>
      </c>
      <c r="G10" s="117">
        <v>12949.468500000001</v>
      </c>
      <c r="H10" s="117">
        <v>926.40955899999994</v>
      </c>
      <c r="I10" s="152">
        <f>G10+H10</f>
        <v>13875.878059000001</v>
      </c>
      <c r="J10" s="119">
        <v>19236</v>
      </c>
      <c r="K10" s="117">
        <v>13916.7865</v>
      </c>
      <c r="L10" s="117">
        <v>891.57060419999993</v>
      </c>
      <c r="M10" s="162">
        <f>K10+L10</f>
        <v>14808.3571042</v>
      </c>
      <c r="N10" s="88">
        <v>51</v>
      </c>
      <c r="O10" s="88">
        <v>50</v>
      </c>
      <c r="P10" s="88">
        <v>51</v>
      </c>
    </row>
    <row r="11" spans="2:27" x14ac:dyDescent="0.3">
      <c r="B11" s="28" t="s">
        <v>28</v>
      </c>
      <c r="C11" s="17">
        <v>1255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-1</v>
      </c>
    </row>
    <row r="12" spans="2:27" x14ac:dyDescent="0.3">
      <c r="B12" s="16" t="s">
        <v>30</v>
      </c>
      <c r="C12" s="17">
        <v>2397</v>
      </c>
      <c r="E12" s="161" t="s">
        <v>35</v>
      </c>
      <c r="F12" s="119">
        <v>14408</v>
      </c>
      <c r="G12" s="117">
        <v>11306.29875</v>
      </c>
      <c r="H12" s="117">
        <v>16457.11715550999</v>
      </c>
      <c r="I12" s="152">
        <f>G12+H12</f>
        <v>27763.415905509988</v>
      </c>
      <c r="J12" s="119">
        <v>14612</v>
      </c>
      <c r="K12" s="117">
        <v>12946.865</v>
      </c>
      <c r="L12" s="117">
        <v>16605.796575690001</v>
      </c>
      <c r="M12" s="162">
        <f>K12+L12</f>
        <v>29552.661575689999</v>
      </c>
      <c r="N12" s="88">
        <v>55</v>
      </c>
      <c r="O12" s="88">
        <v>52</v>
      </c>
      <c r="P12" s="88">
        <v>48</v>
      </c>
    </row>
    <row r="13" spans="2:27" x14ac:dyDescent="0.3">
      <c r="B13" s="16" t="s">
        <v>38</v>
      </c>
      <c r="C13" s="17">
        <v>12990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2139</v>
      </c>
      <c r="E14" s="161" t="s">
        <v>39</v>
      </c>
      <c r="F14" s="119">
        <v>21434</v>
      </c>
      <c r="G14" s="117">
        <v>17482.224999999999</v>
      </c>
      <c r="H14" s="117">
        <v>25512.899709280009</v>
      </c>
      <c r="I14" s="152">
        <f>G14+H14</f>
        <v>42995.124709280004</v>
      </c>
      <c r="J14" s="119">
        <v>22322</v>
      </c>
      <c r="K14" s="117">
        <v>21123.039250000002</v>
      </c>
      <c r="L14" s="117">
        <v>26736.899994500021</v>
      </c>
      <c r="M14" s="162">
        <f>K14+L14</f>
        <v>47859.939244500027</v>
      </c>
      <c r="N14" s="88">
        <v>68</v>
      </c>
      <c r="O14" s="88">
        <v>63</v>
      </c>
      <c r="P14" s="88">
        <v>52</v>
      </c>
    </row>
    <row r="15" spans="2:27" x14ac:dyDescent="0.3">
      <c r="B15" s="28" t="s">
        <v>42</v>
      </c>
      <c r="C15" s="17">
        <f>29125+7603</f>
        <v>36728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1502</v>
      </c>
      <c r="E16" s="161" t="s">
        <v>79</v>
      </c>
      <c r="F16" s="119">
        <v>0</v>
      </c>
      <c r="G16" s="117">
        <v>0</v>
      </c>
      <c r="H16" s="117">
        <v>9167.1852996199996</v>
      </c>
      <c r="I16" s="152">
        <f>G16+H16</f>
        <v>9167.1852996199996</v>
      </c>
      <c r="J16" s="119">
        <v>0</v>
      </c>
      <c r="K16" s="117">
        <v>0</v>
      </c>
      <c r="L16" s="117">
        <v>9317.1102442400006</v>
      </c>
      <c r="M16" s="162">
        <f>K16+L16</f>
        <v>9317.1102442400006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10750</v>
      </c>
      <c r="E18" s="84"/>
      <c r="F18" s="148">
        <f t="shared" ref="F18:M18" si="0">SUM(F6:F17)</f>
        <v>83129</v>
      </c>
      <c r="G18" s="149">
        <f t="shared" si="0"/>
        <v>55240.379500000003</v>
      </c>
      <c r="H18" s="149">
        <f t="shared" si="0"/>
        <v>61018.327414750005</v>
      </c>
      <c r="I18" s="150">
        <f t="shared" si="0"/>
        <v>116258.70691474999</v>
      </c>
      <c r="J18" s="149">
        <f t="shared" si="0"/>
        <v>84177</v>
      </c>
      <c r="K18" s="149">
        <f t="shared" si="0"/>
        <v>63252.435000000012</v>
      </c>
      <c r="L18" s="149">
        <f t="shared" si="0"/>
        <v>62774.757128570025</v>
      </c>
      <c r="M18" s="157">
        <f t="shared" si="0"/>
        <v>126027.19212857004</v>
      </c>
      <c r="N18" s="149">
        <f>SUM(N16,N14,N12,N10,N8,N6)</f>
        <v>271</v>
      </c>
      <c r="O18" s="149">
        <f>SUM(O16,O14,O12,O10,O8,O6)</f>
        <v>254</v>
      </c>
      <c r="P18" s="158">
        <f>SUM(P16,P14,P12,P10,P8,P6)</f>
        <v>238</v>
      </c>
    </row>
    <row r="19" spans="2:28" ht="15" customHeight="1" thickBot="1" x14ac:dyDescent="0.35">
      <c r="B19" s="16" t="s">
        <v>51</v>
      </c>
      <c r="C19" s="17">
        <v>1493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</row>
    <row r="20" spans="2:28" ht="15" customHeight="1" thickBot="1" x14ac:dyDescent="0.35">
      <c r="B20" s="57" t="s">
        <v>52</v>
      </c>
      <c r="C20" s="58">
        <v>5364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6.2992125984251968E-2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12188</v>
      </c>
      <c r="D28" s="76">
        <f>C13</f>
        <v>12990</v>
      </c>
      <c r="E28" s="77">
        <f t="shared" ref="E28:E35" si="1">D28-C28</f>
        <v>802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30</v>
      </c>
      <c r="D30" s="76">
        <f>C8</f>
        <v>30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35693</v>
      </c>
      <c r="D31" s="76">
        <f>C9+C14+C15+C16+C17</f>
        <v>42551</v>
      </c>
      <c r="E31" s="77">
        <f t="shared" si="1"/>
        <v>6858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66</v>
      </c>
      <c r="D32" s="76">
        <f>C6</f>
        <v>66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2397</v>
      </c>
      <c r="D33" s="76">
        <f>C12</f>
        <v>2397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18385</v>
      </c>
      <c r="D34" s="76">
        <f>C18+C19+C20</f>
        <v>17607</v>
      </c>
      <c r="E34" s="77">
        <f t="shared" si="1"/>
        <v>-778</v>
      </c>
      <c r="K34" s="53"/>
      <c r="P34" s="4"/>
    </row>
    <row r="35" spans="2:16" ht="15" customHeight="1" thickBot="1" x14ac:dyDescent="0.35">
      <c r="B35" s="78" t="s">
        <v>60</v>
      </c>
      <c r="C35" s="121">
        <v>3667</v>
      </c>
      <c r="D35" s="80">
        <f>C10+C11</f>
        <v>3235</v>
      </c>
      <c r="E35" s="81">
        <f t="shared" si="1"/>
        <v>-432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44644</v>
      </c>
    </row>
    <row r="3" spans="2:27" ht="18.75" customHeight="1" thickBot="1" x14ac:dyDescent="0.35">
      <c r="B3" t="s">
        <v>1</v>
      </c>
      <c r="C3" s="3">
        <f>C2+1</f>
        <v>44645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115</v>
      </c>
      <c r="E6" s="161" t="s">
        <v>22</v>
      </c>
      <c r="F6" s="119">
        <v>27283</v>
      </c>
      <c r="G6" s="117">
        <v>13410.50585</v>
      </c>
      <c r="H6" s="117">
        <v>5505.9287917200008</v>
      </c>
      <c r="I6" s="152">
        <f>G6+H6</f>
        <v>18916.434641719999</v>
      </c>
      <c r="J6" s="119">
        <v>28805</v>
      </c>
      <c r="K6" s="117">
        <v>14911.280849999999</v>
      </c>
      <c r="L6" s="117">
        <v>5597.4522833800038</v>
      </c>
      <c r="M6" s="162">
        <f>K6+L6</f>
        <v>20508.733133380003</v>
      </c>
      <c r="N6" s="87">
        <v>84</v>
      </c>
      <c r="O6" s="87">
        <v>80</v>
      </c>
      <c r="P6" s="87">
        <v>77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3540.287070299999</v>
      </c>
      <c r="I8" s="152">
        <f>G8+H8</f>
        <v>3540.287070299999</v>
      </c>
      <c r="J8" s="119">
        <v>0</v>
      </c>
      <c r="K8" s="117">
        <v>0</v>
      </c>
      <c r="L8" s="117">
        <v>3619.4807544199998</v>
      </c>
      <c r="M8" s="162">
        <f>K8+L8</f>
        <v>3619.4807544199998</v>
      </c>
      <c r="N8" s="87">
        <v>4</v>
      </c>
      <c r="O8" s="87">
        <v>5</v>
      </c>
      <c r="P8" s="87">
        <v>4</v>
      </c>
    </row>
    <row r="9" spans="2:27" x14ac:dyDescent="0.3">
      <c r="B9" s="16" t="s">
        <v>23</v>
      </c>
      <c r="C9" s="17">
        <v>2461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1756</v>
      </c>
      <c r="E10" s="161" t="s">
        <v>31</v>
      </c>
      <c r="F10" s="119">
        <v>19143</v>
      </c>
      <c r="G10" s="117">
        <v>13261.6145</v>
      </c>
      <c r="H10" s="117">
        <v>783.8642718000001</v>
      </c>
      <c r="I10" s="152">
        <f>G10+H10</f>
        <v>14045.478771800001</v>
      </c>
      <c r="J10" s="119">
        <v>19510</v>
      </c>
      <c r="K10" s="117">
        <v>13709.291499999999</v>
      </c>
      <c r="L10" s="117">
        <v>838.86914791999993</v>
      </c>
      <c r="M10" s="162">
        <f>K10+L10</f>
        <v>14548.16064792</v>
      </c>
      <c r="N10" s="88">
        <v>57</v>
      </c>
      <c r="O10" s="88">
        <v>55</v>
      </c>
      <c r="P10" s="88">
        <v>55</v>
      </c>
    </row>
    <row r="11" spans="2:27" x14ac:dyDescent="0.3">
      <c r="B11" s="28" t="s">
        <v>28</v>
      </c>
      <c r="C11" s="17">
        <v>1115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2499</v>
      </c>
      <c r="E12" s="161" t="s">
        <v>35</v>
      </c>
      <c r="F12" s="119">
        <v>14695</v>
      </c>
      <c r="G12" s="117">
        <v>11887.216249999999</v>
      </c>
      <c r="H12" s="117">
        <v>17638.831104870009</v>
      </c>
      <c r="I12" s="152">
        <f>G12+H12</f>
        <v>29526.04735487001</v>
      </c>
      <c r="J12" s="119">
        <v>14752</v>
      </c>
      <c r="K12" s="117">
        <v>13598.78100000001</v>
      </c>
      <c r="L12" s="117">
        <v>17576.064374379999</v>
      </c>
      <c r="M12" s="162">
        <f>K12+L12</f>
        <v>31174.845374380009</v>
      </c>
      <c r="N12" s="88">
        <v>51</v>
      </c>
      <c r="O12" s="88">
        <v>48</v>
      </c>
      <c r="P12" s="88">
        <v>44</v>
      </c>
    </row>
    <row r="13" spans="2:27" x14ac:dyDescent="0.3">
      <c r="B13" s="16" t="s">
        <v>38</v>
      </c>
      <c r="C13" s="17">
        <v>11149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1558</v>
      </c>
      <c r="E14" s="161" t="s">
        <v>39</v>
      </c>
      <c r="F14" s="119">
        <v>21482</v>
      </c>
      <c r="G14" s="117">
        <v>17905.355</v>
      </c>
      <c r="H14" s="117">
        <v>27020.163324739991</v>
      </c>
      <c r="I14" s="152">
        <f>G14+H14</f>
        <v>44925.518324739991</v>
      </c>
      <c r="J14" s="119">
        <v>21511</v>
      </c>
      <c r="K14" s="117">
        <v>20657.205750000001</v>
      </c>
      <c r="L14" s="117">
        <v>27232.727370239991</v>
      </c>
      <c r="M14" s="162">
        <f>K14+L14</f>
        <v>47889.933120239992</v>
      </c>
      <c r="N14" s="88">
        <v>73</v>
      </c>
      <c r="O14" s="88">
        <v>68</v>
      </c>
      <c r="P14" s="88">
        <v>59</v>
      </c>
    </row>
    <row r="15" spans="2:27" x14ac:dyDescent="0.3">
      <c r="B15" s="28" t="s">
        <v>42</v>
      </c>
      <c r="C15" s="17">
        <v>26255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1140</v>
      </c>
      <c r="E16" s="161" t="s">
        <v>79</v>
      </c>
      <c r="F16" s="119">
        <v>0</v>
      </c>
      <c r="G16" s="117">
        <v>0</v>
      </c>
      <c r="H16" s="117">
        <v>6075.4646169799998</v>
      </c>
      <c r="I16" s="152">
        <f>G16+H16</f>
        <v>6075.4646169799998</v>
      </c>
      <c r="J16" s="119">
        <v>0</v>
      </c>
      <c r="K16" s="117">
        <v>0</v>
      </c>
      <c r="L16" s="117">
        <v>6130.7585655999992</v>
      </c>
      <c r="M16" s="162">
        <f>K16+L16</f>
        <v>6130.7585655999992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10810</v>
      </c>
      <c r="E18" s="84"/>
      <c r="F18" s="148">
        <f t="shared" ref="F18:M18" si="0">SUM(F6:F17)</f>
        <v>82603</v>
      </c>
      <c r="G18" s="149">
        <f t="shared" si="0"/>
        <v>56464.691599999991</v>
      </c>
      <c r="H18" s="149">
        <f t="shared" si="0"/>
        <v>60564.539180409993</v>
      </c>
      <c r="I18" s="150">
        <f t="shared" si="0"/>
        <v>117029.23078041</v>
      </c>
      <c r="J18" s="149">
        <f t="shared" si="0"/>
        <v>84578</v>
      </c>
      <c r="K18" s="149">
        <f t="shared" si="0"/>
        <v>62876.559100000006</v>
      </c>
      <c r="L18" s="149">
        <f t="shared" si="0"/>
        <v>60995.352495939995</v>
      </c>
      <c r="M18" s="157">
        <f t="shared" si="0"/>
        <v>123871.91159594001</v>
      </c>
      <c r="N18" s="149">
        <f>SUM(N16,N14,N12,N10,N8,N6)</f>
        <v>280</v>
      </c>
      <c r="O18" s="149">
        <f>SUM(O16,O14,O12,O10,O8,O6)</f>
        <v>267</v>
      </c>
      <c r="P18" s="158">
        <f>SUM(P16,P14,P12,P10,P8,P6)</f>
        <v>250</v>
      </c>
    </row>
    <row r="19" spans="2:28" ht="15" customHeight="1" thickBot="1" x14ac:dyDescent="0.35">
      <c r="B19" s="16" t="s">
        <v>51</v>
      </c>
      <c r="C19" s="17">
        <v>2227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ht="15" customHeight="1" thickBot="1" x14ac:dyDescent="0.35">
      <c r="B20" s="57" t="s">
        <v>52</v>
      </c>
      <c r="C20" s="58">
        <v>4834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6.3670411985018729E-2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11010</v>
      </c>
      <c r="D28" s="76">
        <f>C13</f>
        <v>11149</v>
      </c>
      <c r="E28" s="77">
        <f t="shared" ref="E28:E35" si="1">D28-C28</f>
        <v>139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37995</v>
      </c>
      <c r="D31" s="76">
        <f>C9+C14+C15+C16+C17</f>
        <v>31623</v>
      </c>
      <c r="E31" s="77">
        <f t="shared" si="1"/>
        <v>-6372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115</v>
      </c>
      <c r="D32" s="76">
        <f>C6</f>
        <v>115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2499</v>
      </c>
      <c r="D33" s="76">
        <f>C12</f>
        <v>2499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16205</v>
      </c>
      <c r="D34" s="76">
        <f>C18+C19+C20</f>
        <v>17871</v>
      </c>
      <c r="E34" s="77">
        <f t="shared" si="1"/>
        <v>1666</v>
      </c>
      <c r="K34" s="53"/>
      <c r="P34" s="4"/>
    </row>
    <row r="35" spans="2:16" ht="15" customHeight="1" thickBot="1" x14ac:dyDescent="0.35">
      <c r="B35" s="78" t="s">
        <v>60</v>
      </c>
      <c r="C35" s="121">
        <v>3478</v>
      </c>
      <c r="D35" s="80">
        <f>C10+C11</f>
        <v>2871</v>
      </c>
      <c r="E35" s="81">
        <f t="shared" si="1"/>
        <v>-607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44645</v>
      </c>
    </row>
    <row r="3" spans="2:27" ht="18.75" customHeight="1" thickBot="1" x14ac:dyDescent="0.35">
      <c r="B3" t="s">
        <v>1</v>
      </c>
      <c r="C3" s="3">
        <f>C2+1</f>
        <v>44646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23381</v>
      </c>
      <c r="G6" s="117">
        <v>12917.24</v>
      </c>
      <c r="H6" s="117">
        <v>4159.0055701199981</v>
      </c>
      <c r="I6" s="152">
        <f>G6+H6</f>
        <v>17076.245570119998</v>
      </c>
      <c r="J6" s="119">
        <v>23957</v>
      </c>
      <c r="K6" s="117">
        <v>14332.458000000001</v>
      </c>
      <c r="L6" s="117">
        <v>4656.5180275599987</v>
      </c>
      <c r="M6" s="162">
        <f>K6+L6</f>
        <v>18988.976027559998</v>
      </c>
      <c r="N6" s="87">
        <v>83</v>
      </c>
      <c r="O6" s="87">
        <v>75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3645.889874200001</v>
      </c>
      <c r="I8" s="152">
        <f>G8+H8</f>
        <v>3645.889874200001</v>
      </c>
      <c r="J8" s="119">
        <v>0</v>
      </c>
      <c r="K8" s="117">
        <v>0</v>
      </c>
      <c r="L8" s="117">
        <v>3911.7494892599998</v>
      </c>
      <c r="M8" s="162">
        <f>K8+L8</f>
        <v>3911.7494892599998</v>
      </c>
      <c r="N8" s="87">
        <v>6</v>
      </c>
      <c r="O8" s="87">
        <v>8</v>
      </c>
      <c r="P8" s="87">
        <v>5</v>
      </c>
    </row>
    <row r="9" spans="2:27" x14ac:dyDescent="0.3">
      <c r="B9" s="16" t="s">
        <v>23</v>
      </c>
      <c r="C9" s="17">
        <v>2032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2097</v>
      </c>
      <c r="E10" s="161" t="s">
        <v>31</v>
      </c>
      <c r="F10" s="119">
        <v>16910</v>
      </c>
      <c r="G10" s="117">
        <v>12870.922</v>
      </c>
      <c r="H10" s="117">
        <v>784.04002600000013</v>
      </c>
      <c r="I10" s="152">
        <f>G10+H10</f>
        <v>13654.962026000001</v>
      </c>
      <c r="J10" s="119">
        <v>17638</v>
      </c>
      <c r="K10" s="117">
        <v>13969.6145</v>
      </c>
      <c r="L10" s="117">
        <v>763.39866000000006</v>
      </c>
      <c r="M10" s="162">
        <f>K10+L10</f>
        <v>14733.01316</v>
      </c>
      <c r="N10" s="88">
        <v>52</v>
      </c>
      <c r="O10" s="88">
        <v>53</v>
      </c>
      <c r="P10" s="88">
        <v>48</v>
      </c>
    </row>
    <row r="11" spans="2:27" x14ac:dyDescent="0.3">
      <c r="B11" s="28" t="s">
        <v>28</v>
      </c>
      <c r="C11" s="17">
        <v>943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3989</v>
      </c>
      <c r="E12" s="161" t="s">
        <v>35</v>
      </c>
      <c r="F12" s="119">
        <v>14908</v>
      </c>
      <c r="G12" s="117">
        <v>11966.722</v>
      </c>
      <c r="H12" s="117">
        <v>17649.687908939999</v>
      </c>
      <c r="I12" s="152">
        <f>G12+H12</f>
        <v>29616.409908939997</v>
      </c>
      <c r="J12" s="119">
        <v>15503</v>
      </c>
      <c r="K12" s="117">
        <v>14608.19</v>
      </c>
      <c r="L12" s="117">
        <v>18198.169727540011</v>
      </c>
      <c r="M12" s="162">
        <f>K12+L12</f>
        <v>32806.35972754001</v>
      </c>
      <c r="N12" s="88">
        <v>58</v>
      </c>
      <c r="O12" s="88">
        <v>54</v>
      </c>
      <c r="P12" s="88">
        <v>43</v>
      </c>
    </row>
    <row r="13" spans="2:27" x14ac:dyDescent="0.3">
      <c r="B13" s="16" t="s">
        <v>38</v>
      </c>
      <c r="C13" s="17">
        <v>11628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3">
      <c r="B14" s="16" t="s">
        <v>40</v>
      </c>
      <c r="C14" s="17">
        <v>2139</v>
      </c>
      <c r="E14" s="161" t="s">
        <v>39</v>
      </c>
      <c r="F14" s="119">
        <v>27549</v>
      </c>
      <c r="G14" s="117">
        <v>20192.106250000001</v>
      </c>
      <c r="H14" s="117">
        <v>33263.694298560011</v>
      </c>
      <c r="I14" s="152">
        <f>G14+H14</f>
        <v>53455.800548560015</v>
      </c>
      <c r="J14" s="119">
        <v>28265</v>
      </c>
      <c r="K14" s="117">
        <v>24652.595000000001</v>
      </c>
      <c r="L14" s="117">
        <v>34316.400294859981</v>
      </c>
      <c r="M14" s="162">
        <f>K14+L14</f>
        <v>58968.995294859982</v>
      </c>
      <c r="N14" s="88">
        <v>72</v>
      </c>
      <c r="O14" s="88">
        <v>69</v>
      </c>
      <c r="P14" s="88">
        <v>64</v>
      </c>
    </row>
    <row r="15" spans="2:27" x14ac:dyDescent="0.3">
      <c r="B15" s="28" t="s">
        <v>42</v>
      </c>
      <c r="C15" s="17">
        <f>31444+8218</f>
        <v>39662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2117</v>
      </c>
      <c r="E16" s="161" t="s">
        <v>79</v>
      </c>
      <c r="F16" s="119">
        <v>0</v>
      </c>
      <c r="G16" s="117">
        <v>0</v>
      </c>
      <c r="H16" s="117">
        <v>9901.5738254000007</v>
      </c>
      <c r="I16" s="152">
        <f>G16+H16</f>
        <v>9901.5738254000007</v>
      </c>
      <c r="J16" s="119">
        <v>0</v>
      </c>
      <c r="K16" s="117">
        <v>0</v>
      </c>
      <c r="L16" s="117">
        <v>9944.2038939999984</v>
      </c>
      <c r="M16" s="162">
        <f>K16+L16</f>
        <v>9944.2038939999984</v>
      </c>
      <c r="N16" s="88">
        <v>14</v>
      </c>
      <c r="O16" s="88">
        <v>14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9671</v>
      </c>
      <c r="E18" s="84"/>
      <c r="F18" s="148">
        <f t="shared" ref="F18:M18" si="0">SUM(F6:F17)</f>
        <v>82748</v>
      </c>
      <c r="G18" s="149">
        <f t="shared" si="0"/>
        <v>57946.990250000003</v>
      </c>
      <c r="H18" s="149">
        <f t="shared" si="0"/>
        <v>69403.891503220002</v>
      </c>
      <c r="I18" s="150">
        <f t="shared" si="0"/>
        <v>127350.88175322002</v>
      </c>
      <c r="J18" s="149">
        <f t="shared" si="0"/>
        <v>85363</v>
      </c>
      <c r="K18" s="149">
        <f t="shared" si="0"/>
        <v>67562.857500000013</v>
      </c>
      <c r="L18" s="149">
        <f t="shared" si="0"/>
        <v>71790.440093219979</v>
      </c>
      <c r="M18" s="157">
        <f t="shared" si="0"/>
        <v>139353.29759321999</v>
      </c>
      <c r="N18" s="149">
        <f>SUM(N16,N14,N12,N10,N8,N6)</f>
        <v>285</v>
      </c>
      <c r="O18" s="149">
        <f>SUM(O16,O14,O12,O10,O8,O6)</f>
        <v>273</v>
      </c>
      <c r="P18" s="158">
        <f>SUM(P16,P14,P12,P10,P8,P6)</f>
        <v>238</v>
      </c>
    </row>
    <row r="19" spans="2:28" ht="15" customHeight="1" thickBot="1" x14ac:dyDescent="0.35">
      <c r="B19" s="16" t="s">
        <v>51</v>
      </c>
      <c r="C19" s="17">
        <v>490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5002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0.12820512820512819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9345</v>
      </c>
      <c r="D28" s="76">
        <f>C13</f>
        <v>11628</v>
      </c>
      <c r="E28" s="77">
        <f t="shared" ref="E28:E35" si="1">D28-C28</f>
        <v>2283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38527</v>
      </c>
      <c r="D31" s="76">
        <f>C9+C14+C15+C16+C17</f>
        <v>46343</v>
      </c>
      <c r="E31" s="77">
        <f t="shared" si="1"/>
        <v>7816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3989</v>
      </c>
      <c r="D33" s="76">
        <f>C12</f>
        <v>3989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15895</v>
      </c>
      <c r="D34" s="76">
        <f>C18+C19+C20</f>
        <v>15163</v>
      </c>
      <c r="E34" s="77">
        <f t="shared" si="1"/>
        <v>-732</v>
      </c>
      <c r="K34" s="53"/>
      <c r="P34" s="4"/>
    </row>
    <row r="35" spans="2:16" ht="15" customHeight="1" thickBot="1" x14ac:dyDescent="0.35">
      <c r="B35" s="78" t="s">
        <v>60</v>
      </c>
      <c r="C35" s="121">
        <v>3915</v>
      </c>
      <c r="D35" s="80">
        <f>C10+C11</f>
        <v>3040</v>
      </c>
      <c r="E35" s="81">
        <f t="shared" si="1"/>
        <v>-875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44646</v>
      </c>
    </row>
    <row r="3" spans="2:27" ht="18.75" customHeight="1" thickBot="1" x14ac:dyDescent="0.35">
      <c r="B3" t="s">
        <v>1</v>
      </c>
      <c r="C3" s="3">
        <f>C2+1</f>
        <v>44647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91</v>
      </c>
      <c r="E6" s="161" t="s">
        <v>22</v>
      </c>
      <c r="F6" s="119">
        <v>29803</v>
      </c>
      <c r="G6" s="117">
        <v>13035.596116666669</v>
      </c>
      <c r="H6" s="117">
        <v>5225.241669080001</v>
      </c>
      <c r="I6" s="152">
        <f>G6+H6</f>
        <v>18260.837785746669</v>
      </c>
      <c r="J6" s="119">
        <v>31165</v>
      </c>
      <c r="K6" s="117">
        <v>17199.503616666669</v>
      </c>
      <c r="L6" s="117">
        <v>5441.4962283200011</v>
      </c>
      <c r="M6" s="162">
        <f>K6+L6</f>
        <v>22640.999844986669</v>
      </c>
      <c r="N6" s="87">
        <v>88</v>
      </c>
      <c r="O6" s="87">
        <v>76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4102.2239545199991</v>
      </c>
      <c r="I8" s="152">
        <f>G8+H8</f>
        <v>4102.2239545199991</v>
      </c>
      <c r="J8" s="119">
        <v>0</v>
      </c>
      <c r="K8" s="117">
        <v>0</v>
      </c>
      <c r="L8" s="117">
        <v>4178.1671035400004</v>
      </c>
      <c r="M8" s="162">
        <f>K8+L8</f>
        <v>4178.1671035400004</v>
      </c>
      <c r="N8" s="87">
        <v>4</v>
      </c>
      <c r="O8" s="87">
        <v>4</v>
      </c>
      <c r="P8" s="87">
        <v>1</v>
      </c>
    </row>
    <row r="9" spans="2:27" x14ac:dyDescent="0.3">
      <c r="B9" s="16" t="s">
        <v>23</v>
      </c>
      <c r="C9" s="17">
        <v>2374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2458</v>
      </c>
      <c r="E10" s="161" t="s">
        <v>31</v>
      </c>
      <c r="F10" s="119">
        <v>19628</v>
      </c>
      <c r="G10" s="117">
        <v>13143.163</v>
      </c>
      <c r="H10" s="117">
        <v>914.53620100000001</v>
      </c>
      <c r="I10" s="152">
        <f>G10+H10</f>
        <v>14057.699201000001</v>
      </c>
      <c r="J10" s="119">
        <v>20123</v>
      </c>
      <c r="K10" s="117">
        <v>14620.493</v>
      </c>
      <c r="L10" s="117">
        <v>981.50580080000009</v>
      </c>
      <c r="M10" s="162">
        <f>K10+L10</f>
        <v>15601.9988008</v>
      </c>
      <c r="N10" s="88">
        <v>62</v>
      </c>
      <c r="O10" s="88">
        <v>60</v>
      </c>
      <c r="P10" s="88">
        <v>53</v>
      </c>
    </row>
    <row r="11" spans="2:27" x14ac:dyDescent="0.3">
      <c r="B11" s="28" t="s">
        <v>28</v>
      </c>
      <c r="C11" s="17">
        <v>1110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30</v>
      </c>
      <c r="C12" s="17">
        <v>2077</v>
      </c>
      <c r="E12" s="161" t="s">
        <v>35</v>
      </c>
      <c r="F12" s="119">
        <v>17060</v>
      </c>
      <c r="G12" s="117">
        <v>12952.326499999999</v>
      </c>
      <c r="H12" s="117">
        <v>19326.265291349999</v>
      </c>
      <c r="I12" s="152">
        <f>G12+H12</f>
        <v>32278.591791349998</v>
      </c>
      <c r="J12" s="119">
        <v>17677</v>
      </c>
      <c r="K12" s="117">
        <v>16149.183999999999</v>
      </c>
      <c r="L12" s="117">
        <v>19892.7776964</v>
      </c>
      <c r="M12" s="162">
        <f>K12+L12</f>
        <v>36041.961696400002</v>
      </c>
      <c r="N12" s="88">
        <v>59</v>
      </c>
      <c r="O12" s="88">
        <v>57</v>
      </c>
      <c r="P12" s="88">
        <v>47</v>
      </c>
    </row>
    <row r="13" spans="2:27" x14ac:dyDescent="0.3">
      <c r="B13" s="16" t="s">
        <v>38</v>
      </c>
      <c r="C13" s="17">
        <v>8315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16" t="s">
        <v>40</v>
      </c>
      <c r="C14" s="17">
        <v>1588</v>
      </c>
      <c r="E14" s="161" t="s">
        <v>39</v>
      </c>
      <c r="F14" s="119">
        <v>20294</v>
      </c>
      <c r="G14" s="117">
        <v>19288.907500000001</v>
      </c>
      <c r="H14" s="117">
        <v>25393.826719199991</v>
      </c>
      <c r="I14" s="152">
        <f>G14+H14</f>
        <v>44682.734219199992</v>
      </c>
      <c r="J14" s="119">
        <v>21132</v>
      </c>
      <c r="K14" s="117">
        <v>20988.96225</v>
      </c>
      <c r="L14" s="117">
        <v>26707.854214039999</v>
      </c>
      <c r="M14" s="162">
        <f>K14+L14</f>
        <v>47696.816464039999</v>
      </c>
      <c r="N14" s="88">
        <v>68</v>
      </c>
      <c r="O14" s="88">
        <v>65</v>
      </c>
      <c r="P14" s="88">
        <v>53</v>
      </c>
    </row>
    <row r="15" spans="2:27" x14ac:dyDescent="0.3">
      <c r="B15" s="28" t="s">
        <v>42</v>
      </c>
      <c r="C15" s="17">
        <v>32316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2:27" x14ac:dyDescent="0.3">
      <c r="B16" s="43" t="s">
        <v>47</v>
      </c>
      <c r="C16" s="17">
        <v>1309</v>
      </c>
      <c r="E16" s="161" t="s">
        <v>79</v>
      </c>
      <c r="F16" s="119">
        <v>0</v>
      </c>
      <c r="G16" s="117">
        <v>0</v>
      </c>
      <c r="H16" s="117">
        <v>6378.1368604999998</v>
      </c>
      <c r="I16" s="152">
        <f>G16+H16</f>
        <v>6378.1368604999998</v>
      </c>
      <c r="J16" s="119">
        <v>0</v>
      </c>
      <c r="K16" s="117">
        <v>0</v>
      </c>
      <c r="L16" s="117">
        <v>6311.7033464799997</v>
      </c>
      <c r="M16" s="162">
        <f>K16+L16</f>
        <v>6311.7033464799997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12587</v>
      </c>
      <c r="E18" s="84"/>
      <c r="F18" s="148">
        <f t="shared" ref="F18:M18" si="0">SUM(F6:F17)</f>
        <v>86785</v>
      </c>
      <c r="G18" s="149">
        <f t="shared" si="0"/>
        <v>58419.993116666665</v>
      </c>
      <c r="H18" s="149">
        <f t="shared" si="0"/>
        <v>61340.230695649996</v>
      </c>
      <c r="I18" s="150">
        <f t="shared" si="0"/>
        <v>119760.22381231666</v>
      </c>
      <c r="J18" s="149">
        <f t="shared" si="0"/>
        <v>90097</v>
      </c>
      <c r="K18" s="149">
        <f t="shared" si="0"/>
        <v>68958.142866666676</v>
      </c>
      <c r="L18" s="149">
        <f t="shared" si="0"/>
        <v>63513.504389579997</v>
      </c>
      <c r="M18" s="157">
        <f t="shared" si="0"/>
        <v>132471.64725624668</v>
      </c>
      <c r="N18" s="149">
        <f>SUM(N16,N14,N12,N10,N8,N6)</f>
        <v>293</v>
      </c>
      <c r="O18" s="149">
        <f>SUM(O16,O14,O12,O10,O8,O6)</f>
        <v>274</v>
      </c>
      <c r="P18" s="158">
        <f>SUM(P16,P14,P12,P10,P8,P6)</f>
        <v>235</v>
      </c>
    </row>
    <row r="19" spans="2:28" ht="15" customHeight="1" thickBot="1" x14ac:dyDescent="0.35">
      <c r="B19" s="16" t="s">
        <v>51</v>
      </c>
      <c r="C19" s="17">
        <v>1380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35">
      <c r="B20" s="57" t="s">
        <v>52</v>
      </c>
      <c r="C20" s="58">
        <v>5120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0.14233576642335766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12429</v>
      </c>
      <c r="D28" s="76">
        <f>C13</f>
        <v>8315</v>
      </c>
      <c r="E28" s="77">
        <f t="shared" ref="E28:E35" si="1">D28-C28</f>
        <v>-4114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40510</v>
      </c>
      <c r="D31" s="76">
        <f>C9+C14+C15+C16+C17</f>
        <v>37796</v>
      </c>
      <c r="E31" s="77">
        <f t="shared" si="1"/>
        <v>-2714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91</v>
      </c>
      <c r="D32" s="76">
        <f>C6</f>
        <v>91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2077</v>
      </c>
      <c r="D33" s="76">
        <f>C12</f>
        <v>2077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17710</v>
      </c>
      <c r="D34" s="76">
        <f>C18+C19+C20</f>
        <v>19087</v>
      </c>
      <c r="E34" s="77">
        <f t="shared" si="1"/>
        <v>1377</v>
      </c>
      <c r="K34" s="53"/>
      <c r="P34" s="4"/>
    </row>
    <row r="35" spans="2:16" ht="15" customHeight="1" thickBot="1" x14ac:dyDescent="0.35">
      <c r="B35" s="78" t="s">
        <v>60</v>
      </c>
      <c r="C35" s="121">
        <v>3289</v>
      </c>
      <c r="D35" s="80">
        <f>C10+C11</f>
        <v>3568</v>
      </c>
      <c r="E35" s="81">
        <f t="shared" si="1"/>
        <v>279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44647</v>
      </c>
    </row>
    <row r="3" spans="2:27" ht="18.75" customHeight="1" thickBot="1" x14ac:dyDescent="0.35">
      <c r="B3" t="s">
        <v>1</v>
      </c>
      <c r="C3" s="3">
        <f>C2+1</f>
        <v>44648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11730</v>
      </c>
      <c r="G6" s="117">
        <v>16508.17421666667</v>
      </c>
      <c r="H6" s="117">
        <v>253.01872499999999</v>
      </c>
      <c r="I6" s="152">
        <f>G6+H6</f>
        <v>16761.192941666672</v>
      </c>
      <c r="J6" s="119">
        <v>11296</v>
      </c>
      <c r="K6" s="117">
        <v>16302</v>
      </c>
      <c r="L6" s="117">
        <v>250</v>
      </c>
      <c r="M6" s="162">
        <f>K6+L6</f>
        <v>16552</v>
      </c>
      <c r="N6" s="87">
        <v>47</v>
      </c>
      <c r="O6" s="87">
        <v>44</v>
      </c>
      <c r="P6" s="87">
        <v>39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5817</v>
      </c>
      <c r="G10" s="117">
        <v>7103.5552500000003</v>
      </c>
      <c r="H10" s="117">
        <v>912.23789519999991</v>
      </c>
      <c r="I10" s="152">
        <f>G10+H10</f>
        <v>8015.7931452000003</v>
      </c>
      <c r="J10" s="119">
        <v>5718</v>
      </c>
      <c r="K10" s="117">
        <v>7088</v>
      </c>
      <c r="L10" s="117">
        <v>898</v>
      </c>
      <c r="M10" s="162">
        <f>K10+L10</f>
        <v>7986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10932</v>
      </c>
      <c r="E18" s="84"/>
      <c r="F18" s="148">
        <f t="shared" ref="F18:M18" si="0">SUM(F6:F17)</f>
        <v>17547</v>
      </c>
      <c r="G18" s="149">
        <f t="shared" si="0"/>
        <v>23611.729466666671</v>
      </c>
      <c r="H18" s="149">
        <f t="shared" si="0"/>
        <v>1165.2566201999998</v>
      </c>
      <c r="I18" s="150">
        <f t="shared" si="0"/>
        <v>24776.986086866673</v>
      </c>
      <c r="J18" s="149">
        <f t="shared" si="0"/>
        <v>17014</v>
      </c>
      <c r="K18" s="149">
        <f t="shared" si="0"/>
        <v>23390</v>
      </c>
      <c r="L18" s="149">
        <f t="shared" si="0"/>
        <v>1148</v>
      </c>
      <c r="M18" s="157">
        <f t="shared" si="0"/>
        <v>24538</v>
      </c>
      <c r="N18" s="149">
        <f>SUM(N16,N14,N12,N10,N8,N6)</f>
        <v>48</v>
      </c>
      <c r="O18" s="149">
        <f>SUM(O16,O14,O12,O10,O8,O6)</f>
        <v>44</v>
      </c>
      <c r="P18" s="158">
        <f>SUM(P16,P14,P12,P10,P8,P6)</f>
        <v>39</v>
      </c>
    </row>
    <row r="19" spans="2:28" ht="15" customHeight="1" thickBot="1" x14ac:dyDescent="0.35">
      <c r="B19" s="16" t="s">
        <v>51</v>
      </c>
      <c r="C19" s="17">
        <v>884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</v>
      </c>
    </row>
    <row r="20" spans="2:28" ht="15" customHeight="1" thickBot="1" x14ac:dyDescent="0.35">
      <c r="B20" s="57" t="s">
        <v>52</v>
      </c>
      <c r="C20" s="58">
        <v>5198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0.11363636363636363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17547</v>
      </c>
      <c r="D34" s="76">
        <f>C18+C19+C20</f>
        <v>17014</v>
      </c>
      <c r="E34" s="77">
        <f t="shared" si="1"/>
        <v>-533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44648</v>
      </c>
    </row>
    <row r="3" spans="2:27" ht="18.75" customHeight="1" thickBot="1" x14ac:dyDescent="0.35">
      <c r="B3" t="s">
        <v>1</v>
      </c>
      <c r="C3" s="3">
        <f>C2+1</f>
        <v>44649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75</v>
      </c>
      <c r="E6" s="161" t="s">
        <v>22</v>
      </c>
      <c r="F6" s="119">
        <v>25931</v>
      </c>
      <c r="G6" s="117">
        <v>13442.58943333334</v>
      </c>
      <c r="H6" s="117">
        <v>5078.2572920799976</v>
      </c>
      <c r="I6" s="152">
        <f>G6+H6</f>
        <v>18520.846725413336</v>
      </c>
      <c r="J6" s="119">
        <v>26621</v>
      </c>
      <c r="K6" s="117">
        <v>14130.546683333339</v>
      </c>
      <c r="L6" s="117">
        <v>4835.6395682799975</v>
      </c>
      <c r="M6" s="162">
        <f>K6+L6</f>
        <v>18966.186251613337</v>
      </c>
      <c r="N6" s="87">
        <v>81</v>
      </c>
      <c r="O6" s="87">
        <v>75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4031.4728654599999</v>
      </c>
      <c r="I8" s="152">
        <f>G8+H8</f>
        <v>4031.4728654599999</v>
      </c>
      <c r="J8" s="119">
        <v>0</v>
      </c>
      <c r="K8" s="117">
        <v>0</v>
      </c>
      <c r="L8" s="117">
        <v>3988.6866006599998</v>
      </c>
      <c r="M8" s="162">
        <f>K8+L8</f>
        <v>3988.6866006599998</v>
      </c>
      <c r="N8" s="87">
        <v>5</v>
      </c>
      <c r="O8" s="87">
        <v>7</v>
      </c>
      <c r="P8" s="87">
        <v>5</v>
      </c>
    </row>
    <row r="9" spans="2:27" x14ac:dyDescent="0.3">
      <c r="B9" s="16" t="s">
        <v>23</v>
      </c>
      <c r="C9" s="17">
        <v>1789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2073</v>
      </c>
      <c r="E10" s="161" t="s">
        <v>31</v>
      </c>
      <c r="F10" s="119">
        <v>18220</v>
      </c>
      <c r="G10" s="117">
        <v>13158.56475</v>
      </c>
      <c r="H10" s="117">
        <v>944.96426550000001</v>
      </c>
      <c r="I10" s="152">
        <f>G10+H10</f>
        <v>14103.5290155</v>
      </c>
      <c r="J10" s="119">
        <v>18304</v>
      </c>
      <c r="K10" s="117">
        <v>13323.22025</v>
      </c>
      <c r="L10" s="117">
        <v>961.96390601999985</v>
      </c>
      <c r="M10" s="162">
        <f>K10+L10</f>
        <v>14285.184156020001</v>
      </c>
      <c r="N10" s="88">
        <v>53</v>
      </c>
      <c r="O10" s="88">
        <v>51</v>
      </c>
      <c r="P10" s="88">
        <v>43</v>
      </c>
    </row>
    <row r="11" spans="2:27" x14ac:dyDescent="0.3">
      <c r="B11" s="28" t="s">
        <v>28</v>
      </c>
      <c r="C11" s="17">
        <v>997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30</v>
      </c>
      <c r="C12" s="17">
        <v>2377</v>
      </c>
      <c r="E12" s="161" t="s">
        <v>35</v>
      </c>
      <c r="F12" s="119">
        <v>15611</v>
      </c>
      <c r="G12" s="117">
        <v>12794.94225</v>
      </c>
      <c r="H12" s="117">
        <v>18076.878548169989</v>
      </c>
      <c r="I12" s="152">
        <f>G12+H12</f>
        <v>30871.820798169989</v>
      </c>
      <c r="J12" s="119">
        <v>15855</v>
      </c>
      <c r="K12" s="117">
        <v>14682.13775</v>
      </c>
      <c r="L12" s="117">
        <v>18331.847438339999</v>
      </c>
      <c r="M12" s="162">
        <f>K12+L12</f>
        <v>33013.985188339997</v>
      </c>
      <c r="N12" s="88">
        <v>54</v>
      </c>
      <c r="O12" s="88">
        <v>53</v>
      </c>
      <c r="P12" s="88">
        <v>43</v>
      </c>
    </row>
    <row r="13" spans="2:27" x14ac:dyDescent="0.3">
      <c r="B13" s="16" t="s">
        <v>38</v>
      </c>
      <c r="C13" s="17">
        <v>10107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16" t="s">
        <v>40</v>
      </c>
      <c r="C14" s="17">
        <v>2139</v>
      </c>
      <c r="E14" s="161" t="s">
        <v>39</v>
      </c>
      <c r="F14" s="119">
        <v>21861</v>
      </c>
      <c r="G14" s="117">
        <v>18131.702499999999</v>
      </c>
      <c r="H14" s="117">
        <v>27206.946280640001</v>
      </c>
      <c r="I14" s="152">
        <f>G14+H14</f>
        <v>45338.648780639996</v>
      </c>
      <c r="J14" s="119">
        <v>22994</v>
      </c>
      <c r="K14" s="117">
        <v>22618.712500000001</v>
      </c>
      <c r="L14" s="117">
        <v>29047.635403580029</v>
      </c>
      <c r="M14" s="162">
        <f>K14+L14</f>
        <v>51666.347903580026</v>
      </c>
      <c r="N14" s="88">
        <v>69</v>
      </c>
      <c r="O14" s="88">
        <v>66</v>
      </c>
      <c r="P14" s="88">
        <v>53</v>
      </c>
    </row>
    <row r="15" spans="2:27" x14ac:dyDescent="0.3">
      <c r="B15" s="28" t="s">
        <v>42</v>
      </c>
      <c r="C15" s="17">
        <v>32330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47</v>
      </c>
      <c r="C16" s="17">
        <v>1503</v>
      </c>
      <c r="E16" s="161" t="s">
        <v>79</v>
      </c>
      <c r="F16" s="119">
        <v>0</v>
      </c>
      <c r="G16" s="117">
        <v>0</v>
      </c>
      <c r="H16" s="117">
        <v>9261.91660142</v>
      </c>
      <c r="I16" s="152">
        <f>G16+H16</f>
        <v>9261.91660142</v>
      </c>
      <c r="J16" s="119">
        <v>0</v>
      </c>
      <c r="K16" s="117">
        <v>0</v>
      </c>
      <c r="L16" s="117">
        <v>9141.59205148</v>
      </c>
      <c r="M16" s="162">
        <f>K16+L16</f>
        <v>9141.59205148</v>
      </c>
      <c r="N16" s="88">
        <v>10</v>
      </c>
      <c r="O16" s="88">
        <v>10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12544</v>
      </c>
      <c r="E18" s="84"/>
      <c r="F18" s="148">
        <f t="shared" ref="F18:M18" si="0">SUM(F6:F17)</f>
        <v>81623</v>
      </c>
      <c r="G18" s="149">
        <f t="shared" si="0"/>
        <v>57527.798933333339</v>
      </c>
      <c r="H18" s="149">
        <f t="shared" si="0"/>
        <v>64600.435853269984</v>
      </c>
      <c r="I18" s="150">
        <f t="shared" si="0"/>
        <v>122128.23478660332</v>
      </c>
      <c r="J18" s="149">
        <f t="shared" si="0"/>
        <v>83774</v>
      </c>
      <c r="K18" s="149">
        <f t="shared" si="0"/>
        <v>64754.617183333343</v>
      </c>
      <c r="L18" s="149">
        <f t="shared" si="0"/>
        <v>66307.364968360023</v>
      </c>
      <c r="M18" s="157">
        <f t="shared" si="0"/>
        <v>131061.98215169336</v>
      </c>
      <c r="N18" s="149">
        <f>SUM(N16,N14,N12,N10,N8,N6)</f>
        <v>272</v>
      </c>
      <c r="O18" s="149">
        <f>SUM(O16,O14,O12,O10,O8,O6)</f>
        <v>262</v>
      </c>
      <c r="P18" s="158">
        <f>SUM(P16,P14,P12,P10,P8,P6)</f>
        <v>217</v>
      </c>
    </row>
    <row r="19" spans="2:28" ht="15" customHeight="1" thickBot="1" x14ac:dyDescent="0.35">
      <c r="B19" s="16" t="s">
        <v>51</v>
      </c>
      <c r="C19" s="17">
        <v>1077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</row>
    <row r="20" spans="2:28" ht="15" customHeight="1" thickBot="1" x14ac:dyDescent="0.35">
      <c r="B20" s="57" t="s">
        <v>52</v>
      </c>
      <c r="C20" s="58">
        <v>5119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0.1717557251908397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10747</v>
      </c>
      <c r="D28" s="76">
        <f>C13</f>
        <v>10107</v>
      </c>
      <c r="E28" s="77">
        <f t="shared" ref="E28:E35" si="1">D28-C28</f>
        <v>-640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38000</v>
      </c>
      <c r="D31" s="76">
        <f>C9+C14+C15+C16+C17</f>
        <v>38154</v>
      </c>
      <c r="E31" s="77">
        <f t="shared" si="1"/>
        <v>154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75</v>
      </c>
      <c r="D32" s="76">
        <f>C6</f>
        <v>75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2377</v>
      </c>
      <c r="D33" s="76">
        <f>C12</f>
        <v>2377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17390</v>
      </c>
      <c r="D34" s="76">
        <f>C18+C19+C20</f>
        <v>18740</v>
      </c>
      <c r="E34" s="77">
        <f t="shared" si="1"/>
        <v>1350</v>
      </c>
      <c r="K34" s="53"/>
      <c r="P34" s="4"/>
    </row>
    <row r="35" spans="2:16" ht="15" customHeight="1" thickBot="1" x14ac:dyDescent="0.35">
      <c r="B35" s="78" t="s">
        <v>60</v>
      </c>
      <c r="C35" s="121">
        <v>3070</v>
      </c>
      <c r="D35" s="80">
        <f>C10+C11</f>
        <v>3070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44649</v>
      </c>
    </row>
    <row r="3" spans="2:27" ht="18.75" customHeight="1" thickBot="1" x14ac:dyDescent="0.35">
      <c r="B3" t="s">
        <v>1</v>
      </c>
      <c r="C3" s="3">
        <f>C2+1</f>
        <v>44650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3">
      <c r="B6" s="16" t="s">
        <v>21</v>
      </c>
      <c r="C6" s="17">
        <v>132</v>
      </c>
      <c r="E6" s="161" t="s">
        <v>22</v>
      </c>
      <c r="F6" s="119">
        <v>29102</v>
      </c>
      <c r="G6" s="117">
        <v>14337.44503333333</v>
      </c>
      <c r="H6" s="117">
        <v>5930.0649950599991</v>
      </c>
      <c r="I6" s="152">
        <f>G6+H6</f>
        <v>20267.510028393328</v>
      </c>
      <c r="J6" s="119">
        <v>28745</v>
      </c>
      <c r="K6" s="117">
        <v>15471.75228333333</v>
      </c>
      <c r="L6" s="117">
        <v>5987.364092359996</v>
      </c>
      <c r="M6" s="162">
        <f>K6+L6</f>
        <v>21459.116375693324</v>
      </c>
      <c r="N6" s="87">
        <v>90</v>
      </c>
      <c r="O6" s="87">
        <v>85</v>
      </c>
      <c r="P6" s="87">
        <v>75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3772.4722666600001</v>
      </c>
      <c r="I8" s="152">
        <f>G8+H8</f>
        <v>3772.4722666600001</v>
      </c>
      <c r="J8" s="119">
        <v>0</v>
      </c>
      <c r="K8" s="117">
        <v>0</v>
      </c>
      <c r="L8" s="117">
        <v>3773.4019077200001</v>
      </c>
      <c r="M8" s="162">
        <f>K8+L8</f>
        <v>3773.4019077200001</v>
      </c>
      <c r="N8" s="87">
        <v>5</v>
      </c>
      <c r="O8" s="87">
        <v>7</v>
      </c>
      <c r="P8" s="87">
        <v>5</v>
      </c>
    </row>
    <row r="9" spans="2:27" x14ac:dyDescent="0.3">
      <c r="B9" s="16" t="s">
        <v>23</v>
      </c>
      <c r="C9" s="17">
        <v>2656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1102</v>
      </c>
      <c r="E10" s="161" t="s">
        <v>31</v>
      </c>
      <c r="F10" s="119">
        <v>21364</v>
      </c>
      <c r="G10" s="117">
        <v>14421.428250000001</v>
      </c>
      <c r="H10" s="117">
        <v>1012.1043265</v>
      </c>
      <c r="I10" s="152">
        <f>G10+H10</f>
        <v>15433.532576500002</v>
      </c>
      <c r="J10" s="119">
        <v>20969</v>
      </c>
      <c r="K10" s="117">
        <v>14505.392750000001</v>
      </c>
      <c r="L10" s="117">
        <v>955.72078489999979</v>
      </c>
      <c r="M10" s="162">
        <f>K10+L10</f>
        <v>15461.113534900001</v>
      </c>
      <c r="N10" s="88">
        <v>57</v>
      </c>
      <c r="O10" s="88">
        <v>56</v>
      </c>
      <c r="P10" s="88">
        <v>54</v>
      </c>
    </row>
    <row r="11" spans="2:27" x14ac:dyDescent="0.3">
      <c r="B11" s="28" t="s">
        <v>28</v>
      </c>
      <c r="C11" s="17">
        <v>874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30</v>
      </c>
      <c r="C12" s="17">
        <v>3381</v>
      </c>
      <c r="E12" s="161" t="s">
        <v>35</v>
      </c>
      <c r="F12" s="119">
        <v>18928</v>
      </c>
      <c r="G12" s="117">
        <v>12253.28833333333</v>
      </c>
      <c r="H12" s="117">
        <v>21767.593773920002</v>
      </c>
      <c r="I12" s="152">
        <f>G12+H12</f>
        <v>34020.882107253332</v>
      </c>
      <c r="J12" s="119">
        <v>19242</v>
      </c>
      <c r="K12" s="117">
        <v>14421.38308333334</v>
      </c>
      <c r="L12" s="117">
        <v>22024.49051327999</v>
      </c>
      <c r="M12" s="162">
        <f>K12+L12</f>
        <v>36445.873596613332</v>
      </c>
      <c r="N12" s="88">
        <v>54</v>
      </c>
      <c r="O12" s="88">
        <v>52</v>
      </c>
      <c r="P12" s="88">
        <v>43</v>
      </c>
    </row>
    <row r="13" spans="2:27" x14ac:dyDescent="0.3">
      <c r="B13" s="16" t="s">
        <v>38</v>
      </c>
      <c r="C13" s="17">
        <v>12564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1588</v>
      </c>
      <c r="E14" s="161" t="s">
        <v>39</v>
      </c>
      <c r="F14" s="119">
        <v>30399</v>
      </c>
      <c r="G14" s="117">
        <v>19070.438750000001</v>
      </c>
      <c r="H14" s="117">
        <v>36134.983809960009</v>
      </c>
      <c r="I14" s="152">
        <f>G14+H14</f>
        <v>55205.42255996001</v>
      </c>
      <c r="J14" s="119">
        <v>30600</v>
      </c>
      <c r="K14" s="117">
        <v>22364.254499999999</v>
      </c>
      <c r="L14" s="117">
        <v>36462.822529780002</v>
      </c>
      <c r="M14" s="162">
        <f>K14+L14</f>
        <v>58827.077029780005</v>
      </c>
      <c r="N14" s="88">
        <v>72</v>
      </c>
      <c r="O14" s="88">
        <v>67</v>
      </c>
      <c r="P14" s="88">
        <v>60</v>
      </c>
    </row>
    <row r="15" spans="2:27" x14ac:dyDescent="0.3">
      <c r="B15" s="28" t="s">
        <v>42</v>
      </c>
      <c r="C15" s="17">
        <f>31690+8200</f>
        <v>39890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47</v>
      </c>
      <c r="C16" s="17">
        <v>1148</v>
      </c>
      <c r="E16" s="161" t="s">
        <v>79</v>
      </c>
      <c r="F16" s="119">
        <v>0</v>
      </c>
      <c r="G16" s="117">
        <v>0</v>
      </c>
      <c r="H16" s="117">
        <v>6218.23042506</v>
      </c>
      <c r="I16" s="152">
        <f>G16+H16</f>
        <v>6218.23042506</v>
      </c>
      <c r="J16" s="119">
        <v>0</v>
      </c>
      <c r="K16" s="117">
        <v>0</v>
      </c>
      <c r="L16" s="117">
        <v>5983.6119237600014</v>
      </c>
      <c r="M16" s="162">
        <f>K16+L16</f>
        <v>5983.6119237600014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11311</v>
      </c>
      <c r="E18" s="84"/>
      <c r="F18" s="148">
        <f t="shared" ref="F18:M18" si="0">SUM(F6:F17)</f>
        <v>99793</v>
      </c>
      <c r="G18" s="149">
        <f t="shared" si="0"/>
        <v>60082.600366666666</v>
      </c>
      <c r="H18" s="149">
        <f t="shared" si="0"/>
        <v>74835.449597160012</v>
      </c>
      <c r="I18" s="150">
        <f t="shared" si="0"/>
        <v>134918.04996382666</v>
      </c>
      <c r="J18" s="149">
        <f t="shared" si="0"/>
        <v>99556</v>
      </c>
      <c r="K18" s="149">
        <f t="shared" si="0"/>
        <v>66762.782616666664</v>
      </c>
      <c r="L18" s="149">
        <f t="shared" si="0"/>
        <v>75187.411751799998</v>
      </c>
      <c r="M18" s="157">
        <f t="shared" si="0"/>
        <v>141950.19436846665</v>
      </c>
      <c r="N18" s="149">
        <f>SUM(N16,N14,N12,N10,N8,N6)</f>
        <v>290</v>
      </c>
      <c r="O18" s="149">
        <f>SUM(O16,O14,O12,O10,O8,O6)</f>
        <v>279</v>
      </c>
      <c r="P18" s="158">
        <f>SUM(P16,P14,P12,P10,P8,P6)</f>
        <v>248</v>
      </c>
    </row>
    <row r="19" spans="2:28" ht="15" customHeight="1" thickBot="1" x14ac:dyDescent="0.35">
      <c r="B19" s="16" t="s">
        <v>51</v>
      </c>
      <c r="C19" s="17">
        <v>1036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ht="15" customHeight="1" thickBot="1" x14ac:dyDescent="0.35">
      <c r="B20" s="57" t="s">
        <v>52</v>
      </c>
      <c r="C20" s="58">
        <v>5497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0.1111111111111111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12664</v>
      </c>
      <c r="D28" s="76">
        <f>C13</f>
        <v>12564</v>
      </c>
      <c r="E28" s="77">
        <f t="shared" ref="E28:E35" si="1">D28-C28</f>
        <v>-100</v>
      </c>
    </row>
    <row r="29" spans="2:28" x14ac:dyDescent="0.3">
      <c r="B29" s="74" t="s">
        <v>58</v>
      </c>
      <c r="C29" s="122">
        <v>0</v>
      </c>
      <c r="D29" s="76">
        <f>C7</f>
        <v>20</v>
      </c>
      <c r="E29" s="77">
        <f t="shared" si="1"/>
        <v>20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39253</v>
      </c>
      <c r="D31" s="76">
        <f>C9+C14+C15+C16+C17</f>
        <v>45491</v>
      </c>
      <c r="E31" s="77">
        <f t="shared" si="1"/>
        <v>6238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132</v>
      </c>
      <c r="D32" s="76">
        <f>C6</f>
        <v>132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3381</v>
      </c>
      <c r="D33" s="76">
        <f>C12</f>
        <v>3381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18564</v>
      </c>
      <c r="D34" s="76">
        <f>C18+C19+C20</f>
        <v>17844</v>
      </c>
      <c r="E34" s="77">
        <f t="shared" si="1"/>
        <v>-720</v>
      </c>
      <c r="K34" s="53"/>
      <c r="P34" s="4"/>
    </row>
    <row r="35" spans="2:16" ht="15" customHeight="1" thickBot="1" x14ac:dyDescent="0.35">
      <c r="B35" s="78" t="s">
        <v>60</v>
      </c>
      <c r="C35" s="121">
        <v>1976</v>
      </c>
      <c r="D35" s="80">
        <f>C10+C11</f>
        <v>1976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44650</v>
      </c>
    </row>
    <row r="3" spans="2:27" ht="18.75" customHeight="1" thickBot="1" x14ac:dyDescent="0.35">
      <c r="B3" t="s">
        <v>1</v>
      </c>
      <c r="C3" s="3">
        <f>C2+1</f>
        <v>44651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71</v>
      </c>
      <c r="E6" s="161" t="s">
        <v>22</v>
      </c>
      <c r="F6" s="119">
        <v>28887</v>
      </c>
      <c r="G6" s="117">
        <v>14861.6055</v>
      </c>
      <c r="H6" s="117">
        <v>5364.4467044799976</v>
      </c>
      <c r="I6" s="152">
        <f>G6+H6</f>
        <v>20226.052204479998</v>
      </c>
      <c r="J6" s="119">
        <v>29743</v>
      </c>
      <c r="K6" s="117">
        <v>16935.361499999999</v>
      </c>
      <c r="L6" s="117">
        <v>5279.455264639997</v>
      </c>
      <c r="M6" s="162">
        <f>K6+L6</f>
        <v>22214.816764639996</v>
      </c>
      <c r="N6" s="87">
        <v>83</v>
      </c>
      <c r="O6" s="87">
        <v>77</v>
      </c>
      <c r="P6" s="87">
        <v>72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30</v>
      </c>
      <c r="E8" s="161" t="s">
        <v>27</v>
      </c>
      <c r="F8" s="119">
        <v>0</v>
      </c>
      <c r="G8" s="117">
        <v>0</v>
      </c>
      <c r="H8" s="117">
        <v>4490.3862881400009</v>
      </c>
      <c r="I8" s="152">
        <f>G8+H8</f>
        <v>4490.3862881400009</v>
      </c>
      <c r="J8" s="119">
        <v>0</v>
      </c>
      <c r="K8" s="117">
        <v>0</v>
      </c>
      <c r="L8" s="117">
        <v>4452.6308350400013</v>
      </c>
      <c r="M8" s="162">
        <f>K8+L8</f>
        <v>4452.6308350400013</v>
      </c>
      <c r="N8" s="87">
        <v>4</v>
      </c>
      <c r="O8" s="87">
        <v>5</v>
      </c>
      <c r="P8" s="87">
        <v>4</v>
      </c>
    </row>
    <row r="9" spans="2:27" x14ac:dyDescent="0.3">
      <c r="B9" s="16" t="s">
        <v>23</v>
      </c>
      <c r="C9" s="17">
        <v>1383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19354</v>
      </c>
      <c r="G10" s="117">
        <v>13355.116</v>
      </c>
      <c r="H10" s="117">
        <v>891.04272530000003</v>
      </c>
      <c r="I10" s="152">
        <f>G10+H10</f>
        <v>14246.1587253</v>
      </c>
      <c r="J10" s="119">
        <v>19661</v>
      </c>
      <c r="K10" s="117">
        <v>13774.2575</v>
      </c>
      <c r="L10" s="117">
        <v>998.49402798000006</v>
      </c>
      <c r="M10" s="162">
        <f>K10+L10</f>
        <v>14772.751527979999</v>
      </c>
      <c r="N10" s="88">
        <v>50</v>
      </c>
      <c r="O10" s="88">
        <v>47</v>
      </c>
      <c r="P10" s="88">
        <v>47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2519</v>
      </c>
      <c r="E12" s="161" t="s">
        <v>35</v>
      </c>
      <c r="F12" s="119">
        <v>14527</v>
      </c>
      <c r="G12" s="117">
        <v>11798.85225</v>
      </c>
      <c r="H12" s="117">
        <v>17079.710355200001</v>
      </c>
      <c r="I12" s="152">
        <f>G12+H12</f>
        <v>28878.562605200001</v>
      </c>
      <c r="J12" s="119">
        <v>13238</v>
      </c>
      <c r="K12" s="117">
        <v>12700.847999999991</v>
      </c>
      <c r="L12" s="117">
        <v>16009.618945779999</v>
      </c>
      <c r="M12" s="162">
        <f>K12+L12</f>
        <v>28710.46694577999</v>
      </c>
      <c r="N12" s="88">
        <v>54</v>
      </c>
      <c r="O12" s="88">
        <v>53</v>
      </c>
      <c r="P12" s="88">
        <v>48</v>
      </c>
    </row>
    <row r="13" spans="2:27" x14ac:dyDescent="0.3">
      <c r="B13" s="16" t="s">
        <v>38</v>
      </c>
      <c r="C13" s="17">
        <v>11858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1624</v>
      </c>
      <c r="E14" s="161" t="s">
        <v>39</v>
      </c>
      <c r="F14" s="119">
        <v>19350</v>
      </c>
      <c r="G14" s="117">
        <v>16069.842500000001</v>
      </c>
      <c r="H14" s="117">
        <v>24378.031578279999</v>
      </c>
      <c r="I14" s="152">
        <f>G14+H14</f>
        <v>40447.874078280001</v>
      </c>
      <c r="J14" s="119">
        <v>18839</v>
      </c>
      <c r="K14" s="117">
        <v>17173.40525</v>
      </c>
      <c r="L14" s="117">
        <v>23740.14011506</v>
      </c>
      <c r="M14" s="162">
        <f>K14+L14</f>
        <v>40913.545365059996</v>
      </c>
      <c r="N14" s="88">
        <v>68</v>
      </c>
      <c r="O14" s="88">
        <v>62</v>
      </c>
      <c r="P14" s="88">
        <v>59</v>
      </c>
    </row>
    <row r="15" spans="2:27" x14ac:dyDescent="0.3">
      <c r="B15" s="28" t="s">
        <v>42</v>
      </c>
      <c r="C15" s="17">
        <f>28839+7621</f>
        <v>36460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2:27" x14ac:dyDescent="0.3">
      <c r="B16" s="43" t="s">
        <v>47</v>
      </c>
      <c r="C16" s="17">
        <v>2891</v>
      </c>
      <c r="E16" s="161" t="s">
        <v>79</v>
      </c>
      <c r="F16" s="119">
        <v>0</v>
      </c>
      <c r="G16" s="117">
        <v>0</v>
      </c>
      <c r="H16" s="117">
        <v>9525.3920503999998</v>
      </c>
      <c r="I16" s="152">
        <f>G16+H16</f>
        <v>9525.3920503999998</v>
      </c>
      <c r="J16" s="119">
        <v>0</v>
      </c>
      <c r="K16" s="117">
        <v>0</v>
      </c>
      <c r="L16" s="117">
        <v>9403.0347086599995</v>
      </c>
      <c r="M16" s="162">
        <f>K16+L16</f>
        <v>9403.0347086599995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247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12230</v>
      </c>
      <c r="E18" s="84"/>
      <c r="F18" s="148">
        <f t="shared" ref="F18:M18" si="0">SUM(F6:F17)</f>
        <v>82118</v>
      </c>
      <c r="G18" s="149">
        <f t="shared" si="0"/>
        <v>56085.416249999995</v>
      </c>
      <c r="H18" s="149">
        <f t="shared" si="0"/>
        <v>61729.009701799994</v>
      </c>
      <c r="I18" s="150">
        <f t="shared" si="0"/>
        <v>117814.4259518</v>
      </c>
      <c r="J18" s="149">
        <f t="shared" si="0"/>
        <v>81481</v>
      </c>
      <c r="K18" s="149">
        <f t="shared" si="0"/>
        <v>60583.872249999986</v>
      </c>
      <c r="L18" s="149">
        <f t="shared" si="0"/>
        <v>59883.373897159996</v>
      </c>
      <c r="M18" s="157">
        <f t="shared" si="0"/>
        <v>120467.24614715998</v>
      </c>
      <c r="N18" s="149">
        <f>SUM(N16,N14,N12,N10,N8,N6)</f>
        <v>269</v>
      </c>
      <c r="O18" s="149">
        <f>SUM(O16,O14,O12,O10,O8,O6)</f>
        <v>254</v>
      </c>
      <c r="P18" s="158">
        <f>SUM(P16,P14,P12,P10,P8,P6)</f>
        <v>240</v>
      </c>
    </row>
    <row r="19" spans="2:28" ht="15" customHeight="1" thickBot="1" x14ac:dyDescent="0.35">
      <c r="B19" s="16" t="s">
        <v>51</v>
      </c>
      <c r="C19" s="17">
        <v>1552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14</v>
      </c>
    </row>
    <row r="20" spans="2:28" ht="15" customHeight="1" thickBot="1" x14ac:dyDescent="0.35">
      <c r="B20" s="57" t="s">
        <v>52</v>
      </c>
      <c r="C20" s="58">
        <v>5435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5.5118110236220472E-2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12436</v>
      </c>
      <c r="D28" s="76">
        <f>C13</f>
        <v>11858</v>
      </c>
      <c r="E28" s="77">
        <f t="shared" ref="E28:E35" si="1">D28-C28</f>
        <v>-578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30</v>
      </c>
      <c r="D30" s="76">
        <f>C8</f>
        <v>30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38241</v>
      </c>
      <c r="D31" s="76">
        <f>C9+C14+C15+C16+C17</f>
        <v>42605</v>
      </c>
      <c r="E31" s="77">
        <f t="shared" si="1"/>
        <v>4364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71</v>
      </c>
      <c r="E32" s="77">
        <f t="shared" si="1"/>
        <v>71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2519</v>
      </c>
      <c r="D33" s="76">
        <f>C12</f>
        <v>2519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17580</v>
      </c>
      <c r="D34" s="76">
        <f>C18+C19+C20</f>
        <v>19217</v>
      </c>
      <c r="E34" s="77">
        <f t="shared" si="1"/>
        <v>1637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>
    <tabColor rgb="FFFF0000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53.55468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44651</v>
      </c>
    </row>
    <row r="3" spans="2:27" ht="18.75" customHeight="1" thickBot="1" x14ac:dyDescent="0.35">
      <c r="B3" t="s">
        <v>1</v>
      </c>
      <c r="C3" s="3">
        <f>C2+1</f>
        <v>44652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108</v>
      </c>
    </row>
    <row r="6" spans="2:27" x14ac:dyDescent="0.3">
      <c r="B6" s="16" t="s">
        <v>21</v>
      </c>
      <c r="C6" s="17">
        <v>120</v>
      </c>
      <c r="E6" s="161" t="s">
        <v>22</v>
      </c>
      <c r="F6" s="119">
        <v>27902</v>
      </c>
      <c r="G6" s="117">
        <v>14459.836966666669</v>
      </c>
      <c r="H6" s="117">
        <v>6648.8763096599978</v>
      </c>
      <c r="I6" s="152">
        <f>G6+H6</f>
        <v>21108.713276326667</v>
      </c>
      <c r="J6" s="119">
        <v>28312</v>
      </c>
      <c r="K6" s="117">
        <v>16663.411716666669</v>
      </c>
      <c r="L6" s="117">
        <v>6397.9942924999978</v>
      </c>
      <c r="M6" s="162">
        <f>K6+L6</f>
        <v>23061.406009166669</v>
      </c>
      <c r="N6" s="87">
        <v>88</v>
      </c>
      <c r="O6" s="87">
        <v>80</v>
      </c>
      <c r="P6" s="87">
        <v>74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3578.0722876999998</v>
      </c>
      <c r="I8" s="152">
        <f>G8+H8</f>
        <v>3578.0722876999998</v>
      </c>
      <c r="J8" s="119">
        <v>0</v>
      </c>
      <c r="K8" s="117">
        <v>0</v>
      </c>
      <c r="L8" s="117">
        <v>3586.7065107600001</v>
      </c>
      <c r="M8" s="162">
        <f>K8+L8</f>
        <v>3586.7065107600001</v>
      </c>
      <c r="N8" s="87">
        <v>4</v>
      </c>
      <c r="O8" s="87">
        <v>5</v>
      </c>
      <c r="P8" s="87">
        <v>4</v>
      </c>
    </row>
    <row r="9" spans="2:27" x14ac:dyDescent="0.3">
      <c r="B9" s="16" t="s">
        <v>23</v>
      </c>
      <c r="C9" s="17">
        <v>2417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1102</v>
      </c>
      <c r="E10" s="161" t="s">
        <v>31</v>
      </c>
      <c r="F10" s="119">
        <v>19233</v>
      </c>
      <c r="G10" s="117">
        <v>12987.994000000001</v>
      </c>
      <c r="H10" s="117">
        <v>788.99578680000013</v>
      </c>
      <c r="I10" s="152">
        <f>G10+H10</f>
        <v>13776.989786800001</v>
      </c>
      <c r="J10" s="119">
        <v>19472</v>
      </c>
      <c r="K10" s="117">
        <v>13209.4275</v>
      </c>
      <c r="L10" s="117">
        <v>855.58786423999993</v>
      </c>
      <c r="M10" s="162">
        <f>K10+L10</f>
        <v>14065.01536424</v>
      </c>
      <c r="N10" s="88">
        <v>57</v>
      </c>
      <c r="O10" s="88">
        <v>53</v>
      </c>
      <c r="P10" s="88">
        <v>54</v>
      </c>
    </row>
    <row r="11" spans="2:27" x14ac:dyDescent="0.3">
      <c r="B11" s="28" t="s">
        <v>28</v>
      </c>
      <c r="C11" s="17">
        <v>874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-1</v>
      </c>
    </row>
    <row r="12" spans="2:27" x14ac:dyDescent="0.3">
      <c r="B12" s="16" t="s">
        <v>30</v>
      </c>
      <c r="C12" s="17">
        <v>2539</v>
      </c>
      <c r="E12" s="161" t="s">
        <v>35</v>
      </c>
      <c r="F12" s="119">
        <v>16736</v>
      </c>
      <c r="G12" s="117">
        <v>10995.52458333333</v>
      </c>
      <c r="H12" s="117">
        <v>19615.708633260001</v>
      </c>
      <c r="I12" s="152">
        <f>G12+H12</f>
        <v>30611.233216593333</v>
      </c>
      <c r="J12" s="119">
        <v>16587</v>
      </c>
      <c r="K12" s="117">
        <v>12174.85508333333</v>
      </c>
      <c r="L12" s="117">
        <v>19378.334194430001</v>
      </c>
      <c r="M12" s="162">
        <f>K12+L12</f>
        <v>31553.189277763333</v>
      </c>
      <c r="N12" s="88">
        <v>52</v>
      </c>
      <c r="O12" s="88">
        <v>48</v>
      </c>
      <c r="P12" s="88">
        <v>41</v>
      </c>
    </row>
    <row r="13" spans="2:27" x14ac:dyDescent="0.3">
      <c r="B13" s="16" t="s">
        <v>38</v>
      </c>
      <c r="C13" s="17">
        <v>11805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16" t="s">
        <v>40</v>
      </c>
      <c r="C14" s="17">
        <v>1396</v>
      </c>
      <c r="E14" s="161" t="s">
        <v>39</v>
      </c>
      <c r="F14" s="119">
        <v>25879</v>
      </c>
      <c r="G14" s="117">
        <v>17120.381249999999</v>
      </c>
      <c r="H14" s="117">
        <v>30665.748193240001</v>
      </c>
      <c r="I14" s="152">
        <f>G14+H14</f>
        <v>47786.129443240003</v>
      </c>
      <c r="J14" s="119">
        <v>26628</v>
      </c>
      <c r="K14" s="117">
        <v>20418.953000000001</v>
      </c>
      <c r="L14" s="117">
        <v>31791.519306459999</v>
      </c>
      <c r="M14" s="162">
        <f>K14+L14</f>
        <v>52210.472306459997</v>
      </c>
      <c r="N14" s="88">
        <v>76</v>
      </c>
      <c r="O14" s="88">
        <v>67</v>
      </c>
      <c r="P14" s="88">
        <v>67</v>
      </c>
    </row>
    <row r="15" spans="2:27" x14ac:dyDescent="0.3">
      <c r="B15" s="28" t="s">
        <v>42</v>
      </c>
      <c r="C15" s="17">
        <f>28781+8006</f>
        <v>36787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1446</v>
      </c>
      <c r="E16" s="161" t="s">
        <v>79</v>
      </c>
      <c r="F16" s="119">
        <v>0</v>
      </c>
      <c r="G16" s="117">
        <v>0</v>
      </c>
      <c r="H16" s="117">
        <v>5613.4442265799998</v>
      </c>
      <c r="I16" s="152">
        <f>G16+H16</f>
        <v>5613.4442265799998</v>
      </c>
      <c r="J16" s="119">
        <v>0</v>
      </c>
      <c r="K16" s="117">
        <v>0</v>
      </c>
      <c r="L16" s="117">
        <v>5568.8537381999986</v>
      </c>
      <c r="M16" s="162">
        <f>K16+L16</f>
        <v>5568.8537381999986</v>
      </c>
      <c r="N16" s="88">
        <v>10</v>
      </c>
      <c r="O16" s="88">
        <v>10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9733</v>
      </c>
      <c r="E18" s="84"/>
      <c r="F18" s="148">
        <f t="shared" ref="F18:M18" si="0">SUM(F6:F17)</f>
        <v>89750</v>
      </c>
      <c r="G18" s="149">
        <f t="shared" si="0"/>
        <v>55563.736799999999</v>
      </c>
      <c r="H18" s="149">
        <f t="shared" si="0"/>
        <v>66910.845437240001</v>
      </c>
      <c r="I18" s="150">
        <f t="shared" si="0"/>
        <v>122474.58223724001</v>
      </c>
      <c r="J18" s="149">
        <f t="shared" si="0"/>
        <v>90999</v>
      </c>
      <c r="K18" s="149">
        <f t="shared" si="0"/>
        <v>62466.647299999997</v>
      </c>
      <c r="L18" s="149">
        <f t="shared" si="0"/>
        <v>67578.995906589989</v>
      </c>
      <c r="M18" s="157">
        <f t="shared" si="0"/>
        <v>130045.64320658999</v>
      </c>
      <c r="N18" s="149">
        <f>SUM(N16,N14,N12,N10,N8,N6)</f>
        <v>287</v>
      </c>
      <c r="O18" s="149">
        <f>SUM(O16,O14,O12,O10,O8,O6)</f>
        <v>263</v>
      </c>
      <c r="P18" s="158">
        <f>SUM(P16,P14,P12,P10,P8,P6)</f>
        <v>249</v>
      </c>
    </row>
    <row r="19" spans="2:28" ht="15" customHeight="1" thickBot="1" x14ac:dyDescent="0.35">
      <c r="B19" s="16" t="s">
        <v>51</v>
      </c>
      <c r="C19" s="17">
        <v>2255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14</v>
      </c>
    </row>
    <row r="20" spans="2:28" ht="15" customHeight="1" thickBot="1" x14ac:dyDescent="0.35">
      <c r="B20" s="57" t="s">
        <v>52</v>
      </c>
      <c r="C20" s="58">
        <v>4911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5.3231939163498096E-2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12121</v>
      </c>
      <c r="D28" s="76">
        <f>C13</f>
        <v>11805</v>
      </c>
      <c r="E28" s="77">
        <f t="shared" ref="E28:E35" si="1">D28-C28</f>
        <v>-316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36003</v>
      </c>
      <c r="D31" s="76">
        <f>C9+C14+C15+C16+C17</f>
        <v>42194</v>
      </c>
      <c r="E31" s="77">
        <f t="shared" si="1"/>
        <v>6191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120</v>
      </c>
      <c r="D32" s="76">
        <f>C6</f>
        <v>120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2539</v>
      </c>
      <c r="D33" s="76">
        <f>C12</f>
        <v>2539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16205</v>
      </c>
      <c r="D34" s="76">
        <f>C18+C19+C20</f>
        <v>16899</v>
      </c>
      <c r="E34" s="77">
        <f t="shared" si="1"/>
        <v>694</v>
      </c>
      <c r="K34" s="53"/>
      <c r="P34" s="4"/>
    </row>
    <row r="35" spans="2:16" ht="15" customHeight="1" thickBot="1" x14ac:dyDescent="0.35">
      <c r="B35" s="78" t="s">
        <v>60</v>
      </c>
      <c r="C35" s="121">
        <v>1976</v>
      </c>
      <c r="D35" s="80">
        <f>C10+C11</f>
        <v>1976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44652</v>
      </c>
    </row>
    <row r="3" spans="2:27" ht="18.75" customHeight="1" thickBot="1" x14ac:dyDescent="0.35">
      <c r="B3" t="s">
        <v>1</v>
      </c>
      <c r="C3" s="3">
        <f>C2+1</f>
        <v>44653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24187</v>
      </c>
      <c r="G6" s="117">
        <v>14407.13725</v>
      </c>
      <c r="H6" s="117">
        <v>4575.5582994200022</v>
      </c>
      <c r="I6" s="152">
        <f>G6+H6</f>
        <v>18982.695549420001</v>
      </c>
      <c r="J6" s="119">
        <v>24555</v>
      </c>
      <c r="K6" s="117">
        <v>15238.77325</v>
      </c>
      <c r="L6" s="117">
        <v>4336.5398209000004</v>
      </c>
      <c r="M6" s="162">
        <f>K6+L6</f>
        <v>19575.3130709</v>
      </c>
      <c r="N6" s="87">
        <v>82</v>
      </c>
      <c r="O6" s="87">
        <v>77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4013.6268960399998</v>
      </c>
      <c r="I8" s="152">
        <f>G8+H8</f>
        <v>4013.6268960399998</v>
      </c>
      <c r="J8" s="119">
        <v>0</v>
      </c>
      <c r="K8" s="117">
        <v>0</v>
      </c>
      <c r="L8" s="117">
        <v>3976.5452437600002</v>
      </c>
      <c r="M8" s="162">
        <f>K8+L8</f>
        <v>3976.5452437600002</v>
      </c>
      <c r="N8" s="87">
        <v>6</v>
      </c>
      <c r="O8" s="87">
        <v>8</v>
      </c>
      <c r="P8" s="87">
        <v>5</v>
      </c>
    </row>
    <row r="9" spans="2:27" x14ac:dyDescent="0.3">
      <c r="B9" s="16" t="s">
        <v>23</v>
      </c>
      <c r="C9" s="17">
        <v>1383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17189</v>
      </c>
      <c r="G10" s="117">
        <v>13364.421</v>
      </c>
      <c r="H10" s="117">
        <v>796.56856749999986</v>
      </c>
      <c r="I10" s="152">
        <f>G10+H10</f>
        <v>14160.989567500001</v>
      </c>
      <c r="J10" s="119">
        <v>17494</v>
      </c>
      <c r="K10" s="117">
        <v>13468.7835</v>
      </c>
      <c r="L10" s="117">
        <v>878.83309212000006</v>
      </c>
      <c r="M10" s="162">
        <f>K10+L10</f>
        <v>14347.616592119999</v>
      </c>
      <c r="N10" s="88">
        <v>53</v>
      </c>
      <c r="O10" s="88">
        <v>54</v>
      </c>
      <c r="P10" s="88">
        <v>49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4979</v>
      </c>
      <c r="E12" s="161" t="s">
        <v>35</v>
      </c>
      <c r="F12" s="119">
        <v>14206</v>
      </c>
      <c r="G12" s="117">
        <v>11399.447749999999</v>
      </c>
      <c r="H12" s="117">
        <v>16436.098966000009</v>
      </c>
      <c r="I12" s="152">
        <f>G12+H12</f>
        <v>27835.546716000008</v>
      </c>
      <c r="J12" s="119">
        <v>14579</v>
      </c>
      <c r="K12" s="117">
        <v>14161.5275</v>
      </c>
      <c r="L12" s="117">
        <v>16861.234858309999</v>
      </c>
      <c r="M12" s="162">
        <f>K12+L12</f>
        <v>31022.762358309999</v>
      </c>
      <c r="N12" s="88">
        <v>59</v>
      </c>
      <c r="O12" s="88">
        <v>57</v>
      </c>
      <c r="P12" s="88">
        <v>48</v>
      </c>
    </row>
    <row r="13" spans="2:27" x14ac:dyDescent="0.3">
      <c r="B13" s="16" t="s">
        <v>38</v>
      </c>
      <c r="C13" s="17">
        <v>9126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1624</v>
      </c>
      <c r="E14" s="161" t="s">
        <v>39</v>
      </c>
      <c r="F14" s="119">
        <v>29226</v>
      </c>
      <c r="G14" s="117">
        <v>19519.731250000001</v>
      </c>
      <c r="H14" s="117">
        <v>36616.985061499967</v>
      </c>
      <c r="I14" s="152">
        <f>G14+H14</f>
        <v>56136.716311499971</v>
      </c>
      <c r="J14" s="119">
        <v>30439</v>
      </c>
      <c r="K14" s="117">
        <v>26093.264500000001</v>
      </c>
      <c r="L14" s="117">
        <v>38223.372372639977</v>
      </c>
      <c r="M14" s="162">
        <f>K14+L14</f>
        <v>64316.636872639981</v>
      </c>
      <c r="N14" s="88">
        <v>74</v>
      </c>
      <c r="O14" s="88">
        <v>71</v>
      </c>
      <c r="P14" s="88">
        <v>57</v>
      </c>
    </row>
    <row r="15" spans="2:27" x14ac:dyDescent="0.3">
      <c r="B15" s="28" t="s">
        <v>42</v>
      </c>
      <c r="C15" s="17">
        <f>34808+8221</f>
        <v>43029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2:27" x14ac:dyDescent="0.3">
      <c r="B16" s="43" t="s">
        <v>47</v>
      </c>
      <c r="C16" s="17">
        <v>3491</v>
      </c>
      <c r="E16" s="161" t="s">
        <v>79</v>
      </c>
      <c r="F16" s="119">
        <v>0</v>
      </c>
      <c r="G16" s="117">
        <v>0</v>
      </c>
      <c r="H16" s="117">
        <v>9756.6237233600004</v>
      </c>
      <c r="I16" s="152">
        <f>G16+H16</f>
        <v>9756.6237233600004</v>
      </c>
      <c r="J16" s="119">
        <v>0</v>
      </c>
      <c r="K16" s="117">
        <v>0</v>
      </c>
      <c r="L16" s="117">
        <v>9816.7668535800003</v>
      </c>
      <c r="M16" s="162">
        <f>K16+L16</f>
        <v>9816.7668535800003</v>
      </c>
      <c r="N16" s="88">
        <v>13</v>
      </c>
      <c r="O16" s="88">
        <v>13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11063</v>
      </c>
      <c r="E18" s="84"/>
      <c r="F18" s="148">
        <f t="shared" ref="F18:M18" si="0">SUM(F6:F17)</f>
        <v>84808</v>
      </c>
      <c r="G18" s="149">
        <f t="shared" si="0"/>
        <v>58690.737250000006</v>
      </c>
      <c r="H18" s="149">
        <f t="shared" si="0"/>
        <v>72195.461513819973</v>
      </c>
      <c r="I18" s="150">
        <f t="shared" si="0"/>
        <v>130886.19876381998</v>
      </c>
      <c r="J18" s="149">
        <f t="shared" si="0"/>
        <v>87067</v>
      </c>
      <c r="K18" s="149">
        <f t="shared" si="0"/>
        <v>68962.348750000005</v>
      </c>
      <c r="L18" s="149">
        <f t="shared" si="0"/>
        <v>74093.292241309973</v>
      </c>
      <c r="M18" s="157">
        <f t="shared" si="0"/>
        <v>143055.64099130998</v>
      </c>
      <c r="N18" s="149">
        <f>SUM(N16,N14,N12,N10,N8,N6)</f>
        <v>287</v>
      </c>
      <c r="O18" s="149">
        <f>SUM(O16,O14,O12,O10,O8,O6)</f>
        <v>280</v>
      </c>
      <c r="P18" s="158">
        <f>SUM(P16,P14,P12,P10,P8,P6)</f>
        <v>237</v>
      </c>
    </row>
    <row r="19" spans="2:28" ht="15" customHeight="1" thickBot="1" x14ac:dyDescent="0.35">
      <c r="B19" s="16" t="s">
        <v>51</v>
      </c>
      <c r="C19" s="17">
        <v>628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35">
      <c r="B20" s="57" t="s">
        <v>52</v>
      </c>
      <c r="C20" s="58">
        <v>5093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0.15357142857142858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9881</v>
      </c>
      <c r="D28" s="76">
        <f>C13</f>
        <v>9126</v>
      </c>
      <c r="E28" s="77">
        <f t="shared" ref="E28:E35" si="1">D28-C28</f>
        <v>-755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40992</v>
      </c>
      <c r="D31" s="76">
        <f>C9+C14+C15+C16+C17</f>
        <v>49774</v>
      </c>
      <c r="E31" s="77">
        <f t="shared" si="1"/>
        <v>8782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4979</v>
      </c>
      <c r="D33" s="76">
        <f>C12</f>
        <v>4979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15865</v>
      </c>
      <c r="D34" s="76">
        <f>C18+C19+C20</f>
        <v>16784</v>
      </c>
      <c r="E34" s="77">
        <f t="shared" si="1"/>
        <v>919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44653</v>
      </c>
    </row>
    <row r="3" spans="2:27" ht="18.75" customHeight="1" thickBot="1" x14ac:dyDescent="0.35">
      <c r="B3" t="s">
        <v>1</v>
      </c>
      <c r="C3" s="3">
        <f>C2+1</f>
        <v>44654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97</v>
      </c>
      <c r="E6" s="161" t="s">
        <v>22</v>
      </c>
      <c r="F6" s="119">
        <v>29205</v>
      </c>
      <c r="G6" s="117">
        <v>13846.09016666667</v>
      </c>
      <c r="H6" s="117">
        <v>5471.7001046999994</v>
      </c>
      <c r="I6" s="152">
        <f>G6+H6</f>
        <v>19317.79027136667</v>
      </c>
      <c r="J6" s="119">
        <v>28851</v>
      </c>
      <c r="K6" s="117">
        <v>15971.96741666667</v>
      </c>
      <c r="L6" s="117">
        <v>5465.5808697799976</v>
      </c>
      <c r="M6" s="162">
        <f>K6+L6</f>
        <v>21437.548286446668</v>
      </c>
      <c r="N6" s="87">
        <v>90</v>
      </c>
      <c r="O6" s="87">
        <v>78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3800.9631134800002</v>
      </c>
      <c r="I8" s="152">
        <f>G8+H8</f>
        <v>3800.9631134800002</v>
      </c>
      <c r="J8" s="119">
        <v>0</v>
      </c>
      <c r="K8" s="117">
        <v>0</v>
      </c>
      <c r="L8" s="117">
        <v>3814.5055493</v>
      </c>
      <c r="M8" s="162">
        <f>K8+L8</f>
        <v>3814.5055493</v>
      </c>
      <c r="N8" s="87">
        <v>4</v>
      </c>
      <c r="O8" s="87">
        <v>6</v>
      </c>
      <c r="P8" s="87">
        <v>2</v>
      </c>
    </row>
    <row r="9" spans="2:27" x14ac:dyDescent="0.3">
      <c r="B9" s="16" t="s">
        <v>23</v>
      </c>
      <c r="C9" s="17">
        <v>2049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4</v>
      </c>
    </row>
    <row r="10" spans="2:27" x14ac:dyDescent="0.3">
      <c r="B10" s="28" t="s">
        <v>26</v>
      </c>
      <c r="C10" s="17">
        <v>450</v>
      </c>
      <c r="E10" s="161" t="s">
        <v>31</v>
      </c>
      <c r="F10" s="119">
        <v>19159</v>
      </c>
      <c r="G10" s="117">
        <v>12432.670249999999</v>
      </c>
      <c r="H10" s="117">
        <v>933.11979399999996</v>
      </c>
      <c r="I10" s="152">
        <f>G10+H10</f>
        <v>13365.790043999999</v>
      </c>
      <c r="J10" s="119">
        <v>19336</v>
      </c>
      <c r="K10" s="117">
        <v>13753.894249999999</v>
      </c>
      <c r="L10" s="117">
        <v>960.1535392799999</v>
      </c>
      <c r="M10" s="162">
        <f>K10+L10</f>
        <v>14714.047789279999</v>
      </c>
      <c r="N10" s="88">
        <v>60</v>
      </c>
      <c r="O10" s="88">
        <v>58</v>
      </c>
      <c r="P10" s="88">
        <v>58</v>
      </c>
    </row>
    <row r="11" spans="2:27" x14ac:dyDescent="0.3">
      <c r="B11" s="28" t="s">
        <v>28</v>
      </c>
      <c r="C11" s="17">
        <v>437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2431</v>
      </c>
      <c r="E12" s="161" t="s">
        <v>35</v>
      </c>
      <c r="F12" s="119">
        <v>16617</v>
      </c>
      <c r="G12" s="117">
        <v>12462.202499999999</v>
      </c>
      <c r="H12" s="117">
        <v>19345.095776139999</v>
      </c>
      <c r="I12" s="152">
        <f>G12+H12</f>
        <v>31807.298276139998</v>
      </c>
      <c r="J12" s="119">
        <v>16998</v>
      </c>
      <c r="K12" s="117">
        <v>14392.746999999999</v>
      </c>
      <c r="L12" s="117">
        <v>19843.32020699</v>
      </c>
      <c r="M12" s="162">
        <f>K12+L12</f>
        <v>34236.067206990003</v>
      </c>
      <c r="N12" s="88">
        <v>59</v>
      </c>
      <c r="O12" s="88">
        <v>57</v>
      </c>
      <c r="P12" s="88">
        <v>51</v>
      </c>
    </row>
    <row r="13" spans="2:27" x14ac:dyDescent="0.3">
      <c r="B13" s="16" t="s">
        <v>38</v>
      </c>
      <c r="C13" s="17">
        <v>12288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1396</v>
      </c>
      <c r="E14" s="161" t="s">
        <v>39</v>
      </c>
      <c r="F14" s="119">
        <v>23909</v>
      </c>
      <c r="G14" s="117">
        <v>19440.440500000001</v>
      </c>
      <c r="H14" s="117">
        <v>30170.354394860009</v>
      </c>
      <c r="I14" s="152">
        <f>G14+H14</f>
        <v>49610.79489486001</v>
      </c>
      <c r="J14" s="119">
        <v>24486</v>
      </c>
      <c r="K14" s="117">
        <v>22316.562249999999</v>
      </c>
      <c r="L14" s="117">
        <v>31007.161004640009</v>
      </c>
      <c r="M14" s="162">
        <f>K14+L14</f>
        <v>53323.723254640005</v>
      </c>
      <c r="N14" s="88">
        <v>70</v>
      </c>
      <c r="O14" s="88">
        <v>66</v>
      </c>
      <c r="P14" s="88">
        <v>56</v>
      </c>
    </row>
    <row r="15" spans="2:27" x14ac:dyDescent="0.3">
      <c r="B15" s="28" t="s">
        <v>42</v>
      </c>
      <c r="C15" s="17">
        <f>33736+7729</f>
        <v>41465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47</v>
      </c>
      <c r="C16" s="17">
        <v>1621</v>
      </c>
      <c r="E16" s="161" t="s">
        <v>79</v>
      </c>
      <c r="F16" s="119">
        <v>0</v>
      </c>
      <c r="G16" s="117">
        <v>0</v>
      </c>
      <c r="H16" s="117">
        <v>6051.7143664599998</v>
      </c>
      <c r="I16" s="152">
        <f>G16+H16</f>
        <v>6051.7143664599998</v>
      </c>
      <c r="J16" s="119">
        <v>0</v>
      </c>
      <c r="K16" s="117">
        <v>0</v>
      </c>
      <c r="L16" s="117">
        <v>6062.4104375200004</v>
      </c>
      <c r="M16" s="162">
        <f>K16+L16</f>
        <v>6062.4104375200004</v>
      </c>
      <c r="N16" s="88">
        <v>11</v>
      </c>
      <c r="O16" s="88">
        <v>11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11152</v>
      </c>
      <c r="E18" s="84"/>
      <c r="F18" s="148">
        <f t="shared" ref="F18:M18" si="0">SUM(F6:F17)</f>
        <v>88890</v>
      </c>
      <c r="G18" s="149">
        <f t="shared" si="0"/>
        <v>58181.403416666668</v>
      </c>
      <c r="H18" s="149">
        <f t="shared" si="0"/>
        <v>65772.947549640012</v>
      </c>
      <c r="I18" s="150">
        <f t="shared" si="0"/>
        <v>123954.35096630668</v>
      </c>
      <c r="J18" s="149">
        <f t="shared" si="0"/>
        <v>89671</v>
      </c>
      <c r="K18" s="149">
        <f t="shared" si="0"/>
        <v>66435.17091666667</v>
      </c>
      <c r="L18" s="149">
        <f t="shared" si="0"/>
        <v>67153.131607510004</v>
      </c>
      <c r="M18" s="157">
        <f t="shared" si="0"/>
        <v>133588.30252417669</v>
      </c>
      <c r="N18" s="149">
        <f>SUM(N16,N14,N12,N10,N8,N6)</f>
        <v>294</v>
      </c>
      <c r="O18" s="149">
        <f>SUM(O16,O14,O12,O10,O8,O6)</f>
        <v>276</v>
      </c>
      <c r="P18" s="158">
        <f>SUM(P16,P14,P12,P10,P8,P6)</f>
        <v>246</v>
      </c>
    </row>
    <row r="19" spans="2:28" ht="15" customHeight="1" thickBot="1" x14ac:dyDescent="0.35">
      <c r="B19" s="16" t="s">
        <v>51</v>
      </c>
      <c r="C19" s="17">
        <v>1758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5125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0.10869565217391304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11861</v>
      </c>
      <c r="D28" s="76">
        <f>C13</f>
        <v>12288</v>
      </c>
      <c r="E28" s="77">
        <f t="shared" ref="E28:E35" si="1">D28-C28</f>
        <v>427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40509</v>
      </c>
      <c r="D31" s="76">
        <f>C9+C14+C15+C16+C17</f>
        <v>46679</v>
      </c>
      <c r="E31" s="77">
        <f t="shared" si="1"/>
        <v>6170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97</v>
      </c>
      <c r="D32" s="76">
        <f>C6</f>
        <v>97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2431</v>
      </c>
      <c r="D33" s="76">
        <f>C12</f>
        <v>2431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18680</v>
      </c>
      <c r="D34" s="76">
        <f>C18+C19+C20</f>
        <v>18035</v>
      </c>
      <c r="E34" s="77">
        <f t="shared" si="1"/>
        <v>-645</v>
      </c>
      <c r="K34" s="53"/>
      <c r="P34" s="4"/>
    </row>
    <row r="35" spans="2:16" ht="15" customHeight="1" thickBot="1" x14ac:dyDescent="0.35">
      <c r="B35" s="78" t="s">
        <v>60</v>
      </c>
      <c r="C35" s="121">
        <v>887</v>
      </c>
      <c r="D35" s="80">
        <f>C10+C11</f>
        <v>887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44654</v>
      </c>
    </row>
    <row r="3" spans="2:27" ht="18.75" customHeight="1" thickBot="1" x14ac:dyDescent="0.35">
      <c r="B3" t="s">
        <v>1</v>
      </c>
      <c r="C3" s="3">
        <f>C2+1</f>
        <v>44655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11783</v>
      </c>
      <c r="G6" s="117">
        <v>4115</v>
      </c>
      <c r="H6" s="117">
        <v>1038</v>
      </c>
      <c r="I6" s="152">
        <f>G6+H6</f>
        <v>5153</v>
      </c>
      <c r="J6" s="119">
        <v>12519</v>
      </c>
      <c r="K6" s="117">
        <v>4385</v>
      </c>
      <c r="L6" s="117">
        <v>1102</v>
      </c>
      <c r="M6" s="162">
        <f>K6+L6</f>
        <v>5487</v>
      </c>
      <c r="N6" s="87">
        <v>50</v>
      </c>
      <c r="O6" s="87">
        <v>43</v>
      </c>
      <c r="P6" s="87">
        <v>39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0</v>
      </c>
      <c r="P8" s="87">
        <v>1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6031</v>
      </c>
      <c r="G10" s="117">
        <v>3128</v>
      </c>
      <c r="H10" s="117">
        <v>930</v>
      </c>
      <c r="I10" s="152">
        <f>G10+H10</f>
        <v>4058</v>
      </c>
      <c r="J10" s="119">
        <v>6231</v>
      </c>
      <c r="K10" s="117">
        <v>3194</v>
      </c>
      <c r="L10" s="117">
        <v>957</v>
      </c>
      <c r="M10" s="162">
        <f>K10+L10</f>
        <v>4151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12284</v>
      </c>
      <c r="E18" s="84"/>
      <c r="F18" s="148">
        <f t="shared" ref="F18:M18" si="0">SUM(F6:F17)</f>
        <v>17814</v>
      </c>
      <c r="G18" s="149">
        <f t="shared" si="0"/>
        <v>7243</v>
      </c>
      <c r="H18" s="149">
        <f t="shared" si="0"/>
        <v>1968</v>
      </c>
      <c r="I18" s="150">
        <f t="shared" si="0"/>
        <v>9211</v>
      </c>
      <c r="J18" s="149">
        <f t="shared" si="0"/>
        <v>18750</v>
      </c>
      <c r="K18" s="149">
        <f t="shared" si="0"/>
        <v>7579</v>
      </c>
      <c r="L18" s="149">
        <f t="shared" si="0"/>
        <v>2059</v>
      </c>
      <c r="M18" s="157">
        <f t="shared" si="0"/>
        <v>9638</v>
      </c>
      <c r="N18" s="149">
        <f>SUM(N16,N14,N12,N10,N8,N6)</f>
        <v>51</v>
      </c>
      <c r="O18" s="149">
        <f>SUM(O16,O14,O12,O10,O8,O6)</f>
        <v>43</v>
      </c>
      <c r="P18" s="158">
        <f>SUM(P16,P14,P12,P10,P8,P6)</f>
        <v>40</v>
      </c>
    </row>
    <row r="19" spans="2:28" ht="15" customHeight="1" thickBot="1" x14ac:dyDescent="0.35">
      <c r="B19" s="16" t="s">
        <v>51</v>
      </c>
      <c r="C19" s="17">
        <v>1120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</v>
      </c>
    </row>
    <row r="20" spans="2:28" ht="15" customHeight="1" thickBot="1" x14ac:dyDescent="0.35">
      <c r="B20" s="57" t="s">
        <v>52</v>
      </c>
      <c r="C20" s="58">
        <v>5346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6.9767441860465115E-2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17814</v>
      </c>
      <c r="D34" s="76">
        <f>C18+C19+C20</f>
        <v>18750</v>
      </c>
      <c r="E34" s="77">
        <f t="shared" si="1"/>
        <v>936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44655</v>
      </c>
    </row>
    <row r="3" spans="2:27" ht="18.75" customHeight="1" thickBot="1" x14ac:dyDescent="0.35">
      <c r="B3" t="s">
        <v>1</v>
      </c>
      <c r="C3" s="3">
        <f>C2+1</f>
        <v>44656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76</v>
      </c>
      <c r="E6" s="161" t="s">
        <v>22</v>
      </c>
      <c r="F6" s="119">
        <v>26571</v>
      </c>
      <c r="G6" s="117">
        <v>13807.384433333331</v>
      </c>
      <c r="H6" s="117">
        <v>5083.6116884799994</v>
      </c>
      <c r="I6" s="152">
        <f>G6+H6</f>
        <v>18890.996121813332</v>
      </c>
      <c r="J6" s="119">
        <v>26534</v>
      </c>
      <c r="K6" s="117">
        <v>14388.668933333331</v>
      </c>
      <c r="L6" s="117">
        <v>5308.26000656</v>
      </c>
      <c r="M6" s="162">
        <f>K6+L6</f>
        <v>19696.928939893332</v>
      </c>
      <c r="N6" s="87">
        <v>84</v>
      </c>
      <c r="O6" s="87">
        <v>73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3789.1623616400002</v>
      </c>
      <c r="I8" s="152">
        <f>G8+H8</f>
        <v>3789.1623616400002</v>
      </c>
      <c r="J8" s="119">
        <v>0</v>
      </c>
      <c r="K8" s="117">
        <v>0</v>
      </c>
      <c r="L8" s="117">
        <v>3779.913661739999</v>
      </c>
      <c r="M8" s="162">
        <f>K8+L8</f>
        <v>3779.913661739999</v>
      </c>
      <c r="N8" s="87">
        <v>6</v>
      </c>
      <c r="O8" s="87">
        <v>8</v>
      </c>
      <c r="P8" s="87">
        <v>5</v>
      </c>
    </row>
    <row r="9" spans="2:27" x14ac:dyDescent="0.3">
      <c r="B9" s="16" t="s">
        <v>23</v>
      </c>
      <c r="C9" s="17">
        <v>1383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1102</v>
      </c>
      <c r="E10" s="161" t="s">
        <v>31</v>
      </c>
      <c r="F10" s="119">
        <v>18458</v>
      </c>
      <c r="G10" s="117">
        <v>13319.49475</v>
      </c>
      <c r="H10" s="117">
        <v>976.12642849999997</v>
      </c>
      <c r="I10" s="152">
        <f>G10+H10</f>
        <v>14295.6211785</v>
      </c>
      <c r="J10" s="119">
        <v>18418</v>
      </c>
      <c r="K10" s="117">
        <v>13223.58575</v>
      </c>
      <c r="L10" s="117">
        <v>950.74743042000011</v>
      </c>
      <c r="M10" s="162">
        <f>K10+L10</f>
        <v>14174.333180420001</v>
      </c>
      <c r="N10" s="88">
        <v>52</v>
      </c>
      <c r="O10" s="88">
        <v>50</v>
      </c>
      <c r="P10" s="88">
        <v>44</v>
      </c>
    </row>
    <row r="11" spans="2:27" x14ac:dyDescent="0.3">
      <c r="B11" s="28" t="s">
        <v>28</v>
      </c>
      <c r="C11" s="17">
        <v>874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30</v>
      </c>
      <c r="C12" s="17">
        <v>2546</v>
      </c>
      <c r="E12" s="161" t="s">
        <v>35</v>
      </c>
      <c r="F12" s="119">
        <v>18589</v>
      </c>
      <c r="G12" s="117">
        <v>12553.74708333333</v>
      </c>
      <c r="H12" s="117">
        <v>20666.249304720001</v>
      </c>
      <c r="I12" s="152">
        <f>G12+H12</f>
        <v>33219.996388053332</v>
      </c>
      <c r="J12" s="119">
        <v>18387</v>
      </c>
      <c r="K12" s="117">
        <v>13706.90308333334</v>
      </c>
      <c r="L12" s="117">
        <v>20365.565773509999</v>
      </c>
      <c r="M12" s="162">
        <f>K12+L12</f>
        <v>34072.468856843341</v>
      </c>
      <c r="N12" s="88">
        <v>54</v>
      </c>
      <c r="O12" s="88">
        <v>52</v>
      </c>
      <c r="P12" s="88">
        <v>49</v>
      </c>
    </row>
    <row r="13" spans="2:27" x14ac:dyDescent="0.3">
      <c r="B13" s="16" t="s">
        <v>38</v>
      </c>
      <c r="C13" s="17">
        <v>9825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16" t="s">
        <v>40</v>
      </c>
      <c r="C14" s="17">
        <v>1624</v>
      </c>
      <c r="E14" s="161" t="s">
        <v>39</v>
      </c>
      <c r="F14" s="119">
        <v>27185</v>
      </c>
      <c r="G14" s="117">
        <v>18673.05025</v>
      </c>
      <c r="H14" s="117">
        <v>33000.067762379993</v>
      </c>
      <c r="I14" s="152">
        <f>G14+H14</f>
        <v>51673.118012379993</v>
      </c>
      <c r="J14" s="119">
        <v>27750</v>
      </c>
      <c r="K14" s="117">
        <v>21929.394499999999</v>
      </c>
      <c r="L14" s="117">
        <v>33972.086885160003</v>
      </c>
      <c r="M14" s="162">
        <f>K14+L14</f>
        <v>55901.481385160005</v>
      </c>
      <c r="N14" s="88">
        <v>70</v>
      </c>
      <c r="O14" s="88">
        <v>67</v>
      </c>
      <c r="P14" s="88">
        <v>54</v>
      </c>
    </row>
    <row r="15" spans="2:27" x14ac:dyDescent="0.3">
      <c r="B15" s="28" t="s">
        <v>42</v>
      </c>
      <c r="C15" s="17">
        <v>32928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47</v>
      </c>
      <c r="C16" s="17">
        <v>2869</v>
      </c>
      <c r="E16" s="161" t="s">
        <v>79</v>
      </c>
      <c r="F16" s="119">
        <v>0</v>
      </c>
      <c r="G16" s="117">
        <v>0</v>
      </c>
      <c r="H16" s="117">
        <v>9065.1044185999999</v>
      </c>
      <c r="I16" s="152">
        <f>G16+H16</f>
        <v>9065.1044185999999</v>
      </c>
      <c r="J16" s="119">
        <v>0</v>
      </c>
      <c r="K16" s="117">
        <v>0</v>
      </c>
      <c r="L16" s="117">
        <v>9037.5014940000001</v>
      </c>
      <c r="M16" s="162">
        <f>K16+L16</f>
        <v>9037.5014940000001</v>
      </c>
      <c r="N16" s="88">
        <v>10</v>
      </c>
      <c r="O16" s="88">
        <v>9</v>
      </c>
      <c r="P16" s="88">
        <v>7</v>
      </c>
    </row>
    <row r="17" spans="2:28" s="4" customFormat="1" ht="15" customHeight="1" thickBot="1" x14ac:dyDescent="0.35">
      <c r="B17" s="43" t="s">
        <v>48</v>
      </c>
      <c r="C17" s="50">
        <v>247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11323</v>
      </c>
      <c r="E18" s="84"/>
      <c r="F18" s="148">
        <f t="shared" ref="F18:M18" si="0">SUM(F6:F17)</f>
        <v>90803</v>
      </c>
      <c r="G18" s="149">
        <f t="shared" si="0"/>
        <v>58353.676516666659</v>
      </c>
      <c r="H18" s="149">
        <f t="shared" si="0"/>
        <v>72580.321964319999</v>
      </c>
      <c r="I18" s="150">
        <f t="shared" si="0"/>
        <v>130933.99848098666</v>
      </c>
      <c r="J18" s="149">
        <f t="shared" si="0"/>
        <v>91089</v>
      </c>
      <c r="K18" s="149">
        <f t="shared" si="0"/>
        <v>63248.552266666666</v>
      </c>
      <c r="L18" s="149">
        <f t="shared" si="0"/>
        <v>73414.075251389993</v>
      </c>
      <c r="M18" s="157">
        <f t="shared" si="0"/>
        <v>136662.62751805669</v>
      </c>
      <c r="N18" s="149">
        <f>SUM(N16,N14,N12,N10,N8,N6)</f>
        <v>276</v>
      </c>
      <c r="O18" s="149">
        <f>SUM(O16,O14,O12,O10,O8,O6)</f>
        <v>259</v>
      </c>
      <c r="P18" s="158">
        <f>SUM(P16,P14,P12,P10,P8,P6)</f>
        <v>229</v>
      </c>
    </row>
    <row r="19" spans="2:28" ht="15" customHeight="1" thickBot="1" x14ac:dyDescent="0.35">
      <c r="B19" s="16" t="s">
        <v>51</v>
      </c>
      <c r="C19" s="17">
        <v>1186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5232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0.11583011583011583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9756</v>
      </c>
      <c r="D28" s="76">
        <f>C13</f>
        <v>9825</v>
      </c>
      <c r="E28" s="77">
        <f t="shared" ref="E28:E35" si="1">D28-C28</f>
        <v>69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38790</v>
      </c>
      <c r="D31" s="76">
        <f>C9+C14+C15+C16+C17</f>
        <v>39051</v>
      </c>
      <c r="E31" s="77">
        <f t="shared" si="1"/>
        <v>261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76</v>
      </c>
      <c r="D32" s="76">
        <f>C6</f>
        <v>76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2546</v>
      </c>
      <c r="D33" s="76">
        <f>C12</f>
        <v>2546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18272</v>
      </c>
      <c r="D34" s="76">
        <f>C18+C19+C20</f>
        <v>17741</v>
      </c>
      <c r="E34" s="77">
        <f t="shared" si="1"/>
        <v>-531</v>
      </c>
      <c r="K34" s="53"/>
      <c r="P34" s="4"/>
    </row>
    <row r="35" spans="2:16" ht="15" customHeight="1" thickBot="1" x14ac:dyDescent="0.35">
      <c r="B35" s="78" t="s">
        <v>60</v>
      </c>
      <c r="C35" s="121">
        <v>1976</v>
      </c>
      <c r="D35" s="80">
        <f>C10+C11</f>
        <v>1976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44656</v>
      </c>
    </row>
    <row r="3" spans="2:27" ht="18.75" customHeight="1" thickBot="1" x14ac:dyDescent="0.35">
      <c r="B3" t="s">
        <v>1</v>
      </c>
      <c r="C3" s="3">
        <f>C2+1</f>
        <v>44657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183</v>
      </c>
      <c r="E6" s="161" t="s">
        <v>22</v>
      </c>
      <c r="F6" s="119">
        <v>31215</v>
      </c>
      <c r="G6" s="117">
        <v>14893.88158333333</v>
      </c>
      <c r="H6" s="117">
        <v>6419.9773368399983</v>
      </c>
      <c r="I6" s="152">
        <f>G6+H6</f>
        <v>21313.858920173327</v>
      </c>
      <c r="J6" s="119">
        <v>31135</v>
      </c>
      <c r="K6" s="117">
        <v>16542.32831666667</v>
      </c>
      <c r="L6" s="117">
        <v>6111.713993039999</v>
      </c>
      <c r="M6" s="162">
        <f>K6+L6</f>
        <v>22654.042309706667</v>
      </c>
      <c r="N6" s="87">
        <v>89</v>
      </c>
      <c r="O6" s="87">
        <v>82</v>
      </c>
      <c r="P6" s="87">
        <v>78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3832.3494292999999</v>
      </c>
      <c r="I8" s="152">
        <f>G8+H8</f>
        <v>3832.3494292999999</v>
      </c>
      <c r="J8" s="119">
        <v>0</v>
      </c>
      <c r="K8" s="117">
        <v>0</v>
      </c>
      <c r="L8" s="117">
        <v>3840.6320244599979</v>
      </c>
      <c r="M8" s="162">
        <f>K8+L8</f>
        <v>3840.6320244599979</v>
      </c>
      <c r="N8" s="87">
        <v>5</v>
      </c>
      <c r="O8" s="87">
        <v>7</v>
      </c>
      <c r="P8" s="87">
        <v>4</v>
      </c>
    </row>
    <row r="9" spans="2:27" x14ac:dyDescent="0.3">
      <c r="B9" s="16" t="s">
        <v>23</v>
      </c>
      <c r="C9" s="17">
        <v>2434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475</v>
      </c>
      <c r="E10" s="161" t="s">
        <v>31</v>
      </c>
      <c r="F10" s="119">
        <v>20754</v>
      </c>
      <c r="G10" s="117">
        <v>13981.898499999999</v>
      </c>
      <c r="H10" s="117">
        <v>1010.670219</v>
      </c>
      <c r="I10" s="152">
        <f>G10+H10</f>
        <v>14992.568718999999</v>
      </c>
      <c r="J10" s="119">
        <v>21364</v>
      </c>
      <c r="K10" s="117">
        <v>14154.5545</v>
      </c>
      <c r="L10" s="117">
        <v>1044.26512112</v>
      </c>
      <c r="M10" s="162">
        <f>K10+L10</f>
        <v>15198.819621120001</v>
      </c>
      <c r="N10" s="88">
        <v>56</v>
      </c>
      <c r="O10" s="88">
        <v>55</v>
      </c>
      <c r="P10" s="88">
        <v>52</v>
      </c>
    </row>
    <row r="11" spans="2:27" x14ac:dyDescent="0.3">
      <c r="B11" s="28" t="s">
        <v>28</v>
      </c>
      <c r="C11" s="17">
        <v>380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2442</v>
      </c>
      <c r="E12" s="161" t="s">
        <v>35</v>
      </c>
      <c r="F12" s="119">
        <v>16351</v>
      </c>
      <c r="G12" s="117">
        <v>12748.632250000001</v>
      </c>
      <c r="H12" s="117">
        <v>19345.487065419999</v>
      </c>
      <c r="I12" s="152">
        <f>G12+H12</f>
        <v>32094.119315420001</v>
      </c>
      <c r="J12" s="119">
        <v>16432</v>
      </c>
      <c r="K12" s="117">
        <v>13839.391499999991</v>
      </c>
      <c r="L12" s="117">
        <v>19150.13742644</v>
      </c>
      <c r="M12" s="162">
        <f>K12+L12</f>
        <v>32989.528926439991</v>
      </c>
      <c r="N12" s="88">
        <v>55</v>
      </c>
      <c r="O12" s="88">
        <v>53</v>
      </c>
      <c r="P12" s="88">
        <v>51</v>
      </c>
    </row>
    <row r="13" spans="2:27" x14ac:dyDescent="0.3">
      <c r="B13" s="16" t="s">
        <v>38</v>
      </c>
      <c r="C13" s="17">
        <v>11688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2:27" x14ac:dyDescent="0.3">
      <c r="B14" s="16" t="s">
        <v>40</v>
      </c>
      <c r="C14" s="17">
        <v>1396</v>
      </c>
      <c r="E14" s="161" t="s">
        <v>39</v>
      </c>
      <c r="F14" s="119">
        <v>25114</v>
      </c>
      <c r="G14" s="117">
        <v>16733.877499999999</v>
      </c>
      <c r="H14" s="117">
        <v>30178.06974934</v>
      </c>
      <c r="I14" s="152">
        <f>G14+H14</f>
        <v>46911.947249339995</v>
      </c>
      <c r="J14" s="119">
        <v>25606</v>
      </c>
      <c r="K14" s="117">
        <v>23032.014500000001</v>
      </c>
      <c r="L14" s="117">
        <v>32937.443247900017</v>
      </c>
      <c r="M14" s="162">
        <f>K14+L14</f>
        <v>55969.457747900015</v>
      </c>
      <c r="N14" s="88">
        <v>70</v>
      </c>
      <c r="O14" s="88">
        <v>66</v>
      </c>
      <c r="P14" s="88">
        <v>61</v>
      </c>
    </row>
    <row r="15" spans="2:27" x14ac:dyDescent="0.3">
      <c r="B15" s="28" t="s">
        <v>42</v>
      </c>
      <c r="C15" s="17">
        <v>33947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1447</v>
      </c>
      <c r="E16" s="161" t="s">
        <v>79</v>
      </c>
      <c r="F16" s="119">
        <v>0</v>
      </c>
      <c r="G16" s="117">
        <v>0</v>
      </c>
      <c r="H16" s="117">
        <v>6186.7641597799993</v>
      </c>
      <c r="I16" s="152">
        <f>G16+H16</f>
        <v>6186.7641597799993</v>
      </c>
      <c r="J16" s="119">
        <v>0</v>
      </c>
      <c r="K16" s="117">
        <v>0</v>
      </c>
      <c r="L16" s="117">
        <v>5925.7382757800005</v>
      </c>
      <c r="M16" s="162">
        <f>K16+L16</f>
        <v>5925.7382757800005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12971</v>
      </c>
      <c r="E18" s="84"/>
      <c r="F18" s="148">
        <f t="shared" ref="F18:M18" si="0">SUM(F6:F17)</f>
        <v>93434</v>
      </c>
      <c r="G18" s="149">
        <f t="shared" si="0"/>
        <v>58358.289833333329</v>
      </c>
      <c r="H18" s="149">
        <f t="shared" si="0"/>
        <v>66973.317959679989</v>
      </c>
      <c r="I18" s="150">
        <f t="shared" si="0"/>
        <v>125331.60779301332</v>
      </c>
      <c r="J18" s="149">
        <f t="shared" si="0"/>
        <v>94537</v>
      </c>
      <c r="K18" s="149">
        <f t="shared" si="0"/>
        <v>67568.288816666667</v>
      </c>
      <c r="L18" s="149">
        <f t="shared" si="0"/>
        <v>69009.930088740017</v>
      </c>
      <c r="M18" s="157">
        <f t="shared" si="0"/>
        <v>136578.21890540668</v>
      </c>
      <c r="N18" s="149">
        <f>SUM(N16,N14,N12,N10,N8,N6)</f>
        <v>287</v>
      </c>
      <c r="O18" s="149">
        <f>SUM(O16,O14,O12,O10,O8,O6)</f>
        <v>275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1129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35">
      <c r="B20" s="57" t="s">
        <v>52</v>
      </c>
      <c r="C20" s="58">
        <v>5622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6.545454545454546E-2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12560</v>
      </c>
      <c r="D28" s="76">
        <f>C13</f>
        <v>11688</v>
      </c>
      <c r="E28" s="77">
        <f t="shared" ref="E28:E35" si="1">D28-C28</f>
        <v>-872</v>
      </c>
    </row>
    <row r="29" spans="2:28" x14ac:dyDescent="0.3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39237</v>
      </c>
      <c r="D31" s="76">
        <f>C9+C14+C15+C16+C17</f>
        <v>39372</v>
      </c>
      <c r="E31" s="77">
        <f t="shared" si="1"/>
        <v>135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183</v>
      </c>
      <c r="D32" s="76">
        <f>C6</f>
        <v>183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2442</v>
      </c>
      <c r="D33" s="76">
        <f>C12</f>
        <v>2442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18570</v>
      </c>
      <c r="D34" s="76">
        <f>C18+C19+C20</f>
        <v>19722</v>
      </c>
      <c r="E34" s="77">
        <f t="shared" si="1"/>
        <v>1152</v>
      </c>
      <c r="K34" s="53"/>
      <c r="P34" s="4"/>
    </row>
    <row r="35" spans="2:16" ht="15" customHeight="1" thickBot="1" x14ac:dyDescent="0.35">
      <c r="B35" s="78" t="s">
        <v>60</v>
      </c>
      <c r="C35" s="121">
        <v>855</v>
      </c>
      <c r="D35" s="80">
        <f>C10+C11</f>
        <v>855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44657</v>
      </c>
    </row>
    <row r="3" spans="2:27" ht="18.75" customHeight="1" thickBot="1" x14ac:dyDescent="0.35">
      <c r="B3" t="s">
        <v>1</v>
      </c>
      <c r="C3" s="3">
        <f>C2+1</f>
        <v>44658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61</v>
      </c>
      <c r="E6" s="161" t="s">
        <v>22</v>
      </c>
      <c r="F6" s="119">
        <v>29100</v>
      </c>
      <c r="G6" s="117">
        <v>14873.677000000011</v>
      </c>
      <c r="H6" s="117">
        <v>5078.4286888000033</v>
      </c>
      <c r="I6" s="152">
        <f>G6+H6</f>
        <v>19952.105688800013</v>
      </c>
      <c r="J6" s="119">
        <v>28613</v>
      </c>
      <c r="K6" s="117">
        <v>16077.59425</v>
      </c>
      <c r="L6" s="117">
        <v>4999.9300613600017</v>
      </c>
      <c r="M6" s="162">
        <f>K6+L6</f>
        <v>21077.524311360001</v>
      </c>
      <c r="N6" s="87">
        <v>79</v>
      </c>
      <c r="O6" s="87">
        <v>77</v>
      </c>
      <c r="P6" s="87">
        <v>64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50</v>
      </c>
      <c r="E8" s="161" t="s">
        <v>27</v>
      </c>
      <c r="F8" s="119">
        <v>0</v>
      </c>
      <c r="G8" s="117">
        <v>0</v>
      </c>
      <c r="H8" s="117">
        <v>4621.6047308999987</v>
      </c>
      <c r="I8" s="152">
        <f>G8+H8</f>
        <v>4621.6047308999987</v>
      </c>
      <c r="J8" s="119">
        <v>0</v>
      </c>
      <c r="K8" s="117">
        <v>0</v>
      </c>
      <c r="L8" s="117">
        <v>4575.2833542600001</v>
      </c>
      <c r="M8" s="162">
        <f>K8+L8</f>
        <v>4575.2833542600001</v>
      </c>
      <c r="N8" s="87">
        <v>4</v>
      </c>
      <c r="O8" s="87">
        <v>5</v>
      </c>
      <c r="P8" s="87">
        <v>4</v>
      </c>
    </row>
    <row r="9" spans="2:27" x14ac:dyDescent="0.3">
      <c r="B9" s="16" t="s">
        <v>23</v>
      </c>
      <c r="C9" s="17">
        <v>1845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20130</v>
      </c>
      <c r="G10" s="117">
        <v>13157.729499999999</v>
      </c>
      <c r="H10" s="117">
        <v>951.17720699999995</v>
      </c>
      <c r="I10" s="152">
        <f>G10+H10</f>
        <v>14108.906707</v>
      </c>
      <c r="J10" s="119">
        <v>19839</v>
      </c>
      <c r="K10" s="117">
        <v>13157.133</v>
      </c>
      <c r="L10" s="117">
        <v>906.69412047999981</v>
      </c>
      <c r="M10" s="162">
        <f>K10+L10</f>
        <v>14063.82712048</v>
      </c>
      <c r="N10" s="88">
        <v>51</v>
      </c>
      <c r="O10" s="88">
        <v>52</v>
      </c>
      <c r="P10" s="88">
        <v>48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2435</v>
      </c>
      <c r="E12" s="161" t="s">
        <v>35</v>
      </c>
      <c r="F12" s="119">
        <v>14508</v>
      </c>
      <c r="G12" s="117">
        <v>12172.45925</v>
      </c>
      <c r="H12" s="117">
        <v>16811.364177740001</v>
      </c>
      <c r="I12" s="152">
        <f>G12+H12</f>
        <v>28983.823427740001</v>
      </c>
      <c r="J12" s="119">
        <v>14410</v>
      </c>
      <c r="K12" s="117">
        <v>13699.740250000001</v>
      </c>
      <c r="L12" s="117">
        <v>16728.587219350011</v>
      </c>
      <c r="M12" s="162">
        <f>K12+L12</f>
        <v>30428.327469350013</v>
      </c>
      <c r="N12" s="88">
        <v>52</v>
      </c>
      <c r="O12" s="88">
        <v>51</v>
      </c>
      <c r="P12" s="88">
        <v>42</v>
      </c>
    </row>
    <row r="13" spans="2:27" x14ac:dyDescent="0.3">
      <c r="B13" s="16" t="s">
        <v>38</v>
      </c>
      <c r="C13" s="17">
        <v>11929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2223</v>
      </c>
      <c r="E14" s="161" t="s">
        <v>39</v>
      </c>
      <c r="F14" s="119">
        <v>19466</v>
      </c>
      <c r="G14" s="117">
        <v>16080.03</v>
      </c>
      <c r="H14" s="117">
        <v>25545.851052679991</v>
      </c>
      <c r="I14" s="152">
        <f>G14+H14</f>
        <v>41625.881052679993</v>
      </c>
      <c r="J14" s="119">
        <v>22574</v>
      </c>
      <c r="K14" s="117">
        <v>22987.518749999999</v>
      </c>
      <c r="L14" s="117">
        <v>29907.21928826001</v>
      </c>
      <c r="M14" s="162">
        <f>K14+L14</f>
        <v>52894.738038260009</v>
      </c>
      <c r="N14" s="88">
        <v>66</v>
      </c>
      <c r="O14" s="88">
        <v>62</v>
      </c>
      <c r="P14" s="88">
        <v>49</v>
      </c>
    </row>
    <row r="15" spans="2:27" x14ac:dyDescent="0.3">
      <c r="B15" s="28" t="s">
        <v>42</v>
      </c>
      <c r="C15" s="17">
        <f>34422+7249</f>
        <v>41671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47</v>
      </c>
      <c r="C16" s="17">
        <v>883</v>
      </c>
      <c r="E16" s="161" t="s">
        <v>79</v>
      </c>
      <c r="F16" s="119">
        <v>0</v>
      </c>
      <c r="G16" s="117">
        <v>0</v>
      </c>
      <c r="H16" s="117">
        <v>6117.191495340001</v>
      </c>
      <c r="I16" s="152">
        <f>G16+H16</f>
        <v>6117.191495340001</v>
      </c>
      <c r="J16" s="119">
        <v>0</v>
      </c>
      <c r="K16" s="117">
        <v>0</v>
      </c>
      <c r="L16" s="117">
        <v>6127.9403626000003</v>
      </c>
      <c r="M16" s="162">
        <f>K16+L16</f>
        <v>6127.9403626000003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460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11057</v>
      </c>
      <c r="E18" s="84"/>
      <c r="F18" s="148">
        <f t="shared" ref="F18:M18" si="0">SUM(F6:F17)</f>
        <v>83204</v>
      </c>
      <c r="G18" s="149">
        <f t="shared" si="0"/>
        <v>56283.895750000011</v>
      </c>
      <c r="H18" s="149">
        <f t="shared" si="0"/>
        <v>59125.617352459987</v>
      </c>
      <c r="I18" s="150">
        <f t="shared" si="0"/>
        <v>115409.51310246</v>
      </c>
      <c r="J18" s="149">
        <f t="shared" si="0"/>
        <v>85436</v>
      </c>
      <c r="K18" s="149">
        <f t="shared" si="0"/>
        <v>65921.986250000002</v>
      </c>
      <c r="L18" s="149">
        <f t="shared" si="0"/>
        <v>63245.654406310015</v>
      </c>
      <c r="M18" s="157">
        <f t="shared" si="0"/>
        <v>129167.64065631002</v>
      </c>
      <c r="N18" s="149">
        <f>SUM(N16,N14,N12,N10,N8,N6)</f>
        <v>263</v>
      </c>
      <c r="O18" s="149">
        <f>SUM(O16,O14,O12,O10,O8,O6)</f>
        <v>258</v>
      </c>
      <c r="P18" s="158">
        <f>SUM(P16,P14,P12,P10,P8,P6)</f>
        <v>218</v>
      </c>
    </row>
    <row r="19" spans="2:28" ht="15" customHeight="1" thickBot="1" x14ac:dyDescent="0.35">
      <c r="B19" s="16" t="s">
        <v>51</v>
      </c>
      <c r="C19" s="17">
        <v>1411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</row>
    <row r="20" spans="2:28" ht="15" customHeight="1" thickBot="1" x14ac:dyDescent="0.35">
      <c r="B20" s="57" t="s">
        <v>52</v>
      </c>
      <c r="C20" s="58">
        <v>5471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0.15503875968992248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11871</v>
      </c>
      <c r="D28" s="76">
        <f>C13</f>
        <v>11929</v>
      </c>
      <c r="E28" s="77">
        <f t="shared" ref="E28:E35" si="1">D28-C28</f>
        <v>58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50</v>
      </c>
      <c r="D30" s="76">
        <f>C8</f>
        <v>50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38705</v>
      </c>
      <c r="D31" s="76">
        <f>C9+C14+C15+C16+C17</f>
        <v>47082</v>
      </c>
      <c r="E31" s="77">
        <f t="shared" si="1"/>
        <v>8377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61</v>
      </c>
      <c r="D32" s="76">
        <f>C6</f>
        <v>61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2435</v>
      </c>
      <c r="D33" s="76">
        <f>C12</f>
        <v>2435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18675</v>
      </c>
      <c r="D34" s="76">
        <f>C18+C19+C20</f>
        <v>17939</v>
      </c>
      <c r="E34" s="77">
        <f t="shared" si="1"/>
        <v>-736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44658</v>
      </c>
    </row>
    <row r="3" spans="2:27" ht="18.75" customHeight="1" thickBot="1" x14ac:dyDescent="0.35">
      <c r="B3" t="s">
        <v>1</v>
      </c>
      <c r="C3" s="3">
        <f>C2+1</f>
        <v>44659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140</v>
      </c>
      <c r="E6" s="161" t="s">
        <v>22</v>
      </c>
      <c r="F6" s="119">
        <v>28781</v>
      </c>
      <c r="G6" s="117">
        <v>15164.9707</v>
      </c>
      <c r="H6" s="117">
        <v>6393.2215579800022</v>
      </c>
      <c r="I6" s="152">
        <f>G6+H6</f>
        <v>21558.192257980001</v>
      </c>
      <c r="J6" s="119">
        <v>30993</v>
      </c>
      <c r="K6" s="117">
        <v>17412.912866666669</v>
      </c>
      <c r="L6" s="117">
        <v>6738.6471146800013</v>
      </c>
      <c r="M6" s="162">
        <f>K6+L6</f>
        <v>24151.559981346669</v>
      </c>
      <c r="N6" s="87">
        <v>81</v>
      </c>
      <c r="O6" s="87">
        <v>78</v>
      </c>
      <c r="P6" s="87">
        <v>72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40</v>
      </c>
      <c r="E8" s="161" t="s">
        <v>27</v>
      </c>
      <c r="F8" s="119">
        <v>0</v>
      </c>
      <c r="G8" s="117">
        <v>0</v>
      </c>
      <c r="H8" s="117">
        <v>4227.093190900001</v>
      </c>
      <c r="I8" s="152">
        <f>G8+H8</f>
        <v>4227.093190900001</v>
      </c>
      <c r="J8" s="119">
        <v>0</v>
      </c>
      <c r="K8" s="117">
        <v>0</v>
      </c>
      <c r="L8" s="117">
        <v>4290.920945480002</v>
      </c>
      <c r="M8" s="162">
        <f>K8+L8</f>
        <v>4290.920945480002</v>
      </c>
      <c r="N8" s="87">
        <v>4</v>
      </c>
      <c r="O8" s="87">
        <v>5</v>
      </c>
      <c r="P8" s="87">
        <v>4</v>
      </c>
    </row>
    <row r="9" spans="2:27" x14ac:dyDescent="0.3">
      <c r="B9" s="16" t="s">
        <v>23</v>
      </c>
      <c r="C9" s="17">
        <v>2517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170</v>
      </c>
      <c r="E10" s="161" t="s">
        <v>31</v>
      </c>
      <c r="F10" s="119">
        <v>22408</v>
      </c>
      <c r="G10" s="117">
        <v>13635.21125</v>
      </c>
      <c r="H10" s="117">
        <v>853.31179726000005</v>
      </c>
      <c r="I10" s="152">
        <f>G10+H10</f>
        <v>14488.52304726</v>
      </c>
      <c r="J10" s="119">
        <v>22631</v>
      </c>
      <c r="K10" s="117">
        <v>13882.10125</v>
      </c>
      <c r="L10" s="117">
        <v>1474.66184778</v>
      </c>
      <c r="M10" s="162">
        <f>K10+L10</f>
        <v>15356.76309778</v>
      </c>
      <c r="N10" s="88">
        <v>55</v>
      </c>
      <c r="O10" s="88">
        <v>54</v>
      </c>
      <c r="P10" s="88">
        <v>52</v>
      </c>
    </row>
    <row r="11" spans="2:27" x14ac:dyDescent="0.3">
      <c r="B11" s="28" t="s">
        <v>28</v>
      </c>
      <c r="C11" s="17">
        <v>160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30</v>
      </c>
      <c r="C12" s="17">
        <v>2433</v>
      </c>
      <c r="E12" s="161" t="s">
        <v>35</v>
      </c>
      <c r="F12" s="119">
        <v>15031</v>
      </c>
      <c r="G12" s="117">
        <v>12693.386583333329</v>
      </c>
      <c r="H12" s="117">
        <v>18785.170864669992</v>
      </c>
      <c r="I12" s="152">
        <f>G12+H12</f>
        <v>31478.557448003321</v>
      </c>
      <c r="J12" s="119">
        <v>14763</v>
      </c>
      <c r="K12" s="117">
        <v>14716.85258333333</v>
      </c>
      <c r="L12" s="117">
        <v>17899.243256270001</v>
      </c>
      <c r="M12" s="162">
        <f>K12+L12</f>
        <v>32616.095839603331</v>
      </c>
      <c r="N12" s="88">
        <v>52</v>
      </c>
      <c r="O12" s="88">
        <v>50</v>
      </c>
      <c r="P12" s="88">
        <v>44</v>
      </c>
    </row>
    <row r="13" spans="2:27" x14ac:dyDescent="0.3">
      <c r="B13" s="16" t="s">
        <v>38</v>
      </c>
      <c r="C13" s="17">
        <v>12356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1576</v>
      </c>
      <c r="E14" s="161" t="s">
        <v>39</v>
      </c>
      <c r="F14" s="119">
        <v>20945</v>
      </c>
      <c r="G14" s="117">
        <v>17249.193749999999</v>
      </c>
      <c r="H14" s="117">
        <v>27613.086223779988</v>
      </c>
      <c r="I14" s="152">
        <f>G14+H14</f>
        <v>44862.279973779987</v>
      </c>
      <c r="J14" s="119">
        <v>22011</v>
      </c>
      <c r="K14" s="117">
        <v>21410.172999999999</v>
      </c>
      <c r="L14" s="117">
        <v>29321.677637180019</v>
      </c>
      <c r="M14" s="162">
        <f>K14+L14</f>
        <v>50731.850637180018</v>
      </c>
      <c r="N14" s="88">
        <v>73</v>
      </c>
      <c r="O14" s="88">
        <v>69</v>
      </c>
      <c r="P14" s="88">
        <v>60</v>
      </c>
    </row>
    <row r="15" spans="2:27" x14ac:dyDescent="0.3">
      <c r="B15" s="28" t="s">
        <v>42</v>
      </c>
      <c r="C15" s="17">
        <f>33043+8254</f>
        <v>41297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1130</v>
      </c>
      <c r="E16" s="161" t="s">
        <v>79</v>
      </c>
      <c r="F16" s="119">
        <v>0</v>
      </c>
      <c r="G16" s="117">
        <v>0</v>
      </c>
      <c r="H16" s="117">
        <v>6486.8970552999999</v>
      </c>
      <c r="I16" s="152">
        <f>G16+H16</f>
        <v>6486.8970552999999</v>
      </c>
      <c r="J16" s="119">
        <v>0</v>
      </c>
      <c r="K16" s="117">
        <v>0</v>
      </c>
      <c r="L16" s="117">
        <v>6273.3352321199982</v>
      </c>
      <c r="M16" s="162">
        <f>K16+L16</f>
        <v>6273.3352321199982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11247</v>
      </c>
      <c r="E18" s="84"/>
      <c r="F18" s="148">
        <f t="shared" ref="F18:M18" si="0">SUM(F6:F17)</f>
        <v>87165</v>
      </c>
      <c r="G18" s="149">
        <f t="shared" si="0"/>
        <v>58742.762283333323</v>
      </c>
      <c r="H18" s="149">
        <f t="shared" si="0"/>
        <v>64358.780689889987</v>
      </c>
      <c r="I18" s="150">
        <f t="shared" si="0"/>
        <v>123101.5429732233</v>
      </c>
      <c r="J18" s="149">
        <f t="shared" si="0"/>
        <v>90398</v>
      </c>
      <c r="K18" s="149">
        <f t="shared" si="0"/>
        <v>67422.039699999994</v>
      </c>
      <c r="L18" s="149">
        <f t="shared" si="0"/>
        <v>65998.486033510024</v>
      </c>
      <c r="M18" s="157">
        <f t="shared" si="0"/>
        <v>133420.52573351</v>
      </c>
      <c r="N18" s="149">
        <f>SUM(N16,N14,N12,N10,N8,N6)</f>
        <v>275</v>
      </c>
      <c r="O18" s="149">
        <f>SUM(O16,O14,O12,O10,O8,O6)</f>
        <v>266</v>
      </c>
      <c r="P18" s="158">
        <f>SUM(P16,P14,P12,P10,P8,P6)</f>
        <v>242</v>
      </c>
    </row>
    <row r="19" spans="2:28" ht="15" customHeight="1" thickBot="1" x14ac:dyDescent="0.35">
      <c r="B19" s="16" t="s">
        <v>51</v>
      </c>
      <c r="C19" s="17">
        <v>2510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35">
      <c r="B20" s="57" t="s">
        <v>52</v>
      </c>
      <c r="C20" s="58">
        <v>4964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9.0225563909774431E-2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12002</v>
      </c>
      <c r="D28" s="76">
        <f>C13</f>
        <v>12356</v>
      </c>
      <c r="E28" s="77">
        <f t="shared" ref="E28:E35" si="1">D28-C28</f>
        <v>354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40</v>
      </c>
      <c r="D30" s="76">
        <f>C8</f>
        <v>40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40483</v>
      </c>
      <c r="D31" s="76">
        <f>C9+C14+C15+C16+C17</f>
        <v>46726</v>
      </c>
      <c r="E31" s="77">
        <f t="shared" si="1"/>
        <v>6243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120</v>
      </c>
      <c r="D32" s="76">
        <f>C6</f>
        <v>140</v>
      </c>
      <c r="E32" s="77">
        <f t="shared" si="1"/>
        <v>20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2433</v>
      </c>
      <c r="D33" s="76">
        <f>C12</f>
        <v>2433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17392</v>
      </c>
      <c r="D34" s="76">
        <f>C18+C19+C20</f>
        <v>18721</v>
      </c>
      <c r="E34" s="77">
        <f t="shared" si="1"/>
        <v>1329</v>
      </c>
      <c r="K34" s="53"/>
      <c r="P34" s="4"/>
    </row>
    <row r="35" spans="2:16" ht="15" customHeight="1" thickBot="1" x14ac:dyDescent="0.35">
      <c r="B35" s="78" t="s">
        <v>60</v>
      </c>
      <c r="C35" s="121">
        <v>330</v>
      </c>
      <c r="D35" s="80">
        <f>C10+C11</f>
        <v>330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44659</v>
      </c>
    </row>
    <row r="3" spans="2:27" ht="18.75" customHeight="1" thickBot="1" x14ac:dyDescent="0.35">
      <c r="B3" t="s">
        <v>1</v>
      </c>
      <c r="C3" s="3">
        <f>C2+1</f>
        <v>44660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24461</v>
      </c>
      <c r="G6" s="117">
        <v>14083.081249999999</v>
      </c>
      <c r="H6" s="117">
        <v>4990.3101081799996</v>
      </c>
      <c r="I6" s="152">
        <f>G6+H6</f>
        <v>19073.391358180001</v>
      </c>
      <c r="J6" s="119">
        <v>24765</v>
      </c>
      <c r="K6" s="117">
        <v>15674.15825</v>
      </c>
      <c r="L6" s="117">
        <v>5187.1551594799976</v>
      </c>
      <c r="M6" s="162">
        <f>K6+L6</f>
        <v>20861.313409479997</v>
      </c>
      <c r="N6" s="87">
        <v>74</v>
      </c>
      <c r="O6" s="87">
        <v>70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4035.66608172</v>
      </c>
      <c r="I8" s="152">
        <f>G8+H8</f>
        <v>4035.66608172</v>
      </c>
      <c r="J8" s="119">
        <v>0</v>
      </c>
      <c r="K8" s="117">
        <v>0</v>
      </c>
      <c r="L8" s="117">
        <v>4093.2632390399999</v>
      </c>
      <c r="M8" s="162">
        <f>K8+L8</f>
        <v>4093.2632390399999</v>
      </c>
      <c r="N8" s="87">
        <v>7</v>
      </c>
      <c r="O8" s="87">
        <v>8</v>
      </c>
      <c r="P8" s="87">
        <v>6</v>
      </c>
    </row>
    <row r="9" spans="2:27" x14ac:dyDescent="0.3">
      <c r="B9" s="16" t="s">
        <v>23</v>
      </c>
      <c r="C9" s="17">
        <v>2170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17186</v>
      </c>
      <c r="G10" s="117">
        <v>13137.55</v>
      </c>
      <c r="H10" s="117">
        <v>870.80787393999992</v>
      </c>
      <c r="I10" s="152">
        <f>G10+H10</f>
        <v>14008.35787394</v>
      </c>
      <c r="J10" s="119">
        <v>17029</v>
      </c>
      <c r="K10" s="117">
        <v>13179.995500000001</v>
      </c>
      <c r="L10" s="117">
        <v>808.96302249999997</v>
      </c>
      <c r="M10" s="162">
        <f>K10+L10</f>
        <v>13988.958522500001</v>
      </c>
      <c r="N10" s="88">
        <v>54</v>
      </c>
      <c r="O10" s="88">
        <v>54</v>
      </c>
      <c r="P10" s="88">
        <v>48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30</v>
      </c>
      <c r="C12" s="17">
        <v>4388</v>
      </c>
      <c r="E12" s="161" t="s">
        <v>35</v>
      </c>
      <c r="F12" s="119">
        <v>14883</v>
      </c>
      <c r="G12" s="117">
        <v>12299.72875</v>
      </c>
      <c r="H12" s="117">
        <v>17618.34447598</v>
      </c>
      <c r="I12" s="152">
        <f>G12+H12</f>
        <v>29918.073225979999</v>
      </c>
      <c r="J12" s="119">
        <v>15686</v>
      </c>
      <c r="K12" s="117">
        <v>15448.446</v>
      </c>
      <c r="L12" s="117">
        <v>17967.89070412</v>
      </c>
      <c r="M12" s="162">
        <f>K12+L12</f>
        <v>33416.336704119996</v>
      </c>
      <c r="N12" s="88">
        <v>57</v>
      </c>
      <c r="O12" s="88">
        <v>55</v>
      </c>
      <c r="P12" s="88">
        <v>49</v>
      </c>
    </row>
    <row r="13" spans="2:27" x14ac:dyDescent="0.3">
      <c r="B13" s="16" t="s">
        <v>38</v>
      </c>
      <c r="C13" s="17">
        <v>11206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2223</v>
      </c>
      <c r="E14" s="161" t="s">
        <v>39</v>
      </c>
      <c r="F14" s="119">
        <v>27438</v>
      </c>
      <c r="G14" s="117">
        <v>20242.782500000001</v>
      </c>
      <c r="H14" s="117">
        <v>34871.250028239992</v>
      </c>
      <c r="I14" s="152">
        <f>G14+H14</f>
        <v>55114.032528239994</v>
      </c>
      <c r="J14" s="119">
        <v>30792</v>
      </c>
      <c r="K14" s="117">
        <v>28914.053</v>
      </c>
      <c r="L14" s="117">
        <v>39872.698441400018</v>
      </c>
      <c r="M14" s="162">
        <f>K14+L14</f>
        <v>68786.751441400018</v>
      </c>
      <c r="N14" s="88">
        <v>69</v>
      </c>
      <c r="O14" s="88">
        <v>66</v>
      </c>
      <c r="P14" s="88">
        <v>59</v>
      </c>
    </row>
    <row r="15" spans="2:27" x14ac:dyDescent="0.3">
      <c r="B15" s="28" t="s">
        <v>42</v>
      </c>
      <c r="C15" s="17">
        <v>37748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47</v>
      </c>
      <c r="C16" s="17">
        <v>1227</v>
      </c>
      <c r="E16" s="161" t="s">
        <v>79</v>
      </c>
      <c r="F16" s="119">
        <v>0</v>
      </c>
      <c r="G16" s="117">
        <v>0</v>
      </c>
      <c r="H16" s="117">
        <v>6328.9728945199986</v>
      </c>
      <c r="I16" s="152">
        <f>G16+H16</f>
        <v>6328.9728945199986</v>
      </c>
      <c r="J16" s="119">
        <v>0</v>
      </c>
      <c r="K16" s="117">
        <v>0</v>
      </c>
      <c r="L16" s="117">
        <v>6265.9655207400001</v>
      </c>
      <c r="M16" s="162">
        <f>K16+L16</f>
        <v>6265.9655207400001</v>
      </c>
      <c r="N16" s="88">
        <v>13</v>
      </c>
      <c r="O16" s="88">
        <v>13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460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10056</v>
      </c>
      <c r="E18" s="84"/>
      <c r="F18" s="148">
        <f t="shared" ref="F18:M18" si="0">SUM(F6:F17)</f>
        <v>83968</v>
      </c>
      <c r="G18" s="149">
        <f t="shared" si="0"/>
        <v>59763.142500000002</v>
      </c>
      <c r="H18" s="149">
        <f t="shared" si="0"/>
        <v>68715.351462580002</v>
      </c>
      <c r="I18" s="150">
        <f t="shared" si="0"/>
        <v>128478.49396257999</v>
      </c>
      <c r="J18" s="149">
        <f t="shared" si="0"/>
        <v>88272</v>
      </c>
      <c r="K18" s="149">
        <f t="shared" si="0"/>
        <v>73216.652750000008</v>
      </c>
      <c r="L18" s="149">
        <f t="shared" si="0"/>
        <v>74195.936087280032</v>
      </c>
      <c r="M18" s="157">
        <f t="shared" si="0"/>
        <v>147412.58883728003</v>
      </c>
      <c r="N18" s="149">
        <f>SUM(N16,N14,N12,N10,N8,N6)</f>
        <v>274</v>
      </c>
      <c r="O18" s="149">
        <f>SUM(O16,O14,O12,O10,O8,O6)</f>
        <v>266</v>
      </c>
      <c r="P18" s="158">
        <f>SUM(P16,P14,P12,P10,P8,P6)</f>
        <v>243</v>
      </c>
    </row>
    <row r="19" spans="2:28" ht="15" customHeight="1" thickBot="1" x14ac:dyDescent="0.35">
      <c r="B19" s="16" t="s">
        <v>51</v>
      </c>
      <c r="C19" s="17">
        <v>655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35">
      <c r="B20" s="57" t="s">
        <v>52</v>
      </c>
      <c r="C20" s="58">
        <v>5120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8.646616541353383E-2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10457</v>
      </c>
      <c r="D28" s="76">
        <f>C13</f>
        <v>11206</v>
      </c>
      <c r="E28" s="77">
        <f t="shared" ref="E28:E35" si="1">D28-C28</f>
        <v>749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41258</v>
      </c>
      <c r="D31" s="76">
        <f>C9+C14+C15+C16+C17</f>
        <v>43828</v>
      </c>
      <c r="E31" s="77">
        <f t="shared" si="1"/>
        <v>2570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4388</v>
      </c>
      <c r="D33" s="76">
        <f>C12</f>
        <v>4388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16345</v>
      </c>
      <c r="D34" s="76">
        <f>C18+C19+C20</f>
        <v>15831</v>
      </c>
      <c r="E34" s="77">
        <f t="shared" si="1"/>
        <v>-514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44660</v>
      </c>
    </row>
    <row r="3" spans="2:27" ht="18.75" customHeight="1" thickBot="1" x14ac:dyDescent="0.35">
      <c r="B3" t="s">
        <v>1</v>
      </c>
      <c r="C3" s="3">
        <f>C2+1</f>
        <v>44661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67</v>
      </c>
      <c r="E6" s="161" t="s">
        <v>22</v>
      </c>
      <c r="F6" s="119">
        <v>28322</v>
      </c>
      <c r="G6" s="117">
        <v>13664.385433333329</v>
      </c>
      <c r="H6" s="117">
        <v>5234.1236941000016</v>
      </c>
      <c r="I6" s="152">
        <f>G6+H6</f>
        <v>18898.509127433332</v>
      </c>
      <c r="J6" s="119">
        <v>29210</v>
      </c>
      <c r="K6" s="117">
        <v>15777.3478</v>
      </c>
      <c r="L6" s="117">
        <v>5300.9516491800014</v>
      </c>
      <c r="M6" s="162">
        <f>K6+L6</f>
        <v>21078.299449180002</v>
      </c>
      <c r="N6" s="87">
        <v>79</v>
      </c>
      <c r="O6" s="87">
        <v>75</v>
      </c>
      <c r="P6" s="87">
        <v>69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3816.1878904</v>
      </c>
      <c r="I8" s="152">
        <f>G8+H8</f>
        <v>3816.1878904</v>
      </c>
      <c r="J8" s="119">
        <v>0</v>
      </c>
      <c r="K8" s="117">
        <v>0</v>
      </c>
      <c r="L8" s="117">
        <v>3839.5205588200001</v>
      </c>
      <c r="M8" s="162">
        <f>K8+L8</f>
        <v>3839.5205588200001</v>
      </c>
      <c r="N8" s="87">
        <v>5</v>
      </c>
      <c r="O8" s="87">
        <v>5</v>
      </c>
      <c r="P8" s="87">
        <v>4</v>
      </c>
    </row>
    <row r="9" spans="2:27" x14ac:dyDescent="0.3">
      <c r="B9" s="16" t="s">
        <v>23</v>
      </c>
      <c r="C9" s="17">
        <v>2422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205</v>
      </c>
      <c r="E10" s="161" t="s">
        <v>31</v>
      </c>
      <c r="F10" s="119">
        <v>19997</v>
      </c>
      <c r="G10" s="117">
        <v>13790.197</v>
      </c>
      <c r="H10" s="117">
        <v>1567.2588292600001</v>
      </c>
      <c r="I10" s="152">
        <f>G10+H10</f>
        <v>15357.45582926</v>
      </c>
      <c r="J10" s="119">
        <v>20005</v>
      </c>
      <c r="K10" s="117">
        <v>14849.981</v>
      </c>
      <c r="L10" s="117">
        <v>1574.63394642</v>
      </c>
      <c r="M10" s="162">
        <f>K10+L10</f>
        <v>16424.614946419999</v>
      </c>
      <c r="N10" s="88">
        <v>64</v>
      </c>
      <c r="O10" s="88">
        <v>64</v>
      </c>
      <c r="P10" s="88">
        <v>56</v>
      </c>
    </row>
    <row r="11" spans="2:27" x14ac:dyDescent="0.3">
      <c r="B11" s="28" t="s">
        <v>28</v>
      </c>
      <c r="C11" s="17">
        <v>105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3">
      <c r="B12" s="16" t="s">
        <v>30</v>
      </c>
      <c r="C12" s="17">
        <v>2333</v>
      </c>
      <c r="E12" s="161" t="s">
        <v>35</v>
      </c>
      <c r="F12" s="119">
        <v>17107</v>
      </c>
      <c r="G12" s="117">
        <v>12996.1155</v>
      </c>
      <c r="H12" s="117">
        <v>19253.361791660001</v>
      </c>
      <c r="I12" s="152">
        <f>G12+H12</f>
        <v>32249.477291660001</v>
      </c>
      <c r="J12" s="119">
        <v>17035</v>
      </c>
      <c r="K12" s="117">
        <v>15756.855750000001</v>
      </c>
      <c r="L12" s="117">
        <v>19213.62853197</v>
      </c>
      <c r="M12" s="162">
        <f>K12+L12</f>
        <v>34970.484281969999</v>
      </c>
      <c r="N12" s="88">
        <v>59</v>
      </c>
      <c r="O12" s="88">
        <v>55</v>
      </c>
      <c r="P12" s="88">
        <v>45</v>
      </c>
    </row>
    <row r="13" spans="2:27" x14ac:dyDescent="0.3">
      <c r="B13" s="16" t="s">
        <v>38</v>
      </c>
      <c r="C13" s="17">
        <v>12308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16" t="s">
        <v>40</v>
      </c>
      <c r="C14" s="17">
        <v>1576</v>
      </c>
      <c r="E14" s="161" t="s">
        <v>39</v>
      </c>
      <c r="F14" s="119">
        <v>24417</v>
      </c>
      <c r="G14" s="117">
        <v>19676.307499999999</v>
      </c>
      <c r="H14" s="117">
        <v>32018.12991178003</v>
      </c>
      <c r="I14" s="152">
        <f>G14+H14</f>
        <v>51694.437411780033</v>
      </c>
      <c r="J14" s="119">
        <v>25065</v>
      </c>
      <c r="K14" s="117">
        <v>25770.109499999999</v>
      </c>
      <c r="L14" s="117">
        <v>33079.925682200017</v>
      </c>
      <c r="M14" s="162">
        <f>K14+L14</f>
        <v>58850.035182200016</v>
      </c>
      <c r="N14" s="88">
        <v>67</v>
      </c>
      <c r="O14" s="88">
        <v>63</v>
      </c>
      <c r="P14" s="88">
        <v>52</v>
      </c>
    </row>
    <row r="15" spans="2:27" x14ac:dyDescent="0.3">
      <c r="B15" s="28" t="s">
        <v>42</v>
      </c>
      <c r="C15" s="17">
        <f>37886+8426</f>
        <v>46312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1302</v>
      </c>
      <c r="E16" s="161" t="s">
        <v>79</v>
      </c>
      <c r="F16" s="119">
        <v>0</v>
      </c>
      <c r="G16" s="117">
        <v>0</v>
      </c>
      <c r="H16" s="117">
        <v>6466.6892158399996</v>
      </c>
      <c r="I16" s="152">
        <f>G16+H16</f>
        <v>6466.6892158399996</v>
      </c>
      <c r="J16" s="119">
        <v>0</v>
      </c>
      <c r="K16" s="117">
        <v>0</v>
      </c>
      <c r="L16" s="117">
        <v>6285.8693521199993</v>
      </c>
      <c r="M16" s="162">
        <f>K16+L16</f>
        <v>6285.8693521199993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12691</v>
      </c>
      <c r="E18" s="84"/>
      <c r="F18" s="148">
        <f t="shared" ref="F18:M18" si="0">SUM(F6:F17)</f>
        <v>89843</v>
      </c>
      <c r="G18" s="149">
        <f t="shared" si="0"/>
        <v>60127.005433333325</v>
      </c>
      <c r="H18" s="149">
        <f t="shared" si="0"/>
        <v>68355.751333040025</v>
      </c>
      <c r="I18" s="150">
        <f t="shared" si="0"/>
        <v>128482.75676637336</v>
      </c>
      <c r="J18" s="149">
        <f t="shared" si="0"/>
        <v>91315</v>
      </c>
      <c r="K18" s="149">
        <f t="shared" si="0"/>
        <v>72154.294049999997</v>
      </c>
      <c r="L18" s="149">
        <f t="shared" si="0"/>
        <v>69294.529720710023</v>
      </c>
      <c r="M18" s="157">
        <f t="shared" si="0"/>
        <v>141448.82377071003</v>
      </c>
      <c r="N18" s="149">
        <f>SUM(N16,N14,N12,N10,N8,N6)</f>
        <v>285</v>
      </c>
      <c r="O18" s="149">
        <f>SUM(O16,O14,O12,O10,O8,O6)</f>
        <v>273</v>
      </c>
      <c r="P18" s="158">
        <f>SUM(P16,P14,P12,P10,P8,P6)</f>
        <v>237</v>
      </c>
    </row>
    <row r="19" spans="2:28" ht="15" customHeight="1" thickBot="1" x14ac:dyDescent="0.35">
      <c r="B19" s="16" t="s">
        <v>51</v>
      </c>
      <c r="C19" s="17">
        <v>1524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ht="15" customHeight="1" thickBot="1" x14ac:dyDescent="0.35">
      <c r="B20" s="57" t="s">
        <v>52</v>
      </c>
      <c r="C20" s="58">
        <v>5252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0.13186813186813187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12330</v>
      </c>
      <c r="D28" s="76">
        <f>C13</f>
        <v>12308</v>
      </c>
      <c r="E28" s="77">
        <f t="shared" ref="E28:E35" si="1">D28-C28</f>
        <v>-22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45741</v>
      </c>
      <c r="D31" s="76">
        <f>C9+C14+C15+C16+C17</f>
        <v>51818</v>
      </c>
      <c r="E31" s="77">
        <f t="shared" si="1"/>
        <v>6077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67</v>
      </c>
      <c r="D32" s="76">
        <f>C6</f>
        <v>67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2381</v>
      </c>
      <c r="D33" s="76">
        <f>C12</f>
        <v>2333</v>
      </c>
      <c r="E33" s="77">
        <f t="shared" si="1"/>
        <v>-48</v>
      </c>
      <c r="J33" s="53"/>
      <c r="K33" s="53"/>
      <c r="P33" s="4"/>
    </row>
    <row r="34" spans="2:16" x14ac:dyDescent="0.3">
      <c r="B34" s="74" t="s">
        <v>59</v>
      </c>
      <c r="C34" s="122">
        <v>18560</v>
      </c>
      <c r="D34" s="76">
        <f>C18+C19+C20</f>
        <v>19467</v>
      </c>
      <c r="E34" s="77">
        <f t="shared" si="1"/>
        <v>907</v>
      </c>
      <c r="K34" s="53"/>
      <c r="P34" s="4"/>
    </row>
    <row r="35" spans="2:16" ht="15" customHeight="1" thickBot="1" x14ac:dyDescent="0.35">
      <c r="B35" s="78" t="s">
        <v>60</v>
      </c>
      <c r="C35" s="121">
        <v>310</v>
      </c>
      <c r="D35" s="80">
        <f>C10+C11</f>
        <v>310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44661</v>
      </c>
    </row>
    <row r="3" spans="2:27" ht="18.75" customHeight="1" thickBot="1" x14ac:dyDescent="0.35">
      <c r="B3" t="s">
        <v>1</v>
      </c>
      <c r="C3" s="3">
        <f>C2+1</f>
        <v>44662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/>
      <c r="E6" s="161" t="s">
        <v>22</v>
      </c>
      <c r="F6" s="119">
        <v>12050</v>
      </c>
      <c r="G6" s="117">
        <v>4227</v>
      </c>
      <c r="H6" s="117">
        <v>122.96975655999999</v>
      </c>
      <c r="I6" s="152">
        <f>G6+H6</f>
        <v>4349.96975656</v>
      </c>
      <c r="J6" s="119">
        <v>11370</v>
      </c>
      <c r="K6" s="117">
        <v>3975</v>
      </c>
      <c r="L6" s="117">
        <v>115</v>
      </c>
      <c r="M6" s="162">
        <f>K6+L6</f>
        <v>4090</v>
      </c>
      <c r="N6" s="87">
        <v>43</v>
      </c>
      <c r="O6" s="87">
        <v>42</v>
      </c>
      <c r="P6" s="87">
        <v>39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0</v>
      </c>
      <c r="P8" s="87">
        <v>1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0</v>
      </c>
      <c r="G10" s="117">
        <v>0</v>
      </c>
      <c r="H10" s="117">
        <v>0</v>
      </c>
      <c r="I10" s="152">
        <f>G10+H10</f>
        <v>0</v>
      </c>
      <c r="J10" s="119">
        <v>0</v>
      </c>
      <c r="K10" s="117">
        <v>0</v>
      </c>
      <c r="L10" s="117">
        <v>0</v>
      </c>
      <c r="M10" s="162">
        <f>K10+L10</f>
        <v>0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6215</v>
      </c>
      <c r="G12" s="117">
        <v>3206</v>
      </c>
      <c r="H12" s="117">
        <v>141.94382909999999</v>
      </c>
      <c r="I12" s="152">
        <f>G12+H12</f>
        <v>3347.9438291000001</v>
      </c>
      <c r="J12" s="119">
        <v>5880</v>
      </c>
      <c r="K12" s="117">
        <v>3031</v>
      </c>
      <c r="L12" s="117">
        <v>126</v>
      </c>
      <c r="M12" s="162">
        <f>K12+L12</f>
        <v>3157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10878</v>
      </c>
      <c r="E18" s="84"/>
      <c r="F18" s="148">
        <f t="shared" ref="F18:M18" si="0">SUM(F6:F17)</f>
        <v>18265</v>
      </c>
      <c r="G18" s="149">
        <f t="shared" si="0"/>
        <v>7433</v>
      </c>
      <c r="H18" s="149">
        <f t="shared" si="0"/>
        <v>264.91358565999997</v>
      </c>
      <c r="I18" s="150">
        <f t="shared" si="0"/>
        <v>7697.9135856600005</v>
      </c>
      <c r="J18" s="149">
        <f t="shared" si="0"/>
        <v>17250</v>
      </c>
      <c r="K18" s="149">
        <f t="shared" si="0"/>
        <v>7006</v>
      </c>
      <c r="L18" s="149">
        <f t="shared" si="0"/>
        <v>241</v>
      </c>
      <c r="M18" s="157">
        <f t="shared" si="0"/>
        <v>7247</v>
      </c>
      <c r="N18" s="149">
        <f>SUM(N16,N14,N12,N10,N8,N6)</f>
        <v>44</v>
      </c>
      <c r="O18" s="149">
        <f>SUM(O16,O14,O12,O10,O8,O6)</f>
        <v>42</v>
      </c>
      <c r="P18" s="158">
        <f>SUM(P16,P14,P12,P10,P8,P6)</f>
        <v>40</v>
      </c>
    </row>
    <row r="19" spans="2:28" ht="15" customHeight="1" thickBot="1" x14ac:dyDescent="0.35">
      <c r="B19" s="16" t="s">
        <v>51</v>
      </c>
      <c r="C19" s="17">
        <v>1029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</v>
      </c>
    </row>
    <row r="20" spans="2:28" ht="15" customHeight="1" thickBot="1" x14ac:dyDescent="0.35">
      <c r="B20" s="57" t="s">
        <v>52</v>
      </c>
      <c r="C20" s="58">
        <v>5343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4.7619047619047616E-2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18265</v>
      </c>
      <c r="D34" s="76">
        <f>C18+C19+C20</f>
        <v>17250</v>
      </c>
      <c r="E34" s="77">
        <f t="shared" si="1"/>
        <v>-1015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44662</v>
      </c>
    </row>
    <row r="3" spans="2:27" ht="18.75" customHeight="1" thickBot="1" x14ac:dyDescent="0.35">
      <c r="B3" t="s">
        <v>1</v>
      </c>
      <c r="C3" s="3">
        <f>C2+1</f>
        <v>44663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73</v>
      </c>
      <c r="E6" s="161" t="s">
        <v>22</v>
      </c>
      <c r="F6" s="119">
        <v>27393</v>
      </c>
      <c r="G6" s="117">
        <v>14499.734533333331</v>
      </c>
      <c r="H6" s="117">
        <v>5608.0222066599972</v>
      </c>
      <c r="I6" s="152">
        <f>G6+H6</f>
        <v>20107.756739993329</v>
      </c>
      <c r="J6" s="119">
        <v>28252</v>
      </c>
      <c r="K6" s="117">
        <v>16114.696783333329</v>
      </c>
      <c r="L6" s="117">
        <v>5408.0391389199958</v>
      </c>
      <c r="M6" s="162">
        <f>K6+L6</f>
        <v>21522.735922253327</v>
      </c>
      <c r="N6" s="87">
        <v>75</v>
      </c>
      <c r="O6" s="87">
        <v>73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4131.5108457599999</v>
      </c>
      <c r="I8" s="152">
        <f>G8+H8</f>
        <v>4131.5108457599999</v>
      </c>
      <c r="J8" s="119">
        <v>0</v>
      </c>
      <c r="K8" s="117">
        <v>0</v>
      </c>
      <c r="L8" s="117">
        <v>4240.9222096399999</v>
      </c>
      <c r="M8" s="162">
        <f>K8+L8</f>
        <v>4240.9222096399999</v>
      </c>
      <c r="N8" s="87">
        <v>7</v>
      </c>
      <c r="O8" s="87">
        <v>7</v>
      </c>
      <c r="P8" s="87">
        <v>5</v>
      </c>
    </row>
    <row r="9" spans="2:27" x14ac:dyDescent="0.3">
      <c r="B9" s="16" t="s">
        <v>23</v>
      </c>
      <c r="C9" s="17">
        <v>1845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300</v>
      </c>
      <c r="E10" s="161" t="s">
        <v>31</v>
      </c>
      <c r="F10" s="119">
        <v>18487</v>
      </c>
      <c r="G10" s="117">
        <v>13186.159</v>
      </c>
      <c r="H10" s="117">
        <v>998.40789529999995</v>
      </c>
      <c r="I10" s="152">
        <f>G10+H10</f>
        <v>14184.5668953</v>
      </c>
      <c r="J10" s="119">
        <v>18603</v>
      </c>
      <c r="K10" s="117">
        <v>13289.432000000001</v>
      </c>
      <c r="L10" s="117">
        <v>1007.05999678</v>
      </c>
      <c r="M10" s="162">
        <f>K10+L10</f>
        <v>14296.491996780002</v>
      </c>
      <c r="N10" s="88">
        <v>55</v>
      </c>
      <c r="O10" s="88">
        <v>60</v>
      </c>
      <c r="P10" s="88">
        <v>46</v>
      </c>
    </row>
    <row r="11" spans="2:27" x14ac:dyDescent="0.3">
      <c r="B11" s="28" t="s">
        <v>28</v>
      </c>
      <c r="C11" s="17">
        <v>254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14</v>
      </c>
    </row>
    <row r="12" spans="2:27" x14ac:dyDescent="0.3">
      <c r="B12" s="16" t="s">
        <v>30</v>
      </c>
      <c r="C12" s="17">
        <v>2409</v>
      </c>
      <c r="E12" s="161" t="s">
        <v>35</v>
      </c>
      <c r="F12" s="119">
        <v>15223</v>
      </c>
      <c r="G12" s="117">
        <v>13092.778166666671</v>
      </c>
      <c r="H12" s="117">
        <v>17376.074705480001</v>
      </c>
      <c r="I12" s="152">
        <f>G12+H12</f>
        <v>30468.852872146672</v>
      </c>
      <c r="J12" s="119">
        <v>14675</v>
      </c>
      <c r="K12" s="117">
        <v>13445.886916666661</v>
      </c>
      <c r="L12" s="117">
        <v>16989.086074480001</v>
      </c>
      <c r="M12" s="162">
        <f>K12+L12</f>
        <v>30434.972991146664</v>
      </c>
      <c r="N12" s="88">
        <v>55</v>
      </c>
      <c r="O12" s="88">
        <v>52</v>
      </c>
      <c r="P12" s="88">
        <v>46</v>
      </c>
    </row>
    <row r="13" spans="2:27" x14ac:dyDescent="0.3">
      <c r="B13" s="16" t="s">
        <v>38</v>
      </c>
      <c r="C13" s="17">
        <v>10589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223</v>
      </c>
      <c r="E14" s="161" t="s">
        <v>39</v>
      </c>
      <c r="F14" s="119">
        <v>22272</v>
      </c>
      <c r="G14" s="117">
        <v>18781.014999999999</v>
      </c>
      <c r="H14" s="117">
        <v>28604.051617720012</v>
      </c>
      <c r="I14" s="152">
        <f>G14+H14</f>
        <v>47385.066617720011</v>
      </c>
      <c r="J14" s="119">
        <v>23139</v>
      </c>
      <c r="K14" s="117">
        <v>21318.185750000001</v>
      </c>
      <c r="L14" s="117">
        <v>29832.595588700009</v>
      </c>
      <c r="M14" s="162">
        <f>K14+L14</f>
        <v>51150.781338700006</v>
      </c>
      <c r="N14" s="88">
        <v>64</v>
      </c>
      <c r="O14" s="88">
        <v>62</v>
      </c>
      <c r="P14" s="88">
        <v>52</v>
      </c>
    </row>
    <row r="15" spans="2:27" x14ac:dyDescent="0.3">
      <c r="B15" s="28" t="s">
        <v>42</v>
      </c>
      <c r="C15" s="17">
        <v>35215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47</v>
      </c>
      <c r="C16" s="17">
        <v>875</v>
      </c>
      <c r="E16" s="161" t="s">
        <v>79</v>
      </c>
      <c r="F16" s="119">
        <v>0</v>
      </c>
      <c r="G16" s="117">
        <v>0</v>
      </c>
      <c r="H16" s="117">
        <v>6127.2957563800001</v>
      </c>
      <c r="I16" s="152">
        <f>G16+H16</f>
        <v>6127.2957563800001</v>
      </c>
      <c r="J16" s="119">
        <v>0</v>
      </c>
      <c r="K16" s="117">
        <v>0</v>
      </c>
      <c r="L16" s="117">
        <v>6020.0144595600004</v>
      </c>
      <c r="M16" s="162">
        <f>K16+L16</f>
        <v>6020.0144595600004</v>
      </c>
      <c r="N16" s="88">
        <v>8</v>
      </c>
      <c r="O16" s="88">
        <v>9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460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12310</v>
      </c>
      <c r="E18" s="84"/>
      <c r="F18" s="148">
        <f t="shared" ref="F18:M18" si="0">SUM(F6:F17)</f>
        <v>83375</v>
      </c>
      <c r="G18" s="149">
        <f t="shared" si="0"/>
        <v>59559.686699999998</v>
      </c>
      <c r="H18" s="149">
        <f t="shared" si="0"/>
        <v>62845.363027300009</v>
      </c>
      <c r="I18" s="150">
        <f t="shared" si="0"/>
        <v>122405.04972730002</v>
      </c>
      <c r="J18" s="149">
        <f t="shared" si="0"/>
        <v>84669</v>
      </c>
      <c r="K18" s="149">
        <f t="shared" si="0"/>
        <v>64168.201449999993</v>
      </c>
      <c r="L18" s="149">
        <f t="shared" si="0"/>
        <v>63497.717468080009</v>
      </c>
      <c r="M18" s="157">
        <f t="shared" si="0"/>
        <v>127665.91891808</v>
      </c>
      <c r="N18" s="149">
        <f>SUM(N16,N14,N12,N10,N8,N6)</f>
        <v>264</v>
      </c>
      <c r="O18" s="149">
        <f>SUM(O16,O14,O12,O10,O8,O6)</f>
        <v>263</v>
      </c>
      <c r="P18" s="158">
        <f>SUM(P16,P14,P12,P10,P8,P6)</f>
        <v>225</v>
      </c>
    </row>
    <row r="19" spans="2:28" ht="15" customHeight="1" thickBot="1" x14ac:dyDescent="0.35">
      <c r="B19" s="16" t="s">
        <v>51</v>
      </c>
      <c r="C19" s="17">
        <v>1273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35">
      <c r="B20" s="57" t="s">
        <v>52</v>
      </c>
      <c r="C20" s="58">
        <v>5238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0.14448669201520911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11528</v>
      </c>
      <c r="D28" s="76">
        <f>C13</f>
        <v>10589</v>
      </c>
      <c r="E28" s="77">
        <f t="shared" ref="E28:E35" si="1">D28-C28</f>
        <v>-939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38386</v>
      </c>
      <c r="D31" s="76">
        <f>C9+C14+C15+C16+C17</f>
        <v>38618</v>
      </c>
      <c r="E31" s="77">
        <f t="shared" si="1"/>
        <v>232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73</v>
      </c>
      <c r="D32" s="76">
        <f>C6</f>
        <v>73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2409</v>
      </c>
      <c r="D33" s="76">
        <f>C12</f>
        <v>2409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18346</v>
      </c>
      <c r="D34" s="76">
        <f>C18+C19+C20</f>
        <v>18821</v>
      </c>
      <c r="E34" s="77">
        <f t="shared" si="1"/>
        <v>475</v>
      </c>
      <c r="K34" s="53"/>
      <c r="P34" s="4"/>
    </row>
    <row r="35" spans="2:16" ht="15" customHeight="1" thickBot="1" x14ac:dyDescent="0.35">
      <c r="B35" s="78" t="s">
        <v>60</v>
      </c>
      <c r="C35" s="121">
        <v>554</v>
      </c>
      <c r="D35" s="80">
        <f>C10+C11</f>
        <v>554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44663</v>
      </c>
    </row>
    <row r="3" spans="2:27" ht="18.75" customHeight="1" thickBot="1" x14ac:dyDescent="0.35">
      <c r="B3" t="s">
        <v>1</v>
      </c>
      <c r="C3" s="3">
        <f>C2+1</f>
        <v>44664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171</v>
      </c>
      <c r="E6" s="161" t="s">
        <v>22</v>
      </c>
      <c r="F6" s="119">
        <v>31038</v>
      </c>
      <c r="G6" s="117">
        <v>14941.717666666669</v>
      </c>
      <c r="H6" s="117">
        <v>5953.9801194199999</v>
      </c>
      <c r="I6" s="152">
        <f>G6+H6</f>
        <v>20895.697786086668</v>
      </c>
      <c r="J6" s="119">
        <v>30594</v>
      </c>
      <c r="K6" s="117">
        <v>16113.25641666666</v>
      </c>
      <c r="L6" s="117">
        <v>6025.7858953399991</v>
      </c>
      <c r="M6" s="162">
        <f>K6+L6</f>
        <v>22139.042312006659</v>
      </c>
      <c r="N6" s="87">
        <v>86</v>
      </c>
      <c r="O6" s="87">
        <v>83</v>
      </c>
      <c r="P6" s="87">
        <v>75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3861.2675853800001</v>
      </c>
      <c r="I8" s="152">
        <f>G8+H8</f>
        <v>3861.2675853800001</v>
      </c>
      <c r="J8" s="119">
        <v>0</v>
      </c>
      <c r="K8" s="117">
        <v>0</v>
      </c>
      <c r="L8" s="117">
        <v>3889.20455094</v>
      </c>
      <c r="M8" s="162">
        <f>K8+L8</f>
        <v>3889.20455094</v>
      </c>
      <c r="N8" s="87">
        <v>6</v>
      </c>
      <c r="O8" s="87">
        <v>6</v>
      </c>
      <c r="P8" s="87">
        <v>5</v>
      </c>
    </row>
    <row r="9" spans="2:27" x14ac:dyDescent="0.3">
      <c r="B9" s="16" t="s">
        <v>23</v>
      </c>
      <c r="C9" s="17">
        <v>2730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535</v>
      </c>
      <c r="E10" s="161" t="s">
        <v>31</v>
      </c>
      <c r="F10" s="119">
        <v>21988</v>
      </c>
      <c r="G10" s="117">
        <v>14347.073</v>
      </c>
      <c r="H10" s="117">
        <v>1592.9475322599999</v>
      </c>
      <c r="I10" s="152">
        <f>G10+H10</f>
        <v>15940.02053226</v>
      </c>
      <c r="J10" s="119">
        <v>21362</v>
      </c>
      <c r="K10" s="117">
        <v>14521.207</v>
      </c>
      <c r="L10" s="117">
        <v>1533.32058428</v>
      </c>
      <c r="M10" s="162">
        <f>K10+L10</f>
        <v>16054.52758428</v>
      </c>
      <c r="N10" s="88">
        <v>60</v>
      </c>
      <c r="O10" s="88">
        <v>59</v>
      </c>
      <c r="P10" s="88">
        <v>53</v>
      </c>
    </row>
    <row r="11" spans="2:27" x14ac:dyDescent="0.3">
      <c r="B11" s="28" t="s">
        <v>28</v>
      </c>
      <c r="C11" s="17">
        <v>402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30</v>
      </c>
      <c r="C12" s="17">
        <v>3878</v>
      </c>
      <c r="E12" s="161" t="s">
        <v>35</v>
      </c>
      <c r="F12" s="119">
        <v>18519</v>
      </c>
      <c r="G12" s="117">
        <v>12726.2875</v>
      </c>
      <c r="H12" s="117">
        <v>22307.012098240011</v>
      </c>
      <c r="I12" s="152">
        <f>G12+H12</f>
        <v>35033.29959824001</v>
      </c>
      <c r="J12" s="119">
        <v>18424</v>
      </c>
      <c r="K12" s="117">
        <v>16754.945500000002</v>
      </c>
      <c r="L12" s="117">
        <v>21847.03830425</v>
      </c>
      <c r="M12" s="162">
        <f>K12+L12</f>
        <v>38601.983804250005</v>
      </c>
      <c r="N12" s="88">
        <v>52</v>
      </c>
      <c r="O12" s="88">
        <v>48</v>
      </c>
      <c r="P12" s="88">
        <v>42</v>
      </c>
    </row>
    <row r="13" spans="2:27" x14ac:dyDescent="0.3">
      <c r="B13" s="16" t="s">
        <v>38</v>
      </c>
      <c r="C13" s="17">
        <v>12141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1576</v>
      </c>
      <c r="E14" s="161" t="s">
        <v>39</v>
      </c>
      <c r="F14" s="119">
        <v>33633</v>
      </c>
      <c r="G14" s="117">
        <v>23412.935000000001</v>
      </c>
      <c r="H14" s="117">
        <v>41675.24308628001</v>
      </c>
      <c r="I14" s="152">
        <f>G14+H14</f>
        <v>65088.178086280008</v>
      </c>
      <c r="J14" s="119">
        <v>31936</v>
      </c>
      <c r="K14" s="117">
        <v>26262.121500000001</v>
      </c>
      <c r="L14" s="117">
        <v>39588.98791582002</v>
      </c>
      <c r="M14" s="162">
        <f>K14+L14</f>
        <v>65851.109415820014</v>
      </c>
      <c r="N14" s="88">
        <v>70</v>
      </c>
      <c r="O14" s="88">
        <v>66</v>
      </c>
      <c r="P14" s="88">
        <v>61</v>
      </c>
    </row>
    <row r="15" spans="2:27" x14ac:dyDescent="0.3">
      <c r="B15" s="28" t="s">
        <v>42</v>
      </c>
      <c r="C15" s="17">
        <v>45306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1130</v>
      </c>
      <c r="E16" s="161" t="s">
        <v>79</v>
      </c>
      <c r="F16" s="119">
        <v>0</v>
      </c>
      <c r="G16" s="117">
        <v>0</v>
      </c>
      <c r="H16" s="117">
        <v>6661.2386372799992</v>
      </c>
      <c r="I16" s="152">
        <f>G16+H16</f>
        <v>6661.2386372799992</v>
      </c>
      <c r="J16" s="119">
        <v>0</v>
      </c>
      <c r="K16" s="117">
        <v>0</v>
      </c>
      <c r="L16" s="117">
        <v>6297.3979328200003</v>
      </c>
      <c r="M16" s="162">
        <f>K16+L16</f>
        <v>6297.3979328200003</v>
      </c>
      <c r="N16" s="88">
        <v>12</v>
      </c>
      <c r="O16" s="88">
        <v>11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11464</v>
      </c>
      <c r="E18" s="84"/>
      <c r="F18" s="148">
        <f t="shared" ref="F18:M18" si="0">SUM(F6:F17)</f>
        <v>105178</v>
      </c>
      <c r="G18" s="149">
        <f t="shared" si="0"/>
        <v>65428.013166666671</v>
      </c>
      <c r="H18" s="149">
        <f t="shared" si="0"/>
        <v>82051.689058860022</v>
      </c>
      <c r="I18" s="150">
        <f t="shared" si="0"/>
        <v>147479.70222552668</v>
      </c>
      <c r="J18" s="149">
        <f t="shared" si="0"/>
        <v>102316</v>
      </c>
      <c r="K18" s="149">
        <f t="shared" si="0"/>
        <v>73651.530416666661</v>
      </c>
      <c r="L18" s="149">
        <f t="shared" si="0"/>
        <v>79181.735183450015</v>
      </c>
      <c r="M18" s="157">
        <f t="shared" si="0"/>
        <v>152833.26560011666</v>
      </c>
      <c r="N18" s="149">
        <f>SUM(N16,N14,N12,N10,N8,N6)</f>
        <v>286</v>
      </c>
      <c r="O18" s="149">
        <f>SUM(O16,O14,O12,O10,O8,O6)</f>
        <v>273</v>
      </c>
      <c r="P18" s="158">
        <f>SUM(P16,P14,P12,P10,P8,P6)</f>
        <v>246</v>
      </c>
    </row>
    <row r="19" spans="2:28" ht="15" customHeight="1" thickBot="1" x14ac:dyDescent="0.35">
      <c r="B19" s="16" t="s">
        <v>51</v>
      </c>
      <c r="C19" s="17">
        <v>1178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35">
      <c r="B20" s="57" t="s">
        <v>52</v>
      </c>
      <c r="C20" s="58">
        <v>5497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9.8901098901098897E-2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12291</v>
      </c>
      <c r="D28" s="76">
        <f>C13</f>
        <v>12141</v>
      </c>
      <c r="E28" s="77">
        <f t="shared" ref="E28:E35" si="1">D28-C28</f>
        <v>-150</v>
      </c>
    </row>
    <row r="29" spans="2:28" x14ac:dyDescent="0.3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46996</v>
      </c>
      <c r="D31" s="76">
        <f>C9+C14+C15+C16+C17</f>
        <v>50948</v>
      </c>
      <c r="E31" s="77">
        <f t="shared" si="1"/>
        <v>3952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171</v>
      </c>
      <c r="D32" s="76">
        <f>C6</f>
        <v>171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3878</v>
      </c>
      <c r="D33" s="76">
        <f>C12</f>
        <v>3878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19144</v>
      </c>
      <c r="D34" s="76">
        <f>C18+C19+C20</f>
        <v>18139</v>
      </c>
      <c r="E34" s="77">
        <f t="shared" si="1"/>
        <v>-1005</v>
      </c>
      <c r="K34" s="53"/>
      <c r="P34" s="4"/>
    </row>
    <row r="35" spans="2:16" ht="15" customHeight="1" thickBot="1" x14ac:dyDescent="0.35">
      <c r="B35" s="78" t="s">
        <v>60</v>
      </c>
      <c r="C35" s="121">
        <v>937</v>
      </c>
      <c r="D35" s="80">
        <f>C10+C11</f>
        <v>937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44664</v>
      </c>
    </row>
    <row r="3" spans="2:27" ht="18.75" customHeight="1" thickBot="1" x14ac:dyDescent="0.35">
      <c r="B3" t="s">
        <v>1</v>
      </c>
      <c r="C3" s="3">
        <f>C2+1</f>
        <v>44665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75</v>
      </c>
      <c r="E6" s="161" t="s">
        <v>22</v>
      </c>
      <c r="F6" s="119">
        <v>29848</v>
      </c>
      <c r="G6" s="117">
        <v>15363.257</v>
      </c>
      <c r="H6" s="117">
        <v>6008.5416644999996</v>
      </c>
      <c r="I6" s="152">
        <f>G6+H6</f>
        <v>21371.798664499998</v>
      </c>
      <c r="J6" s="119">
        <v>30847</v>
      </c>
      <c r="K6" s="117">
        <v>18199.849999999991</v>
      </c>
      <c r="L6" s="117">
        <v>5820.307176299998</v>
      </c>
      <c r="M6" s="162">
        <f>K6+L6</f>
        <v>24020.157176299988</v>
      </c>
      <c r="N6" s="87">
        <v>80</v>
      </c>
      <c r="O6" s="87">
        <v>74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35</v>
      </c>
      <c r="E8" s="161" t="s">
        <v>27</v>
      </c>
      <c r="F8" s="119">
        <v>0</v>
      </c>
      <c r="G8" s="117">
        <v>0</v>
      </c>
      <c r="H8" s="117">
        <v>4688.3269731799992</v>
      </c>
      <c r="I8" s="152">
        <f>G8+H8</f>
        <v>4688.3269731799992</v>
      </c>
      <c r="J8" s="119">
        <v>0</v>
      </c>
      <c r="K8" s="117">
        <v>0</v>
      </c>
      <c r="L8" s="117">
        <v>4965.9539678000001</v>
      </c>
      <c r="M8" s="162">
        <f>K8+L8</f>
        <v>4965.9539678000001</v>
      </c>
      <c r="N8" s="87">
        <v>4</v>
      </c>
      <c r="O8" s="87">
        <v>4</v>
      </c>
      <c r="P8" s="87">
        <v>3</v>
      </c>
    </row>
    <row r="9" spans="2:27" x14ac:dyDescent="0.3">
      <c r="B9" s="16" t="s">
        <v>23</v>
      </c>
      <c r="C9" s="17">
        <v>1804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20306</v>
      </c>
      <c r="G10" s="117">
        <v>15099.388499999999</v>
      </c>
      <c r="H10" s="117">
        <v>962.89685540000005</v>
      </c>
      <c r="I10" s="152">
        <f>G10+H10</f>
        <v>16062.285355399999</v>
      </c>
      <c r="J10" s="119">
        <v>21948</v>
      </c>
      <c r="K10" s="117">
        <v>15922.222</v>
      </c>
      <c r="L10" s="117">
        <v>954.40276443999994</v>
      </c>
      <c r="M10" s="162">
        <f>K10+L10</f>
        <v>16876.624764439999</v>
      </c>
      <c r="N10" s="88">
        <v>55</v>
      </c>
      <c r="O10" s="88">
        <v>54</v>
      </c>
      <c r="P10" s="88">
        <v>50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3823</v>
      </c>
      <c r="E12" s="161" t="s">
        <v>35</v>
      </c>
      <c r="F12" s="119">
        <v>20794</v>
      </c>
      <c r="G12" s="117">
        <v>19340.247749999999</v>
      </c>
      <c r="H12" s="117">
        <v>27799.911955479991</v>
      </c>
      <c r="I12" s="152">
        <f>G12+H12</f>
        <v>47140.159705479993</v>
      </c>
      <c r="J12" s="119">
        <v>20594</v>
      </c>
      <c r="K12" s="117">
        <v>23255.83975000001</v>
      </c>
      <c r="L12" s="117">
        <v>27587.42218608001</v>
      </c>
      <c r="M12" s="162">
        <f>K12+L12</f>
        <v>50843.261936080016</v>
      </c>
      <c r="N12" s="88">
        <v>55</v>
      </c>
      <c r="O12" s="88">
        <v>50</v>
      </c>
      <c r="P12" s="88">
        <v>44</v>
      </c>
    </row>
    <row r="13" spans="2:27" x14ac:dyDescent="0.3">
      <c r="B13" s="16" t="s">
        <v>38</v>
      </c>
      <c r="C13" s="17">
        <v>10625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2371</v>
      </c>
      <c r="E14" s="161" t="s">
        <v>39</v>
      </c>
      <c r="F14" s="119">
        <v>29181</v>
      </c>
      <c r="G14" s="117">
        <v>23565.123749999999</v>
      </c>
      <c r="H14" s="117">
        <v>38585.820972159978</v>
      </c>
      <c r="I14" s="152">
        <f>G14+H14</f>
        <v>62150.944722159977</v>
      </c>
      <c r="J14" s="119">
        <v>27594</v>
      </c>
      <c r="K14" s="117">
        <v>26004.6005</v>
      </c>
      <c r="L14" s="117">
        <v>36663.246108520019</v>
      </c>
      <c r="M14" s="162">
        <f>K14+L14</f>
        <v>62667.84660852002</v>
      </c>
      <c r="N14" s="88">
        <v>71</v>
      </c>
      <c r="O14" s="88">
        <v>62</v>
      </c>
      <c r="P14" s="88">
        <v>57</v>
      </c>
    </row>
    <row r="15" spans="2:27" x14ac:dyDescent="0.3">
      <c r="B15" s="28" t="s">
        <v>42</v>
      </c>
      <c r="C15" s="17">
        <v>44227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1185</v>
      </c>
      <c r="E16" s="161" t="s">
        <v>79</v>
      </c>
      <c r="F16" s="119">
        <v>0</v>
      </c>
      <c r="G16" s="117">
        <v>0</v>
      </c>
      <c r="H16" s="117">
        <v>8919.3368525400001</v>
      </c>
      <c r="I16" s="152">
        <f>G16+H16</f>
        <v>8919.3368525400001</v>
      </c>
      <c r="J16" s="119">
        <v>0</v>
      </c>
      <c r="K16" s="117">
        <v>0</v>
      </c>
      <c r="L16" s="117">
        <v>8778.3675737599988</v>
      </c>
      <c r="M16" s="162">
        <f>K16+L16</f>
        <v>8778.3675737599988</v>
      </c>
      <c r="N16" s="88">
        <v>12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490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12369</v>
      </c>
      <c r="E18" s="84"/>
      <c r="F18" s="148">
        <f t="shared" ref="F18:M18" si="0">SUM(F6:F17)</f>
        <v>100129</v>
      </c>
      <c r="G18" s="149">
        <f t="shared" si="0"/>
        <v>73368.016999999993</v>
      </c>
      <c r="H18" s="149">
        <f t="shared" si="0"/>
        <v>86964.83527325996</v>
      </c>
      <c r="I18" s="150">
        <f t="shared" si="0"/>
        <v>160332.85227325995</v>
      </c>
      <c r="J18" s="149">
        <f t="shared" si="0"/>
        <v>100983</v>
      </c>
      <c r="K18" s="149">
        <f t="shared" si="0"/>
        <v>83382.51225</v>
      </c>
      <c r="L18" s="149">
        <f t="shared" si="0"/>
        <v>84769.699776900015</v>
      </c>
      <c r="M18" s="157">
        <f t="shared" si="0"/>
        <v>168152.21202690003</v>
      </c>
      <c r="N18" s="149">
        <f>SUM(N16,N14,N12,N10,N8,N6)</f>
        <v>277</v>
      </c>
      <c r="O18" s="149">
        <f>SUM(O16,O14,O12,O10,O8,O6)</f>
        <v>255</v>
      </c>
      <c r="P18" s="158">
        <f>SUM(P16,P14,P12,P10,P8,P6)</f>
        <v>235</v>
      </c>
    </row>
    <row r="19" spans="2:28" ht="15" customHeight="1" thickBot="1" x14ac:dyDescent="0.35">
      <c r="B19" s="16" t="s">
        <v>51</v>
      </c>
      <c r="C19" s="17">
        <v>1896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</row>
    <row r="20" spans="2:28" ht="15" customHeight="1" thickBot="1" x14ac:dyDescent="0.35">
      <c r="B20" s="57" t="s">
        <v>52</v>
      </c>
      <c r="C20" s="58">
        <v>5375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7.8431372549019607E-2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13512</v>
      </c>
      <c r="D28" s="76">
        <f>C13</f>
        <v>10625</v>
      </c>
      <c r="E28" s="77">
        <f t="shared" ref="E28:E35" si="1">D28-C28</f>
        <v>-2887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35</v>
      </c>
      <c r="D30" s="76">
        <f>C8</f>
        <v>35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51781</v>
      </c>
      <c r="D31" s="76">
        <f>C9+C14+C15+C16+C17</f>
        <v>50077</v>
      </c>
      <c r="E31" s="77">
        <f t="shared" si="1"/>
        <v>-1704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75</v>
      </c>
      <c r="D32" s="76">
        <f>C6</f>
        <v>75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3823</v>
      </c>
      <c r="D33" s="76">
        <f>C12</f>
        <v>3823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18672</v>
      </c>
      <c r="D34" s="76">
        <f>C18+C19+C20</f>
        <v>19640</v>
      </c>
      <c r="E34" s="77">
        <f t="shared" si="1"/>
        <v>968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44665</v>
      </c>
    </row>
    <row r="3" spans="2:27" ht="18.75" customHeight="1" thickBot="1" x14ac:dyDescent="0.35">
      <c r="B3" t="s">
        <v>1</v>
      </c>
      <c r="C3" s="3">
        <f>C2+1</f>
        <v>44666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126</v>
      </c>
      <c r="E6" s="161" t="s">
        <v>22</v>
      </c>
      <c r="F6" s="119">
        <v>30165</v>
      </c>
      <c r="G6" s="117">
        <v>16067.8575</v>
      </c>
      <c r="H6" s="117">
        <v>7118.1897566000043</v>
      </c>
      <c r="I6" s="152">
        <f>G6+H6</f>
        <v>23186.047256600003</v>
      </c>
      <c r="J6" s="119">
        <v>29685</v>
      </c>
      <c r="K6" s="117">
        <v>17294.904500000001</v>
      </c>
      <c r="L6" s="117">
        <v>7074.2628245800042</v>
      </c>
      <c r="M6" s="162">
        <f>K6+L6</f>
        <v>24369.167324580005</v>
      </c>
      <c r="N6" s="87">
        <v>84</v>
      </c>
      <c r="O6" s="87">
        <v>80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4266.4515212599999</v>
      </c>
      <c r="I8" s="152">
        <f>G8+H8</f>
        <v>4266.4515212599999</v>
      </c>
      <c r="J8" s="119">
        <v>0</v>
      </c>
      <c r="K8" s="117">
        <v>0</v>
      </c>
      <c r="L8" s="117">
        <v>4187.4942211000016</v>
      </c>
      <c r="M8" s="162">
        <f>K8+L8</f>
        <v>4187.4942211000016</v>
      </c>
      <c r="N8" s="87">
        <v>5</v>
      </c>
      <c r="O8" s="87">
        <v>5</v>
      </c>
      <c r="P8" s="87">
        <v>4</v>
      </c>
    </row>
    <row r="9" spans="2:27" x14ac:dyDescent="0.3">
      <c r="B9" s="16" t="s">
        <v>23</v>
      </c>
      <c r="C9" s="17">
        <v>2601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532</v>
      </c>
      <c r="E10" s="161" t="s">
        <v>31</v>
      </c>
      <c r="F10" s="119">
        <v>21884</v>
      </c>
      <c r="G10" s="117">
        <v>16083.478999999999</v>
      </c>
      <c r="H10" s="117">
        <v>1414.12668652</v>
      </c>
      <c r="I10" s="152">
        <f>G10+H10</f>
        <v>17497.605686520001</v>
      </c>
      <c r="J10" s="119">
        <v>20890</v>
      </c>
      <c r="K10" s="117">
        <v>14856.413</v>
      </c>
      <c r="L10" s="117">
        <v>1361.1155400600001</v>
      </c>
      <c r="M10" s="162">
        <f>K10+L10</f>
        <v>16217.528540060001</v>
      </c>
      <c r="N10" s="88">
        <v>61</v>
      </c>
      <c r="O10" s="88">
        <v>61</v>
      </c>
      <c r="P10" s="88">
        <v>52</v>
      </c>
    </row>
    <row r="11" spans="2:27" x14ac:dyDescent="0.3">
      <c r="B11" s="28" t="s">
        <v>28</v>
      </c>
      <c r="C11" s="17">
        <v>295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9</v>
      </c>
    </row>
    <row r="12" spans="2:27" x14ac:dyDescent="0.3">
      <c r="B12" s="16" t="s">
        <v>30</v>
      </c>
      <c r="C12" s="17">
        <v>2101</v>
      </c>
      <c r="E12" s="161" t="s">
        <v>35</v>
      </c>
      <c r="F12" s="119">
        <v>22407</v>
      </c>
      <c r="G12" s="117">
        <v>21060.02791666667</v>
      </c>
      <c r="H12" s="117">
        <v>28548.255073199991</v>
      </c>
      <c r="I12" s="152">
        <f>G12+H12</f>
        <v>49608.282989866661</v>
      </c>
      <c r="J12" s="119">
        <v>23688</v>
      </c>
      <c r="K12" s="117">
        <v>25195.346166666659</v>
      </c>
      <c r="L12" s="117">
        <v>29165.104810260011</v>
      </c>
      <c r="M12" s="162">
        <f>K12+L12</f>
        <v>54360.450976926673</v>
      </c>
      <c r="N12" s="88">
        <v>53</v>
      </c>
      <c r="O12" s="88">
        <v>50</v>
      </c>
      <c r="P12" s="88">
        <v>46</v>
      </c>
    </row>
    <row r="13" spans="2:27" x14ac:dyDescent="0.3">
      <c r="B13" s="16" t="s">
        <v>38</v>
      </c>
      <c r="C13" s="17">
        <v>12716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1642</v>
      </c>
      <c r="E14" s="161" t="s">
        <v>39</v>
      </c>
      <c r="F14" s="119">
        <v>24415</v>
      </c>
      <c r="G14" s="117">
        <v>17399.397499999999</v>
      </c>
      <c r="H14" s="117">
        <v>31345.995826580009</v>
      </c>
      <c r="I14" s="152">
        <f>G14+H14</f>
        <v>48745.393326580008</v>
      </c>
      <c r="J14" s="119">
        <v>26066</v>
      </c>
      <c r="K14" s="117">
        <v>25728.342000000001</v>
      </c>
      <c r="L14" s="117">
        <v>34616.590810860012</v>
      </c>
      <c r="M14" s="162">
        <f>K14+L14</f>
        <v>60344.932810860017</v>
      </c>
      <c r="N14" s="88">
        <v>81</v>
      </c>
      <c r="O14" s="88">
        <v>73</v>
      </c>
      <c r="P14" s="88">
        <v>55</v>
      </c>
    </row>
    <row r="15" spans="2:27" x14ac:dyDescent="0.3">
      <c r="B15" s="28" t="s">
        <v>42</v>
      </c>
      <c r="C15" s="17">
        <v>44987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2:27" x14ac:dyDescent="0.3">
      <c r="B16" s="43" t="s">
        <v>47</v>
      </c>
      <c r="C16" s="17">
        <v>1130</v>
      </c>
      <c r="E16" s="161" t="s">
        <v>79</v>
      </c>
      <c r="F16" s="119">
        <v>0</v>
      </c>
      <c r="G16" s="117">
        <v>0</v>
      </c>
      <c r="H16" s="117">
        <v>8572.7397283200007</v>
      </c>
      <c r="I16" s="152">
        <f>G16+H16</f>
        <v>8572.7397283200007</v>
      </c>
      <c r="J16" s="119">
        <v>0</v>
      </c>
      <c r="K16" s="117">
        <v>0</v>
      </c>
      <c r="L16" s="117">
        <v>8158.6794378999994</v>
      </c>
      <c r="M16" s="162">
        <f>K16+L16</f>
        <v>8158.6794378999994</v>
      </c>
      <c r="N16" s="88">
        <v>13</v>
      </c>
      <c r="O16" s="88">
        <v>10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9864</v>
      </c>
      <c r="E18" s="84"/>
      <c r="F18" s="148">
        <f t="shared" ref="F18:M18" si="0">SUM(F6:F17)</f>
        <v>98871</v>
      </c>
      <c r="G18" s="149">
        <f t="shared" si="0"/>
        <v>70610.76191666667</v>
      </c>
      <c r="H18" s="149">
        <f t="shared" si="0"/>
        <v>81265.758592479993</v>
      </c>
      <c r="I18" s="150">
        <f t="shared" si="0"/>
        <v>151876.52050914668</v>
      </c>
      <c r="J18" s="149">
        <f t="shared" si="0"/>
        <v>100329</v>
      </c>
      <c r="K18" s="149">
        <f t="shared" si="0"/>
        <v>83075.005666666664</v>
      </c>
      <c r="L18" s="149">
        <f t="shared" si="0"/>
        <v>84563.247644760035</v>
      </c>
      <c r="M18" s="157">
        <f t="shared" si="0"/>
        <v>167638.2533114267</v>
      </c>
      <c r="N18" s="149">
        <f>SUM(N16,N14,N12,N10,N8,N6)</f>
        <v>297</v>
      </c>
      <c r="O18" s="149">
        <f>SUM(O16,O14,O12,O10,O8,O6)</f>
        <v>279</v>
      </c>
      <c r="P18" s="158">
        <f>SUM(P16,P14,P12,P10,P8,P6)</f>
        <v>236</v>
      </c>
    </row>
    <row r="19" spans="2:28" ht="15" customHeight="1" thickBot="1" x14ac:dyDescent="0.35">
      <c r="B19" s="16" t="s">
        <v>51</v>
      </c>
      <c r="C19" s="17">
        <v>2249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35">
      <c r="B20" s="57" t="s">
        <v>52</v>
      </c>
      <c r="C20" s="58">
        <v>4809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0.15412186379928317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13788</v>
      </c>
      <c r="D28" s="76">
        <f>C13</f>
        <v>12716</v>
      </c>
      <c r="E28" s="77">
        <f t="shared" ref="E28:E35" si="1">D28-C28</f>
        <v>-1072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50377</v>
      </c>
      <c r="D31" s="76">
        <f>C9+C14+C15+C16+C17</f>
        <v>50573</v>
      </c>
      <c r="E31" s="77">
        <f t="shared" si="1"/>
        <v>196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126</v>
      </c>
      <c r="D32" s="76">
        <f>C6</f>
        <v>126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2101</v>
      </c>
      <c r="D33" s="76">
        <f>C12</f>
        <v>2101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17392</v>
      </c>
      <c r="D34" s="76">
        <f>C18+C19+C20</f>
        <v>16922</v>
      </c>
      <c r="E34" s="77">
        <f t="shared" si="1"/>
        <v>-470</v>
      </c>
      <c r="K34" s="53"/>
      <c r="P34" s="4"/>
    </row>
    <row r="35" spans="2:16" ht="15" customHeight="1" thickBot="1" x14ac:dyDescent="0.35">
      <c r="B35" s="78" t="s">
        <v>60</v>
      </c>
      <c r="C35" s="121">
        <v>827</v>
      </c>
      <c r="D35" s="80">
        <f>C10+C11</f>
        <v>827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44666</v>
      </c>
    </row>
    <row r="3" spans="2:27" ht="18.75" customHeight="1" thickBot="1" x14ac:dyDescent="0.35">
      <c r="B3" t="s">
        <v>1</v>
      </c>
      <c r="C3" s="3">
        <f>C2+1</f>
        <v>44667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25085</v>
      </c>
      <c r="G6" s="117">
        <v>15449.666499999999</v>
      </c>
      <c r="H6" s="117">
        <v>5647.7373477399988</v>
      </c>
      <c r="I6" s="152">
        <f>G6+H6</f>
        <v>21097.403847739999</v>
      </c>
      <c r="J6" s="119">
        <v>25324</v>
      </c>
      <c r="K6" s="117">
        <v>16604.245500000001</v>
      </c>
      <c r="L6" s="117">
        <v>5469.2488798999984</v>
      </c>
      <c r="M6" s="162">
        <f>K6+L6</f>
        <v>22073.494379899999</v>
      </c>
      <c r="N6" s="87">
        <v>78</v>
      </c>
      <c r="O6" s="87">
        <v>72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4574.3634711799996</v>
      </c>
      <c r="I8" s="152">
        <f>G8+H8</f>
        <v>4574.3634711799996</v>
      </c>
      <c r="J8" s="119">
        <v>0</v>
      </c>
      <c r="K8" s="117">
        <v>0</v>
      </c>
      <c r="L8" s="117">
        <v>4495.2093342999997</v>
      </c>
      <c r="M8" s="162">
        <f>K8+L8</f>
        <v>4495.2093342999997</v>
      </c>
      <c r="N8" s="87">
        <v>7</v>
      </c>
      <c r="O8" s="87">
        <v>6</v>
      </c>
      <c r="P8" s="87">
        <v>5</v>
      </c>
    </row>
    <row r="9" spans="2:27" x14ac:dyDescent="0.3">
      <c r="B9" s="16" t="s">
        <v>23</v>
      </c>
      <c r="C9" s="17">
        <v>2030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17924</v>
      </c>
      <c r="G10" s="117">
        <v>14164.145</v>
      </c>
      <c r="H10" s="117">
        <v>871.69216319999987</v>
      </c>
      <c r="I10" s="152">
        <f>G10+H10</f>
        <v>15035.8371632</v>
      </c>
      <c r="J10" s="119">
        <v>17478</v>
      </c>
      <c r="K10" s="117">
        <v>13443.4745</v>
      </c>
      <c r="L10" s="117">
        <v>836.92475520000005</v>
      </c>
      <c r="M10" s="162">
        <f>K10+L10</f>
        <v>14280.3992552</v>
      </c>
      <c r="N10" s="88">
        <v>54</v>
      </c>
      <c r="O10" s="88">
        <v>55</v>
      </c>
      <c r="P10" s="88">
        <v>49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30</v>
      </c>
      <c r="C12" s="17">
        <v>3683</v>
      </c>
      <c r="E12" s="161" t="s">
        <v>35</v>
      </c>
      <c r="F12" s="119">
        <v>17669</v>
      </c>
      <c r="G12" s="117">
        <v>19989.220249999998</v>
      </c>
      <c r="H12" s="117">
        <v>22103.487305449999</v>
      </c>
      <c r="I12" s="152">
        <f>G12+H12</f>
        <v>42092.707555449997</v>
      </c>
      <c r="J12" s="119">
        <v>19205</v>
      </c>
      <c r="K12" s="117">
        <v>20011.6345</v>
      </c>
      <c r="L12" s="117">
        <v>22681.2254952</v>
      </c>
      <c r="M12" s="162">
        <f>K12+L12</f>
        <v>42692.8599952</v>
      </c>
      <c r="N12" s="88">
        <v>58</v>
      </c>
      <c r="O12" s="88">
        <v>53</v>
      </c>
      <c r="P12" s="88">
        <v>49</v>
      </c>
    </row>
    <row r="13" spans="2:27" x14ac:dyDescent="0.3">
      <c r="B13" s="16" t="s">
        <v>38</v>
      </c>
      <c r="C13" s="17">
        <v>10061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2371</v>
      </c>
      <c r="E14" s="161" t="s">
        <v>39</v>
      </c>
      <c r="F14" s="119">
        <v>28763</v>
      </c>
      <c r="G14" s="117">
        <v>22102.001250000001</v>
      </c>
      <c r="H14" s="117">
        <v>36599.226440119986</v>
      </c>
      <c r="I14" s="152">
        <f>G14+H14</f>
        <v>58701.227690119988</v>
      </c>
      <c r="J14" s="119">
        <v>30187</v>
      </c>
      <c r="K14" s="117">
        <v>30364.877</v>
      </c>
      <c r="L14" s="117">
        <v>39758.648264179981</v>
      </c>
      <c r="M14" s="162">
        <f>K14+L14</f>
        <v>70123.525264179974</v>
      </c>
      <c r="N14" s="88">
        <v>77</v>
      </c>
      <c r="O14" s="88">
        <v>69</v>
      </c>
      <c r="P14" s="88">
        <v>60</v>
      </c>
    </row>
    <row r="15" spans="2:27" x14ac:dyDescent="0.3">
      <c r="B15" s="28" t="s">
        <v>42</v>
      </c>
      <c r="C15" s="17">
        <f>42938+8212</f>
        <v>51150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1665</v>
      </c>
      <c r="E16" s="161" t="s">
        <v>79</v>
      </c>
      <c r="F16" s="119">
        <v>0</v>
      </c>
      <c r="G16" s="117">
        <v>0</v>
      </c>
      <c r="H16" s="117">
        <v>7356.1820140799991</v>
      </c>
      <c r="I16" s="152">
        <f>G16+H16</f>
        <v>7356.1820140799991</v>
      </c>
      <c r="J16" s="119">
        <v>0</v>
      </c>
      <c r="K16" s="117">
        <v>0</v>
      </c>
      <c r="L16" s="117">
        <v>7141.8592305000002</v>
      </c>
      <c r="M16" s="162">
        <f>K16+L16</f>
        <v>7141.8592305000002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490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11242</v>
      </c>
      <c r="E18" s="84"/>
      <c r="F18" s="148">
        <f t="shared" ref="F18:M18" si="0">SUM(F6:F17)</f>
        <v>89441</v>
      </c>
      <c r="G18" s="149">
        <f t="shared" si="0"/>
        <v>71705.032999999996</v>
      </c>
      <c r="H18" s="149">
        <f t="shared" si="0"/>
        <v>77152.688741769991</v>
      </c>
      <c r="I18" s="150">
        <f t="shared" si="0"/>
        <v>148857.72174176999</v>
      </c>
      <c r="J18" s="149">
        <f t="shared" si="0"/>
        <v>92194</v>
      </c>
      <c r="K18" s="149">
        <f t="shared" si="0"/>
        <v>80424.231499999994</v>
      </c>
      <c r="L18" s="149">
        <f t="shared" si="0"/>
        <v>80383.115959279981</v>
      </c>
      <c r="M18" s="157">
        <f t="shared" si="0"/>
        <v>160807.34745927999</v>
      </c>
      <c r="N18" s="149">
        <f>SUM(N16,N14,N12,N10,N8,N6)</f>
        <v>286</v>
      </c>
      <c r="O18" s="149">
        <f>SUM(O16,O14,O12,O10,O8,O6)</f>
        <v>267</v>
      </c>
      <c r="P18" s="158">
        <f>SUM(P16,P14,P12,P10,P8,P6)</f>
        <v>239</v>
      </c>
    </row>
    <row r="19" spans="2:28" ht="15" customHeight="1" thickBot="1" x14ac:dyDescent="0.35">
      <c r="B19" s="16" t="s">
        <v>51</v>
      </c>
      <c r="C19" s="17">
        <v>568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35">
      <c r="B20" s="57" t="s">
        <v>52</v>
      </c>
      <c r="C20" s="58">
        <v>5001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0.10486891385767791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10690</v>
      </c>
      <c r="D28" s="76">
        <f>C13</f>
        <v>10061</v>
      </c>
      <c r="E28" s="77">
        <f t="shared" ref="E28:E35" si="1">D28-C28</f>
        <v>-629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48341</v>
      </c>
      <c r="D31" s="76">
        <f>C9+C14+C15+C16+C17</f>
        <v>57706</v>
      </c>
      <c r="E31" s="77">
        <f t="shared" si="1"/>
        <v>9365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3683</v>
      </c>
      <c r="D33" s="76">
        <f>C12</f>
        <v>3683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16275</v>
      </c>
      <c r="D34" s="76">
        <f>C18+C19+C20</f>
        <v>16811</v>
      </c>
      <c r="E34" s="77">
        <f t="shared" si="1"/>
        <v>536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44667</v>
      </c>
    </row>
    <row r="3" spans="2:27" ht="18.75" customHeight="1" thickBot="1" x14ac:dyDescent="0.35">
      <c r="B3" t="s">
        <v>1</v>
      </c>
      <c r="C3" s="3">
        <f>C2+1</f>
        <v>44668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84</v>
      </c>
      <c r="E6" s="161" t="s">
        <v>22</v>
      </c>
      <c r="F6" s="119">
        <v>27991</v>
      </c>
      <c r="G6" s="117">
        <v>13890.68388333333</v>
      </c>
      <c r="H6" s="117">
        <v>5058.9732620000032</v>
      </c>
      <c r="I6" s="152">
        <f>G6+H6</f>
        <v>18949.657145333331</v>
      </c>
      <c r="J6" s="119">
        <v>27569</v>
      </c>
      <c r="K6" s="117">
        <v>14446.10813333333</v>
      </c>
      <c r="L6" s="117">
        <v>4982.0159246200046</v>
      </c>
      <c r="M6" s="162">
        <f>K6+L6</f>
        <v>19428.124057953333</v>
      </c>
      <c r="N6" s="87">
        <v>83</v>
      </c>
      <c r="O6" s="87">
        <v>76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3436.0387728800001</v>
      </c>
      <c r="I8" s="152">
        <f>G8+H8</f>
        <v>3436.0387728800001</v>
      </c>
      <c r="J8" s="119">
        <v>0</v>
      </c>
      <c r="K8" s="117">
        <v>0</v>
      </c>
      <c r="L8" s="117">
        <v>3405.55486058</v>
      </c>
      <c r="M8" s="162">
        <f>K8+L8</f>
        <v>3405.55486058</v>
      </c>
      <c r="N8" s="87">
        <v>5</v>
      </c>
      <c r="O8" s="87">
        <v>4</v>
      </c>
      <c r="P8" s="87">
        <v>2</v>
      </c>
    </row>
    <row r="9" spans="2:27" x14ac:dyDescent="0.3">
      <c r="B9" s="16" t="s">
        <v>23</v>
      </c>
      <c r="C9" s="17">
        <v>2408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854</v>
      </c>
      <c r="E10" s="161" t="s">
        <v>31</v>
      </c>
      <c r="F10" s="119">
        <v>19671</v>
      </c>
      <c r="G10" s="117">
        <v>13653.20375000001</v>
      </c>
      <c r="H10" s="117">
        <v>1561.5685789199999</v>
      </c>
      <c r="I10" s="152">
        <f>G10+H10</f>
        <v>15214.772328920009</v>
      </c>
      <c r="J10" s="119">
        <v>19280</v>
      </c>
      <c r="K10" s="117">
        <v>14035.198249999999</v>
      </c>
      <c r="L10" s="117">
        <v>1476.7033807400001</v>
      </c>
      <c r="M10" s="162">
        <f>K10+L10</f>
        <v>15511.90163074</v>
      </c>
      <c r="N10" s="88">
        <v>63</v>
      </c>
      <c r="O10" s="88">
        <v>63</v>
      </c>
      <c r="P10" s="88">
        <v>54</v>
      </c>
    </row>
    <row r="11" spans="2:27" x14ac:dyDescent="0.3">
      <c r="B11" s="28" t="s">
        <v>28</v>
      </c>
      <c r="C11" s="17">
        <v>479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9</v>
      </c>
    </row>
    <row r="12" spans="2:27" x14ac:dyDescent="0.3">
      <c r="B12" s="16" t="s">
        <v>30</v>
      </c>
      <c r="C12" s="17">
        <v>1967</v>
      </c>
      <c r="E12" s="161" t="s">
        <v>35</v>
      </c>
      <c r="F12" s="119">
        <v>14885</v>
      </c>
      <c r="G12" s="117">
        <v>11516.843166666669</v>
      </c>
      <c r="H12" s="117">
        <v>15464.48956767</v>
      </c>
      <c r="I12" s="152">
        <f>G12+H12</f>
        <v>26981.332734336669</v>
      </c>
      <c r="J12" s="119">
        <v>15541</v>
      </c>
      <c r="K12" s="117">
        <v>11916.22741666667</v>
      </c>
      <c r="L12" s="117">
        <v>15689.875591710001</v>
      </c>
      <c r="M12" s="162">
        <f>K12+L12</f>
        <v>27606.103008376671</v>
      </c>
      <c r="N12" s="88">
        <v>60</v>
      </c>
      <c r="O12" s="88">
        <v>52</v>
      </c>
      <c r="P12" s="88">
        <v>47</v>
      </c>
    </row>
    <row r="13" spans="2:27" x14ac:dyDescent="0.3">
      <c r="B13" s="16" t="s">
        <v>38</v>
      </c>
      <c r="C13" s="17">
        <v>12310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1642</v>
      </c>
      <c r="E14" s="161" t="s">
        <v>39</v>
      </c>
      <c r="F14" s="119">
        <v>24774</v>
      </c>
      <c r="G14" s="117">
        <v>23856.772499999999</v>
      </c>
      <c r="H14" s="117">
        <v>31316.553098520031</v>
      </c>
      <c r="I14" s="152">
        <f>G14+H14</f>
        <v>55173.32559852003</v>
      </c>
      <c r="J14" s="119">
        <v>25495</v>
      </c>
      <c r="K14" s="117">
        <v>23503.850750000001</v>
      </c>
      <c r="L14" s="117">
        <v>32836.642540860033</v>
      </c>
      <c r="M14" s="162">
        <f>K14+L14</f>
        <v>56340.493290860031</v>
      </c>
      <c r="N14" s="88">
        <v>76</v>
      </c>
      <c r="O14" s="88">
        <v>66</v>
      </c>
      <c r="P14" s="88">
        <v>60</v>
      </c>
    </row>
    <row r="15" spans="2:27" x14ac:dyDescent="0.3">
      <c r="B15" s="28" t="s">
        <v>42</v>
      </c>
      <c r="C15" s="17">
        <f>31177+8509</f>
        <v>39686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1300</v>
      </c>
      <c r="E16" s="161" t="s">
        <v>79</v>
      </c>
      <c r="F16" s="119">
        <v>0</v>
      </c>
      <c r="G16" s="117">
        <v>0</v>
      </c>
      <c r="H16" s="117">
        <v>5039.1482708999993</v>
      </c>
      <c r="I16" s="152">
        <f>G16+H16</f>
        <v>5039.1482708999993</v>
      </c>
      <c r="J16" s="119">
        <v>0</v>
      </c>
      <c r="K16" s="117">
        <v>0</v>
      </c>
      <c r="L16" s="117">
        <v>4956.9131338999996</v>
      </c>
      <c r="M16" s="162">
        <f>K16+L16</f>
        <v>4956.9131338999996</v>
      </c>
      <c r="N16" s="88">
        <v>10</v>
      </c>
      <c r="O16" s="88">
        <v>12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11316</v>
      </c>
      <c r="E18" s="84"/>
      <c r="F18" s="148">
        <f t="shared" ref="F18:M18" si="0">SUM(F6:F17)</f>
        <v>87321</v>
      </c>
      <c r="G18" s="149">
        <f t="shared" si="0"/>
        <v>62917.503300000004</v>
      </c>
      <c r="H18" s="149">
        <f t="shared" si="0"/>
        <v>61876.771550890029</v>
      </c>
      <c r="I18" s="150">
        <f t="shared" si="0"/>
        <v>124794.27485089004</v>
      </c>
      <c r="J18" s="149">
        <f t="shared" si="0"/>
        <v>87885</v>
      </c>
      <c r="K18" s="149">
        <f t="shared" si="0"/>
        <v>63901.384550000002</v>
      </c>
      <c r="L18" s="149">
        <f t="shared" si="0"/>
        <v>63347.705432410039</v>
      </c>
      <c r="M18" s="157">
        <f t="shared" si="0"/>
        <v>127249.08998241003</v>
      </c>
      <c r="N18" s="149">
        <f>SUM(N16,N14,N12,N10,N8,N6)</f>
        <v>297</v>
      </c>
      <c r="O18" s="149">
        <f>SUM(O16,O14,O12,O10,O8,O6)</f>
        <v>273</v>
      </c>
      <c r="P18" s="158">
        <f>SUM(P16,P14,P12,P10,P8,P6)</f>
        <v>238</v>
      </c>
    </row>
    <row r="19" spans="2:28" ht="15" customHeight="1" thickBot="1" x14ac:dyDescent="0.35">
      <c r="B19" s="16" t="s">
        <v>51</v>
      </c>
      <c r="C19" s="17">
        <v>1479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5176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0.12820512820512819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12340</v>
      </c>
      <c r="D28" s="76">
        <f>C13</f>
        <v>12310</v>
      </c>
      <c r="E28" s="77">
        <f t="shared" ref="E28:E35" si="1">D28-C28</f>
        <v>-30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38276</v>
      </c>
      <c r="D31" s="76">
        <f>C9+C14+C15+C16+C17</f>
        <v>45249</v>
      </c>
      <c r="E31" s="77">
        <f t="shared" si="1"/>
        <v>6973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84</v>
      </c>
      <c r="D32" s="76">
        <f>C6</f>
        <v>84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1967</v>
      </c>
      <c r="D33" s="76">
        <f>C12</f>
        <v>1967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18692</v>
      </c>
      <c r="D34" s="76">
        <f>C18+C19+C20</f>
        <v>17971</v>
      </c>
      <c r="E34" s="77">
        <f t="shared" si="1"/>
        <v>-721</v>
      </c>
      <c r="K34" s="53"/>
      <c r="P34" s="4"/>
    </row>
    <row r="35" spans="2:16" ht="15" customHeight="1" thickBot="1" x14ac:dyDescent="0.35">
      <c r="B35" s="78" t="s">
        <v>60</v>
      </c>
      <c r="C35" s="121">
        <v>1333</v>
      </c>
      <c r="D35" s="80">
        <f>C10+C11</f>
        <v>1333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44668</v>
      </c>
    </row>
    <row r="3" spans="2:27" ht="18.75" customHeight="1" thickBot="1" x14ac:dyDescent="0.35">
      <c r="B3" t="s">
        <v>1</v>
      </c>
      <c r="C3" s="3">
        <f>C2+1</f>
        <v>44669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12687</v>
      </c>
      <c r="G6" s="117">
        <v>4440</v>
      </c>
      <c r="H6" s="117">
        <v>264</v>
      </c>
      <c r="I6" s="152">
        <f>G6+H6</f>
        <v>4704</v>
      </c>
      <c r="J6" s="119">
        <v>12274</v>
      </c>
      <c r="K6" s="117">
        <v>4292</v>
      </c>
      <c r="L6" s="117">
        <v>215</v>
      </c>
      <c r="M6" s="162">
        <f>K6+L6</f>
        <v>4507</v>
      </c>
      <c r="N6" s="87">
        <v>46</v>
      </c>
      <c r="O6" s="87">
        <v>44</v>
      </c>
      <c r="P6" s="87">
        <v>38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1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6295</v>
      </c>
      <c r="G10" s="117">
        <v>3210</v>
      </c>
      <c r="H10" s="117">
        <v>995</v>
      </c>
      <c r="I10" s="152">
        <f>G10+H10</f>
        <v>4205</v>
      </c>
      <c r="J10" s="119">
        <v>6100</v>
      </c>
      <c r="K10" s="117">
        <v>3150</v>
      </c>
      <c r="L10" s="117">
        <v>938</v>
      </c>
      <c r="M10" s="162">
        <f>K10+L10</f>
        <v>4088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/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12163</v>
      </c>
      <c r="E18" s="84"/>
      <c r="F18" s="148">
        <f t="shared" ref="F18:M18" si="0">SUM(F6:F17)</f>
        <v>18982</v>
      </c>
      <c r="G18" s="149">
        <f t="shared" si="0"/>
        <v>7650</v>
      </c>
      <c r="H18" s="149">
        <f t="shared" si="0"/>
        <v>1259</v>
      </c>
      <c r="I18" s="150">
        <f t="shared" si="0"/>
        <v>8909</v>
      </c>
      <c r="J18" s="149">
        <f t="shared" si="0"/>
        <v>18374</v>
      </c>
      <c r="K18" s="149">
        <f t="shared" si="0"/>
        <v>7442</v>
      </c>
      <c r="L18" s="149">
        <f t="shared" si="0"/>
        <v>1153</v>
      </c>
      <c r="M18" s="157">
        <f t="shared" si="0"/>
        <v>8595</v>
      </c>
      <c r="N18" s="149">
        <f>SUM(N16,N14,N12,N10,N8,N6)</f>
        <v>48</v>
      </c>
      <c r="O18" s="149">
        <f>SUM(O16,O14,O12,O10,O8,O6)</f>
        <v>45</v>
      </c>
      <c r="P18" s="158">
        <f>SUM(P16,P14,P12,P10,P8,P6)</f>
        <v>39</v>
      </c>
    </row>
    <row r="19" spans="2:28" ht="15" customHeight="1" thickBot="1" x14ac:dyDescent="0.35">
      <c r="B19" s="16" t="s">
        <v>51</v>
      </c>
      <c r="C19" s="17">
        <v>901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6</v>
      </c>
    </row>
    <row r="20" spans="2:28" ht="15" customHeight="1" thickBot="1" x14ac:dyDescent="0.35">
      <c r="B20" s="57" t="s">
        <v>52</v>
      </c>
      <c r="C20" s="58">
        <v>5310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0.13333333333333333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18982</v>
      </c>
      <c r="D34" s="76">
        <f>C18+C19+C20</f>
        <v>18374</v>
      </c>
      <c r="E34" s="77">
        <f t="shared" si="1"/>
        <v>-608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44669</v>
      </c>
    </row>
    <row r="3" spans="2:27" ht="18.75" customHeight="1" thickBot="1" x14ac:dyDescent="0.35">
      <c r="B3" t="s">
        <v>1</v>
      </c>
      <c r="C3" s="3">
        <f>C2+1</f>
        <v>44670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81</v>
      </c>
      <c r="E6" s="161" t="s">
        <v>22</v>
      </c>
      <c r="F6" s="119">
        <v>26016</v>
      </c>
      <c r="G6" s="117">
        <v>13089.990433333331</v>
      </c>
      <c r="H6" s="117">
        <v>5067.9948089399986</v>
      </c>
      <c r="I6" s="152">
        <f>G6+H6</f>
        <v>18157.985242273331</v>
      </c>
      <c r="J6" s="119">
        <v>25032</v>
      </c>
      <c r="K6" s="117">
        <v>12659.961183333329</v>
      </c>
      <c r="L6" s="117">
        <v>4817.8314719599985</v>
      </c>
      <c r="M6" s="162">
        <f>K6+L6</f>
        <v>17477.792655293328</v>
      </c>
      <c r="N6" s="87">
        <v>79</v>
      </c>
      <c r="O6" s="87">
        <v>75</v>
      </c>
      <c r="P6" s="87">
        <v>67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3403.6992667200002</v>
      </c>
      <c r="I8" s="152">
        <f>G8+H8</f>
        <v>3403.6992667200002</v>
      </c>
      <c r="J8" s="119">
        <v>0</v>
      </c>
      <c r="K8" s="117">
        <v>0</v>
      </c>
      <c r="L8" s="117">
        <v>3313.8903679</v>
      </c>
      <c r="M8" s="162">
        <f>K8+L8</f>
        <v>3313.8903679</v>
      </c>
      <c r="N8" s="87">
        <v>7</v>
      </c>
      <c r="O8" s="87">
        <v>6</v>
      </c>
      <c r="P8" s="87">
        <v>4</v>
      </c>
    </row>
    <row r="9" spans="2:27" x14ac:dyDescent="0.3">
      <c r="B9" s="16" t="s">
        <v>23</v>
      </c>
      <c r="C9" s="17">
        <v>1804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312</v>
      </c>
      <c r="E10" s="161" t="s">
        <v>31</v>
      </c>
      <c r="F10" s="119">
        <v>16754</v>
      </c>
      <c r="G10" s="117">
        <v>11678.562749999999</v>
      </c>
      <c r="H10" s="117">
        <v>959.26903949999996</v>
      </c>
      <c r="I10" s="152">
        <f>G10+H10</f>
        <v>12637.8317895</v>
      </c>
      <c r="J10" s="119">
        <v>17883</v>
      </c>
      <c r="K10" s="117">
        <v>12847.867249999999</v>
      </c>
      <c r="L10" s="117">
        <v>906.53322319999995</v>
      </c>
      <c r="M10" s="162">
        <f>K10+L10</f>
        <v>13754.400473199999</v>
      </c>
      <c r="N10" s="88">
        <v>53</v>
      </c>
      <c r="O10" s="88">
        <v>54</v>
      </c>
      <c r="P10" s="88">
        <v>53</v>
      </c>
    </row>
    <row r="11" spans="2:27" x14ac:dyDescent="0.3">
      <c r="B11" s="28" t="s">
        <v>28</v>
      </c>
      <c r="C11" s="17">
        <v>201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30</v>
      </c>
      <c r="C12" s="17">
        <v>3573</v>
      </c>
      <c r="E12" s="161" t="s">
        <v>35</v>
      </c>
      <c r="F12" s="119">
        <v>10694</v>
      </c>
      <c r="G12" s="117">
        <v>9799.6595000000016</v>
      </c>
      <c r="H12" s="117">
        <v>11533.56793653</v>
      </c>
      <c r="I12" s="152">
        <f>G12+H12</f>
        <v>21333.227436530004</v>
      </c>
      <c r="J12" s="119">
        <v>9584</v>
      </c>
      <c r="K12" s="117">
        <v>7940.3182499999994</v>
      </c>
      <c r="L12" s="117">
        <v>10659.056285709999</v>
      </c>
      <c r="M12" s="162">
        <f>K12+L12</f>
        <v>18599.374535709998</v>
      </c>
      <c r="N12" s="88">
        <v>54</v>
      </c>
      <c r="O12" s="88">
        <v>49</v>
      </c>
      <c r="P12" s="88">
        <v>46</v>
      </c>
    </row>
    <row r="13" spans="2:27" x14ac:dyDescent="0.3">
      <c r="B13" s="16" t="s">
        <v>38</v>
      </c>
      <c r="C13" s="17">
        <v>9430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16" t="s">
        <v>40</v>
      </c>
      <c r="C14" s="17">
        <v>2371</v>
      </c>
      <c r="E14" s="161" t="s">
        <v>39</v>
      </c>
      <c r="F14" s="119">
        <v>22887</v>
      </c>
      <c r="G14" s="117">
        <v>20400.362499999999</v>
      </c>
      <c r="H14" s="117">
        <v>29116.155570560011</v>
      </c>
      <c r="I14" s="152">
        <f>G14+H14</f>
        <v>49516.518070560007</v>
      </c>
      <c r="J14" s="119">
        <v>22076</v>
      </c>
      <c r="K14" s="117">
        <v>17111.002</v>
      </c>
      <c r="L14" s="117">
        <v>28188.537850460019</v>
      </c>
      <c r="M14" s="162">
        <f>K14+L14</f>
        <v>45299.539850460016</v>
      </c>
      <c r="N14" s="88">
        <v>75</v>
      </c>
      <c r="O14" s="88">
        <v>65</v>
      </c>
      <c r="P14" s="88">
        <v>62</v>
      </c>
    </row>
    <row r="15" spans="2:27" x14ac:dyDescent="0.3">
      <c r="B15" s="28" t="s">
        <v>42</v>
      </c>
      <c r="C15" s="17">
        <v>21530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2:27" x14ac:dyDescent="0.3">
      <c r="B16" s="43" t="s">
        <v>47</v>
      </c>
      <c r="C16" s="17">
        <v>1146</v>
      </c>
      <c r="E16" s="161" t="s">
        <v>79</v>
      </c>
      <c r="F16" s="119">
        <v>0</v>
      </c>
      <c r="G16" s="117">
        <v>0</v>
      </c>
      <c r="H16" s="117">
        <v>5330.0712978000001</v>
      </c>
      <c r="I16" s="152">
        <f>G16+H16</f>
        <v>5330.0712978000001</v>
      </c>
      <c r="J16" s="119">
        <v>0</v>
      </c>
      <c r="K16" s="117">
        <v>0</v>
      </c>
      <c r="L16" s="117">
        <v>5038.4743300600003</v>
      </c>
      <c r="M16" s="162">
        <f>K16+L16</f>
        <v>5038.4743300600003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490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10890</v>
      </c>
      <c r="E18" s="84"/>
      <c r="F18" s="148">
        <f t="shared" ref="F18:M18" si="0">SUM(F6:F17)</f>
        <v>76351</v>
      </c>
      <c r="G18" s="149">
        <f t="shared" si="0"/>
        <v>54968.575183333334</v>
      </c>
      <c r="H18" s="149">
        <f t="shared" si="0"/>
        <v>55410.757920050011</v>
      </c>
      <c r="I18" s="150">
        <f t="shared" si="0"/>
        <v>110379.33310338334</v>
      </c>
      <c r="J18" s="149">
        <f t="shared" si="0"/>
        <v>74575</v>
      </c>
      <c r="K18" s="149">
        <f t="shared" si="0"/>
        <v>50559.148683333326</v>
      </c>
      <c r="L18" s="149">
        <f t="shared" si="0"/>
        <v>52924.323529290014</v>
      </c>
      <c r="M18" s="157">
        <f t="shared" si="0"/>
        <v>103483.47221262334</v>
      </c>
      <c r="N18" s="149">
        <f>SUM(N16,N14,N12,N10,N8,N6)</f>
        <v>278</v>
      </c>
      <c r="O18" s="149">
        <f>SUM(O16,O14,O12,O10,O8,O6)</f>
        <v>259</v>
      </c>
      <c r="P18" s="158">
        <f>SUM(P16,P14,P12,P10,P8,P6)</f>
        <v>242</v>
      </c>
    </row>
    <row r="19" spans="2:28" ht="15" customHeight="1" thickBot="1" x14ac:dyDescent="0.35">
      <c r="B19" s="16" t="s">
        <v>51</v>
      </c>
      <c r="C19" s="17">
        <v>1318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ht="15" customHeight="1" thickBot="1" x14ac:dyDescent="0.35">
      <c r="B20" s="57" t="s">
        <v>52</v>
      </c>
      <c r="C20" s="58">
        <v>5143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6.5637065637065631E-2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11470</v>
      </c>
      <c r="D28" s="76">
        <f>C13</f>
        <v>9430</v>
      </c>
      <c r="E28" s="77">
        <f t="shared" ref="E28:E35" si="1">D28-C28</f>
        <v>-2040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27380</v>
      </c>
      <c r="D31" s="76">
        <f>C9+C14+C15+C16+C17</f>
        <v>27341</v>
      </c>
      <c r="E31" s="77">
        <f t="shared" si="1"/>
        <v>-39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81</v>
      </c>
      <c r="D32" s="76">
        <f>C6</f>
        <v>81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3573</v>
      </c>
      <c r="D33" s="76">
        <f>C12</f>
        <v>3573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18415</v>
      </c>
      <c r="D34" s="76">
        <f>C18+C19+C20</f>
        <v>17351</v>
      </c>
      <c r="E34" s="77">
        <f t="shared" si="1"/>
        <v>-1064</v>
      </c>
      <c r="K34" s="53"/>
      <c r="P34" s="4"/>
    </row>
    <row r="35" spans="2:16" ht="15" customHeight="1" thickBot="1" x14ac:dyDescent="0.35">
      <c r="B35" s="78" t="s">
        <v>60</v>
      </c>
      <c r="C35" s="121">
        <v>513</v>
      </c>
      <c r="D35" s="80">
        <f>C10+C11</f>
        <v>513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44670</v>
      </c>
    </row>
    <row r="3" spans="2:27" ht="18.75" customHeight="1" thickBot="1" x14ac:dyDescent="0.35">
      <c r="B3" t="s">
        <v>1</v>
      </c>
      <c r="C3" s="3">
        <f>C2+1</f>
        <v>44671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111</v>
      </c>
    </row>
    <row r="6" spans="2:27" x14ac:dyDescent="0.3">
      <c r="B6" s="16" t="s">
        <v>21</v>
      </c>
      <c r="C6" s="17">
        <v>188</v>
      </c>
      <c r="E6" s="161" t="s">
        <v>22</v>
      </c>
      <c r="F6" s="119">
        <v>29427</v>
      </c>
      <c r="G6" s="117">
        <v>13861.33</v>
      </c>
      <c r="H6" s="117">
        <v>5948.9431520800053</v>
      </c>
      <c r="I6" s="152">
        <f>G6+H6</f>
        <v>19810.273152080004</v>
      </c>
      <c r="J6" s="119">
        <v>29952</v>
      </c>
      <c r="K6" s="117">
        <v>14993.938500000009</v>
      </c>
      <c r="L6" s="117">
        <v>5619.740622240005</v>
      </c>
      <c r="M6" s="162">
        <f>K6+L6</f>
        <v>20613.679122240013</v>
      </c>
      <c r="N6" s="87">
        <v>89</v>
      </c>
      <c r="O6" s="87">
        <v>85</v>
      </c>
      <c r="P6" s="87">
        <v>75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3221.3767861400001</v>
      </c>
      <c r="I8" s="152">
        <f>G8+H8</f>
        <v>3221.3767861400001</v>
      </c>
      <c r="J8" s="119">
        <v>0</v>
      </c>
      <c r="K8" s="117">
        <v>0</v>
      </c>
      <c r="L8" s="117">
        <v>3177.9831569200001</v>
      </c>
      <c r="M8" s="162">
        <f>K8+L8</f>
        <v>3177.9831569200001</v>
      </c>
      <c r="N8" s="87">
        <v>7</v>
      </c>
      <c r="O8" s="87">
        <v>6</v>
      </c>
      <c r="P8" s="87">
        <v>3</v>
      </c>
    </row>
    <row r="9" spans="2:27" x14ac:dyDescent="0.3">
      <c r="B9" s="16" t="s">
        <v>23</v>
      </c>
      <c r="C9" s="17">
        <v>4457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3">
      <c r="B10" s="28" t="s">
        <v>26</v>
      </c>
      <c r="C10" s="17">
        <v>795</v>
      </c>
      <c r="E10" s="161" t="s">
        <v>31</v>
      </c>
      <c r="F10" s="119">
        <v>20703</v>
      </c>
      <c r="G10" s="117">
        <v>13818.020500000001</v>
      </c>
      <c r="H10" s="117">
        <v>1542.58114856</v>
      </c>
      <c r="I10" s="152">
        <f>G10+H10</f>
        <v>15360.601648560001</v>
      </c>
      <c r="J10" s="119">
        <v>20654</v>
      </c>
      <c r="K10" s="117">
        <v>13110.384</v>
      </c>
      <c r="L10" s="117">
        <v>1562.87321662</v>
      </c>
      <c r="M10" s="162">
        <f>K10+L10</f>
        <v>14673.257216620001</v>
      </c>
      <c r="N10" s="88">
        <v>58</v>
      </c>
      <c r="O10" s="88">
        <v>57</v>
      </c>
      <c r="P10" s="88">
        <v>54</v>
      </c>
    </row>
    <row r="11" spans="2:27" x14ac:dyDescent="0.3">
      <c r="B11" s="28" t="s">
        <v>28</v>
      </c>
      <c r="C11" s="17">
        <v>455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2272</v>
      </c>
      <c r="E12" s="161" t="s">
        <v>35</v>
      </c>
      <c r="F12" s="119">
        <v>14909</v>
      </c>
      <c r="G12" s="117">
        <v>10761.526208333329</v>
      </c>
      <c r="H12" s="117">
        <v>17013.137180469999</v>
      </c>
      <c r="I12" s="152">
        <f>G12+H12</f>
        <v>27774.663388803328</v>
      </c>
      <c r="J12" s="119">
        <v>13699</v>
      </c>
      <c r="K12" s="117">
        <v>11209.59095833333</v>
      </c>
      <c r="L12" s="117">
        <v>16303.70896598</v>
      </c>
      <c r="M12" s="162">
        <f>K12+L12</f>
        <v>27513.299924313331</v>
      </c>
      <c r="N12" s="88">
        <v>53</v>
      </c>
      <c r="O12" s="88">
        <v>46</v>
      </c>
      <c r="P12" s="88">
        <v>42</v>
      </c>
    </row>
    <row r="13" spans="2:27" x14ac:dyDescent="0.3">
      <c r="B13" s="16" t="s">
        <v>38</v>
      </c>
      <c r="C13" s="17">
        <v>9808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4013</v>
      </c>
      <c r="E14" s="161" t="s">
        <v>39</v>
      </c>
      <c r="F14" s="119">
        <v>26138</v>
      </c>
      <c r="G14" s="117">
        <v>22635.153750000001</v>
      </c>
      <c r="H14" s="117">
        <v>33143.813754289993</v>
      </c>
      <c r="I14" s="152">
        <f>G14+H14</f>
        <v>55778.967504289991</v>
      </c>
      <c r="J14" s="119">
        <v>24462</v>
      </c>
      <c r="K14" s="117">
        <v>22786.337</v>
      </c>
      <c r="L14" s="117">
        <v>30860.787360810009</v>
      </c>
      <c r="M14" s="162">
        <f>K14+L14</f>
        <v>53647.124360810005</v>
      </c>
      <c r="N14" s="88">
        <v>76</v>
      </c>
      <c r="O14" s="88">
        <v>66</v>
      </c>
      <c r="P14" s="88">
        <v>66</v>
      </c>
    </row>
    <row r="15" spans="2:27" x14ac:dyDescent="0.3">
      <c r="B15" s="28" t="s">
        <v>42</v>
      </c>
      <c r="C15" s="17">
        <f>28124+8347</f>
        <v>36471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2284</v>
      </c>
      <c r="E16" s="161" t="s">
        <v>79</v>
      </c>
      <c r="F16" s="119">
        <v>0</v>
      </c>
      <c r="G16" s="117">
        <v>0</v>
      </c>
      <c r="H16" s="117">
        <v>4811.2426637199997</v>
      </c>
      <c r="I16" s="152">
        <f>G16+H16</f>
        <v>4811.2426637199997</v>
      </c>
      <c r="J16" s="119">
        <v>0</v>
      </c>
      <c r="K16" s="117">
        <v>0</v>
      </c>
      <c r="L16" s="117">
        <v>4666.8572823799996</v>
      </c>
      <c r="M16" s="162">
        <f>K16+L16</f>
        <v>4666.8572823799996</v>
      </c>
      <c r="N16" s="88">
        <v>12</v>
      </c>
      <c r="O16" s="88">
        <v>13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703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12701</v>
      </c>
      <c r="E18" s="84"/>
      <c r="F18" s="148">
        <f t="shared" ref="F18:M18" si="0">SUM(F6:F17)</f>
        <v>91177</v>
      </c>
      <c r="G18" s="149">
        <f t="shared" si="0"/>
        <v>61076.030458333335</v>
      </c>
      <c r="H18" s="149">
        <f t="shared" si="0"/>
        <v>65681.094685260003</v>
      </c>
      <c r="I18" s="150">
        <f t="shared" si="0"/>
        <v>126757.12514359332</v>
      </c>
      <c r="J18" s="149">
        <f t="shared" si="0"/>
        <v>88767</v>
      </c>
      <c r="K18" s="149">
        <f t="shared" si="0"/>
        <v>62100.250458333336</v>
      </c>
      <c r="L18" s="149">
        <f t="shared" si="0"/>
        <v>62191.950604950012</v>
      </c>
      <c r="M18" s="157">
        <f t="shared" si="0"/>
        <v>124292.20106328336</v>
      </c>
      <c r="N18" s="149">
        <f>SUM(N16,N14,N12,N10,N8,N6)</f>
        <v>295</v>
      </c>
      <c r="O18" s="149">
        <f>SUM(O16,O14,O12,O10,O8,O6)</f>
        <v>273</v>
      </c>
      <c r="P18" s="158">
        <f>SUM(P16,P14,P12,P10,P8,P6)</f>
        <v>251</v>
      </c>
    </row>
    <row r="19" spans="2:28" ht="15" customHeight="1" thickBot="1" x14ac:dyDescent="0.35">
      <c r="B19" s="16" t="s">
        <v>51</v>
      </c>
      <c r="C19" s="17">
        <v>1171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</row>
    <row r="20" spans="2:28" ht="15" customHeight="1" thickBot="1" x14ac:dyDescent="0.35">
      <c r="B20" s="57" t="s">
        <v>52</v>
      </c>
      <c r="C20" s="58">
        <v>5535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8.0586080586080591E-2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10749</v>
      </c>
      <c r="D28" s="76">
        <f>C13</f>
        <v>9808</v>
      </c>
      <c r="E28" s="77">
        <f t="shared" ref="E28:E35" si="1">D28-C28</f>
        <v>-941</v>
      </c>
    </row>
    <row r="29" spans="2:28" x14ac:dyDescent="0.3">
      <c r="B29" s="74" t="s">
        <v>58</v>
      </c>
      <c r="C29" s="122">
        <v>0</v>
      </c>
      <c r="D29" s="76">
        <f>C7</f>
        <v>20</v>
      </c>
      <c r="E29" s="77">
        <f t="shared" si="1"/>
        <v>20</v>
      </c>
      <c r="M29" s="53"/>
      <c r="P29" s="4"/>
    </row>
    <row r="30" spans="2:28" x14ac:dyDescent="0.3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39146</v>
      </c>
      <c r="D31" s="76">
        <f>C9+C14+C15+C16+C17</f>
        <v>47928</v>
      </c>
      <c r="E31" s="77">
        <f t="shared" si="1"/>
        <v>8782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188</v>
      </c>
      <c r="D32" s="76">
        <f>C6</f>
        <v>188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2272</v>
      </c>
      <c r="D33" s="76">
        <f>C12</f>
        <v>2272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18230</v>
      </c>
      <c r="D34" s="76">
        <f>C18+C19+C20</f>
        <v>19407</v>
      </c>
      <c r="E34" s="77">
        <f t="shared" si="1"/>
        <v>1177</v>
      </c>
      <c r="K34" s="53"/>
      <c r="P34" s="4"/>
    </row>
    <row r="35" spans="2:16" ht="15" customHeight="1" thickBot="1" x14ac:dyDescent="0.35">
      <c r="B35" s="78" t="s">
        <v>60</v>
      </c>
      <c r="C35" s="121">
        <v>1250</v>
      </c>
      <c r="D35" s="80">
        <f>C10+C11</f>
        <v>1250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44671</v>
      </c>
    </row>
    <row r="3" spans="2:27" ht="18.75" customHeight="1" thickBot="1" x14ac:dyDescent="0.35">
      <c r="B3" t="s">
        <v>1</v>
      </c>
      <c r="C3" s="3">
        <f>C2+1</f>
        <v>44672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112</v>
      </c>
    </row>
    <row r="6" spans="2:27" x14ac:dyDescent="0.3">
      <c r="B6" s="16" t="s">
        <v>21</v>
      </c>
      <c r="C6" s="17">
        <v>71</v>
      </c>
      <c r="E6" s="161" t="s">
        <v>22</v>
      </c>
      <c r="F6" s="119">
        <v>28982</v>
      </c>
      <c r="G6" s="117">
        <v>13735.442999999999</v>
      </c>
      <c r="H6" s="117">
        <v>5028.195756760003</v>
      </c>
      <c r="I6" s="152">
        <f>G6+H6</f>
        <v>18763.638756760003</v>
      </c>
      <c r="J6" s="119">
        <v>28345</v>
      </c>
      <c r="K6" s="117">
        <v>15005.40850000001</v>
      </c>
      <c r="L6" s="117">
        <v>4646.1999238200033</v>
      </c>
      <c r="M6" s="162">
        <f>K6+L6</f>
        <v>19651.608423820013</v>
      </c>
      <c r="N6" s="87">
        <v>78</v>
      </c>
      <c r="O6" s="87">
        <v>77</v>
      </c>
      <c r="P6" s="87">
        <v>64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25</v>
      </c>
      <c r="E8" s="161" t="s">
        <v>27</v>
      </c>
      <c r="F8" s="119">
        <v>0</v>
      </c>
      <c r="G8" s="117">
        <v>0</v>
      </c>
      <c r="H8" s="117">
        <v>4128.409615980001</v>
      </c>
      <c r="I8" s="152">
        <f>G8+H8</f>
        <v>4128.409615980001</v>
      </c>
      <c r="J8" s="119">
        <v>0</v>
      </c>
      <c r="K8" s="117">
        <v>0</v>
      </c>
      <c r="L8" s="117">
        <v>4099.7780549400004</v>
      </c>
      <c r="M8" s="162">
        <f>K8+L8</f>
        <v>4099.7780549400004</v>
      </c>
      <c r="N8" s="87">
        <v>4</v>
      </c>
      <c r="O8" s="87">
        <v>3</v>
      </c>
      <c r="P8" s="87">
        <v>2</v>
      </c>
    </row>
    <row r="9" spans="2:27" x14ac:dyDescent="0.3">
      <c r="B9" s="16" t="s">
        <v>23</v>
      </c>
      <c r="C9" s="17">
        <v>1902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20013</v>
      </c>
      <c r="G10" s="117">
        <v>13866.281999999999</v>
      </c>
      <c r="H10" s="117">
        <v>964.5547004</v>
      </c>
      <c r="I10" s="152">
        <f>G10+H10</f>
        <v>14830.836700399999</v>
      </c>
      <c r="J10" s="119">
        <v>19618</v>
      </c>
      <c r="K10" s="117">
        <v>14155.4485</v>
      </c>
      <c r="L10" s="117">
        <v>878.27028163999989</v>
      </c>
      <c r="M10" s="162">
        <f>K10+L10</f>
        <v>15033.71878164</v>
      </c>
      <c r="N10" s="88">
        <v>51</v>
      </c>
      <c r="O10" s="88">
        <v>53</v>
      </c>
      <c r="P10" s="88">
        <v>48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2362</v>
      </c>
      <c r="E12" s="161" t="s">
        <v>35</v>
      </c>
      <c r="F12" s="119">
        <v>13634</v>
      </c>
      <c r="G12" s="117">
        <v>10347.16275</v>
      </c>
      <c r="H12" s="117">
        <v>16172.423979130001</v>
      </c>
      <c r="I12" s="152">
        <f>G12+H12</f>
        <v>26519.586729130002</v>
      </c>
      <c r="J12" s="119">
        <v>13154</v>
      </c>
      <c r="K12" s="117">
        <v>12603.241</v>
      </c>
      <c r="L12" s="117">
        <v>15740.350826499989</v>
      </c>
      <c r="M12" s="162">
        <f>K12+L12</f>
        <v>28343.591826499989</v>
      </c>
      <c r="N12" s="88">
        <v>53</v>
      </c>
      <c r="O12" s="88">
        <v>50</v>
      </c>
      <c r="P12" s="88">
        <v>42</v>
      </c>
    </row>
    <row r="13" spans="2:27" x14ac:dyDescent="0.3">
      <c r="B13" s="16" t="s">
        <v>38</v>
      </c>
      <c r="C13" s="17">
        <v>12219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16" t="s">
        <v>40</v>
      </c>
      <c r="C14" s="17">
        <v>2245</v>
      </c>
      <c r="E14" s="161" t="s">
        <v>39</v>
      </c>
      <c r="F14" s="119">
        <v>20152</v>
      </c>
      <c r="G14" s="117">
        <v>19071.713749999999</v>
      </c>
      <c r="H14" s="117">
        <v>25783.222820020019</v>
      </c>
      <c r="I14" s="152">
        <f>G14+H14</f>
        <v>44854.936570020014</v>
      </c>
      <c r="J14" s="119">
        <v>20332</v>
      </c>
      <c r="K14" s="117">
        <v>20420.66475</v>
      </c>
      <c r="L14" s="117">
        <v>26337.269923600012</v>
      </c>
      <c r="M14" s="162">
        <f>K14+L14</f>
        <v>46757.934673600015</v>
      </c>
      <c r="N14" s="88">
        <v>71</v>
      </c>
      <c r="O14" s="88">
        <v>62</v>
      </c>
      <c r="P14" s="88">
        <v>51</v>
      </c>
    </row>
    <row r="15" spans="2:27" x14ac:dyDescent="0.3">
      <c r="B15" s="28" t="s">
        <v>42</v>
      </c>
      <c r="C15" s="17">
        <f>30384+8154</f>
        <v>38538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1623</v>
      </c>
      <c r="E16" s="161" t="s">
        <v>79</v>
      </c>
      <c r="F16" s="119">
        <v>0</v>
      </c>
      <c r="G16" s="117">
        <v>0</v>
      </c>
      <c r="H16" s="117">
        <v>9312.2849114199998</v>
      </c>
      <c r="I16" s="152">
        <f>G16+H16</f>
        <v>9312.2849114199998</v>
      </c>
      <c r="J16" s="119">
        <v>0</v>
      </c>
      <c r="K16" s="117">
        <v>0</v>
      </c>
      <c r="L16" s="117">
        <v>9102.0417963399996</v>
      </c>
      <c r="M16" s="162">
        <f>K16+L16</f>
        <v>9102.0417963399996</v>
      </c>
      <c r="N16" s="88">
        <v>11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415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10978</v>
      </c>
      <c r="E18" s="84"/>
      <c r="F18" s="148">
        <f t="shared" ref="F18:M18" si="0">SUM(F6:F17)</f>
        <v>82781</v>
      </c>
      <c r="G18" s="149">
        <f t="shared" si="0"/>
        <v>57020.60149999999</v>
      </c>
      <c r="H18" s="149">
        <f t="shared" si="0"/>
        <v>61389.091783710021</v>
      </c>
      <c r="I18" s="150">
        <f t="shared" si="0"/>
        <v>118409.69328371002</v>
      </c>
      <c r="J18" s="149">
        <f t="shared" si="0"/>
        <v>81449</v>
      </c>
      <c r="K18" s="149">
        <f t="shared" si="0"/>
        <v>62184.762750000009</v>
      </c>
      <c r="L18" s="149">
        <f t="shared" si="0"/>
        <v>60803.910806840009</v>
      </c>
      <c r="M18" s="157">
        <f t="shared" si="0"/>
        <v>122988.67355684002</v>
      </c>
      <c r="N18" s="149">
        <f>SUM(N16,N14,N12,N10,N8,N6)</f>
        <v>268</v>
      </c>
      <c r="O18" s="149">
        <f>SUM(O16,O14,O12,O10,O8,O6)</f>
        <v>255</v>
      </c>
      <c r="P18" s="158">
        <f>SUM(P16,P14,P12,P10,P8,P6)</f>
        <v>217</v>
      </c>
    </row>
    <row r="19" spans="2:28" ht="15" customHeight="1" thickBot="1" x14ac:dyDescent="0.35">
      <c r="B19" s="16" t="s">
        <v>51</v>
      </c>
      <c r="C19" s="17">
        <v>1490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35">
      <c r="B20" s="57" t="s">
        <v>52</v>
      </c>
      <c r="C20" s="58">
        <v>5544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0.14901960784313725</v>
      </c>
    </row>
    <row r="22" spans="2:28" x14ac:dyDescent="0.3">
      <c r="L22" s="4"/>
      <c r="M22" s="4"/>
    </row>
    <row r="23" spans="2:28" x14ac:dyDescent="0.3">
      <c r="H23" s="123"/>
      <c r="I23" s="123"/>
      <c r="J23" s="123"/>
      <c r="M23" s="4"/>
    </row>
    <row r="25" spans="2:28" ht="15" customHeight="1" thickBot="1" x14ac:dyDescent="0.35"/>
    <row r="26" spans="2:28" ht="15" customHeight="1" thickBot="1" x14ac:dyDescent="0.35">
      <c r="C26" s="68" t="s">
        <v>2</v>
      </c>
      <c r="D26" s="209" t="s">
        <v>3</v>
      </c>
      <c r="E26" s="210"/>
      <c r="H26" s="53"/>
    </row>
    <row r="27" spans="2:28" x14ac:dyDescent="0.3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3">
      <c r="B28" s="74" t="s">
        <v>55</v>
      </c>
      <c r="C28" s="122">
        <v>12766</v>
      </c>
      <c r="D28" s="76">
        <f>C13</f>
        <v>12219</v>
      </c>
      <c r="E28" s="77">
        <f t="shared" ref="E28:E35" si="1">D28-C28</f>
        <v>-547</v>
      </c>
    </row>
    <row r="29" spans="2:28" x14ac:dyDescent="0.3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3">
      <c r="B30" s="74" t="s">
        <v>103</v>
      </c>
      <c r="C30" s="122">
        <v>25</v>
      </c>
      <c r="D30" s="76">
        <f>C8</f>
        <v>25</v>
      </c>
      <c r="E30" s="77">
        <f t="shared" si="1"/>
        <v>0</v>
      </c>
      <c r="G30" s="53"/>
      <c r="M30" s="53"/>
      <c r="P30" s="4"/>
    </row>
    <row r="31" spans="2:28" x14ac:dyDescent="0.3">
      <c r="B31" s="74" t="s">
        <v>56</v>
      </c>
      <c r="C31" s="122">
        <v>38750</v>
      </c>
      <c r="D31" s="76">
        <f>C9+C14+C15+C16+C17</f>
        <v>44723</v>
      </c>
      <c r="E31" s="77">
        <f t="shared" si="1"/>
        <v>5973</v>
      </c>
      <c r="F31" s="1" t="s">
        <v>75</v>
      </c>
      <c r="K31" s="1" t="s">
        <v>75</v>
      </c>
      <c r="O31" s="1" t="s">
        <v>75</v>
      </c>
      <c r="P31" s="4"/>
    </row>
    <row r="32" spans="2:28" x14ac:dyDescent="0.3">
      <c r="B32" s="74" t="s">
        <v>21</v>
      </c>
      <c r="C32" s="122">
        <v>71</v>
      </c>
      <c r="D32" s="76">
        <f>C6</f>
        <v>71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3">
      <c r="B33" s="74" t="s">
        <v>57</v>
      </c>
      <c r="C33" s="122">
        <v>2362</v>
      </c>
      <c r="D33" s="76">
        <f>C12</f>
        <v>2362</v>
      </c>
      <c r="E33" s="77">
        <f t="shared" si="1"/>
        <v>0</v>
      </c>
      <c r="J33" s="53"/>
      <c r="K33" s="53"/>
      <c r="P33" s="4"/>
    </row>
    <row r="34" spans="2:16" x14ac:dyDescent="0.3">
      <c r="B34" s="74" t="s">
        <v>59</v>
      </c>
      <c r="C34" s="122">
        <v>18546</v>
      </c>
      <c r="D34" s="76">
        <f>C18+C19+C20</f>
        <v>18012</v>
      </c>
      <c r="E34" s="77">
        <f t="shared" si="1"/>
        <v>-534</v>
      </c>
      <c r="K34" s="53"/>
      <c r="P34" s="4"/>
    </row>
    <row r="35" spans="2:16" ht="15" customHeight="1" thickBot="1" x14ac:dyDescent="0.3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44672</v>
      </c>
    </row>
    <row r="3" spans="2:27" ht="18.75" customHeight="1" thickBot="1" x14ac:dyDescent="0.35">
      <c r="B3" t="s">
        <v>1</v>
      </c>
      <c r="C3" s="3">
        <f>C2+1</f>
        <v>44673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113</v>
      </c>
    </row>
    <row r="6" spans="2:27" x14ac:dyDescent="0.3">
      <c r="B6" s="16" t="s">
        <v>21</v>
      </c>
      <c r="C6" s="17">
        <v>119</v>
      </c>
      <c r="E6" s="161" t="s">
        <v>22</v>
      </c>
      <c r="F6" s="119">
        <v>27641</v>
      </c>
      <c r="G6" s="117">
        <v>14412.49911666666</v>
      </c>
      <c r="H6" s="117">
        <v>6081.8787634400014</v>
      </c>
      <c r="I6" s="152">
        <f>G6+H6</f>
        <v>20494.377880106662</v>
      </c>
      <c r="J6" s="119">
        <v>27909</v>
      </c>
      <c r="K6" s="117">
        <v>15243.011866666669</v>
      </c>
      <c r="L6" s="117">
        <v>5784.3477694400008</v>
      </c>
      <c r="M6" s="162">
        <f>K6+L6</f>
        <v>21027.35963610667</v>
      </c>
      <c r="N6" s="87">
        <v>82</v>
      </c>
      <c r="O6" s="87">
        <v>77</v>
      </c>
      <c r="P6" s="87">
        <v>71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3389.5717139799999</v>
      </c>
      <c r="I8" s="152">
        <f>G8+H8</f>
        <v>3389.5717139799999</v>
      </c>
      <c r="J8" s="119">
        <v>0</v>
      </c>
      <c r="K8" s="117">
        <v>0</v>
      </c>
      <c r="L8" s="117">
        <v>3257.0041900400001</v>
      </c>
      <c r="M8" s="162">
        <f>K8+L8</f>
        <v>3257.0041900400001</v>
      </c>
      <c r="N8" s="87">
        <v>5</v>
      </c>
      <c r="O8" s="87">
        <v>5</v>
      </c>
      <c r="P8" s="87">
        <v>4</v>
      </c>
    </row>
    <row r="9" spans="2:27" x14ac:dyDescent="0.3">
      <c r="B9" s="16" t="s">
        <v>23</v>
      </c>
      <c r="C9" s="17">
        <v>3127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981</v>
      </c>
      <c r="E10" s="161" t="s">
        <v>31</v>
      </c>
      <c r="F10" s="119">
        <v>19715</v>
      </c>
      <c r="G10" s="117">
        <v>13541.705749999999</v>
      </c>
      <c r="H10" s="117">
        <v>1793.1615256600001</v>
      </c>
      <c r="I10" s="152">
        <f>G10+H10</f>
        <v>15334.867275659999</v>
      </c>
      <c r="J10" s="119">
        <v>21164</v>
      </c>
      <c r="K10" s="117">
        <v>14806.83375</v>
      </c>
      <c r="L10" s="117">
        <v>1594.0915431999999</v>
      </c>
      <c r="M10" s="162">
        <f>K10+L10</f>
        <v>16400.925293199998</v>
      </c>
      <c r="N10" s="88">
        <v>59</v>
      </c>
      <c r="O10" s="88">
        <v>59</v>
      </c>
      <c r="P10" s="88">
        <v>56</v>
      </c>
    </row>
    <row r="11" spans="2:27" x14ac:dyDescent="0.3">
      <c r="B11" s="28" t="s">
        <v>28</v>
      </c>
      <c r="C11" s="17">
        <v>591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2458</v>
      </c>
      <c r="E12" s="161" t="s">
        <v>35</v>
      </c>
      <c r="F12" s="119">
        <v>16248</v>
      </c>
      <c r="G12" s="117">
        <v>12055.217500000001</v>
      </c>
      <c r="H12" s="117">
        <v>18536.822490300001</v>
      </c>
      <c r="I12" s="152">
        <f>G12+H12</f>
        <v>30592.0399903</v>
      </c>
      <c r="J12" s="119">
        <v>16326</v>
      </c>
      <c r="K12" s="117">
        <v>13319.99</v>
      </c>
      <c r="L12" s="117">
        <v>19237.74325978999</v>
      </c>
      <c r="M12" s="162">
        <f>K12+L12</f>
        <v>32557.733259789988</v>
      </c>
      <c r="N12" s="88">
        <v>53</v>
      </c>
      <c r="O12" s="88">
        <v>48</v>
      </c>
      <c r="P12" s="88">
        <v>45</v>
      </c>
    </row>
    <row r="13" spans="2:27" x14ac:dyDescent="0.3">
      <c r="B13" s="16" t="s">
        <v>38</v>
      </c>
      <c r="C13" s="17">
        <v>9753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16" t="s">
        <v>40</v>
      </c>
      <c r="C14" s="17">
        <v>2369</v>
      </c>
      <c r="E14" s="161" t="s">
        <v>39</v>
      </c>
      <c r="F14" s="119">
        <v>27378</v>
      </c>
      <c r="G14" s="117">
        <v>20632.428749999999</v>
      </c>
      <c r="H14" s="117">
        <v>33935.364145220032</v>
      </c>
      <c r="I14" s="152">
        <f>G14+H14</f>
        <v>54567.792895220031</v>
      </c>
      <c r="J14" s="119">
        <v>26777</v>
      </c>
      <c r="K14" s="117">
        <v>22369.085999999999</v>
      </c>
      <c r="L14" s="117">
        <v>33557.776288460038</v>
      </c>
      <c r="M14" s="162">
        <f>K14+L14</f>
        <v>55926.862288460034</v>
      </c>
      <c r="N14" s="88">
        <v>76</v>
      </c>
      <c r="O14" s="88">
        <v>67</v>
      </c>
      <c r="P14" s="88">
        <v>62</v>
      </c>
    </row>
    <row r="15" spans="2:27" x14ac:dyDescent="0.3">
      <c r="B15" s="28" t="s">
        <v>42</v>
      </c>
      <c r="C15" s="17">
        <f>31464+10134</f>
        <v>41598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1106</v>
      </c>
      <c r="E16" s="161" t="s">
        <v>79</v>
      </c>
      <c r="F16" s="119">
        <v>0</v>
      </c>
      <c r="G16" s="117">
        <v>0</v>
      </c>
      <c r="H16" s="117">
        <v>5544.4111084599999</v>
      </c>
      <c r="I16" s="152">
        <f>G16+H16</f>
        <v>5544.4111084599999</v>
      </c>
      <c r="J16" s="119">
        <v>0</v>
      </c>
      <c r="K16" s="117">
        <v>0</v>
      </c>
      <c r="L16" s="117">
        <v>5536.7298830799991</v>
      </c>
      <c r="M16" s="162">
        <f>K16+L16</f>
        <v>5536.7298830799991</v>
      </c>
      <c r="N16" s="88">
        <v>10</v>
      </c>
      <c r="O16" s="88">
        <v>11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385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10989</v>
      </c>
      <c r="E18" s="84"/>
      <c r="F18" s="148">
        <f t="shared" ref="F18:M18" si="0">SUM(F6:F17)</f>
        <v>90982</v>
      </c>
      <c r="G18" s="149">
        <f t="shared" si="0"/>
        <v>60641.851116666658</v>
      </c>
      <c r="H18" s="149">
        <f t="shared" si="0"/>
        <v>69281.209747060027</v>
      </c>
      <c r="I18" s="150">
        <f t="shared" si="0"/>
        <v>129923.06086372669</v>
      </c>
      <c r="J18" s="149">
        <f t="shared" si="0"/>
        <v>92176</v>
      </c>
      <c r="K18" s="149">
        <f t="shared" si="0"/>
        <v>65738.921616666674</v>
      </c>
      <c r="L18" s="149">
        <f t="shared" si="0"/>
        <v>68967.692934010032</v>
      </c>
      <c r="M18" s="157">
        <f t="shared" si="0"/>
        <v>134706.61455067666</v>
      </c>
      <c r="N18" s="149">
        <f>SUM(N16,N14,N12,N10,N8,N6)</f>
        <v>285</v>
      </c>
      <c r="O18" s="149">
        <f>SUM(O16,O14,O12,O10,O8,O6)</f>
        <v>267</v>
      </c>
      <c r="P18" s="158">
        <f>SUM(P16,P14,P12,P10,P8,P6)</f>
        <v>246</v>
      </c>
    </row>
    <row r="19" spans="2:28" ht="15" customHeight="1" thickBot="1" x14ac:dyDescent="0.35">
      <c r="B19" s="16" t="s">
        <v>51</v>
      </c>
      <c r="C19" s="17">
        <v>2345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35">
      <c r="B20" s="57" t="s">
        <v>52</v>
      </c>
      <c r="C20" s="58">
        <v>4959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7.8651685393258425E-2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11314</v>
      </c>
      <c r="D25" s="76">
        <f>C13</f>
        <v>9753</v>
      </c>
      <c r="E25" s="77">
        <f t="shared" ref="E25:E32" si="1">D25-C25</f>
        <v>-1561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40014</v>
      </c>
      <c r="D28" s="76">
        <f>C9+C14+C15+C16+C17</f>
        <v>48585</v>
      </c>
      <c r="E28" s="77">
        <f t="shared" si="1"/>
        <v>8571</v>
      </c>
      <c r="F28" s="1" t="s">
        <v>75</v>
      </c>
      <c r="K28" s="1" t="s">
        <v>75</v>
      </c>
      <c r="O28" s="1" t="s">
        <v>75</v>
      </c>
      <c r="P28" s="4"/>
    </row>
    <row r="29" spans="2:28" x14ac:dyDescent="0.3">
      <c r="B29" s="74" t="s">
        <v>21</v>
      </c>
      <c r="C29" s="122">
        <v>119</v>
      </c>
      <c r="D29" s="76">
        <f>C6</f>
        <v>119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3">
      <c r="B30" s="74" t="s">
        <v>57</v>
      </c>
      <c r="C30" s="122">
        <v>2458</v>
      </c>
      <c r="D30" s="76">
        <f>C12</f>
        <v>2458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17190</v>
      </c>
      <c r="D31" s="76">
        <f>C18+C19+C20</f>
        <v>18293</v>
      </c>
      <c r="E31" s="77">
        <f t="shared" si="1"/>
        <v>1103</v>
      </c>
      <c r="K31" s="53"/>
      <c r="P31" s="4"/>
    </row>
    <row r="32" spans="2:28" ht="15" customHeight="1" thickBot="1" x14ac:dyDescent="0.35">
      <c r="B32" s="78" t="s">
        <v>60</v>
      </c>
      <c r="C32" s="121">
        <v>1572</v>
      </c>
      <c r="D32" s="80">
        <f>C10+C11</f>
        <v>1572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44673</v>
      </c>
    </row>
    <row r="3" spans="2:27" ht="18.75" customHeight="1" thickBot="1" x14ac:dyDescent="0.35">
      <c r="B3" t="s">
        <v>1</v>
      </c>
      <c r="C3" s="3">
        <f>C2+1</f>
        <v>44674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113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25438</v>
      </c>
      <c r="G6" s="117">
        <v>14174.040499999999</v>
      </c>
      <c r="H6" s="117">
        <v>4594.7420354599963</v>
      </c>
      <c r="I6" s="152">
        <f>G6+H6</f>
        <v>18768.782535459995</v>
      </c>
      <c r="J6" s="119">
        <v>24461</v>
      </c>
      <c r="K6" s="117">
        <v>14747.297</v>
      </c>
      <c r="L6" s="117">
        <v>4382.48882744</v>
      </c>
      <c r="M6" s="162">
        <f>K6+L6</f>
        <v>19129.785827439999</v>
      </c>
      <c r="N6" s="87">
        <v>77</v>
      </c>
      <c r="O6" s="87">
        <v>75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4157.392430339999</v>
      </c>
      <c r="I8" s="152">
        <f>G8+H8</f>
        <v>4157.392430339999</v>
      </c>
      <c r="J8" s="119">
        <v>0</v>
      </c>
      <c r="K8" s="117">
        <v>0</v>
      </c>
      <c r="L8" s="117">
        <v>4064.951309439999</v>
      </c>
      <c r="M8" s="162">
        <f>K8+L8</f>
        <v>4064.951309439999</v>
      </c>
      <c r="N8" s="87">
        <v>6</v>
      </c>
      <c r="O8" s="87">
        <v>5</v>
      </c>
      <c r="P8" s="87">
        <v>4</v>
      </c>
    </row>
    <row r="9" spans="2:27" x14ac:dyDescent="0.3">
      <c r="B9" s="16" t="s">
        <v>23</v>
      </c>
      <c r="C9" s="17">
        <v>1474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18539</v>
      </c>
      <c r="G10" s="117">
        <v>14041.077499999999</v>
      </c>
      <c r="H10" s="117">
        <v>1209.1004316999999</v>
      </c>
      <c r="I10" s="152">
        <f>G10+H10</f>
        <v>15250.1779317</v>
      </c>
      <c r="J10" s="119">
        <v>18176</v>
      </c>
      <c r="K10" s="117">
        <v>14097.246499999999</v>
      </c>
      <c r="L10" s="117">
        <v>972.41055524000012</v>
      </c>
      <c r="M10" s="162">
        <f>K10+L10</f>
        <v>15069.657055239999</v>
      </c>
      <c r="N10" s="88">
        <v>52</v>
      </c>
      <c r="O10" s="88">
        <v>53</v>
      </c>
      <c r="P10" s="88">
        <v>49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4921</v>
      </c>
      <c r="E12" s="161" t="s">
        <v>35</v>
      </c>
      <c r="F12" s="119">
        <v>16144</v>
      </c>
      <c r="G12" s="117">
        <v>13672.246999999999</v>
      </c>
      <c r="H12" s="117">
        <v>18973.188407739999</v>
      </c>
      <c r="I12" s="152">
        <f>G12+H12</f>
        <v>32645.435407739998</v>
      </c>
      <c r="J12" s="119">
        <v>15398</v>
      </c>
      <c r="K12" s="117">
        <v>15218.217500000001</v>
      </c>
      <c r="L12" s="117">
        <v>18524.9688551</v>
      </c>
      <c r="M12" s="162">
        <f>K12+L12</f>
        <v>33743.186355099999</v>
      </c>
      <c r="N12" s="88">
        <v>57</v>
      </c>
      <c r="O12" s="88">
        <v>52</v>
      </c>
      <c r="P12" s="88">
        <v>49</v>
      </c>
    </row>
    <row r="13" spans="2:27" x14ac:dyDescent="0.3">
      <c r="B13" s="16" t="s">
        <v>38</v>
      </c>
      <c r="C13" s="17">
        <v>10413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16" t="s">
        <v>40</v>
      </c>
      <c r="C14" s="17">
        <v>1468</v>
      </c>
      <c r="E14" s="161" t="s">
        <v>39</v>
      </c>
      <c r="F14" s="119">
        <v>31118</v>
      </c>
      <c r="G14" s="117">
        <v>23487.61</v>
      </c>
      <c r="H14" s="117">
        <v>38001.572112550013</v>
      </c>
      <c r="I14" s="152">
        <f>G14+H14</f>
        <v>61489.182112550014</v>
      </c>
      <c r="J14" s="119">
        <v>30805</v>
      </c>
      <c r="K14" s="117">
        <v>26154.486250000002</v>
      </c>
      <c r="L14" s="117">
        <v>37558.605660110014</v>
      </c>
      <c r="M14" s="162">
        <f>K14+L14</f>
        <v>63713.091910110015</v>
      </c>
      <c r="N14" s="88">
        <v>81</v>
      </c>
      <c r="O14" s="88">
        <v>71</v>
      </c>
      <c r="P14" s="88">
        <v>67</v>
      </c>
    </row>
    <row r="15" spans="2:27" x14ac:dyDescent="0.3">
      <c r="B15" s="28" t="s">
        <v>42</v>
      </c>
      <c r="C15" s="17">
        <f>35607+8875</f>
        <v>44482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2:27" x14ac:dyDescent="0.3">
      <c r="B16" s="43" t="s">
        <v>47</v>
      </c>
      <c r="C16" s="17">
        <v>1438</v>
      </c>
      <c r="E16" s="161" t="s">
        <v>79</v>
      </c>
      <c r="F16" s="119">
        <v>0</v>
      </c>
      <c r="G16" s="117">
        <v>0</v>
      </c>
      <c r="H16" s="117">
        <v>9843.1898031399996</v>
      </c>
      <c r="I16" s="152">
        <f>G16+H16</f>
        <v>9843.1898031399996</v>
      </c>
      <c r="J16" s="119">
        <v>0</v>
      </c>
      <c r="K16" s="117">
        <v>0</v>
      </c>
      <c r="L16" s="117">
        <v>9961.0388868600003</v>
      </c>
      <c r="M16" s="162">
        <f>K16+L16</f>
        <v>9961.0388868600003</v>
      </c>
      <c r="N16" s="88">
        <v>14</v>
      </c>
      <c r="O16" s="88">
        <v>14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264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9869</v>
      </c>
      <c r="E18" s="84"/>
      <c r="F18" s="148">
        <f t="shared" ref="F18:M18" si="0">SUM(F6:F17)</f>
        <v>91239</v>
      </c>
      <c r="G18" s="149">
        <f t="shared" si="0"/>
        <v>65374.974999999999</v>
      </c>
      <c r="H18" s="149">
        <f t="shared" si="0"/>
        <v>76779.185220930012</v>
      </c>
      <c r="I18" s="150">
        <f t="shared" si="0"/>
        <v>142154.16022093</v>
      </c>
      <c r="J18" s="149">
        <f t="shared" si="0"/>
        <v>88840</v>
      </c>
      <c r="K18" s="149">
        <f t="shared" si="0"/>
        <v>70217.24725</v>
      </c>
      <c r="L18" s="149">
        <f t="shared" si="0"/>
        <v>75464.464094190014</v>
      </c>
      <c r="M18" s="157">
        <f t="shared" si="0"/>
        <v>145681.71134419</v>
      </c>
      <c r="N18" s="149">
        <f>SUM(N16,N14,N12,N10,N8,N6)</f>
        <v>287</v>
      </c>
      <c r="O18" s="149">
        <f>SUM(O16,O14,O12,O10,O8,O6)</f>
        <v>270</v>
      </c>
      <c r="P18" s="158">
        <f>SUM(P16,P14,P12,P10,P8,P6)</f>
        <v>246</v>
      </c>
    </row>
    <row r="19" spans="2:28" ht="15" customHeight="1" thickBot="1" x14ac:dyDescent="0.35">
      <c r="B19" s="16" t="s">
        <v>51</v>
      </c>
      <c r="C19" s="17">
        <v>708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35">
      <c r="B20" s="57" t="s">
        <v>52</v>
      </c>
      <c r="C20" s="58">
        <v>5105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8.8888888888888892E-2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10999</v>
      </c>
      <c r="D25" s="76">
        <f>C13</f>
        <v>10413</v>
      </c>
      <c r="E25" s="77">
        <f t="shared" ref="E25:E32" si="1">D25-C25</f>
        <v>-586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45357</v>
      </c>
      <c r="D28" s="76">
        <f>C9+C14+C15+C16+C17</f>
        <v>49126</v>
      </c>
      <c r="E28" s="77">
        <f t="shared" si="1"/>
        <v>3769</v>
      </c>
      <c r="F28" s="1" t="s">
        <v>75</v>
      </c>
      <c r="K28" s="1" t="s">
        <v>75</v>
      </c>
      <c r="O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3">
      <c r="B30" s="74" t="s">
        <v>57</v>
      </c>
      <c r="C30" s="122">
        <v>4921</v>
      </c>
      <c r="D30" s="76">
        <f>C12</f>
        <v>4921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16590</v>
      </c>
      <c r="D31" s="76">
        <f>C18+C19+C20</f>
        <v>15682</v>
      </c>
      <c r="E31" s="77">
        <f t="shared" si="1"/>
        <v>-908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44674</v>
      </c>
    </row>
    <row r="3" spans="2:27" ht="18.75" customHeight="1" thickBot="1" x14ac:dyDescent="0.35">
      <c r="B3" t="s">
        <v>1</v>
      </c>
      <c r="C3" s="3">
        <f>C2+1</f>
        <v>44675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95</v>
      </c>
      <c r="E6" s="161" t="s">
        <v>22</v>
      </c>
      <c r="F6" s="119">
        <v>28916</v>
      </c>
      <c r="G6" s="117">
        <v>13979.661700000001</v>
      </c>
      <c r="H6" s="117">
        <v>5414.5515661199952</v>
      </c>
      <c r="I6" s="152">
        <f>G6+H6</f>
        <v>19394.213266119994</v>
      </c>
      <c r="J6" s="119">
        <v>29911</v>
      </c>
      <c r="K6" s="117">
        <v>16500.207200000001</v>
      </c>
      <c r="L6" s="117">
        <v>5327.3546031599953</v>
      </c>
      <c r="M6" s="162">
        <f>K6+L6</f>
        <v>21827.561803159995</v>
      </c>
      <c r="N6" s="87">
        <v>77</v>
      </c>
      <c r="O6" s="87">
        <v>77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3768.6455804799998</v>
      </c>
      <c r="I8" s="152">
        <f>G8+H8</f>
        <v>3768.6455804799998</v>
      </c>
      <c r="J8" s="119">
        <v>0</v>
      </c>
      <c r="K8" s="117">
        <v>0</v>
      </c>
      <c r="L8" s="117">
        <v>3756.3047633400001</v>
      </c>
      <c r="M8" s="162">
        <f>K8+L8</f>
        <v>3756.3047633400001</v>
      </c>
      <c r="N8" s="87">
        <v>6</v>
      </c>
      <c r="O8" s="87">
        <v>3</v>
      </c>
      <c r="P8" s="87">
        <v>4</v>
      </c>
    </row>
    <row r="9" spans="2:27" x14ac:dyDescent="0.3">
      <c r="B9" s="16" t="s">
        <v>23</v>
      </c>
      <c r="C9" s="17">
        <v>2407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26</v>
      </c>
      <c r="C10" s="17">
        <v>894</v>
      </c>
      <c r="E10" s="161" t="s">
        <v>31</v>
      </c>
      <c r="F10" s="119">
        <v>18870</v>
      </c>
      <c r="G10" s="117">
        <v>12683.482249999999</v>
      </c>
      <c r="H10" s="117">
        <v>1883.3040544600001</v>
      </c>
      <c r="I10" s="152">
        <f>G10+H10</f>
        <v>14566.78630446</v>
      </c>
      <c r="J10" s="119">
        <v>20103</v>
      </c>
      <c r="K10" s="117">
        <v>14573.69425</v>
      </c>
      <c r="L10" s="117">
        <v>1758.6303963600001</v>
      </c>
      <c r="M10" s="162">
        <f>K10+L10</f>
        <v>16332.324646360001</v>
      </c>
      <c r="N10" s="88">
        <v>52</v>
      </c>
      <c r="O10" s="88">
        <v>63</v>
      </c>
      <c r="P10" s="88">
        <v>49</v>
      </c>
    </row>
    <row r="11" spans="2:27" x14ac:dyDescent="0.3">
      <c r="B11" s="28" t="s">
        <v>28</v>
      </c>
      <c r="C11" s="17">
        <v>435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14</v>
      </c>
    </row>
    <row r="12" spans="2:27" x14ac:dyDescent="0.3">
      <c r="B12" s="16" t="s">
        <v>30</v>
      </c>
      <c r="C12" s="17">
        <v>2080</v>
      </c>
      <c r="E12" s="161" t="s">
        <v>35</v>
      </c>
      <c r="F12" s="119">
        <v>17954</v>
      </c>
      <c r="G12" s="117">
        <v>14070.807416666659</v>
      </c>
      <c r="H12" s="117">
        <v>21676.35627362</v>
      </c>
      <c r="I12" s="152">
        <f>G12+H12</f>
        <v>35747.163690286659</v>
      </c>
      <c r="J12" s="119">
        <v>17415</v>
      </c>
      <c r="K12" s="117">
        <v>15455.27416666667</v>
      </c>
      <c r="L12" s="117">
        <v>21231.926597640009</v>
      </c>
      <c r="M12" s="162">
        <f>K12+L12</f>
        <v>36687.200764306675</v>
      </c>
      <c r="N12" s="88">
        <v>57</v>
      </c>
      <c r="O12" s="88">
        <v>52</v>
      </c>
      <c r="P12" s="88">
        <v>49</v>
      </c>
    </row>
    <row r="13" spans="2:27" x14ac:dyDescent="0.3">
      <c r="B13" s="16" t="s">
        <v>38</v>
      </c>
      <c r="C13" s="17">
        <v>11459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3">
      <c r="B14" s="16" t="s">
        <v>40</v>
      </c>
      <c r="C14" s="17">
        <v>1638</v>
      </c>
      <c r="E14" s="161" t="s">
        <v>39</v>
      </c>
      <c r="F14" s="119">
        <v>27281</v>
      </c>
      <c r="G14" s="117">
        <v>22528.994999999999</v>
      </c>
      <c r="H14" s="117">
        <v>36214.717358270012</v>
      </c>
      <c r="I14" s="152">
        <f>G14+H14</f>
        <v>58743.712358270015</v>
      </c>
      <c r="J14" s="119">
        <v>26272</v>
      </c>
      <c r="K14" s="117">
        <v>25165.458500000001</v>
      </c>
      <c r="L14" s="117">
        <v>35124.309025740011</v>
      </c>
      <c r="M14" s="162">
        <f>K14+L14</f>
        <v>60289.767525740011</v>
      </c>
      <c r="N14" s="88">
        <v>81</v>
      </c>
      <c r="O14" s="88">
        <v>72</v>
      </c>
      <c r="P14" s="88">
        <v>67</v>
      </c>
    </row>
    <row r="15" spans="2:27" x14ac:dyDescent="0.3">
      <c r="B15" s="28" t="s">
        <v>42</v>
      </c>
      <c r="C15" s="17">
        <f>35295+8501</f>
        <v>43796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1302</v>
      </c>
      <c r="E16" s="161" t="s">
        <v>79</v>
      </c>
      <c r="F16" s="119">
        <v>0</v>
      </c>
      <c r="G16" s="117">
        <v>0</v>
      </c>
      <c r="H16" s="117">
        <v>5868.1916029800004</v>
      </c>
      <c r="I16" s="152">
        <f>G16+H16</f>
        <v>5868.1916029800004</v>
      </c>
      <c r="J16" s="119">
        <v>0</v>
      </c>
      <c r="K16" s="117">
        <v>0</v>
      </c>
      <c r="L16" s="117">
        <v>6399.1062793799993</v>
      </c>
      <c r="M16" s="162">
        <f>K16+L16</f>
        <v>6399.1062793799993</v>
      </c>
      <c r="N16" s="88">
        <v>14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12669</v>
      </c>
      <c r="E18" s="84"/>
      <c r="F18" s="148">
        <f t="shared" ref="F18:M18" si="0">SUM(F6:F17)</f>
        <v>93021</v>
      </c>
      <c r="G18" s="149">
        <f t="shared" si="0"/>
        <v>63262.946366666656</v>
      </c>
      <c r="H18" s="149">
        <f t="shared" si="0"/>
        <v>74825.766435930011</v>
      </c>
      <c r="I18" s="150">
        <f t="shared" si="0"/>
        <v>138088.71280259665</v>
      </c>
      <c r="J18" s="149">
        <f t="shared" si="0"/>
        <v>93701</v>
      </c>
      <c r="K18" s="149">
        <f t="shared" si="0"/>
        <v>71694.634116666683</v>
      </c>
      <c r="L18" s="149">
        <f t="shared" si="0"/>
        <v>73597.631665620007</v>
      </c>
      <c r="M18" s="157">
        <f t="shared" si="0"/>
        <v>145292.26578228667</v>
      </c>
      <c r="N18" s="149">
        <f>SUM(N16,N14,N12,N10,N8,N6)</f>
        <v>287</v>
      </c>
      <c r="O18" s="149">
        <f>SUM(O16,O14,O12,O10,O8,O6)</f>
        <v>279</v>
      </c>
      <c r="P18" s="158">
        <f>SUM(P16,P14,P12,P10,P8,P6)</f>
        <v>246</v>
      </c>
    </row>
    <row r="19" spans="2:28" ht="15" customHeight="1" thickBot="1" x14ac:dyDescent="0.35">
      <c r="B19" s="16" t="s">
        <v>51</v>
      </c>
      <c r="C19" s="17">
        <v>1816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35">
      <c r="B20" s="57" t="s">
        <v>52</v>
      </c>
      <c r="C20" s="58">
        <v>5175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0.11827956989247312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11916</v>
      </c>
      <c r="D25" s="76">
        <f>C13</f>
        <v>11459</v>
      </c>
      <c r="E25" s="77">
        <f t="shared" ref="E25:E32" si="1">D25-C25</f>
        <v>-457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43876</v>
      </c>
      <c r="D28" s="76">
        <f>C9+C14+C15+C16+C17</f>
        <v>49356</v>
      </c>
      <c r="E28" s="77">
        <f t="shared" si="1"/>
        <v>5480</v>
      </c>
      <c r="F28" s="1" t="s">
        <v>75</v>
      </c>
      <c r="K28" s="1" t="s">
        <v>75</v>
      </c>
      <c r="O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95</v>
      </c>
      <c r="E29" s="77">
        <f t="shared" si="1"/>
        <v>95</v>
      </c>
      <c r="F29" s="1" t="s">
        <v>75</v>
      </c>
      <c r="K29" s="1" t="s">
        <v>75</v>
      </c>
      <c r="O29" s="1" t="s">
        <v>75</v>
      </c>
      <c r="P29" s="4"/>
    </row>
    <row r="30" spans="2:28" x14ac:dyDescent="0.3">
      <c r="B30" s="74" t="s">
        <v>57</v>
      </c>
      <c r="C30" s="122">
        <v>2190</v>
      </c>
      <c r="D30" s="76">
        <f>C12</f>
        <v>2080</v>
      </c>
      <c r="E30" s="77">
        <f t="shared" si="1"/>
        <v>-110</v>
      </c>
      <c r="J30" s="53"/>
      <c r="K30" s="53"/>
      <c r="P30" s="4"/>
    </row>
    <row r="31" spans="2:28" x14ac:dyDescent="0.3">
      <c r="B31" s="74" t="s">
        <v>59</v>
      </c>
      <c r="C31" s="122">
        <v>18280</v>
      </c>
      <c r="D31" s="76">
        <f>C18+C19+C20</f>
        <v>19660</v>
      </c>
      <c r="E31" s="77">
        <f t="shared" si="1"/>
        <v>1380</v>
      </c>
      <c r="K31" s="53"/>
      <c r="P31" s="4"/>
    </row>
    <row r="32" spans="2:28" ht="15" customHeight="1" thickBot="1" x14ac:dyDescent="0.35">
      <c r="B32" s="78" t="s">
        <v>60</v>
      </c>
      <c r="C32" s="121">
        <v>1329</v>
      </c>
      <c r="D32" s="80">
        <f>C10+C11</f>
        <v>1329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44675</v>
      </c>
    </row>
    <row r="3" spans="2:27" ht="18.75" customHeight="1" thickBot="1" x14ac:dyDescent="0.35">
      <c r="B3" t="s">
        <v>1</v>
      </c>
      <c r="C3" s="3">
        <f>C2+1</f>
        <v>44676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12435</v>
      </c>
      <c r="G6" s="117">
        <v>4362</v>
      </c>
      <c r="H6" s="117">
        <v>839</v>
      </c>
      <c r="I6" s="152">
        <f>G6+H6</f>
        <v>5201</v>
      </c>
      <c r="J6" s="119">
        <v>11370</v>
      </c>
      <c r="K6" s="117">
        <v>3972</v>
      </c>
      <c r="L6" s="117">
        <v>736</v>
      </c>
      <c r="M6" s="162">
        <f>K6+L6</f>
        <v>4708</v>
      </c>
      <c r="N6" s="87">
        <v>43</v>
      </c>
      <c r="O6" s="87">
        <v>43</v>
      </c>
      <c r="P6" s="87">
        <v>31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6256</v>
      </c>
      <c r="G10" s="117">
        <v>3239</v>
      </c>
      <c r="H10" s="117">
        <v>1363</v>
      </c>
      <c r="I10" s="152">
        <f>G10+H10</f>
        <v>4602</v>
      </c>
      <c r="J10" s="119">
        <v>5783</v>
      </c>
      <c r="K10" s="117">
        <v>2975</v>
      </c>
      <c r="L10" s="117">
        <v>1098</v>
      </c>
      <c r="M10" s="162">
        <f>K10+L10</f>
        <v>4073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10860</v>
      </c>
      <c r="E18" s="84"/>
      <c r="F18" s="148">
        <f t="shared" ref="F18:M18" si="0">SUM(F6:F17)</f>
        <v>18691</v>
      </c>
      <c r="G18" s="149">
        <f t="shared" si="0"/>
        <v>7601</v>
      </c>
      <c r="H18" s="149">
        <f t="shared" si="0"/>
        <v>2202</v>
      </c>
      <c r="I18" s="150">
        <f t="shared" si="0"/>
        <v>9803</v>
      </c>
      <c r="J18" s="149">
        <f t="shared" si="0"/>
        <v>17153</v>
      </c>
      <c r="K18" s="149">
        <f t="shared" si="0"/>
        <v>6947</v>
      </c>
      <c r="L18" s="149">
        <f t="shared" si="0"/>
        <v>1834</v>
      </c>
      <c r="M18" s="157">
        <f t="shared" si="0"/>
        <v>8781</v>
      </c>
      <c r="N18" s="149">
        <f>SUM(N16,N14,N12,N10,N8,N6)</f>
        <v>45</v>
      </c>
      <c r="O18" s="149">
        <f>SUM(O16,O14,O12,O10,O8,O6)</f>
        <v>44</v>
      </c>
      <c r="P18" s="158">
        <f>SUM(P16,P14,P12,P10,P8,P6)</f>
        <v>31</v>
      </c>
    </row>
    <row r="19" spans="2:28" ht="15" customHeight="1" thickBot="1" x14ac:dyDescent="0.35">
      <c r="B19" s="16" t="s">
        <v>51</v>
      </c>
      <c r="C19" s="17">
        <v>980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2:28" ht="15" customHeight="1" thickBot="1" x14ac:dyDescent="0.35">
      <c r="B20" s="57" t="s">
        <v>52</v>
      </c>
      <c r="C20" s="58">
        <v>5313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0.29545454545454547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K28" s="1" t="s">
        <v>75</v>
      </c>
      <c r="O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18691</v>
      </c>
      <c r="D31" s="76">
        <f>C18+C19+C20</f>
        <v>17153</v>
      </c>
      <c r="E31" s="77">
        <f t="shared" si="1"/>
        <v>-1538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44676</v>
      </c>
    </row>
    <row r="3" spans="2:27" ht="18.75" customHeight="1" thickBot="1" x14ac:dyDescent="0.35">
      <c r="B3" t="s">
        <v>1</v>
      </c>
      <c r="C3" s="3">
        <f>C2+1</f>
        <v>44677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80</v>
      </c>
      <c r="E6" s="161" t="s">
        <v>22</v>
      </c>
      <c r="F6" s="119">
        <v>26375</v>
      </c>
      <c r="G6" s="117">
        <v>13384.447083333331</v>
      </c>
      <c r="H6" s="117">
        <v>5011.7992445000018</v>
      </c>
      <c r="I6" s="152">
        <f>G6+H6</f>
        <v>18396.246327833331</v>
      </c>
      <c r="J6" s="119">
        <v>26997</v>
      </c>
      <c r="K6" s="117">
        <v>14232.55583333333</v>
      </c>
      <c r="L6" s="117">
        <v>4836.4894213200014</v>
      </c>
      <c r="M6" s="162">
        <f>K6+L6</f>
        <v>19069.045254653331</v>
      </c>
      <c r="N6" s="87">
        <v>83</v>
      </c>
      <c r="O6" s="87">
        <v>79</v>
      </c>
      <c r="P6" s="87">
        <v>73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3571.2223737200002</v>
      </c>
      <c r="I8" s="152">
        <f>G8+H8</f>
        <v>3571.2223737200002</v>
      </c>
      <c r="J8" s="119">
        <v>0</v>
      </c>
      <c r="K8" s="117">
        <v>0</v>
      </c>
      <c r="L8" s="117">
        <v>3587.8162979799999</v>
      </c>
      <c r="M8" s="162">
        <f>K8+L8</f>
        <v>3587.8162979799999</v>
      </c>
      <c r="N8" s="87">
        <v>5</v>
      </c>
      <c r="O8" s="87">
        <v>5</v>
      </c>
      <c r="P8" s="87">
        <v>4</v>
      </c>
    </row>
    <row r="9" spans="2:27" x14ac:dyDescent="0.3">
      <c r="B9" s="16" t="s">
        <v>23</v>
      </c>
      <c r="C9" s="17">
        <v>2163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461</v>
      </c>
      <c r="E10" s="161" t="s">
        <v>31</v>
      </c>
      <c r="F10" s="119">
        <v>18987</v>
      </c>
      <c r="G10" s="117">
        <v>13473.9095</v>
      </c>
      <c r="H10" s="117">
        <v>997.77048599999989</v>
      </c>
      <c r="I10" s="152">
        <f>G10+H10</f>
        <v>14471.679985999999</v>
      </c>
      <c r="J10" s="119">
        <v>20506</v>
      </c>
      <c r="K10" s="117">
        <v>14999.710999999999</v>
      </c>
      <c r="L10" s="117">
        <v>1450.2051983399999</v>
      </c>
      <c r="M10" s="162">
        <f>K10+L10</f>
        <v>16449.916198340001</v>
      </c>
      <c r="N10" s="88">
        <v>52</v>
      </c>
      <c r="O10" s="88">
        <v>56</v>
      </c>
      <c r="P10" s="88">
        <v>45</v>
      </c>
    </row>
    <row r="11" spans="2:27" x14ac:dyDescent="0.3">
      <c r="B11" s="28" t="s">
        <v>28</v>
      </c>
      <c r="C11" s="17">
        <v>200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11</v>
      </c>
    </row>
    <row r="12" spans="2:27" x14ac:dyDescent="0.3">
      <c r="B12" s="16" t="s">
        <v>30</v>
      </c>
      <c r="C12" s="17">
        <v>2457</v>
      </c>
      <c r="E12" s="161" t="s">
        <v>35</v>
      </c>
      <c r="F12" s="119">
        <v>12585</v>
      </c>
      <c r="G12" s="117">
        <v>10624.894</v>
      </c>
      <c r="H12" s="117">
        <v>15636.24811992001</v>
      </c>
      <c r="I12" s="152">
        <f>G12+H12</f>
        <v>26261.142119920012</v>
      </c>
      <c r="J12" s="119">
        <v>13085</v>
      </c>
      <c r="K12" s="117">
        <v>11588.4645</v>
      </c>
      <c r="L12" s="117">
        <v>16466.808614999991</v>
      </c>
      <c r="M12" s="162">
        <f>K12+L12</f>
        <v>28055.273114999989</v>
      </c>
      <c r="N12" s="88">
        <v>50</v>
      </c>
      <c r="O12" s="88">
        <v>49</v>
      </c>
      <c r="P12" s="88">
        <v>41</v>
      </c>
    </row>
    <row r="13" spans="2:27" x14ac:dyDescent="0.3">
      <c r="B13" s="16" t="s">
        <v>38</v>
      </c>
      <c r="C13" s="17">
        <v>9929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16" t="s">
        <v>40</v>
      </c>
      <c r="C14" s="17">
        <v>2615</v>
      </c>
      <c r="E14" s="161" t="s">
        <v>39</v>
      </c>
      <c r="F14" s="119">
        <v>20438</v>
      </c>
      <c r="G14" s="117">
        <v>19741.79</v>
      </c>
      <c r="H14" s="117">
        <v>27790.778638090022</v>
      </c>
      <c r="I14" s="152">
        <f>G14+H14</f>
        <v>47532.568638090022</v>
      </c>
      <c r="J14" s="119">
        <v>20833</v>
      </c>
      <c r="K14" s="117">
        <v>18666.513749999998</v>
      </c>
      <c r="L14" s="117">
        <v>27649.81958828001</v>
      </c>
      <c r="M14" s="162">
        <f>K14+L14</f>
        <v>46316.333338280005</v>
      </c>
      <c r="N14" s="88">
        <v>80</v>
      </c>
      <c r="O14" s="88">
        <v>73</v>
      </c>
      <c r="P14" s="88">
        <v>64</v>
      </c>
    </row>
    <row r="15" spans="2:27" x14ac:dyDescent="0.3">
      <c r="B15" s="28" t="s">
        <v>42</v>
      </c>
      <c r="C15" s="17">
        <v>36078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1974</v>
      </c>
      <c r="E16" s="161" t="s">
        <v>79</v>
      </c>
      <c r="F16" s="119">
        <v>0</v>
      </c>
      <c r="G16" s="117">
        <v>0</v>
      </c>
      <c r="H16" s="117">
        <v>9202.7802659199988</v>
      </c>
      <c r="I16" s="152">
        <f>G16+H16</f>
        <v>9202.7802659199988</v>
      </c>
      <c r="J16" s="119">
        <v>0</v>
      </c>
      <c r="K16" s="117">
        <v>0</v>
      </c>
      <c r="L16" s="117">
        <v>9208.496375499999</v>
      </c>
      <c r="M16" s="162">
        <f>K16+L16</f>
        <v>9208.496375499999</v>
      </c>
      <c r="N16" s="88">
        <v>10</v>
      </c>
      <c r="O16" s="88">
        <v>10</v>
      </c>
      <c r="P16" s="88">
        <v>7</v>
      </c>
    </row>
    <row r="17" spans="2:28" s="4" customFormat="1" ht="15" customHeight="1" thickBot="1" x14ac:dyDescent="0.35">
      <c r="B17" s="43" t="s">
        <v>48</v>
      </c>
      <c r="C17" s="50">
        <v>484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12760</v>
      </c>
      <c r="E18" s="84"/>
      <c r="F18" s="148">
        <f t="shared" ref="F18:M18" si="0">SUM(F6:F17)</f>
        <v>78385</v>
      </c>
      <c r="G18" s="149">
        <f t="shared" si="0"/>
        <v>57225.040583333328</v>
      </c>
      <c r="H18" s="149">
        <f t="shared" si="0"/>
        <v>62210.599128150032</v>
      </c>
      <c r="I18" s="150">
        <f t="shared" si="0"/>
        <v>119435.63971148337</v>
      </c>
      <c r="J18" s="149">
        <f t="shared" si="0"/>
        <v>81421</v>
      </c>
      <c r="K18" s="149">
        <f t="shared" si="0"/>
        <v>59487.245083333328</v>
      </c>
      <c r="L18" s="149">
        <f t="shared" si="0"/>
        <v>63199.635496420007</v>
      </c>
      <c r="M18" s="157">
        <f t="shared" si="0"/>
        <v>122686.88057975331</v>
      </c>
      <c r="N18" s="149">
        <f>SUM(N16,N14,N12,N10,N8,N6)</f>
        <v>280</v>
      </c>
      <c r="O18" s="149">
        <f>SUM(O16,O14,O12,O10,O8,O6)</f>
        <v>272</v>
      </c>
      <c r="P18" s="158">
        <f>SUM(P16,P14,P12,P10,P8,P6)</f>
        <v>234</v>
      </c>
    </row>
    <row r="19" spans="2:28" ht="15" customHeight="1" thickBot="1" x14ac:dyDescent="0.35">
      <c r="B19" s="16" t="s">
        <v>51</v>
      </c>
      <c r="C19" s="17">
        <v>1340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35">
      <c r="B20" s="57" t="s">
        <v>52</v>
      </c>
      <c r="C20" s="58">
        <v>5218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0.13970588235294118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10344</v>
      </c>
      <c r="D25" s="76">
        <f>C13</f>
        <v>9929</v>
      </c>
      <c r="E25" s="77">
        <f t="shared" ref="E25:E32" si="1">D25-C25</f>
        <v>-415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33389</v>
      </c>
      <c r="D28" s="76">
        <f>C9+C14+C15+C16+C17</f>
        <v>43314</v>
      </c>
      <c r="E28" s="77">
        <f t="shared" si="1"/>
        <v>9925</v>
      </c>
      <c r="F28" s="1" t="s">
        <v>75</v>
      </c>
      <c r="K28" s="1" t="s">
        <v>75</v>
      </c>
      <c r="O28" s="1" t="s">
        <v>75</v>
      </c>
      <c r="P28" s="4"/>
    </row>
    <row r="29" spans="2:28" x14ac:dyDescent="0.3">
      <c r="B29" s="74" t="s">
        <v>21</v>
      </c>
      <c r="C29" s="122">
        <v>80</v>
      </c>
      <c r="D29" s="76">
        <f>C6</f>
        <v>80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3">
      <c r="B30" s="74" t="s">
        <v>57</v>
      </c>
      <c r="C30" s="122">
        <v>2457</v>
      </c>
      <c r="D30" s="76">
        <f>C12</f>
        <v>2457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18175</v>
      </c>
      <c r="D31" s="76">
        <f>C18+C19+C20</f>
        <v>19318</v>
      </c>
      <c r="E31" s="77">
        <f t="shared" si="1"/>
        <v>1143</v>
      </c>
      <c r="K31" s="53"/>
      <c r="P31" s="4"/>
    </row>
    <row r="32" spans="2:28" ht="15" customHeight="1" thickBot="1" x14ac:dyDescent="0.35">
      <c r="B32" s="78" t="s">
        <v>60</v>
      </c>
      <c r="C32" s="121">
        <v>661</v>
      </c>
      <c r="D32" s="80">
        <f>C10+C11</f>
        <v>661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44677</v>
      </c>
    </row>
    <row r="3" spans="2:27" ht="18.75" customHeight="1" thickBot="1" x14ac:dyDescent="0.35">
      <c r="B3" t="s">
        <v>1</v>
      </c>
      <c r="C3" s="3">
        <f>C2+1</f>
        <v>44678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114</v>
      </c>
    </row>
    <row r="6" spans="2:27" x14ac:dyDescent="0.3">
      <c r="B6" s="16" t="s">
        <v>21</v>
      </c>
      <c r="C6" s="17">
        <v>157</v>
      </c>
      <c r="E6" s="161" t="s">
        <v>22</v>
      </c>
      <c r="F6" s="119">
        <v>29764</v>
      </c>
      <c r="G6" s="117">
        <v>13702.100383333331</v>
      </c>
      <c r="H6" s="117">
        <v>5604.5537894200006</v>
      </c>
      <c r="I6" s="152">
        <f>G6+H6</f>
        <v>19306.654172753333</v>
      </c>
      <c r="J6" s="119">
        <v>29513</v>
      </c>
      <c r="K6" s="117">
        <v>14956.573133333341</v>
      </c>
      <c r="L6" s="117">
        <v>5636.5546938199996</v>
      </c>
      <c r="M6" s="162">
        <f>K6+L6</f>
        <v>20593.127827153341</v>
      </c>
      <c r="N6" s="87">
        <v>91</v>
      </c>
      <c r="O6" s="87">
        <v>84</v>
      </c>
      <c r="P6" s="87">
        <v>76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3478.2566822200001</v>
      </c>
      <c r="I8" s="152">
        <f>G8+H8</f>
        <v>3478.2566822200001</v>
      </c>
      <c r="J8" s="119">
        <v>0</v>
      </c>
      <c r="K8" s="117">
        <v>0</v>
      </c>
      <c r="L8" s="117">
        <v>3498.5496971000011</v>
      </c>
      <c r="M8" s="162">
        <f>K8+L8</f>
        <v>3498.5496971000011</v>
      </c>
      <c r="N8" s="87">
        <v>5</v>
      </c>
      <c r="O8" s="87">
        <v>5</v>
      </c>
      <c r="P8" s="87">
        <v>3</v>
      </c>
    </row>
    <row r="9" spans="2:27" x14ac:dyDescent="0.3">
      <c r="B9" s="16" t="s">
        <v>23</v>
      </c>
      <c r="C9" s="17">
        <v>2918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688</v>
      </c>
      <c r="E10" s="161" t="s">
        <v>31</v>
      </c>
      <c r="F10" s="119">
        <v>21764</v>
      </c>
      <c r="G10" s="117">
        <v>14226.537499999989</v>
      </c>
      <c r="H10" s="117">
        <v>1754.71946106</v>
      </c>
      <c r="I10" s="152">
        <f>G10+H10</f>
        <v>15981.256961059989</v>
      </c>
      <c r="J10" s="119">
        <v>21840</v>
      </c>
      <c r="K10" s="117">
        <v>15027.793</v>
      </c>
      <c r="L10" s="117">
        <v>1893.6955321800001</v>
      </c>
      <c r="M10" s="162">
        <f>K10+L10</f>
        <v>16921.488532179999</v>
      </c>
      <c r="N10" s="88">
        <v>55</v>
      </c>
      <c r="O10" s="88">
        <v>58</v>
      </c>
      <c r="P10" s="88">
        <v>53</v>
      </c>
    </row>
    <row r="11" spans="2:27" x14ac:dyDescent="0.3">
      <c r="B11" s="28" t="s">
        <v>28</v>
      </c>
      <c r="C11" s="17">
        <v>554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2436</v>
      </c>
      <c r="E12" s="161" t="s">
        <v>35</v>
      </c>
      <c r="F12" s="119">
        <v>15394</v>
      </c>
      <c r="G12" s="117">
        <v>11217.99658333333</v>
      </c>
      <c r="H12" s="117">
        <v>17419.236279090001</v>
      </c>
      <c r="I12" s="152">
        <f>G12+H12</f>
        <v>28637.232862423331</v>
      </c>
      <c r="J12" s="119">
        <v>15898</v>
      </c>
      <c r="K12" s="117">
        <v>13054.681083333329</v>
      </c>
      <c r="L12" s="117">
        <v>17612.633878140001</v>
      </c>
      <c r="M12" s="162">
        <f>K12+L12</f>
        <v>30667.31496147333</v>
      </c>
      <c r="N12" s="88">
        <v>53</v>
      </c>
      <c r="O12" s="88">
        <v>50</v>
      </c>
      <c r="P12" s="88">
        <v>44</v>
      </c>
    </row>
    <row r="13" spans="2:27" x14ac:dyDescent="0.3">
      <c r="B13" s="16" t="s">
        <v>38</v>
      </c>
      <c r="C13" s="17">
        <v>10071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1864</v>
      </c>
      <c r="E14" s="161" t="s">
        <v>39</v>
      </c>
      <c r="F14" s="119">
        <v>24270</v>
      </c>
      <c r="G14" s="117">
        <v>17205.21</v>
      </c>
      <c r="H14" s="117">
        <v>31160.69880626001</v>
      </c>
      <c r="I14" s="152">
        <f>G14+H14</f>
        <v>48365.908806260006</v>
      </c>
      <c r="J14" s="119">
        <v>25454</v>
      </c>
      <c r="K14" s="117">
        <v>22032.946749999999</v>
      </c>
      <c r="L14" s="117">
        <v>33023.503044230012</v>
      </c>
      <c r="M14" s="162">
        <f>K14+L14</f>
        <v>55056.449794230008</v>
      </c>
      <c r="N14" s="88">
        <v>81</v>
      </c>
      <c r="O14" s="88">
        <v>70</v>
      </c>
      <c r="P14" s="88">
        <v>70</v>
      </c>
    </row>
    <row r="15" spans="2:27" x14ac:dyDescent="0.3">
      <c r="B15" s="28" t="s">
        <v>42</v>
      </c>
      <c r="C15" s="17">
        <v>33975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1382</v>
      </c>
      <c r="E16" s="161" t="s">
        <v>79</v>
      </c>
      <c r="F16" s="119">
        <v>0</v>
      </c>
      <c r="G16" s="117">
        <v>0</v>
      </c>
      <c r="H16" s="117">
        <v>8964.3489439000004</v>
      </c>
      <c r="I16" s="152">
        <f>G16+H16</f>
        <v>8964.3489439000004</v>
      </c>
      <c r="J16" s="119">
        <v>0</v>
      </c>
      <c r="K16" s="117">
        <v>0</v>
      </c>
      <c r="L16" s="117">
        <v>9057.7396075199995</v>
      </c>
      <c r="M16" s="162">
        <f>K16+L16</f>
        <v>9057.7396075199995</v>
      </c>
      <c r="N16" s="88">
        <v>13</v>
      </c>
      <c r="O16" s="88">
        <v>10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261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11458</v>
      </c>
      <c r="E18" s="84"/>
      <c r="F18" s="148">
        <f t="shared" ref="F18:M18" si="0">SUM(F6:F17)</f>
        <v>91192</v>
      </c>
      <c r="G18" s="149">
        <f t="shared" si="0"/>
        <v>56351.844466666655</v>
      </c>
      <c r="H18" s="149">
        <f t="shared" si="0"/>
        <v>68381.813961950014</v>
      </c>
      <c r="I18" s="150">
        <f t="shared" si="0"/>
        <v>124733.65842861666</v>
      </c>
      <c r="J18" s="149">
        <f t="shared" si="0"/>
        <v>92705</v>
      </c>
      <c r="K18" s="149">
        <f t="shared" si="0"/>
        <v>65071.993966666676</v>
      </c>
      <c r="L18" s="149">
        <f t="shared" si="0"/>
        <v>70722.67645299001</v>
      </c>
      <c r="M18" s="157">
        <f t="shared" si="0"/>
        <v>135794.67041965667</v>
      </c>
      <c r="N18" s="149">
        <f>SUM(N16,N14,N12,N10,N8,N6)</f>
        <v>298</v>
      </c>
      <c r="O18" s="149">
        <f>SUM(O16,O14,O12,O10,O8,O6)</f>
        <v>277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1327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</row>
    <row r="20" spans="2:28" ht="15" customHeight="1" thickBot="1" x14ac:dyDescent="0.35">
      <c r="B20" s="57" t="s">
        <v>52</v>
      </c>
      <c r="C20" s="58">
        <v>5638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7.2202166064981949E-2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11297</v>
      </c>
      <c r="D25" s="76">
        <f>C13</f>
        <v>10071</v>
      </c>
      <c r="E25" s="77">
        <f t="shared" ref="E25:E32" si="1">D25-C25</f>
        <v>-1226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38716</v>
      </c>
      <c r="D28" s="76">
        <f>C9+C14+C15+C16+C17</f>
        <v>40400</v>
      </c>
      <c r="E28" s="77">
        <f t="shared" si="1"/>
        <v>1684</v>
      </c>
      <c r="F28" s="1" t="s">
        <v>75</v>
      </c>
      <c r="K28" s="1" t="s">
        <v>75</v>
      </c>
      <c r="O28" s="1" t="s">
        <v>75</v>
      </c>
      <c r="P28" s="4"/>
    </row>
    <row r="29" spans="2:28" x14ac:dyDescent="0.3">
      <c r="B29" s="74" t="s">
        <v>21</v>
      </c>
      <c r="C29" s="122">
        <v>157</v>
      </c>
      <c r="D29" s="76">
        <f>C6</f>
        <v>157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3">
      <c r="B30" s="74" t="s">
        <v>57</v>
      </c>
      <c r="C30" s="122">
        <v>2436</v>
      </c>
      <c r="D30" s="76">
        <f>C12</f>
        <v>2436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18780</v>
      </c>
      <c r="D31" s="76">
        <f>C18+C19+C20</f>
        <v>18423</v>
      </c>
      <c r="E31" s="77">
        <f t="shared" si="1"/>
        <v>-357</v>
      </c>
      <c r="K31" s="53"/>
      <c r="P31" s="4"/>
    </row>
    <row r="32" spans="2:28" ht="15" customHeight="1" thickBot="1" x14ac:dyDescent="0.35">
      <c r="B32" s="78" t="s">
        <v>60</v>
      </c>
      <c r="C32" s="121">
        <v>1242</v>
      </c>
      <c r="D32" s="80">
        <f>C10+C11</f>
        <v>1242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44678</v>
      </c>
    </row>
    <row r="3" spans="2:27" ht="18.75" customHeight="1" thickBot="1" x14ac:dyDescent="0.35">
      <c r="B3" t="s">
        <v>1</v>
      </c>
      <c r="C3" s="3">
        <f>C2+1</f>
        <v>44679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79</v>
      </c>
      <c r="E6" s="161" t="s">
        <v>22</v>
      </c>
      <c r="F6" s="119">
        <v>29580</v>
      </c>
      <c r="G6" s="117">
        <v>13722.77475</v>
      </c>
      <c r="H6" s="117">
        <v>4899.7879845799962</v>
      </c>
      <c r="I6" s="152">
        <f>G6+H6</f>
        <v>18622.562734579995</v>
      </c>
      <c r="J6" s="119">
        <v>30087</v>
      </c>
      <c r="K6" s="117">
        <v>15927.896750000011</v>
      </c>
      <c r="L6" s="117">
        <v>4803.387011959996</v>
      </c>
      <c r="M6" s="162">
        <f>K6+L6</f>
        <v>20731.283761960007</v>
      </c>
      <c r="N6" s="87">
        <v>79</v>
      </c>
      <c r="O6" s="87">
        <v>75</v>
      </c>
      <c r="P6" s="87">
        <v>71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4184.7920829599989</v>
      </c>
      <c r="I8" s="152">
        <f>G8+H8</f>
        <v>4184.7920829599989</v>
      </c>
      <c r="J8" s="119">
        <v>0</v>
      </c>
      <c r="K8" s="117">
        <v>0</v>
      </c>
      <c r="L8" s="117">
        <v>4249.7803432599994</v>
      </c>
      <c r="M8" s="162">
        <f>K8+L8</f>
        <v>4249.7803432599994</v>
      </c>
      <c r="N8" s="87">
        <v>3</v>
      </c>
      <c r="O8" s="87">
        <v>3</v>
      </c>
      <c r="P8" s="87">
        <v>2</v>
      </c>
    </row>
    <row r="9" spans="2:27" x14ac:dyDescent="0.3">
      <c r="B9" s="16" t="s">
        <v>23</v>
      </c>
      <c r="C9" s="17">
        <v>2117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20814</v>
      </c>
      <c r="G10" s="117">
        <v>14316.037</v>
      </c>
      <c r="H10" s="117">
        <v>1444.7334525000001</v>
      </c>
      <c r="I10" s="152">
        <f>G10+H10</f>
        <v>15760.770452500001</v>
      </c>
      <c r="J10" s="119">
        <v>21185</v>
      </c>
      <c r="K10" s="117">
        <v>15070.612499999999</v>
      </c>
      <c r="L10" s="117">
        <v>1049.4102299199999</v>
      </c>
      <c r="M10" s="162">
        <f>K10+L10</f>
        <v>16120.02272992</v>
      </c>
      <c r="N10" s="88">
        <v>52</v>
      </c>
      <c r="O10" s="88">
        <v>53</v>
      </c>
      <c r="P10" s="88">
        <v>48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3817</v>
      </c>
      <c r="E12" s="161" t="s">
        <v>35</v>
      </c>
      <c r="F12" s="119">
        <v>14961</v>
      </c>
      <c r="G12" s="117">
        <v>11016.41375</v>
      </c>
      <c r="H12" s="117">
        <v>17328.026188070002</v>
      </c>
      <c r="I12" s="152">
        <f>G12+H12</f>
        <v>28344.439938070002</v>
      </c>
      <c r="J12" s="119">
        <v>15778</v>
      </c>
      <c r="K12" s="117">
        <v>14512.533750000001</v>
      </c>
      <c r="L12" s="117">
        <v>17740.233433259989</v>
      </c>
      <c r="M12" s="162">
        <f>K12+L12</f>
        <v>32252.767183259988</v>
      </c>
      <c r="N12" s="88">
        <v>55</v>
      </c>
      <c r="O12" s="88">
        <v>53</v>
      </c>
      <c r="P12" s="88">
        <v>48</v>
      </c>
    </row>
    <row r="13" spans="2:27" x14ac:dyDescent="0.3">
      <c r="B13" s="16" t="s">
        <v>38</v>
      </c>
      <c r="C13" s="17">
        <v>12470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2511</v>
      </c>
      <c r="E14" s="161" t="s">
        <v>39</v>
      </c>
      <c r="F14" s="119">
        <v>23507</v>
      </c>
      <c r="G14" s="117">
        <v>19425.307499999999</v>
      </c>
      <c r="H14" s="117">
        <v>31788.268685579998</v>
      </c>
      <c r="I14" s="152">
        <f>G14+H14</f>
        <v>51213.576185579994</v>
      </c>
      <c r="J14" s="119">
        <v>24236</v>
      </c>
      <c r="K14" s="117">
        <v>22522.375749999999</v>
      </c>
      <c r="L14" s="117">
        <v>32771.419196980001</v>
      </c>
      <c r="M14" s="162">
        <f>K14+L14</f>
        <v>55293.794946980001</v>
      </c>
      <c r="N14" s="88">
        <v>71</v>
      </c>
      <c r="O14" s="88">
        <v>64</v>
      </c>
      <c r="P14" s="88">
        <v>58</v>
      </c>
    </row>
    <row r="15" spans="2:27" x14ac:dyDescent="0.3">
      <c r="B15" s="28" t="s">
        <v>42</v>
      </c>
      <c r="C15" s="17">
        <v>34692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1719</v>
      </c>
      <c r="E16" s="161" t="s">
        <v>79</v>
      </c>
      <c r="F16" s="119">
        <v>0</v>
      </c>
      <c r="G16" s="117">
        <v>0</v>
      </c>
      <c r="H16" s="117">
        <v>10350.40009612</v>
      </c>
      <c r="I16" s="152">
        <f>G16+H16</f>
        <v>10350.40009612</v>
      </c>
      <c r="J16" s="119">
        <v>0</v>
      </c>
      <c r="K16" s="117">
        <v>0</v>
      </c>
      <c r="L16" s="117">
        <v>10280.841067060001</v>
      </c>
      <c r="M16" s="162">
        <f>K16+L16</f>
        <v>10280.841067060001</v>
      </c>
      <c r="N16" s="88">
        <v>10</v>
      </c>
      <c r="O16" s="88">
        <v>10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12183</v>
      </c>
      <c r="E18" s="84"/>
      <c r="F18" s="148">
        <f t="shared" ref="F18:M18" si="0">SUM(F6:F17)</f>
        <v>88862</v>
      </c>
      <c r="G18" s="149">
        <f t="shared" si="0"/>
        <v>58480.532999999996</v>
      </c>
      <c r="H18" s="149">
        <f t="shared" si="0"/>
        <v>69996.008489809989</v>
      </c>
      <c r="I18" s="150">
        <f t="shared" si="0"/>
        <v>128476.54148980998</v>
      </c>
      <c r="J18" s="149">
        <f t="shared" si="0"/>
        <v>91286</v>
      </c>
      <c r="K18" s="149">
        <f t="shared" si="0"/>
        <v>68033.418750000012</v>
      </c>
      <c r="L18" s="149">
        <f t="shared" si="0"/>
        <v>70895.071282439982</v>
      </c>
      <c r="M18" s="157">
        <f t="shared" si="0"/>
        <v>138928.49003243999</v>
      </c>
      <c r="N18" s="149">
        <f>SUM(N16,N14,N12,N10,N8,N6)</f>
        <v>270</v>
      </c>
      <c r="O18" s="149">
        <f>SUM(O16,O14,O12,O10,O8,O6)</f>
        <v>258</v>
      </c>
      <c r="P18" s="158">
        <f>SUM(P16,P14,P12,P10,P8,P6)</f>
        <v>235</v>
      </c>
    </row>
    <row r="19" spans="2:28" ht="15" customHeight="1" thickBot="1" x14ac:dyDescent="0.35">
      <c r="B19" s="16" t="s">
        <v>51</v>
      </c>
      <c r="C19" s="17">
        <v>1803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35">
      <c r="B20" s="57" t="s">
        <v>52</v>
      </c>
      <c r="C20" s="58">
        <v>5624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8.9147286821705432E-2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12463</v>
      </c>
      <c r="D25" s="76">
        <f>C13</f>
        <v>12470</v>
      </c>
      <c r="E25" s="77">
        <f t="shared" ref="E25:E32" si="1">D25-C25</f>
        <v>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39985</v>
      </c>
      <c r="D28" s="76">
        <f>C9+C14+C15+C16+C17</f>
        <v>41466</v>
      </c>
      <c r="E28" s="77">
        <f t="shared" si="1"/>
        <v>1481</v>
      </c>
      <c r="F28" s="1" t="s">
        <v>75</v>
      </c>
      <c r="P28" s="4"/>
    </row>
    <row r="29" spans="2:28" x14ac:dyDescent="0.3">
      <c r="B29" s="74" t="s">
        <v>21</v>
      </c>
      <c r="C29" s="122">
        <v>79</v>
      </c>
      <c r="D29" s="76">
        <f>C6</f>
        <v>79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3817</v>
      </c>
      <c r="D30" s="76">
        <f>C12</f>
        <v>3817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18760</v>
      </c>
      <c r="D31" s="76">
        <f>C18+C19+C20</f>
        <v>19610</v>
      </c>
      <c r="E31" s="77">
        <f t="shared" si="1"/>
        <v>850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44679</v>
      </c>
    </row>
    <row r="3" spans="2:27" ht="18.75" customHeight="1" thickBot="1" x14ac:dyDescent="0.35">
      <c r="B3" t="s">
        <v>1</v>
      </c>
      <c r="C3" s="3">
        <f>C2+1</f>
        <v>44680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132</v>
      </c>
      <c r="E6" s="161" t="s">
        <v>22</v>
      </c>
      <c r="F6" s="119">
        <v>29479</v>
      </c>
      <c r="G6" s="117">
        <v>14722.33805</v>
      </c>
      <c r="H6" s="117">
        <v>6391.5482432200006</v>
      </c>
      <c r="I6" s="152">
        <f>G6+H6</f>
        <v>21113.886293219999</v>
      </c>
      <c r="J6" s="119">
        <v>32086</v>
      </c>
      <c r="K6" s="117">
        <v>17080.664049999999</v>
      </c>
      <c r="L6" s="117">
        <v>6292.2215991400026</v>
      </c>
      <c r="M6" s="162">
        <f>K6+L6</f>
        <v>23372.88564914</v>
      </c>
      <c r="N6" s="87">
        <v>85</v>
      </c>
      <c r="O6" s="87">
        <v>82</v>
      </c>
      <c r="P6" s="87">
        <v>74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3807.5411162599999</v>
      </c>
      <c r="I8" s="152">
        <f>G8+H8</f>
        <v>3807.5411162599999</v>
      </c>
      <c r="J8" s="119">
        <v>0</v>
      </c>
      <c r="K8" s="117">
        <v>0</v>
      </c>
      <c r="L8" s="117">
        <v>3841.09361334</v>
      </c>
      <c r="M8" s="162">
        <f>K8+L8</f>
        <v>3841.09361334</v>
      </c>
      <c r="N8" s="87">
        <v>6</v>
      </c>
      <c r="O8" s="87">
        <v>4</v>
      </c>
      <c r="P8" s="87">
        <v>5</v>
      </c>
    </row>
    <row r="9" spans="2:27" x14ac:dyDescent="0.3">
      <c r="B9" s="16" t="s">
        <v>23</v>
      </c>
      <c r="C9" s="17">
        <v>2833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26</v>
      </c>
      <c r="C10" s="17">
        <v>668</v>
      </c>
      <c r="E10" s="161" t="s">
        <v>31</v>
      </c>
      <c r="F10" s="119">
        <v>20495</v>
      </c>
      <c r="G10" s="117">
        <v>13409.820750000001</v>
      </c>
      <c r="H10" s="117">
        <v>1760.5835256600001</v>
      </c>
      <c r="I10" s="152">
        <f>G10+H10</f>
        <v>15170.404275660001</v>
      </c>
      <c r="J10" s="119">
        <v>20234</v>
      </c>
      <c r="K10" s="117">
        <v>14175.61125</v>
      </c>
      <c r="L10" s="117">
        <v>1797.0562961799999</v>
      </c>
      <c r="M10" s="162">
        <f>K10+L10</f>
        <v>15972.66754618</v>
      </c>
      <c r="N10" s="88">
        <v>59</v>
      </c>
      <c r="O10" s="88">
        <v>59</v>
      </c>
      <c r="P10" s="88">
        <v>55</v>
      </c>
    </row>
    <row r="11" spans="2:27" x14ac:dyDescent="0.3">
      <c r="B11" s="28" t="s">
        <v>28</v>
      </c>
      <c r="C11" s="17">
        <v>286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2264</v>
      </c>
      <c r="E12" s="161" t="s">
        <v>35</v>
      </c>
      <c r="F12" s="119">
        <v>17866</v>
      </c>
      <c r="G12" s="117">
        <v>12490.244666666669</v>
      </c>
      <c r="H12" s="117">
        <v>19905.05305326001</v>
      </c>
      <c r="I12" s="152">
        <f>G12+H12</f>
        <v>32395.297719926679</v>
      </c>
      <c r="J12" s="119">
        <v>16875</v>
      </c>
      <c r="K12" s="117">
        <v>15425.03041666667</v>
      </c>
      <c r="L12" s="117">
        <v>19259.245831250009</v>
      </c>
      <c r="M12" s="162">
        <f>K12+L12</f>
        <v>34684.276247916678</v>
      </c>
      <c r="N12" s="88">
        <v>54</v>
      </c>
      <c r="O12" s="88">
        <v>53</v>
      </c>
      <c r="P12" s="88">
        <v>46</v>
      </c>
    </row>
    <row r="13" spans="2:27" x14ac:dyDescent="0.3">
      <c r="B13" s="16" t="s">
        <v>38</v>
      </c>
      <c r="C13" s="17">
        <v>11953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16" t="s">
        <v>40</v>
      </c>
      <c r="C14" s="17">
        <v>1654</v>
      </c>
      <c r="E14" s="161" t="s">
        <v>39</v>
      </c>
      <c r="F14" s="119">
        <v>23753</v>
      </c>
      <c r="G14" s="117">
        <v>18037.44025</v>
      </c>
      <c r="H14" s="117">
        <v>31676.436783559999</v>
      </c>
      <c r="I14" s="152">
        <f>G14+H14</f>
        <v>49713.877033559998</v>
      </c>
      <c r="J14" s="119">
        <v>24439</v>
      </c>
      <c r="K14" s="117">
        <v>22849.986000000001</v>
      </c>
      <c r="L14" s="117">
        <v>32792.131732619993</v>
      </c>
      <c r="M14" s="162">
        <f>K14+L14</f>
        <v>55642.117732619998</v>
      </c>
      <c r="N14" s="88">
        <v>73</v>
      </c>
      <c r="O14" s="88">
        <v>70</v>
      </c>
      <c r="P14" s="88">
        <v>65</v>
      </c>
    </row>
    <row r="15" spans="2:27" x14ac:dyDescent="0.3">
      <c r="B15" s="28" t="s">
        <v>42</v>
      </c>
      <c r="C15" s="17">
        <v>37695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1136</v>
      </c>
      <c r="E16" s="161" t="s">
        <v>79</v>
      </c>
      <c r="F16" s="119">
        <v>0</v>
      </c>
      <c r="G16" s="117">
        <v>0</v>
      </c>
      <c r="H16" s="117">
        <v>6224.0377414799996</v>
      </c>
      <c r="I16" s="152">
        <f>G16+H16</f>
        <v>6224.0377414799996</v>
      </c>
      <c r="J16" s="119">
        <v>0</v>
      </c>
      <c r="K16" s="117">
        <v>0</v>
      </c>
      <c r="L16" s="117">
        <v>6421.4508507999999</v>
      </c>
      <c r="M16" s="162">
        <f>K16+L16</f>
        <v>6421.4508507999999</v>
      </c>
      <c r="N16" s="88">
        <v>10</v>
      </c>
      <c r="O16" s="88">
        <v>11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9981</v>
      </c>
      <c r="E18" s="84"/>
      <c r="F18" s="148">
        <f t="shared" ref="F18:M18" si="0">SUM(F6:F17)</f>
        <v>91593</v>
      </c>
      <c r="G18" s="149">
        <f t="shared" si="0"/>
        <v>58659.84371666667</v>
      </c>
      <c r="H18" s="149">
        <f t="shared" si="0"/>
        <v>69765.200463440007</v>
      </c>
      <c r="I18" s="150">
        <f t="shared" si="0"/>
        <v>128425.04418010668</v>
      </c>
      <c r="J18" s="149">
        <f t="shared" si="0"/>
        <v>93634</v>
      </c>
      <c r="K18" s="149">
        <f t="shared" si="0"/>
        <v>69531.291716666674</v>
      </c>
      <c r="L18" s="149">
        <f t="shared" si="0"/>
        <v>70403.199923330016</v>
      </c>
      <c r="M18" s="157">
        <f t="shared" si="0"/>
        <v>139934.49163999668</v>
      </c>
      <c r="N18" s="149">
        <f>SUM(N16,N14,N12,N10,N8,N6)</f>
        <v>287</v>
      </c>
      <c r="O18" s="149">
        <f>SUM(O16,O14,O12,O10,O8,O6)</f>
        <v>279</v>
      </c>
      <c r="P18" s="158">
        <f>SUM(P16,P14,P12,P10,P8,P6)</f>
        <v>253</v>
      </c>
    </row>
    <row r="19" spans="2:28" ht="15" customHeight="1" thickBot="1" x14ac:dyDescent="0.35">
      <c r="B19" s="16" t="s">
        <v>51</v>
      </c>
      <c r="C19" s="17">
        <v>2225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35">
      <c r="B20" s="57" t="s">
        <v>52</v>
      </c>
      <c r="C20" s="58">
        <v>4979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9.3189964157706098E-2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12323</v>
      </c>
      <c r="D25" s="76">
        <f>C13</f>
        <v>11953</v>
      </c>
      <c r="E25" s="77">
        <f t="shared" ref="E25:E32" si="1">D25-C25</f>
        <v>-370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43576</v>
      </c>
      <c r="D28" s="76">
        <f>C9+C14+C15+C16+C17</f>
        <v>43524</v>
      </c>
      <c r="E28" s="77">
        <f t="shared" si="1"/>
        <v>-52</v>
      </c>
      <c r="F28" s="1" t="s">
        <v>75</v>
      </c>
      <c r="P28" s="4"/>
    </row>
    <row r="29" spans="2:28" x14ac:dyDescent="0.3">
      <c r="B29" s="74" t="s">
        <v>21</v>
      </c>
      <c r="C29" s="122">
        <v>132</v>
      </c>
      <c r="D29" s="76">
        <f>C6</f>
        <v>132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2264</v>
      </c>
      <c r="D30" s="76">
        <f>C12</f>
        <v>2264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17190</v>
      </c>
      <c r="D31" s="76">
        <f>C18+C19+C20</f>
        <v>17185</v>
      </c>
      <c r="E31" s="77">
        <f t="shared" si="1"/>
        <v>-5</v>
      </c>
      <c r="K31" s="53"/>
      <c r="P31" s="4"/>
    </row>
    <row r="32" spans="2:28" ht="15" customHeight="1" thickBot="1" x14ac:dyDescent="0.35">
      <c r="B32" s="78" t="s">
        <v>60</v>
      </c>
      <c r="C32" s="121">
        <v>954</v>
      </c>
      <c r="D32" s="80">
        <f>C10+C11</f>
        <v>954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44680</v>
      </c>
    </row>
    <row r="3" spans="2:27" ht="18.75" customHeight="1" thickBot="1" x14ac:dyDescent="0.35">
      <c r="B3" t="s">
        <v>1</v>
      </c>
      <c r="C3" s="3">
        <f>C2+1</f>
        <v>44681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115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25541</v>
      </c>
      <c r="G6" s="117">
        <v>14387.500249999999</v>
      </c>
      <c r="H6" s="117">
        <v>4807.8044537199976</v>
      </c>
      <c r="I6" s="152">
        <f>G6+H6</f>
        <v>19195.304703719998</v>
      </c>
      <c r="J6" s="119">
        <v>25849</v>
      </c>
      <c r="K6" s="117">
        <v>15865.160749999999</v>
      </c>
      <c r="L6" s="117">
        <v>4826.2236306000004</v>
      </c>
      <c r="M6" s="162">
        <f>K6+L6</f>
        <v>20691.3843806</v>
      </c>
      <c r="N6" s="87">
        <v>80</v>
      </c>
      <c r="O6" s="87">
        <v>75</v>
      </c>
      <c r="P6" s="87">
        <v>72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4108.0596646399999</v>
      </c>
      <c r="I8" s="152">
        <f>G8+H8</f>
        <v>4108.0596646399999</v>
      </c>
      <c r="J8" s="119">
        <v>0</v>
      </c>
      <c r="K8" s="117">
        <v>0</v>
      </c>
      <c r="L8" s="117">
        <v>4086.67216998</v>
      </c>
      <c r="M8" s="162">
        <f>K8+L8</f>
        <v>4086.67216998</v>
      </c>
      <c r="N8" s="87">
        <v>5</v>
      </c>
      <c r="O8" s="87">
        <v>5</v>
      </c>
      <c r="P8" s="87">
        <v>5</v>
      </c>
    </row>
    <row r="9" spans="2:27" x14ac:dyDescent="0.3">
      <c r="B9" s="16" t="s">
        <v>23</v>
      </c>
      <c r="C9" s="17">
        <v>2334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19030</v>
      </c>
      <c r="G10" s="117">
        <v>14797.81</v>
      </c>
      <c r="H10" s="117">
        <v>1146.8050674599999</v>
      </c>
      <c r="I10" s="152">
        <f>G10+H10</f>
        <v>15944.615067459999</v>
      </c>
      <c r="J10" s="119">
        <v>19533</v>
      </c>
      <c r="K10" s="117">
        <v>15300.574500000001</v>
      </c>
      <c r="L10" s="117">
        <v>1063.21968036</v>
      </c>
      <c r="M10" s="162">
        <f>K10+L10</f>
        <v>16363.794180360001</v>
      </c>
      <c r="N10" s="88">
        <v>52</v>
      </c>
      <c r="O10" s="88">
        <v>50</v>
      </c>
      <c r="P10" s="88">
        <v>48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30</v>
      </c>
      <c r="C12" s="17">
        <v>4800</v>
      </c>
      <c r="E12" s="161" t="s">
        <v>35</v>
      </c>
      <c r="F12" s="119">
        <v>17165</v>
      </c>
      <c r="G12" s="117">
        <v>13188.616249999999</v>
      </c>
      <c r="H12" s="117">
        <v>20014.41199769</v>
      </c>
      <c r="I12" s="152">
        <f>G12+H12</f>
        <v>33203.028247690003</v>
      </c>
      <c r="J12" s="119">
        <v>16881</v>
      </c>
      <c r="K12" s="117">
        <v>17001.682499999999</v>
      </c>
      <c r="L12" s="117">
        <v>20544.766790950001</v>
      </c>
      <c r="M12" s="162">
        <f>K12+L12</f>
        <v>37546.449290949997</v>
      </c>
      <c r="N12" s="88">
        <v>60</v>
      </c>
      <c r="O12" s="88">
        <v>57</v>
      </c>
      <c r="P12" s="88">
        <v>53</v>
      </c>
    </row>
    <row r="13" spans="2:27" x14ac:dyDescent="0.3">
      <c r="B13" s="16" t="s">
        <v>38</v>
      </c>
      <c r="C13" s="17">
        <v>11183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2511</v>
      </c>
      <c r="E14" s="161" t="s">
        <v>39</v>
      </c>
      <c r="F14" s="119">
        <v>29609</v>
      </c>
      <c r="G14" s="117">
        <v>21811.235000000001</v>
      </c>
      <c r="H14" s="117">
        <v>36671.761980050032</v>
      </c>
      <c r="I14" s="152">
        <f>G14+H14</f>
        <v>58482.996980050033</v>
      </c>
      <c r="J14" s="119">
        <v>30431</v>
      </c>
      <c r="K14" s="117">
        <v>26874.218499999999</v>
      </c>
      <c r="L14" s="117">
        <v>38681.925718609993</v>
      </c>
      <c r="M14" s="162">
        <f>K14+L14</f>
        <v>65556.144218609988</v>
      </c>
      <c r="N14" s="88">
        <v>81</v>
      </c>
      <c r="O14" s="88">
        <v>74</v>
      </c>
      <c r="P14" s="88">
        <v>68</v>
      </c>
    </row>
    <row r="15" spans="2:27" x14ac:dyDescent="0.3">
      <c r="B15" s="28" t="s">
        <v>42</v>
      </c>
      <c r="C15" s="17">
        <v>35957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2502</v>
      </c>
      <c r="E16" s="161" t="s">
        <v>79</v>
      </c>
      <c r="F16" s="119">
        <v>0</v>
      </c>
      <c r="G16" s="117">
        <v>0</v>
      </c>
      <c r="H16" s="117">
        <v>10952.36804372</v>
      </c>
      <c r="I16" s="152">
        <f>G16+H16</f>
        <v>10952.36804372</v>
      </c>
      <c r="J16" s="119">
        <v>0</v>
      </c>
      <c r="K16" s="117">
        <v>0</v>
      </c>
      <c r="L16" s="117">
        <v>11107.388317520001</v>
      </c>
      <c r="M16" s="162">
        <f>K16+L16</f>
        <v>11107.388317520001</v>
      </c>
      <c r="N16" s="88">
        <v>13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11388</v>
      </c>
      <c r="E18" s="84"/>
      <c r="F18" s="148">
        <f t="shared" ref="F18:M18" si="0">SUM(F6:F17)</f>
        <v>91345</v>
      </c>
      <c r="G18" s="149">
        <f t="shared" si="0"/>
        <v>64185.161500000002</v>
      </c>
      <c r="H18" s="149">
        <f t="shared" si="0"/>
        <v>77701.211207280023</v>
      </c>
      <c r="I18" s="150">
        <f t="shared" si="0"/>
        <v>141886.37270728004</v>
      </c>
      <c r="J18" s="149">
        <f t="shared" si="0"/>
        <v>92694</v>
      </c>
      <c r="K18" s="149">
        <f t="shared" si="0"/>
        <v>75041.636249999996</v>
      </c>
      <c r="L18" s="149">
        <f t="shared" si="0"/>
        <v>80310.196308020008</v>
      </c>
      <c r="M18" s="157">
        <f t="shared" si="0"/>
        <v>155351.83255801999</v>
      </c>
      <c r="N18" s="149">
        <f>SUM(N16,N14,N12,N10,N8,N6)</f>
        <v>291</v>
      </c>
      <c r="O18" s="149">
        <f>SUM(O16,O14,O12,O10,O8,O6)</f>
        <v>273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620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</row>
    <row r="20" spans="2:28" ht="15" customHeight="1" thickBot="1" x14ac:dyDescent="0.35">
      <c r="B20" s="57" t="s">
        <v>52</v>
      </c>
      <c r="C20" s="58">
        <v>5250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5.8608058608058608E-2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10454</v>
      </c>
      <c r="D25" s="76">
        <f>C13</f>
        <v>11183</v>
      </c>
      <c r="E25" s="77">
        <f t="shared" ref="E25:E32" si="1">D25-C25</f>
        <v>729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45111</v>
      </c>
      <c r="D28" s="76">
        <f>C9+C14+C15+C16+C17</f>
        <v>43731</v>
      </c>
      <c r="E28" s="77">
        <f t="shared" si="1"/>
        <v>-1380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4800</v>
      </c>
      <c r="D30" s="76">
        <f>C12</f>
        <v>4800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16686</v>
      </c>
      <c r="D31" s="76">
        <f>C18+C19+C20</f>
        <v>17258</v>
      </c>
      <c r="E31" s="77">
        <f t="shared" si="1"/>
        <v>572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44681</v>
      </c>
    </row>
    <row r="3" spans="2:27" ht="18.75" customHeight="1" thickBot="1" x14ac:dyDescent="0.35">
      <c r="B3" t="s">
        <v>1</v>
      </c>
      <c r="C3" s="3">
        <f>C2+1</f>
        <v>44682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82</v>
      </c>
      <c r="E6" s="161" t="s">
        <v>22</v>
      </c>
      <c r="F6" s="119">
        <v>28281</v>
      </c>
      <c r="G6" s="117">
        <v>13578.999166666659</v>
      </c>
      <c r="H6" s="117">
        <v>5151.0867307200006</v>
      </c>
      <c r="I6" s="152">
        <f>G6+H6</f>
        <v>18730.08589738666</v>
      </c>
      <c r="J6" s="119">
        <v>26986</v>
      </c>
      <c r="K6" s="117">
        <v>14575.514916666671</v>
      </c>
      <c r="L6" s="117">
        <v>4606.0574114800011</v>
      </c>
      <c r="M6" s="162">
        <f>K6+L6</f>
        <v>19181.572328146671</v>
      </c>
      <c r="N6" s="87">
        <v>84</v>
      </c>
      <c r="O6" s="87">
        <v>79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3714.30223346</v>
      </c>
      <c r="I8" s="152">
        <f>G8+H8</f>
        <v>3714.30223346</v>
      </c>
      <c r="J8" s="119">
        <v>0</v>
      </c>
      <c r="K8" s="117">
        <v>0</v>
      </c>
      <c r="L8" s="117">
        <v>3545.9710629599999</v>
      </c>
      <c r="M8" s="162">
        <f>K8+L8</f>
        <v>3545.9710629599999</v>
      </c>
      <c r="N8" s="87">
        <v>6</v>
      </c>
      <c r="O8" s="87">
        <v>7</v>
      </c>
      <c r="P8" s="87">
        <v>6</v>
      </c>
    </row>
    <row r="9" spans="2:27" x14ac:dyDescent="0.3">
      <c r="B9" s="16" t="s">
        <v>23</v>
      </c>
      <c r="C9" s="17">
        <v>2436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894</v>
      </c>
      <c r="E10" s="161" t="s">
        <v>31</v>
      </c>
      <c r="F10" s="119">
        <v>20350</v>
      </c>
      <c r="G10" s="117">
        <v>13519.248750000001</v>
      </c>
      <c r="H10" s="117">
        <v>1710.81691344</v>
      </c>
      <c r="I10" s="152">
        <f>G10+H10</f>
        <v>15230.06566344</v>
      </c>
      <c r="J10" s="119">
        <v>19999</v>
      </c>
      <c r="K10" s="117">
        <v>14371.26575</v>
      </c>
      <c r="L10" s="117">
        <v>1726.6394313799999</v>
      </c>
      <c r="M10" s="162">
        <f>K10+L10</f>
        <v>16097.90518138</v>
      </c>
      <c r="N10" s="88">
        <v>65</v>
      </c>
      <c r="O10" s="88">
        <v>62</v>
      </c>
      <c r="P10" s="88">
        <v>58</v>
      </c>
    </row>
    <row r="11" spans="2:27" x14ac:dyDescent="0.3">
      <c r="B11" s="28" t="s">
        <v>28</v>
      </c>
      <c r="C11" s="17">
        <v>545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1866</v>
      </c>
      <c r="E12" s="161" t="s">
        <v>35</v>
      </c>
      <c r="F12" s="119">
        <v>20651</v>
      </c>
      <c r="G12" s="117">
        <v>14548.98566666666</v>
      </c>
      <c r="H12" s="117">
        <v>24086.72349787</v>
      </c>
      <c r="I12" s="152">
        <f>G12+H12</f>
        <v>38635.70916453666</v>
      </c>
      <c r="J12" s="119">
        <v>19758</v>
      </c>
      <c r="K12" s="117">
        <v>14979.911916666661</v>
      </c>
      <c r="L12" s="117">
        <v>23102.81596752</v>
      </c>
      <c r="M12" s="162">
        <f>K12+L12</f>
        <v>38082.727884186665</v>
      </c>
      <c r="N12" s="88">
        <v>63</v>
      </c>
      <c r="O12" s="88">
        <v>60</v>
      </c>
      <c r="P12" s="88">
        <v>55</v>
      </c>
    </row>
    <row r="13" spans="2:27" x14ac:dyDescent="0.3">
      <c r="B13" s="16" t="s">
        <v>38</v>
      </c>
      <c r="C13" s="17">
        <v>11686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1654</v>
      </c>
      <c r="E14" s="161" t="s">
        <v>39</v>
      </c>
      <c r="F14" s="119">
        <v>23426</v>
      </c>
      <c r="G14" s="117">
        <v>19569.801500000001</v>
      </c>
      <c r="H14" s="117">
        <v>31517.50572309002</v>
      </c>
      <c r="I14" s="152">
        <f>G14+H14</f>
        <v>51087.307223090022</v>
      </c>
      <c r="J14" s="119">
        <v>24624</v>
      </c>
      <c r="K14" s="117">
        <v>25376.510750000001</v>
      </c>
      <c r="L14" s="117">
        <v>33321.340808460023</v>
      </c>
      <c r="M14" s="162">
        <f>K14+L14</f>
        <v>58697.851558460025</v>
      </c>
      <c r="N14" s="88">
        <v>78</v>
      </c>
      <c r="O14" s="88">
        <v>70</v>
      </c>
      <c r="P14" s="88">
        <v>61</v>
      </c>
    </row>
    <row r="15" spans="2:27" x14ac:dyDescent="0.3">
      <c r="B15" s="28" t="s">
        <v>42</v>
      </c>
      <c r="C15" s="17">
        <v>34472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1337</v>
      </c>
      <c r="E16" s="161" t="s">
        <v>79</v>
      </c>
      <c r="F16" s="119">
        <v>0</v>
      </c>
      <c r="G16" s="117">
        <v>0</v>
      </c>
      <c r="H16" s="117">
        <v>6243.1174209800001</v>
      </c>
      <c r="I16" s="152">
        <f>G16+H16</f>
        <v>6243.1174209800001</v>
      </c>
      <c r="J16" s="119">
        <v>0</v>
      </c>
      <c r="K16" s="117">
        <v>0</v>
      </c>
      <c r="L16" s="117">
        <v>6045.8514362799997</v>
      </c>
      <c r="M16" s="162">
        <f>K16+L16</f>
        <v>6045.8514362799997</v>
      </c>
      <c r="N16" s="88">
        <v>11</v>
      </c>
      <c r="O16" s="88">
        <v>9</v>
      </c>
      <c r="P16" s="88">
        <v>6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11472</v>
      </c>
      <c r="E18" s="84"/>
      <c r="F18" s="148">
        <f t="shared" ref="F18:M18" si="0">SUM(F6:F17)</f>
        <v>92708</v>
      </c>
      <c r="G18" s="149">
        <f t="shared" si="0"/>
        <v>61217.035083333321</v>
      </c>
      <c r="H18" s="149">
        <f t="shared" si="0"/>
        <v>72423.55251956002</v>
      </c>
      <c r="I18" s="150">
        <f t="shared" si="0"/>
        <v>133640.58760289336</v>
      </c>
      <c r="J18" s="149">
        <f t="shared" si="0"/>
        <v>91367</v>
      </c>
      <c r="K18" s="149">
        <f t="shared" si="0"/>
        <v>69303.203333333338</v>
      </c>
      <c r="L18" s="149">
        <f t="shared" si="0"/>
        <v>72348.676118080039</v>
      </c>
      <c r="M18" s="157">
        <f t="shared" si="0"/>
        <v>141651.87945141335</v>
      </c>
      <c r="N18" s="149">
        <f>SUM(N16,N14,N12,N10,N8,N6)</f>
        <v>307</v>
      </c>
      <c r="O18" s="149">
        <f>SUM(O16,O14,O12,O10,O8,O6)</f>
        <v>287</v>
      </c>
      <c r="P18" s="158">
        <f>SUM(P16,P14,P12,P10,P8,P6)</f>
        <v>254</v>
      </c>
    </row>
    <row r="19" spans="2:28" ht="15" customHeight="1" thickBot="1" x14ac:dyDescent="0.35">
      <c r="B19" s="16" t="s">
        <v>51</v>
      </c>
      <c r="C19" s="17">
        <v>1543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35">
      <c r="B20" s="57" t="s">
        <v>52</v>
      </c>
      <c r="C20" s="58">
        <v>5285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0.11498257839721254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12469</v>
      </c>
      <c r="D25" s="76">
        <f>C13</f>
        <v>11686</v>
      </c>
      <c r="E25" s="77">
        <f t="shared" ref="E25:E32" si="1">D25-C25</f>
        <v>-783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43998</v>
      </c>
      <c r="D28" s="76">
        <f>C9+C14+C15+C16+C17</f>
        <v>40105</v>
      </c>
      <c r="E28" s="77">
        <f t="shared" si="1"/>
        <v>-3893</v>
      </c>
      <c r="F28" s="1" t="s">
        <v>75</v>
      </c>
      <c r="P28" s="4"/>
    </row>
    <row r="29" spans="2:28" x14ac:dyDescent="0.3">
      <c r="B29" s="74" t="s">
        <v>21</v>
      </c>
      <c r="C29" s="122">
        <v>82</v>
      </c>
      <c r="D29" s="76">
        <f>C6</f>
        <v>82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1866</v>
      </c>
      <c r="D30" s="76">
        <f>C12</f>
        <v>1866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19164</v>
      </c>
      <c r="D31" s="76">
        <f>C18+C19+C20</f>
        <v>18300</v>
      </c>
      <c r="E31" s="77">
        <f t="shared" si="1"/>
        <v>-864</v>
      </c>
      <c r="K31" s="53"/>
      <c r="P31" s="4"/>
    </row>
    <row r="32" spans="2:28" ht="15" customHeight="1" thickBot="1" x14ac:dyDescent="0.35">
      <c r="B32" s="78" t="s">
        <v>60</v>
      </c>
      <c r="C32" s="121">
        <v>1439</v>
      </c>
      <c r="D32" s="80">
        <f>C10+C11</f>
        <v>1439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44682</v>
      </c>
    </row>
    <row r="3" spans="2:27" ht="18.75" customHeight="1" thickBot="1" x14ac:dyDescent="0.35">
      <c r="B3" t="s">
        <v>1</v>
      </c>
      <c r="C3" s="3">
        <f>C2+1</f>
        <v>44683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11665</v>
      </c>
      <c r="G6" s="117">
        <v>4072</v>
      </c>
      <c r="H6" s="117">
        <v>239</v>
      </c>
      <c r="I6" s="152">
        <f>G6+H6</f>
        <v>4311</v>
      </c>
      <c r="J6" s="119">
        <v>11209</v>
      </c>
      <c r="K6" s="117">
        <v>3801</v>
      </c>
      <c r="L6" s="117">
        <v>221</v>
      </c>
      <c r="M6" s="162">
        <f>K6+L6</f>
        <v>4022</v>
      </c>
      <c r="N6" s="87">
        <v>47</v>
      </c>
      <c r="O6" s="87">
        <v>47</v>
      </c>
      <c r="P6" s="87">
        <v>36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6299</v>
      </c>
      <c r="G10" s="117">
        <v>3238</v>
      </c>
      <c r="H10" s="117">
        <v>986</v>
      </c>
      <c r="I10" s="152">
        <f>G10+H10</f>
        <v>4224</v>
      </c>
      <c r="J10" s="119">
        <v>6151</v>
      </c>
      <c r="K10" s="117">
        <v>3146</v>
      </c>
      <c r="L10" s="117">
        <v>933</v>
      </c>
      <c r="M10" s="162">
        <f>K10+L10</f>
        <v>4079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11412</v>
      </c>
      <c r="E18" s="84"/>
      <c r="F18" s="148">
        <f t="shared" ref="F18:M18" si="0">SUM(F6:F17)</f>
        <v>17964</v>
      </c>
      <c r="G18" s="149">
        <f t="shared" si="0"/>
        <v>7310</v>
      </c>
      <c r="H18" s="149">
        <f t="shared" si="0"/>
        <v>1225</v>
      </c>
      <c r="I18" s="150">
        <f t="shared" si="0"/>
        <v>8535</v>
      </c>
      <c r="J18" s="149">
        <f t="shared" si="0"/>
        <v>17360</v>
      </c>
      <c r="K18" s="149">
        <f t="shared" si="0"/>
        <v>6947</v>
      </c>
      <c r="L18" s="149">
        <f t="shared" si="0"/>
        <v>1154</v>
      </c>
      <c r="M18" s="157">
        <f t="shared" si="0"/>
        <v>8101</v>
      </c>
      <c r="N18" s="149">
        <f>SUM(N16,N14,N12,N10,N8,N6)</f>
        <v>49</v>
      </c>
      <c r="O18" s="149">
        <f>SUM(O16,O14,O12,O10,O8,O6)</f>
        <v>48</v>
      </c>
      <c r="P18" s="158">
        <f>SUM(P16,P14,P12,P10,P8,P6)</f>
        <v>36</v>
      </c>
    </row>
    <row r="19" spans="2:28" ht="15" customHeight="1" thickBot="1" x14ac:dyDescent="0.35">
      <c r="B19" s="16" t="s">
        <v>51</v>
      </c>
      <c r="C19" s="17">
        <v>693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35">
      <c r="B20" s="57" t="s">
        <v>52</v>
      </c>
      <c r="C20" s="58">
        <v>5255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0.25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17964</v>
      </c>
      <c r="D31" s="76">
        <f>C18+C19+C20</f>
        <v>17360</v>
      </c>
      <c r="E31" s="77">
        <f t="shared" si="1"/>
        <v>-604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44683</v>
      </c>
    </row>
    <row r="3" spans="2:27" ht="18.75" customHeight="1" thickBot="1" x14ac:dyDescent="0.35">
      <c r="B3" t="s">
        <v>1</v>
      </c>
      <c r="C3" s="3">
        <f>C2+1</f>
        <v>44684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81</v>
      </c>
      <c r="E6" s="161" t="s">
        <v>22</v>
      </c>
      <c r="F6" s="119">
        <v>24267</v>
      </c>
      <c r="G6" s="117">
        <v>12709.25966666666</v>
      </c>
      <c r="H6" s="117">
        <v>4907.5604882599982</v>
      </c>
      <c r="I6" s="152">
        <f>G6+H6</f>
        <v>17616.82015492666</v>
      </c>
      <c r="J6" s="119">
        <v>23797</v>
      </c>
      <c r="K6" s="117">
        <v>13046.427916666669</v>
      </c>
      <c r="L6" s="117">
        <v>4811.5067959399976</v>
      </c>
      <c r="M6" s="162">
        <f>K6+L6</f>
        <v>17857.934712606668</v>
      </c>
      <c r="N6" s="87">
        <v>83</v>
      </c>
      <c r="O6" s="87">
        <v>81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3519.324562620001</v>
      </c>
      <c r="I8" s="152">
        <f>G8+H8</f>
        <v>3519.324562620001</v>
      </c>
      <c r="J8" s="119">
        <v>0</v>
      </c>
      <c r="K8" s="117">
        <v>0</v>
      </c>
      <c r="L8" s="117">
        <v>3465.5302817600009</v>
      </c>
      <c r="M8" s="162">
        <f>K8+L8</f>
        <v>3465.5302817600009</v>
      </c>
      <c r="N8" s="87">
        <v>7</v>
      </c>
      <c r="O8" s="87">
        <v>7</v>
      </c>
      <c r="P8" s="87">
        <v>6</v>
      </c>
    </row>
    <row r="9" spans="2:27" x14ac:dyDescent="0.3">
      <c r="B9" s="16" t="s">
        <v>23</v>
      </c>
      <c r="C9" s="17">
        <v>2117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283</v>
      </c>
      <c r="E10" s="161" t="s">
        <v>31</v>
      </c>
      <c r="F10" s="119">
        <v>20037</v>
      </c>
      <c r="G10" s="117">
        <v>14296.40725</v>
      </c>
      <c r="H10" s="117">
        <v>1397.7500352</v>
      </c>
      <c r="I10" s="152">
        <f>G10+H10</f>
        <v>15694.157285200001</v>
      </c>
      <c r="J10" s="119">
        <v>19750</v>
      </c>
      <c r="K10" s="117">
        <v>14563.956749999999</v>
      </c>
      <c r="L10" s="117">
        <v>1319.1535510599999</v>
      </c>
      <c r="M10" s="162">
        <f>K10+L10</f>
        <v>15883.11030106</v>
      </c>
      <c r="N10" s="88">
        <v>55</v>
      </c>
      <c r="O10" s="88">
        <v>58</v>
      </c>
      <c r="P10" s="88">
        <v>47</v>
      </c>
    </row>
    <row r="11" spans="2:27" x14ac:dyDescent="0.3">
      <c r="B11" s="28" t="s">
        <v>28</v>
      </c>
      <c r="C11" s="17">
        <v>169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11</v>
      </c>
    </row>
    <row r="12" spans="2:27" x14ac:dyDescent="0.3">
      <c r="B12" s="16" t="s">
        <v>30</v>
      </c>
      <c r="C12" s="17">
        <v>2159</v>
      </c>
      <c r="E12" s="161" t="s">
        <v>35</v>
      </c>
      <c r="F12" s="119">
        <v>13729</v>
      </c>
      <c r="G12" s="117">
        <v>12095.44716666666</v>
      </c>
      <c r="H12" s="117">
        <v>16878.022906509999</v>
      </c>
      <c r="I12" s="152">
        <f>G12+H12</f>
        <v>28973.470073176657</v>
      </c>
      <c r="J12" s="119">
        <v>13872</v>
      </c>
      <c r="K12" s="117">
        <v>13094.06341666667</v>
      </c>
      <c r="L12" s="117">
        <v>17162.539817280001</v>
      </c>
      <c r="M12" s="162">
        <f>K12+L12</f>
        <v>30256.603233946669</v>
      </c>
      <c r="N12" s="88">
        <v>56</v>
      </c>
      <c r="O12" s="88">
        <v>55</v>
      </c>
      <c r="P12" s="88">
        <v>50</v>
      </c>
    </row>
    <row r="13" spans="2:27" x14ac:dyDescent="0.3">
      <c r="B13" s="16" t="s">
        <v>38</v>
      </c>
      <c r="C13" s="17">
        <v>10505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2511</v>
      </c>
      <c r="E14" s="161" t="s">
        <v>39</v>
      </c>
      <c r="F14" s="119">
        <v>21246</v>
      </c>
      <c r="G14" s="117">
        <v>19973.154999999999</v>
      </c>
      <c r="H14" s="117">
        <v>30088.381601800029</v>
      </c>
      <c r="I14" s="152">
        <f>G14+H14</f>
        <v>50061.536601800028</v>
      </c>
      <c r="J14" s="119">
        <v>22456</v>
      </c>
      <c r="K14" s="117">
        <v>23075.373749999999</v>
      </c>
      <c r="L14" s="117">
        <v>31451.240237430011</v>
      </c>
      <c r="M14" s="162">
        <f>K14+L14</f>
        <v>54526.613987430013</v>
      </c>
      <c r="N14" s="88">
        <v>78</v>
      </c>
      <c r="O14" s="88">
        <v>75</v>
      </c>
      <c r="P14" s="88">
        <v>55</v>
      </c>
    </row>
    <row r="15" spans="2:27" x14ac:dyDescent="0.3">
      <c r="B15" s="28" t="s">
        <v>42</v>
      </c>
      <c r="C15" s="17">
        <v>32446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20</v>
      </c>
    </row>
    <row r="16" spans="2:27" x14ac:dyDescent="0.3">
      <c r="B16" s="43" t="s">
        <v>47</v>
      </c>
      <c r="C16" s="17">
        <v>1690</v>
      </c>
      <c r="E16" s="161" t="s">
        <v>79</v>
      </c>
      <c r="F16" s="119">
        <v>0</v>
      </c>
      <c r="G16" s="117">
        <v>0</v>
      </c>
      <c r="H16" s="117">
        <v>9540.897232020001</v>
      </c>
      <c r="I16" s="152">
        <f>G16+H16</f>
        <v>9540.897232020001</v>
      </c>
      <c r="J16" s="119">
        <v>0</v>
      </c>
      <c r="K16" s="117">
        <v>0</v>
      </c>
      <c r="L16" s="117">
        <v>9548.7173949799999</v>
      </c>
      <c r="M16" s="162">
        <f>K16+L16</f>
        <v>9548.7173949799999</v>
      </c>
      <c r="N16" s="88">
        <v>10</v>
      </c>
      <c r="O16" s="88">
        <v>10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10593</v>
      </c>
      <c r="E18" s="84"/>
      <c r="F18" s="148">
        <f t="shared" ref="F18:M18" si="0">SUM(F6:F17)</f>
        <v>79279</v>
      </c>
      <c r="G18" s="149">
        <f t="shared" si="0"/>
        <v>59074.269083333318</v>
      </c>
      <c r="H18" s="149">
        <f t="shared" si="0"/>
        <v>66331.936826410034</v>
      </c>
      <c r="I18" s="150">
        <f t="shared" si="0"/>
        <v>125406.20590974334</v>
      </c>
      <c r="J18" s="149">
        <f t="shared" si="0"/>
        <v>79875</v>
      </c>
      <c r="K18" s="149">
        <f t="shared" si="0"/>
        <v>63779.821833333335</v>
      </c>
      <c r="L18" s="149">
        <f t="shared" si="0"/>
        <v>67758.68807845001</v>
      </c>
      <c r="M18" s="157">
        <f t="shared" si="0"/>
        <v>131538.50991178336</v>
      </c>
      <c r="N18" s="149">
        <f>SUM(N16,N14,N12,N10,N8,N6)</f>
        <v>289</v>
      </c>
      <c r="O18" s="149">
        <f>SUM(O16,O14,O12,O10,O8,O6)</f>
        <v>286</v>
      </c>
      <c r="P18" s="158">
        <f>SUM(P16,P14,P12,P10,P8,P6)</f>
        <v>232</v>
      </c>
    </row>
    <row r="19" spans="2:28" ht="15" customHeight="1" thickBot="1" x14ac:dyDescent="0.35">
      <c r="B19" s="16" t="s">
        <v>51</v>
      </c>
      <c r="C19" s="17">
        <v>1110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54</v>
      </c>
    </row>
    <row r="20" spans="2:28" ht="15" customHeight="1" thickBot="1" x14ac:dyDescent="0.35">
      <c r="B20" s="57" t="s">
        <v>52</v>
      </c>
      <c r="C20" s="58">
        <v>4899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0.1888111888111888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10655</v>
      </c>
      <c r="D25" s="76">
        <f>C13</f>
        <v>10505</v>
      </c>
      <c r="E25" s="77">
        <f t="shared" ref="E25:E32" si="1">D25-C25</f>
        <v>-150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37864</v>
      </c>
      <c r="D28" s="76">
        <f>C9+C14+C15+C16+C17</f>
        <v>39191</v>
      </c>
      <c r="E28" s="77">
        <f t="shared" si="1"/>
        <v>1327</v>
      </c>
      <c r="F28" s="1" t="s">
        <v>75</v>
      </c>
      <c r="P28" s="4"/>
    </row>
    <row r="29" spans="2:28" x14ac:dyDescent="0.3">
      <c r="B29" s="74" t="s">
        <v>21</v>
      </c>
      <c r="C29" s="122">
        <v>81</v>
      </c>
      <c r="D29" s="76">
        <f>C6</f>
        <v>81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2159</v>
      </c>
      <c r="D30" s="76">
        <f>C12</f>
        <v>2159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17093</v>
      </c>
      <c r="D31" s="76">
        <f>C18+C19+C20</f>
        <v>16602</v>
      </c>
      <c r="E31" s="77">
        <f t="shared" si="1"/>
        <v>-491</v>
      </c>
      <c r="K31" s="53"/>
      <c r="P31" s="4"/>
    </row>
    <row r="32" spans="2:28" ht="15" customHeight="1" thickBot="1" x14ac:dyDescent="0.35">
      <c r="B32" s="78" t="s">
        <v>60</v>
      </c>
      <c r="C32" s="121">
        <v>452</v>
      </c>
      <c r="D32" s="80">
        <f>C10+C11</f>
        <v>452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44684</v>
      </c>
    </row>
    <row r="3" spans="2:27" ht="18.75" customHeight="1" thickBot="1" x14ac:dyDescent="0.35">
      <c r="B3" t="s">
        <v>1</v>
      </c>
      <c r="C3" s="3">
        <f>C2+1</f>
        <v>44685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116</v>
      </c>
    </row>
    <row r="6" spans="2:27" x14ac:dyDescent="0.3">
      <c r="B6" s="16" t="s">
        <v>21</v>
      </c>
      <c r="C6" s="17">
        <v>152</v>
      </c>
      <c r="E6" s="161" t="s">
        <v>22</v>
      </c>
      <c r="F6" s="119">
        <v>27902</v>
      </c>
      <c r="G6" s="117">
        <v>13560.66855</v>
      </c>
      <c r="H6" s="117">
        <v>5338.0549799000009</v>
      </c>
      <c r="I6" s="152">
        <f>G6+H6</f>
        <v>18898.723529900002</v>
      </c>
      <c r="J6" s="119">
        <v>28123</v>
      </c>
      <c r="K6" s="117">
        <v>14810.66605</v>
      </c>
      <c r="L6" s="117">
        <v>4988.1757008799996</v>
      </c>
      <c r="M6" s="162">
        <f>K6+L6</f>
        <v>19798.841750879998</v>
      </c>
      <c r="N6" s="87">
        <v>83</v>
      </c>
      <c r="O6" s="87">
        <v>82</v>
      </c>
      <c r="P6" s="87">
        <v>65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3664.471924179999</v>
      </c>
      <c r="I8" s="152">
        <f>G8+H8</f>
        <v>3664.471924179999</v>
      </c>
      <c r="J8" s="119">
        <v>0</v>
      </c>
      <c r="K8" s="117">
        <v>0</v>
      </c>
      <c r="L8" s="117">
        <v>3613.2308456599999</v>
      </c>
      <c r="M8" s="162">
        <f>K8+L8</f>
        <v>3613.2308456599999</v>
      </c>
      <c r="N8" s="87">
        <v>7</v>
      </c>
      <c r="O8" s="87">
        <v>5</v>
      </c>
      <c r="P8" s="87">
        <v>6</v>
      </c>
    </row>
    <row r="9" spans="2:27" x14ac:dyDescent="0.3">
      <c r="B9" s="16" t="s">
        <v>23</v>
      </c>
      <c r="C9" s="17">
        <v>2790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26</v>
      </c>
      <c r="C10" s="17">
        <v>652</v>
      </c>
      <c r="E10" s="161" t="s">
        <v>31</v>
      </c>
      <c r="F10" s="119">
        <v>21590</v>
      </c>
      <c r="G10" s="117">
        <v>13797.91525</v>
      </c>
      <c r="H10" s="117">
        <v>1812.4523905999999</v>
      </c>
      <c r="I10" s="152">
        <f>G10+H10</f>
        <v>15610.3676406</v>
      </c>
      <c r="J10" s="119">
        <v>21589</v>
      </c>
      <c r="K10" s="117">
        <v>14373.392750000001</v>
      </c>
      <c r="L10" s="117">
        <v>1877.92078754</v>
      </c>
      <c r="M10" s="162">
        <f>K10+L10</f>
        <v>16251.313537540002</v>
      </c>
      <c r="N10" s="88">
        <v>55</v>
      </c>
      <c r="O10" s="88">
        <v>59</v>
      </c>
      <c r="P10" s="88">
        <v>47</v>
      </c>
    </row>
    <row r="11" spans="2:27" x14ac:dyDescent="0.3">
      <c r="B11" s="28" t="s">
        <v>28</v>
      </c>
      <c r="C11" s="17">
        <v>449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12</v>
      </c>
    </row>
    <row r="12" spans="2:27" x14ac:dyDescent="0.3">
      <c r="B12" s="16" t="s">
        <v>30</v>
      </c>
      <c r="C12" s="17">
        <v>2431</v>
      </c>
      <c r="E12" s="161" t="s">
        <v>35</v>
      </c>
      <c r="F12" s="119">
        <v>20460</v>
      </c>
      <c r="G12" s="117">
        <v>16124.379250000011</v>
      </c>
      <c r="H12" s="117">
        <v>23652.278971020001</v>
      </c>
      <c r="I12" s="152">
        <f>G12+H12</f>
        <v>39776.658221020014</v>
      </c>
      <c r="J12" s="119">
        <v>19980</v>
      </c>
      <c r="K12" s="117">
        <v>17114.000499999998</v>
      </c>
      <c r="L12" s="117">
        <v>23758.65347465</v>
      </c>
      <c r="M12" s="162">
        <f>K12+L12</f>
        <v>40872.653974649998</v>
      </c>
      <c r="N12" s="88">
        <v>56</v>
      </c>
      <c r="O12" s="88">
        <v>54</v>
      </c>
      <c r="P12" s="88">
        <v>50</v>
      </c>
    </row>
    <row r="13" spans="2:27" x14ac:dyDescent="0.3">
      <c r="B13" s="16" t="s">
        <v>38</v>
      </c>
      <c r="C13" s="17">
        <v>10733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3">
      <c r="B14" s="16" t="s">
        <v>40</v>
      </c>
      <c r="C14" s="17">
        <v>1654</v>
      </c>
      <c r="E14" s="161" t="s">
        <v>39</v>
      </c>
      <c r="F14" s="119">
        <v>26034</v>
      </c>
      <c r="G14" s="117">
        <v>20155.964749999999</v>
      </c>
      <c r="H14" s="117">
        <v>33735.774628109997</v>
      </c>
      <c r="I14" s="152">
        <f>G14+H14</f>
        <v>53891.739378109996</v>
      </c>
      <c r="J14" s="119">
        <v>28025</v>
      </c>
      <c r="K14" s="117">
        <v>26042.522250000002</v>
      </c>
      <c r="L14" s="117">
        <v>36670.665485989994</v>
      </c>
      <c r="M14" s="162">
        <f>K14+L14</f>
        <v>62713.187735989995</v>
      </c>
      <c r="N14" s="88">
        <v>78</v>
      </c>
      <c r="O14" s="88">
        <v>73</v>
      </c>
      <c r="P14" s="88">
        <v>55</v>
      </c>
    </row>
    <row r="15" spans="2:27" x14ac:dyDescent="0.3">
      <c r="B15" s="28" t="s">
        <v>42</v>
      </c>
      <c r="C15" s="17">
        <v>38539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2:27" x14ac:dyDescent="0.3">
      <c r="B16" s="43" t="s">
        <v>47</v>
      </c>
      <c r="C16" s="17">
        <v>1138</v>
      </c>
      <c r="E16" s="161" t="s">
        <v>79</v>
      </c>
      <c r="F16" s="119">
        <v>0</v>
      </c>
      <c r="G16" s="117">
        <v>0</v>
      </c>
      <c r="H16" s="117">
        <v>6178.6291796999994</v>
      </c>
      <c r="I16" s="152">
        <f>G16+H16</f>
        <v>6178.6291796999994</v>
      </c>
      <c r="J16" s="119">
        <v>0</v>
      </c>
      <c r="K16" s="117">
        <v>0</v>
      </c>
      <c r="L16" s="117">
        <v>6098.88540474</v>
      </c>
      <c r="M16" s="162">
        <f>K16+L16</f>
        <v>6098.88540474</v>
      </c>
      <c r="N16" s="88">
        <v>10</v>
      </c>
      <c r="O16" s="88">
        <v>12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12061</v>
      </c>
      <c r="E18" s="84"/>
      <c r="F18" s="148">
        <f t="shared" ref="F18:M18" si="0">SUM(F6:F17)</f>
        <v>95986</v>
      </c>
      <c r="G18" s="149">
        <f t="shared" si="0"/>
        <v>63638.927800000012</v>
      </c>
      <c r="H18" s="149">
        <f t="shared" si="0"/>
        <v>74381.66207351</v>
      </c>
      <c r="I18" s="150">
        <f t="shared" si="0"/>
        <v>138020.58987351001</v>
      </c>
      <c r="J18" s="149">
        <f t="shared" si="0"/>
        <v>97717</v>
      </c>
      <c r="K18" s="149">
        <f t="shared" si="0"/>
        <v>72340.581550000003</v>
      </c>
      <c r="L18" s="149">
        <f t="shared" si="0"/>
        <v>77007.53169946</v>
      </c>
      <c r="M18" s="157">
        <f t="shared" si="0"/>
        <v>149348.11324946</v>
      </c>
      <c r="N18" s="149">
        <f>SUM(N16,N14,N12,N10,N8,N6)</f>
        <v>289</v>
      </c>
      <c r="O18" s="149">
        <f>SUM(O16,O14,O12,O10,O8,O6)</f>
        <v>285</v>
      </c>
      <c r="P18" s="158">
        <f>SUM(P16,P14,P12,P10,P8,P6)</f>
        <v>232</v>
      </c>
    </row>
    <row r="19" spans="2:28" ht="15" customHeight="1" thickBot="1" x14ac:dyDescent="0.35">
      <c r="B19" s="16" t="s">
        <v>51</v>
      </c>
      <c r="C19" s="17">
        <v>922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53</v>
      </c>
    </row>
    <row r="20" spans="2:28" ht="15" customHeight="1" thickBot="1" x14ac:dyDescent="0.35">
      <c r="B20" s="57" t="s">
        <v>52</v>
      </c>
      <c r="C20" s="58">
        <v>5314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0.18596491228070175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11497</v>
      </c>
      <c r="D25" s="76">
        <f>C13</f>
        <v>10733</v>
      </c>
      <c r="E25" s="77">
        <f t="shared" ref="E25:E32" si="1">D25-C25</f>
        <v>-764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44930</v>
      </c>
      <c r="D28" s="76">
        <f>C9+C14+C15+C16+C17</f>
        <v>44327</v>
      </c>
      <c r="E28" s="77">
        <f t="shared" si="1"/>
        <v>-603</v>
      </c>
      <c r="F28" s="1" t="s">
        <v>75</v>
      </c>
      <c r="P28" s="4"/>
    </row>
    <row r="29" spans="2:28" x14ac:dyDescent="0.3">
      <c r="B29" s="74" t="s">
        <v>21</v>
      </c>
      <c r="C29" s="122">
        <v>152</v>
      </c>
      <c r="D29" s="76">
        <f>C6</f>
        <v>152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2431</v>
      </c>
      <c r="D30" s="76">
        <f>C12</f>
        <v>2431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18853</v>
      </c>
      <c r="D31" s="76">
        <f>C18+C19+C20</f>
        <v>18297</v>
      </c>
      <c r="E31" s="77">
        <f t="shared" si="1"/>
        <v>-556</v>
      </c>
      <c r="K31" s="53"/>
      <c r="P31" s="4"/>
    </row>
    <row r="32" spans="2:28" ht="15" customHeight="1" thickBot="1" x14ac:dyDescent="0.35">
      <c r="B32" s="78" t="s">
        <v>60</v>
      </c>
      <c r="C32" s="121">
        <v>1101</v>
      </c>
      <c r="D32" s="80">
        <f>C10+C11</f>
        <v>1101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44685</v>
      </c>
    </row>
    <row r="3" spans="2:27" ht="18.75" customHeight="1" thickBot="1" x14ac:dyDescent="0.35">
      <c r="B3" t="s">
        <v>1</v>
      </c>
      <c r="C3" s="3">
        <f>C2+1</f>
        <v>44686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114</v>
      </c>
    </row>
    <row r="6" spans="2:27" x14ac:dyDescent="0.3">
      <c r="B6" s="16" t="s">
        <v>21</v>
      </c>
      <c r="C6" s="17">
        <v>69</v>
      </c>
      <c r="E6" s="161" t="s">
        <v>22</v>
      </c>
      <c r="F6" s="119">
        <v>28254</v>
      </c>
      <c r="G6" s="117">
        <v>13907.115</v>
      </c>
      <c r="H6" s="117">
        <v>4952.1061898599992</v>
      </c>
      <c r="I6" s="152">
        <f>G6+H6</f>
        <v>18859.22118986</v>
      </c>
      <c r="J6" s="119">
        <v>27733</v>
      </c>
      <c r="K6" s="117">
        <v>15463.15399999999</v>
      </c>
      <c r="L6" s="117">
        <v>5118.2834901799979</v>
      </c>
      <c r="M6" s="162">
        <f>K6+L6</f>
        <v>20581.437490179989</v>
      </c>
      <c r="N6" s="87">
        <v>76</v>
      </c>
      <c r="O6" s="87">
        <v>73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4089.2235190800002</v>
      </c>
      <c r="I8" s="152">
        <f>G8+H8</f>
        <v>4089.2235190800002</v>
      </c>
      <c r="J8" s="119">
        <v>0</v>
      </c>
      <c r="K8" s="117">
        <v>0</v>
      </c>
      <c r="L8" s="117">
        <v>4231.0830084200006</v>
      </c>
      <c r="M8" s="162">
        <f>K8+L8</f>
        <v>4231.0830084200006</v>
      </c>
      <c r="N8" s="87">
        <v>4</v>
      </c>
      <c r="O8" s="87">
        <v>4</v>
      </c>
      <c r="P8" s="87">
        <v>3</v>
      </c>
    </row>
    <row r="9" spans="2:27" x14ac:dyDescent="0.3">
      <c r="B9" s="16" t="s">
        <v>23</v>
      </c>
      <c r="C9" s="17">
        <v>2188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19456</v>
      </c>
      <c r="G10" s="117">
        <v>14510.7155</v>
      </c>
      <c r="H10" s="117">
        <v>1206.3553108999999</v>
      </c>
      <c r="I10" s="152">
        <f>G10+H10</f>
        <v>15717.070810900001</v>
      </c>
      <c r="J10" s="119">
        <v>20823</v>
      </c>
      <c r="K10" s="117">
        <v>15090.030500000001</v>
      </c>
      <c r="L10" s="117">
        <v>1148.8852755800001</v>
      </c>
      <c r="M10" s="162">
        <f>K10+L10</f>
        <v>16238.915775580001</v>
      </c>
      <c r="N10" s="88">
        <v>55</v>
      </c>
      <c r="O10" s="88">
        <v>58</v>
      </c>
      <c r="P10" s="88">
        <v>51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30</v>
      </c>
      <c r="C12" s="17">
        <v>5866</v>
      </c>
      <c r="E12" s="161" t="s">
        <v>35</v>
      </c>
      <c r="F12" s="119">
        <v>14574</v>
      </c>
      <c r="G12" s="117">
        <v>12102.4305</v>
      </c>
      <c r="H12" s="117">
        <v>17434.090765280009</v>
      </c>
      <c r="I12" s="152">
        <f>G12+H12</f>
        <v>29536.521265280011</v>
      </c>
      <c r="J12" s="119">
        <v>13657</v>
      </c>
      <c r="K12" s="117">
        <v>13418.89575</v>
      </c>
      <c r="L12" s="117">
        <v>16619.621243959999</v>
      </c>
      <c r="M12" s="162">
        <f>K12+L12</f>
        <v>30038.516993959998</v>
      </c>
      <c r="N12" s="88">
        <v>57</v>
      </c>
      <c r="O12" s="88">
        <v>56</v>
      </c>
      <c r="P12" s="88">
        <v>51</v>
      </c>
    </row>
    <row r="13" spans="2:27" x14ac:dyDescent="0.3">
      <c r="B13" s="16" t="s">
        <v>38</v>
      </c>
      <c r="C13" s="17">
        <v>12227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2399</v>
      </c>
      <c r="E14" s="161" t="s">
        <v>39</v>
      </c>
      <c r="F14" s="119">
        <v>33331</v>
      </c>
      <c r="G14" s="117">
        <v>23533.500499999998</v>
      </c>
      <c r="H14" s="117">
        <v>38340.47023690999</v>
      </c>
      <c r="I14" s="152">
        <f>G14+H14</f>
        <v>61873.970736909992</v>
      </c>
      <c r="J14" s="119">
        <v>33361</v>
      </c>
      <c r="K14" s="117">
        <v>25797.550749999999</v>
      </c>
      <c r="L14" s="117">
        <v>38517.250327109992</v>
      </c>
      <c r="M14" s="162">
        <f>K14+L14</f>
        <v>64314.801077109994</v>
      </c>
      <c r="N14" s="88">
        <v>68</v>
      </c>
      <c r="O14" s="88">
        <v>65</v>
      </c>
      <c r="P14" s="88">
        <v>60</v>
      </c>
    </row>
    <row r="15" spans="2:27" x14ac:dyDescent="0.3">
      <c r="B15" s="28" t="s">
        <v>42</v>
      </c>
      <c r="C15" s="17">
        <v>31174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1662</v>
      </c>
      <c r="E16" s="161" t="s">
        <v>79</v>
      </c>
      <c r="F16" s="119">
        <v>0</v>
      </c>
      <c r="G16" s="117">
        <v>0</v>
      </c>
      <c r="H16" s="117">
        <v>10227.523689879999</v>
      </c>
      <c r="I16" s="152">
        <f>G16+H16</f>
        <v>10227.523689879999</v>
      </c>
      <c r="J16" s="119">
        <v>0</v>
      </c>
      <c r="K16" s="117">
        <v>0</v>
      </c>
      <c r="L16" s="117">
        <v>10286.531849139999</v>
      </c>
      <c r="M16" s="162">
        <f>K16+L16</f>
        <v>10286.531849139999</v>
      </c>
      <c r="N16" s="88">
        <v>10</v>
      </c>
      <c r="O16" s="88">
        <v>9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430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10426</v>
      </c>
      <c r="E18" s="84"/>
      <c r="F18" s="148">
        <f t="shared" ref="F18:M18" si="0">SUM(F6:F17)</f>
        <v>95615</v>
      </c>
      <c r="G18" s="149">
        <f t="shared" si="0"/>
        <v>64053.761499999993</v>
      </c>
      <c r="H18" s="149">
        <f t="shared" si="0"/>
        <v>76249.76971190999</v>
      </c>
      <c r="I18" s="150">
        <f t="shared" si="0"/>
        <v>140303.53121191001</v>
      </c>
      <c r="J18" s="149">
        <f t="shared" si="0"/>
        <v>95574</v>
      </c>
      <c r="K18" s="149">
        <f t="shared" si="0"/>
        <v>69769.630999999979</v>
      </c>
      <c r="L18" s="149">
        <f t="shared" si="0"/>
        <v>75921.655194389983</v>
      </c>
      <c r="M18" s="157">
        <f t="shared" si="0"/>
        <v>145691.28619438998</v>
      </c>
      <c r="N18" s="149">
        <f>SUM(N16,N14,N12,N10,N8,N6)</f>
        <v>270</v>
      </c>
      <c r="O18" s="149">
        <f>SUM(O16,O14,O12,O10,O8,O6)</f>
        <v>265</v>
      </c>
      <c r="P18" s="158">
        <f>SUM(P16,P14,P12,P10,P8,P6)</f>
        <v>241</v>
      </c>
    </row>
    <row r="19" spans="2:28" ht="15" customHeight="1" thickBot="1" x14ac:dyDescent="0.35">
      <c r="B19" s="16" t="s">
        <v>51</v>
      </c>
      <c r="C19" s="17">
        <v>1137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35">
      <c r="B20" s="57" t="s">
        <v>52</v>
      </c>
      <c r="C20" s="58">
        <v>5362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9.056603773584905E-2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12008</v>
      </c>
      <c r="D25" s="76">
        <f>C13</f>
        <v>12227</v>
      </c>
      <c r="E25" s="77">
        <f t="shared" ref="E25:E32" si="1">D25-C25</f>
        <v>219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40843</v>
      </c>
      <c r="D28" s="76">
        <f>C9+C14+C15+C16+C17</f>
        <v>37853</v>
      </c>
      <c r="E28" s="77">
        <f t="shared" si="1"/>
        <v>-2990</v>
      </c>
      <c r="F28" s="1" t="s">
        <v>75</v>
      </c>
      <c r="P28" s="4"/>
    </row>
    <row r="29" spans="2:28" x14ac:dyDescent="0.3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5866</v>
      </c>
      <c r="D30" s="76">
        <f>C12</f>
        <v>5866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17730</v>
      </c>
      <c r="D31" s="76">
        <f>C18+C19+C20</f>
        <v>16925</v>
      </c>
      <c r="E31" s="77">
        <f t="shared" si="1"/>
        <v>-805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44686</v>
      </c>
    </row>
    <row r="3" spans="2:27" ht="18.75" customHeight="1" thickBot="1" x14ac:dyDescent="0.35">
      <c r="B3" t="s">
        <v>1</v>
      </c>
      <c r="C3" s="3">
        <f>C2+1</f>
        <v>44687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109</v>
      </c>
      <c r="E6" s="161" t="s">
        <v>22</v>
      </c>
      <c r="F6" s="119">
        <v>27220</v>
      </c>
      <c r="G6" s="117">
        <v>14648.059233333341</v>
      </c>
      <c r="H6" s="117">
        <v>6131.6711218200026</v>
      </c>
      <c r="I6" s="152">
        <f>G6+H6</f>
        <v>20779.730355153344</v>
      </c>
      <c r="J6" s="119">
        <v>27849</v>
      </c>
      <c r="K6" s="117">
        <v>16771.82723333333</v>
      </c>
      <c r="L6" s="117">
        <v>6075.3261659000036</v>
      </c>
      <c r="M6" s="162">
        <f>K6+L6</f>
        <v>22847.153399233335</v>
      </c>
      <c r="N6" s="87">
        <v>82</v>
      </c>
      <c r="O6" s="87">
        <v>80</v>
      </c>
      <c r="P6" s="87">
        <v>67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3729.4158027599992</v>
      </c>
      <c r="I8" s="152">
        <f>G8+H8</f>
        <v>3729.4158027599992</v>
      </c>
      <c r="J8" s="119">
        <v>0</v>
      </c>
      <c r="K8" s="117">
        <v>0</v>
      </c>
      <c r="L8" s="117">
        <v>3808.050074199999</v>
      </c>
      <c r="M8" s="162">
        <f>K8+L8</f>
        <v>3808.050074199999</v>
      </c>
      <c r="N8" s="87">
        <v>6</v>
      </c>
      <c r="O8" s="87">
        <v>5</v>
      </c>
      <c r="P8" s="87">
        <v>5</v>
      </c>
    </row>
    <row r="9" spans="2:27" x14ac:dyDescent="0.3">
      <c r="B9" s="16" t="s">
        <v>23</v>
      </c>
      <c r="C9" s="17">
        <v>2423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955</v>
      </c>
      <c r="E10" s="161" t="s">
        <v>31</v>
      </c>
      <c r="F10" s="119">
        <v>19635</v>
      </c>
      <c r="G10" s="117">
        <v>13500.367749999999</v>
      </c>
      <c r="H10" s="117">
        <v>1492.03242454</v>
      </c>
      <c r="I10" s="152">
        <f>G10+H10</f>
        <v>14992.40017454</v>
      </c>
      <c r="J10" s="119">
        <v>19908</v>
      </c>
      <c r="K10" s="117">
        <v>14257.58375</v>
      </c>
      <c r="L10" s="117">
        <v>1579.1266537399999</v>
      </c>
      <c r="M10" s="162">
        <f>K10+L10</f>
        <v>15836.71040374</v>
      </c>
      <c r="N10" s="88">
        <v>63</v>
      </c>
      <c r="O10" s="88">
        <v>63</v>
      </c>
      <c r="P10" s="88">
        <v>59</v>
      </c>
    </row>
    <row r="11" spans="2:27" x14ac:dyDescent="0.3">
      <c r="B11" s="28" t="s">
        <v>28</v>
      </c>
      <c r="C11" s="17">
        <v>700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2240</v>
      </c>
      <c r="E12" s="161" t="s">
        <v>35</v>
      </c>
      <c r="F12" s="119">
        <v>16887</v>
      </c>
      <c r="G12" s="117">
        <v>12659.76191666667</v>
      </c>
      <c r="H12" s="117">
        <v>20055.397713549999</v>
      </c>
      <c r="I12" s="152">
        <f>G12+H12</f>
        <v>32715.159630216669</v>
      </c>
      <c r="J12" s="119">
        <v>16338</v>
      </c>
      <c r="K12" s="117">
        <v>14832.58491666667</v>
      </c>
      <c r="L12" s="117">
        <v>19512.731645</v>
      </c>
      <c r="M12" s="162">
        <f>K12+L12</f>
        <v>34345.316561666667</v>
      </c>
      <c r="N12" s="88">
        <v>56</v>
      </c>
      <c r="O12" s="88">
        <v>55</v>
      </c>
      <c r="P12" s="88">
        <v>49</v>
      </c>
    </row>
    <row r="13" spans="2:27" x14ac:dyDescent="0.3">
      <c r="B13" s="16" t="s">
        <v>38</v>
      </c>
      <c r="C13" s="17">
        <v>12302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1511</v>
      </c>
      <c r="E14" s="161" t="s">
        <v>39</v>
      </c>
      <c r="F14" s="119">
        <v>27541</v>
      </c>
      <c r="G14" s="117">
        <v>19479.577499999999</v>
      </c>
      <c r="H14" s="117">
        <v>35529.965470110008</v>
      </c>
      <c r="I14" s="152">
        <f>G14+H14</f>
        <v>55009.542970110007</v>
      </c>
      <c r="J14" s="119">
        <v>28063</v>
      </c>
      <c r="K14" s="117">
        <v>23792.469249999998</v>
      </c>
      <c r="L14" s="117">
        <v>36629.813362230023</v>
      </c>
      <c r="M14" s="162">
        <f>K14+L14</f>
        <v>60422.282612230018</v>
      </c>
      <c r="N14" s="88">
        <v>74</v>
      </c>
      <c r="O14" s="88">
        <v>70</v>
      </c>
      <c r="P14" s="88">
        <v>65</v>
      </c>
    </row>
    <row r="15" spans="2:27" x14ac:dyDescent="0.3">
      <c r="B15" s="28" t="s">
        <v>42</v>
      </c>
      <c r="C15" s="17">
        <v>33593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3">
      <c r="B16" s="43" t="s">
        <v>47</v>
      </c>
      <c r="C16" s="17">
        <v>1074</v>
      </c>
      <c r="E16" s="161" t="s">
        <v>79</v>
      </c>
      <c r="F16" s="119">
        <v>0</v>
      </c>
      <c r="G16" s="117">
        <v>0</v>
      </c>
      <c r="H16" s="117">
        <v>6309.34985074</v>
      </c>
      <c r="I16" s="152">
        <f>G16+H16</f>
        <v>6309.34985074</v>
      </c>
      <c r="J16" s="119">
        <v>0</v>
      </c>
      <c r="K16" s="117">
        <v>0</v>
      </c>
      <c r="L16" s="117">
        <v>6358.8615674599996</v>
      </c>
      <c r="M16" s="162">
        <f>K16+L16</f>
        <v>6358.8615674599996</v>
      </c>
      <c r="N16" s="88">
        <v>11</v>
      </c>
      <c r="O16" s="88">
        <v>9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202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10357</v>
      </c>
      <c r="E18" s="84"/>
      <c r="F18" s="148">
        <f t="shared" ref="F18:M18" si="0">SUM(F6:F17)</f>
        <v>91283</v>
      </c>
      <c r="G18" s="149">
        <f t="shared" si="0"/>
        <v>60287.766400000008</v>
      </c>
      <c r="H18" s="149">
        <f t="shared" si="0"/>
        <v>73247.832383519999</v>
      </c>
      <c r="I18" s="150">
        <f t="shared" si="0"/>
        <v>133535.59878352002</v>
      </c>
      <c r="J18" s="149">
        <f t="shared" si="0"/>
        <v>92158</v>
      </c>
      <c r="K18" s="149">
        <f t="shared" si="0"/>
        <v>69654.465149999989</v>
      </c>
      <c r="L18" s="149">
        <f t="shared" si="0"/>
        <v>73963.909468530022</v>
      </c>
      <c r="M18" s="157">
        <f t="shared" si="0"/>
        <v>143618.37461853001</v>
      </c>
      <c r="N18" s="149">
        <f>SUM(N16,N14,N12,N10,N8,N6)</f>
        <v>292</v>
      </c>
      <c r="O18" s="149">
        <f>SUM(O16,O14,O12,O10,O8,O6)</f>
        <v>282</v>
      </c>
      <c r="P18" s="158">
        <f>SUM(P16,P14,P12,P10,P8,P6)</f>
        <v>254</v>
      </c>
    </row>
    <row r="19" spans="2:28" ht="15" customHeight="1" thickBot="1" x14ac:dyDescent="0.35">
      <c r="B19" s="16" t="s">
        <v>51</v>
      </c>
      <c r="C19" s="17">
        <v>1669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35">
      <c r="B20" s="57" t="s">
        <v>52</v>
      </c>
      <c r="C20" s="58">
        <v>4568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9.9290780141843976E-2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11872</v>
      </c>
      <c r="D25" s="76">
        <f>C13</f>
        <v>12302</v>
      </c>
      <c r="E25" s="77">
        <f t="shared" ref="E25:E32" si="1">D25-C25</f>
        <v>430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42328</v>
      </c>
      <c r="D28" s="76">
        <f>C9+C14+C15+C16+C17</f>
        <v>38803</v>
      </c>
      <c r="E28" s="77">
        <f t="shared" si="1"/>
        <v>-3525</v>
      </c>
      <c r="F28" s="1" t="s">
        <v>75</v>
      </c>
      <c r="P28" s="4"/>
    </row>
    <row r="29" spans="2:28" x14ac:dyDescent="0.3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2240</v>
      </c>
      <c r="D30" s="76">
        <f>C12</f>
        <v>2240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15930</v>
      </c>
      <c r="D31" s="76">
        <f>C18+C19+C20</f>
        <v>16594</v>
      </c>
      <c r="E31" s="77">
        <f t="shared" si="1"/>
        <v>664</v>
      </c>
      <c r="K31" s="53"/>
      <c r="P31" s="4"/>
    </row>
    <row r="32" spans="2:28" ht="15" customHeight="1" thickBot="1" x14ac:dyDescent="0.35">
      <c r="B32" s="78" t="s">
        <v>60</v>
      </c>
      <c r="C32" s="121">
        <v>1655</v>
      </c>
      <c r="D32" s="80">
        <f>C10+C11</f>
        <v>1655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44687</v>
      </c>
    </row>
    <row r="3" spans="2:27" ht="18.75" customHeight="1" thickBot="1" x14ac:dyDescent="0.35">
      <c r="B3" t="s">
        <v>1</v>
      </c>
      <c r="C3" s="3">
        <f>C2+1</f>
        <v>44688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23213</v>
      </c>
      <c r="G6" s="117">
        <v>13596.704750000001</v>
      </c>
      <c r="H6" s="117">
        <v>4579.6277809399999</v>
      </c>
      <c r="I6" s="152">
        <f>G6+H6</f>
        <v>18176.332530940002</v>
      </c>
      <c r="J6" s="119">
        <v>23976</v>
      </c>
      <c r="K6" s="117">
        <v>14545.09225</v>
      </c>
      <c r="L6" s="117">
        <v>4313.0872515600022</v>
      </c>
      <c r="M6" s="162">
        <f>K6+L6</f>
        <v>18858.17950156</v>
      </c>
      <c r="N6" s="87">
        <v>79</v>
      </c>
      <c r="O6" s="87">
        <v>77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4437.5755119799996</v>
      </c>
      <c r="I8" s="152">
        <f>G8+H8</f>
        <v>4437.5755119799996</v>
      </c>
      <c r="J8" s="119">
        <v>0</v>
      </c>
      <c r="K8" s="117">
        <v>0</v>
      </c>
      <c r="L8" s="117">
        <v>4167.8407242599997</v>
      </c>
      <c r="M8" s="162">
        <f>K8+L8</f>
        <v>4167.8407242599997</v>
      </c>
      <c r="N8" s="87">
        <v>8</v>
      </c>
      <c r="O8" s="87">
        <v>7</v>
      </c>
      <c r="P8" s="87">
        <v>8</v>
      </c>
    </row>
    <row r="9" spans="2:27" x14ac:dyDescent="0.3">
      <c r="B9" s="16" t="s">
        <v>23</v>
      </c>
      <c r="C9" s="17">
        <v>2574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19540</v>
      </c>
      <c r="G10" s="117">
        <v>14814.299000000001</v>
      </c>
      <c r="H10" s="117">
        <v>1096.7937710000001</v>
      </c>
      <c r="I10" s="152">
        <f>G10+H10</f>
        <v>15911.092771000001</v>
      </c>
      <c r="J10" s="119">
        <v>18965</v>
      </c>
      <c r="K10" s="117">
        <v>14666.4905</v>
      </c>
      <c r="L10" s="117">
        <v>1081.30283732</v>
      </c>
      <c r="M10" s="162">
        <f>K10+L10</f>
        <v>15747.793337319999</v>
      </c>
      <c r="N10" s="88">
        <v>56</v>
      </c>
      <c r="O10" s="88">
        <v>54</v>
      </c>
      <c r="P10" s="88">
        <v>53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30</v>
      </c>
      <c r="C12" s="17">
        <v>5254</v>
      </c>
      <c r="E12" s="161" t="s">
        <v>35</v>
      </c>
      <c r="F12" s="119">
        <v>15522</v>
      </c>
      <c r="G12" s="117">
        <v>13058.941500000001</v>
      </c>
      <c r="H12" s="117">
        <v>18330.806770579991</v>
      </c>
      <c r="I12" s="152">
        <f>G12+H12</f>
        <v>31389.748270579992</v>
      </c>
      <c r="J12" s="119">
        <v>15159</v>
      </c>
      <c r="K12" s="117">
        <v>14996.3375</v>
      </c>
      <c r="L12" s="117">
        <v>18217.34147109</v>
      </c>
      <c r="M12" s="162">
        <f>K12+L12</f>
        <v>33213.678971089998</v>
      </c>
      <c r="N12" s="88">
        <v>65</v>
      </c>
      <c r="O12" s="88">
        <v>63</v>
      </c>
      <c r="P12" s="88">
        <v>54</v>
      </c>
    </row>
    <row r="13" spans="2:27" x14ac:dyDescent="0.3">
      <c r="B13" s="16" t="s">
        <v>38</v>
      </c>
      <c r="C13" s="17">
        <v>10093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2399</v>
      </c>
      <c r="E14" s="161" t="s">
        <v>39</v>
      </c>
      <c r="F14" s="119">
        <v>31315</v>
      </c>
      <c r="G14" s="117">
        <v>23412.4175</v>
      </c>
      <c r="H14" s="117">
        <v>38860.098595580042</v>
      </c>
      <c r="I14" s="152">
        <f>G14+H14</f>
        <v>62272.516095580038</v>
      </c>
      <c r="J14" s="119">
        <v>31770</v>
      </c>
      <c r="K14" s="117">
        <v>27047.1005</v>
      </c>
      <c r="L14" s="117">
        <v>40371.272041000047</v>
      </c>
      <c r="M14" s="162">
        <f>K14+L14</f>
        <v>67418.372541000048</v>
      </c>
      <c r="N14" s="88">
        <v>80</v>
      </c>
      <c r="O14" s="88">
        <v>76</v>
      </c>
      <c r="P14" s="88">
        <v>68</v>
      </c>
    </row>
    <row r="15" spans="2:27" x14ac:dyDescent="0.3">
      <c r="B15" s="28" t="s">
        <v>42</v>
      </c>
      <c r="C15" s="17">
        <v>33320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47</v>
      </c>
      <c r="C16" s="17">
        <v>2417</v>
      </c>
      <c r="E16" s="161" t="s">
        <v>79</v>
      </c>
      <c r="F16" s="119">
        <v>0</v>
      </c>
      <c r="G16" s="117">
        <v>0</v>
      </c>
      <c r="H16" s="117">
        <v>10729.04233206</v>
      </c>
      <c r="I16" s="152">
        <f>G16+H16</f>
        <v>10729.04233206</v>
      </c>
      <c r="J16" s="119">
        <v>0</v>
      </c>
      <c r="K16" s="117">
        <v>0</v>
      </c>
      <c r="L16" s="117">
        <v>10415.9939158</v>
      </c>
      <c r="M16" s="162">
        <f>K16+L16</f>
        <v>10415.9939158</v>
      </c>
      <c r="N16" s="88">
        <v>14</v>
      </c>
      <c r="O16" s="88">
        <v>13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430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9631</v>
      </c>
      <c r="E18" s="84"/>
      <c r="F18" s="148">
        <f t="shared" ref="F18:M18" si="0">SUM(F6:F17)</f>
        <v>89590</v>
      </c>
      <c r="G18" s="149">
        <f t="shared" si="0"/>
        <v>64882.36275</v>
      </c>
      <c r="H18" s="149">
        <f t="shared" si="0"/>
        <v>78033.944762140032</v>
      </c>
      <c r="I18" s="150">
        <f t="shared" si="0"/>
        <v>142916.30751214002</v>
      </c>
      <c r="J18" s="149">
        <f t="shared" si="0"/>
        <v>89870</v>
      </c>
      <c r="K18" s="149">
        <f t="shared" si="0"/>
        <v>71255.020749999996</v>
      </c>
      <c r="L18" s="149">
        <f t="shared" si="0"/>
        <v>78566.838241030055</v>
      </c>
      <c r="M18" s="157">
        <f t="shared" si="0"/>
        <v>149821.85899103005</v>
      </c>
      <c r="N18" s="149">
        <f>SUM(N16,N14,N12,N10,N8,N6)</f>
        <v>302</v>
      </c>
      <c r="O18" s="149">
        <f>SUM(O16,O14,O12,O10,O8,O6)</f>
        <v>290</v>
      </c>
      <c r="P18" s="158">
        <f>SUM(P16,P14,P12,P10,P8,P6)</f>
        <v>260</v>
      </c>
    </row>
    <row r="19" spans="2:28" ht="15" customHeight="1" thickBot="1" x14ac:dyDescent="0.35">
      <c r="B19" s="16" t="s">
        <v>51</v>
      </c>
      <c r="C19" s="17">
        <v>400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5045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0.10344827586206896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9876</v>
      </c>
      <c r="D25" s="76">
        <f>C13</f>
        <v>10093</v>
      </c>
      <c r="E25" s="77">
        <f t="shared" ref="E25:E32" si="1">D25-C25</f>
        <v>217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44566</v>
      </c>
      <c r="D28" s="76">
        <f>C9+C14+C15+C16+C17</f>
        <v>41140</v>
      </c>
      <c r="E28" s="77">
        <f t="shared" si="1"/>
        <v>-3426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5254</v>
      </c>
      <c r="D30" s="76">
        <f>C12</f>
        <v>5254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15229</v>
      </c>
      <c r="D31" s="76">
        <f>C18+C19+C20</f>
        <v>15076</v>
      </c>
      <c r="E31" s="77">
        <f t="shared" si="1"/>
        <v>-153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44688</v>
      </c>
    </row>
    <row r="3" spans="2:27" ht="18.75" customHeight="1" thickBot="1" x14ac:dyDescent="0.35">
      <c r="B3" t="s">
        <v>1</v>
      </c>
      <c r="C3" s="3">
        <f>C2+1</f>
        <v>44689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95</v>
      </c>
      <c r="E6" s="161" t="s">
        <v>22</v>
      </c>
      <c r="F6" s="119">
        <v>26619</v>
      </c>
      <c r="G6" s="117">
        <v>12537.376866666669</v>
      </c>
      <c r="H6" s="117">
        <v>4612.5493276599973</v>
      </c>
      <c r="I6" s="152">
        <f>G6+H6</f>
        <v>17149.926194326668</v>
      </c>
      <c r="J6" s="119">
        <v>27778</v>
      </c>
      <c r="K6" s="117">
        <v>14598.921366666669</v>
      </c>
      <c r="L6" s="117">
        <v>4781.6278340999979</v>
      </c>
      <c r="M6" s="162">
        <f>K6+L6</f>
        <v>19380.549200766669</v>
      </c>
      <c r="N6" s="87">
        <v>81</v>
      </c>
      <c r="O6" s="87">
        <v>77</v>
      </c>
      <c r="P6" s="87">
        <v>72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3554.0093902600001</v>
      </c>
      <c r="I8" s="152">
        <f>G8+H8</f>
        <v>3554.0093902600001</v>
      </c>
      <c r="J8" s="119">
        <v>0</v>
      </c>
      <c r="K8" s="117">
        <v>0</v>
      </c>
      <c r="L8" s="117">
        <v>3609.4500280399998</v>
      </c>
      <c r="M8" s="162">
        <f>K8+L8</f>
        <v>3609.4500280399998</v>
      </c>
      <c r="N8" s="87">
        <v>7</v>
      </c>
      <c r="O8" s="87">
        <v>7</v>
      </c>
      <c r="P8" s="87">
        <v>5</v>
      </c>
    </row>
    <row r="9" spans="2:27" x14ac:dyDescent="0.3">
      <c r="B9" s="16" t="s">
        <v>23</v>
      </c>
      <c r="C9" s="17">
        <v>1973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715</v>
      </c>
      <c r="E10" s="161" t="s">
        <v>31</v>
      </c>
      <c r="F10" s="119">
        <v>19044</v>
      </c>
      <c r="G10" s="117">
        <v>12666.411</v>
      </c>
      <c r="H10" s="117">
        <v>1612.0304787</v>
      </c>
      <c r="I10" s="152">
        <f>G10+H10</f>
        <v>14278.441478700001</v>
      </c>
      <c r="J10" s="119">
        <v>19199</v>
      </c>
      <c r="K10" s="117">
        <v>13745.949500000001</v>
      </c>
      <c r="L10" s="117">
        <v>1614.969503159999</v>
      </c>
      <c r="M10" s="162">
        <f>K10+L10</f>
        <v>15360.919003159999</v>
      </c>
      <c r="N10" s="88">
        <v>64</v>
      </c>
      <c r="O10" s="88">
        <v>54</v>
      </c>
      <c r="P10" s="88">
        <v>60</v>
      </c>
    </row>
    <row r="11" spans="2:27" x14ac:dyDescent="0.3">
      <c r="B11" s="28" t="s">
        <v>28</v>
      </c>
      <c r="C11" s="17">
        <v>320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-6</v>
      </c>
    </row>
    <row r="12" spans="2:27" x14ac:dyDescent="0.3">
      <c r="B12" s="16" t="s">
        <v>30</v>
      </c>
      <c r="C12" s="17">
        <v>2681</v>
      </c>
      <c r="E12" s="161" t="s">
        <v>35</v>
      </c>
      <c r="F12" s="119">
        <v>16521</v>
      </c>
      <c r="G12" s="117">
        <v>13219.382833333329</v>
      </c>
      <c r="H12" s="117">
        <v>18723.052924449999</v>
      </c>
      <c r="I12" s="152">
        <f>G12+H12</f>
        <v>31942.435757783329</v>
      </c>
      <c r="J12" s="119">
        <v>16502</v>
      </c>
      <c r="K12" s="117">
        <v>14780.937083333331</v>
      </c>
      <c r="L12" s="117">
        <v>18866.508192559999</v>
      </c>
      <c r="M12" s="162">
        <f>K12+L12</f>
        <v>33647.445275893333</v>
      </c>
      <c r="N12" s="88">
        <v>65</v>
      </c>
      <c r="O12" s="88">
        <v>63</v>
      </c>
      <c r="P12" s="88">
        <v>54</v>
      </c>
    </row>
    <row r="13" spans="2:27" x14ac:dyDescent="0.3">
      <c r="B13" s="16" t="s">
        <v>38</v>
      </c>
      <c r="C13" s="17">
        <v>12176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1304</v>
      </c>
      <c r="E14" s="161" t="s">
        <v>39</v>
      </c>
      <c r="F14" s="119">
        <v>28638</v>
      </c>
      <c r="G14" s="117">
        <v>20656.551500000001</v>
      </c>
      <c r="H14" s="117">
        <v>35117.288729630003</v>
      </c>
      <c r="I14" s="152">
        <f>G14+H14</f>
        <v>55773.840229630005</v>
      </c>
      <c r="J14" s="119">
        <v>29954</v>
      </c>
      <c r="K14" s="117">
        <v>27813.41</v>
      </c>
      <c r="L14" s="117">
        <v>37899.777692079988</v>
      </c>
      <c r="M14" s="162">
        <f>K14+L14</f>
        <v>65713.187692079984</v>
      </c>
      <c r="N14" s="88">
        <v>74</v>
      </c>
      <c r="O14" s="88">
        <v>76</v>
      </c>
      <c r="P14" s="88">
        <v>74</v>
      </c>
    </row>
    <row r="15" spans="2:27" x14ac:dyDescent="0.3">
      <c r="B15" s="28" t="s">
        <v>42</v>
      </c>
      <c r="C15" s="17">
        <v>35745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2:27" x14ac:dyDescent="0.3">
      <c r="B16" s="43" t="s">
        <v>47</v>
      </c>
      <c r="C16" s="17">
        <v>1120</v>
      </c>
      <c r="E16" s="161" t="s">
        <v>79</v>
      </c>
      <c r="F16" s="119">
        <v>0</v>
      </c>
      <c r="G16" s="117">
        <v>0</v>
      </c>
      <c r="H16" s="117">
        <v>5733.9047832399992</v>
      </c>
      <c r="I16" s="152">
        <f>G16+H16</f>
        <v>5733.9047832399992</v>
      </c>
      <c r="J16" s="119">
        <v>0</v>
      </c>
      <c r="K16" s="117">
        <v>0</v>
      </c>
      <c r="L16" s="117">
        <v>5852.3120494000004</v>
      </c>
      <c r="M16" s="162">
        <f>K16+L16</f>
        <v>5852.3120494000004</v>
      </c>
      <c r="N16" s="88">
        <v>12</v>
      </c>
      <c r="O16" s="88">
        <v>13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184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11793</v>
      </c>
      <c r="E18" s="84"/>
      <c r="F18" s="148">
        <f t="shared" ref="F18:M18" si="0">SUM(F6:F17)</f>
        <v>90822</v>
      </c>
      <c r="G18" s="149">
        <f t="shared" si="0"/>
        <v>59079.722200000004</v>
      </c>
      <c r="H18" s="149">
        <f t="shared" si="0"/>
        <v>69352.835633940005</v>
      </c>
      <c r="I18" s="150">
        <f t="shared" si="0"/>
        <v>128432.55783393999</v>
      </c>
      <c r="J18" s="149">
        <f t="shared" si="0"/>
        <v>93433</v>
      </c>
      <c r="K18" s="149">
        <f t="shared" si="0"/>
        <v>70939.217950000006</v>
      </c>
      <c r="L18" s="149">
        <f t="shared" si="0"/>
        <v>72624.645299339987</v>
      </c>
      <c r="M18" s="157">
        <f t="shared" si="0"/>
        <v>143563.86324933998</v>
      </c>
      <c r="N18" s="149">
        <f>SUM(N16,N14,N12,N10,N8,N6)</f>
        <v>303</v>
      </c>
      <c r="O18" s="149">
        <f>SUM(O16,O14,O12,O10,O8,O6)</f>
        <v>290</v>
      </c>
      <c r="P18" s="158">
        <f>SUM(P16,P14,P12,P10,P8,P6)</f>
        <v>277</v>
      </c>
    </row>
    <row r="19" spans="2:28" ht="15" customHeight="1" thickBot="1" x14ac:dyDescent="0.35">
      <c r="B19" s="16" t="s">
        <v>51</v>
      </c>
      <c r="C19" s="17">
        <v>1513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2:28" ht="15" customHeight="1" thickBot="1" x14ac:dyDescent="0.35">
      <c r="B20" s="57" t="s">
        <v>52</v>
      </c>
      <c r="C20" s="58">
        <v>5075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4.4827586206896551E-2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11993</v>
      </c>
      <c r="D25" s="76">
        <f>C13</f>
        <v>12176</v>
      </c>
      <c r="E25" s="77">
        <f t="shared" ref="E25:E32" si="1">D25-C25</f>
        <v>183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41897</v>
      </c>
      <c r="D28" s="76">
        <f>C9+C14+C15+C16+C17</f>
        <v>40326</v>
      </c>
      <c r="E28" s="77">
        <f t="shared" si="1"/>
        <v>-1571</v>
      </c>
      <c r="F28" s="1" t="s">
        <v>75</v>
      </c>
      <c r="P28" s="4"/>
    </row>
    <row r="29" spans="2:28" x14ac:dyDescent="0.3">
      <c r="B29" s="74" t="s">
        <v>21</v>
      </c>
      <c r="C29" s="122">
        <v>95</v>
      </c>
      <c r="D29" s="76">
        <f>C6</f>
        <v>95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2681</v>
      </c>
      <c r="D30" s="76">
        <f>C12</f>
        <v>2681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17306</v>
      </c>
      <c r="D31" s="76">
        <f>C18+C19+C20</f>
        <v>18381</v>
      </c>
      <c r="E31" s="77">
        <f t="shared" si="1"/>
        <v>1075</v>
      </c>
      <c r="K31" s="53"/>
      <c r="P31" s="4"/>
    </row>
    <row r="32" spans="2:28" ht="15" customHeight="1" thickBot="1" x14ac:dyDescent="0.35">
      <c r="B32" s="78" t="s">
        <v>60</v>
      </c>
      <c r="C32" s="121">
        <v>1035</v>
      </c>
      <c r="D32" s="80">
        <f>C10+C11</f>
        <v>1035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44689</v>
      </c>
    </row>
    <row r="3" spans="2:27" ht="18.75" customHeight="1" thickBot="1" x14ac:dyDescent="0.35">
      <c r="B3" t="s">
        <v>1</v>
      </c>
      <c r="C3" s="3">
        <f>C2+1</f>
        <v>44690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10815</v>
      </c>
      <c r="G6" s="117">
        <v>4343</v>
      </c>
      <c r="H6" s="117">
        <v>768</v>
      </c>
      <c r="I6" s="152">
        <f>G6+H6</f>
        <v>5111</v>
      </c>
      <c r="J6" s="119">
        <v>10661</v>
      </c>
      <c r="K6" s="117">
        <v>4146</v>
      </c>
      <c r="L6" s="117">
        <v>669</v>
      </c>
      <c r="M6" s="162">
        <f>K6+L6</f>
        <v>4815</v>
      </c>
      <c r="N6" s="87">
        <v>46</v>
      </c>
      <c r="O6" s="87">
        <v>44</v>
      </c>
      <c r="P6" s="87">
        <v>33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2</v>
      </c>
      <c r="O8" s="87">
        <v>2</v>
      </c>
      <c r="P8" s="87">
        <v>1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6205</v>
      </c>
      <c r="G10" s="117">
        <v>3489</v>
      </c>
      <c r="H10" s="117">
        <v>990.9865853</v>
      </c>
      <c r="I10" s="152">
        <f>G10+H10</f>
        <v>4479.9865853000001</v>
      </c>
      <c r="J10" s="119">
        <v>5799</v>
      </c>
      <c r="K10" s="117">
        <v>3358</v>
      </c>
      <c r="L10" s="117">
        <v>917</v>
      </c>
      <c r="M10" s="162">
        <f>K10+L10</f>
        <v>4275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10385</v>
      </c>
      <c r="E18" s="84"/>
      <c r="F18" s="148">
        <f t="shared" ref="F18:M18" si="0">SUM(F6:F17)</f>
        <v>17020</v>
      </c>
      <c r="G18" s="149">
        <f t="shared" si="0"/>
        <v>7832</v>
      </c>
      <c r="H18" s="149">
        <f t="shared" si="0"/>
        <v>1758.9865853000001</v>
      </c>
      <c r="I18" s="150">
        <f t="shared" si="0"/>
        <v>9590.986585300001</v>
      </c>
      <c r="J18" s="149">
        <f t="shared" si="0"/>
        <v>16460</v>
      </c>
      <c r="K18" s="149">
        <f t="shared" si="0"/>
        <v>7504</v>
      </c>
      <c r="L18" s="149">
        <f t="shared" si="0"/>
        <v>1586</v>
      </c>
      <c r="M18" s="157">
        <f t="shared" si="0"/>
        <v>9090</v>
      </c>
      <c r="N18" s="149">
        <f>SUM(N16,N14,N12,N10,N8,N6)</f>
        <v>49</v>
      </c>
      <c r="O18" s="149">
        <f>SUM(O16,O14,O12,O10,O8,O6)</f>
        <v>46</v>
      </c>
      <c r="P18" s="158">
        <f>SUM(P16,P14,P12,P10,P8,P6)</f>
        <v>34</v>
      </c>
    </row>
    <row r="19" spans="2:28" ht="15" customHeight="1" thickBot="1" x14ac:dyDescent="0.35">
      <c r="B19" s="16" t="s">
        <v>51</v>
      </c>
      <c r="C19" s="17">
        <v>809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35">
      <c r="B20" s="57" t="s">
        <v>52</v>
      </c>
      <c r="C20" s="58">
        <v>5266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0.2608695652173913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17020</v>
      </c>
      <c r="D31" s="76">
        <f>C18+C19+C20</f>
        <v>16460</v>
      </c>
      <c r="E31" s="77">
        <f t="shared" si="1"/>
        <v>-560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44690</v>
      </c>
    </row>
    <row r="3" spans="2:27" ht="18.75" customHeight="1" thickBot="1" x14ac:dyDescent="0.35">
      <c r="B3" t="s">
        <v>1</v>
      </c>
      <c r="C3" s="3">
        <f>C2+1</f>
        <v>44691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89</v>
      </c>
      <c r="E6" s="161" t="s">
        <v>22</v>
      </c>
      <c r="F6" s="119">
        <v>25225</v>
      </c>
      <c r="G6" s="117">
        <v>13210.07126666667</v>
      </c>
      <c r="H6" s="117">
        <v>4982.4734327800024</v>
      </c>
      <c r="I6" s="152">
        <f>G6+H6</f>
        <v>18192.544699446673</v>
      </c>
      <c r="J6" s="119">
        <v>25967</v>
      </c>
      <c r="K6" s="117">
        <v>13913.90526666667</v>
      </c>
      <c r="L6" s="117">
        <v>4991.3830754800019</v>
      </c>
      <c r="M6" s="162">
        <f>K6+L6</f>
        <v>18905.288342146672</v>
      </c>
      <c r="N6" s="87">
        <v>81</v>
      </c>
      <c r="O6" s="87">
        <v>80</v>
      </c>
      <c r="P6" s="87">
        <v>63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3534.8624329000008</v>
      </c>
      <c r="I8" s="152">
        <f>G8+H8</f>
        <v>3534.8624329000008</v>
      </c>
      <c r="J8" s="119">
        <v>0</v>
      </c>
      <c r="K8" s="117">
        <v>0</v>
      </c>
      <c r="L8" s="117">
        <v>3575.073497580001</v>
      </c>
      <c r="M8" s="162">
        <f>K8+L8</f>
        <v>3575.073497580001</v>
      </c>
      <c r="N8" s="87">
        <v>7</v>
      </c>
      <c r="O8" s="87">
        <v>7</v>
      </c>
      <c r="P8" s="87">
        <v>6</v>
      </c>
    </row>
    <row r="9" spans="2:27" x14ac:dyDescent="0.3">
      <c r="B9" s="16" t="s">
        <v>23</v>
      </c>
      <c r="C9" s="17">
        <v>2188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400</v>
      </c>
      <c r="E10" s="161" t="s">
        <v>31</v>
      </c>
      <c r="F10" s="119">
        <v>19648</v>
      </c>
      <c r="G10" s="117">
        <v>14163.72075</v>
      </c>
      <c r="H10" s="117">
        <v>1354.2271304000001</v>
      </c>
      <c r="I10" s="152">
        <f>G10+H10</f>
        <v>15517.947880400001</v>
      </c>
      <c r="J10" s="119">
        <v>19690</v>
      </c>
      <c r="K10" s="117">
        <v>14472.25325</v>
      </c>
      <c r="L10" s="117">
        <v>1381.4106606600001</v>
      </c>
      <c r="M10" s="162">
        <f>K10+L10</f>
        <v>15853.66391066</v>
      </c>
      <c r="N10" s="88">
        <v>55</v>
      </c>
      <c r="O10" s="88">
        <v>55</v>
      </c>
      <c r="P10" s="88">
        <v>50</v>
      </c>
    </row>
    <row r="11" spans="2:27" x14ac:dyDescent="0.3">
      <c r="B11" s="28" t="s">
        <v>28</v>
      </c>
      <c r="C11" s="17">
        <v>240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2932</v>
      </c>
      <c r="E12" s="161" t="s">
        <v>35</v>
      </c>
      <c r="F12" s="119">
        <v>14542</v>
      </c>
      <c r="G12" s="117">
        <v>12043.4105</v>
      </c>
      <c r="H12" s="117">
        <v>17291.858583230001</v>
      </c>
      <c r="I12" s="152">
        <f>G12+H12</f>
        <v>29335.26908323</v>
      </c>
      <c r="J12" s="119">
        <v>14182</v>
      </c>
      <c r="K12" s="117">
        <v>13303.616249999999</v>
      </c>
      <c r="L12" s="117">
        <v>16963.119616359989</v>
      </c>
      <c r="M12" s="162">
        <f>K12+L12</f>
        <v>30266.735866359988</v>
      </c>
      <c r="N12" s="88">
        <v>57</v>
      </c>
      <c r="O12" s="88">
        <v>57</v>
      </c>
      <c r="P12" s="88">
        <v>39</v>
      </c>
    </row>
    <row r="13" spans="2:27" x14ac:dyDescent="0.3">
      <c r="B13" s="16" t="s">
        <v>38</v>
      </c>
      <c r="C13" s="17">
        <v>10691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18</v>
      </c>
    </row>
    <row r="14" spans="2:27" x14ac:dyDescent="0.3">
      <c r="B14" s="16" t="s">
        <v>40</v>
      </c>
      <c r="C14" s="17">
        <v>2399</v>
      </c>
      <c r="E14" s="161" t="s">
        <v>39</v>
      </c>
      <c r="F14" s="119">
        <v>24868</v>
      </c>
      <c r="G14" s="117">
        <v>21198.197499999998</v>
      </c>
      <c r="H14" s="117">
        <v>31796.719764450001</v>
      </c>
      <c r="I14" s="152">
        <f>G14+H14</f>
        <v>52994.917264449999</v>
      </c>
      <c r="J14" s="119">
        <v>24912</v>
      </c>
      <c r="K14" s="117">
        <v>21414.816999999999</v>
      </c>
      <c r="L14" s="117">
        <v>31701.432096150009</v>
      </c>
      <c r="M14" s="162">
        <f>K14+L14</f>
        <v>53116.249096150008</v>
      </c>
      <c r="N14" s="88">
        <v>75</v>
      </c>
      <c r="O14" s="88">
        <v>73</v>
      </c>
      <c r="P14" s="88">
        <v>63</v>
      </c>
    </row>
    <row r="15" spans="2:27" x14ac:dyDescent="0.3">
      <c r="B15" s="28" t="s">
        <v>42</v>
      </c>
      <c r="C15" s="17">
        <v>30887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47</v>
      </c>
      <c r="C16" s="17">
        <v>1672</v>
      </c>
      <c r="E16" s="161" t="s">
        <v>79</v>
      </c>
      <c r="F16" s="119">
        <v>0</v>
      </c>
      <c r="G16" s="117">
        <v>0</v>
      </c>
      <c r="H16" s="117">
        <v>9814.9085770199999</v>
      </c>
      <c r="I16" s="152">
        <f>G16+H16</f>
        <v>9814.9085770199999</v>
      </c>
      <c r="J16" s="119">
        <v>0</v>
      </c>
      <c r="K16" s="117">
        <v>0</v>
      </c>
      <c r="L16" s="117">
        <v>9804.119819380001</v>
      </c>
      <c r="M16" s="162">
        <f>K16+L16</f>
        <v>9804.119819380001</v>
      </c>
      <c r="N16" s="88">
        <v>10</v>
      </c>
      <c r="O16" s="88">
        <v>9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430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11735</v>
      </c>
      <c r="E18" s="84"/>
      <c r="F18" s="148">
        <f t="shared" ref="F18:M18" si="0">SUM(F6:F17)</f>
        <v>84283</v>
      </c>
      <c r="G18" s="149">
        <f t="shared" si="0"/>
        <v>60615.400016666666</v>
      </c>
      <c r="H18" s="149">
        <f t="shared" si="0"/>
        <v>68775.049920780002</v>
      </c>
      <c r="I18" s="150">
        <f t="shared" si="0"/>
        <v>129390.44993744667</v>
      </c>
      <c r="J18" s="149">
        <f t="shared" si="0"/>
        <v>84751</v>
      </c>
      <c r="K18" s="149">
        <f t="shared" si="0"/>
        <v>63104.591766666665</v>
      </c>
      <c r="L18" s="149">
        <f t="shared" si="0"/>
        <v>68416.538765609992</v>
      </c>
      <c r="M18" s="157">
        <f t="shared" si="0"/>
        <v>131521.13053227667</v>
      </c>
      <c r="N18" s="149">
        <f>SUM(N16,N14,N12,N10,N8,N6)</f>
        <v>285</v>
      </c>
      <c r="O18" s="149">
        <f>SUM(O16,O14,O12,O10,O8,O6)</f>
        <v>281</v>
      </c>
      <c r="P18" s="158">
        <f>SUM(P16,P14,P12,P10,P8,P6)</f>
        <v>229</v>
      </c>
    </row>
    <row r="19" spans="2:28" ht="15" customHeight="1" thickBot="1" x14ac:dyDescent="0.35">
      <c r="B19" s="16" t="s">
        <v>51</v>
      </c>
      <c r="C19" s="17">
        <v>1225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52</v>
      </c>
    </row>
    <row r="20" spans="2:28" ht="15" customHeight="1" thickBot="1" x14ac:dyDescent="0.35">
      <c r="B20" s="57" t="s">
        <v>52</v>
      </c>
      <c r="C20" s="58">
        <v>5017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0.18505338078291814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10837</v>
      </c>
      <c r="D25" s="76">
        <f>C13</f>
        <v>10691</v>
      </c>
      <c r="E25" s="77">
        <f t="shared" ref="E25:E32" si="1">D25-C25</f>
        <v>-146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37874</v>
      </c>
      <c r="D28" s="76">
        <f>C9+C14+C15+C16+C17</f>
        <v>37576</v>
      </c>
      <c r="E28" s="77">
        <f t="shared" si="1"/>
        <v>-298</v>
      </c>
      <c r="F28" s="1" t="s">
        <v>75</v>
      </c>
      <c r="P28" s="4"/>
    </row>
    <row r="29" spans="2:28" x14ac:dyDescent="0.3">
      <c r="B29" s="74" t="s">
        <v>21</v>
      </c>
      <c r="C29" s="122">
        <v>89</v>
      </c>
      <c r="D29" s="76">
        <f>C6</f>
        <v>89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2932</v>
      </c>
      <c r="D30" s="76">
        <f>C12</f>
        <v>2932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17113</v>
      </c>
      <c r="D31" s="76">
        <f>C18+C19+C20</f>
        <v>17977</v>
      </c>
      <c r="E31" s="77">
        <f t="shared" si="1"/>
        <v>864</v>
      </c>
      <c r="K31" s="53"/>
      <c r="P31" s="4"/>
    </row>
    <row r="32" spans="2:28" ht="15" customHeight="1" thickBot="1" x14ac:dyDescent="0.35">
      <c r="B32" s="78" t="s">
        <v>60</v>
      </c>
      <c r="C32" s="121">
        <v>640</v>
      </c>
      <c r="D32" s="80">
        <f>C10+C11</f>
        <v>640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44691</v>
      </c>
    </row>
    <row r="3" spans="2:27" ht="18.75" customHeight="1" thickBot="1" x14ac:dyDescent="0.35">
      <c r="B3" t="s">
        <v>1</v>
      </c>
      <c r="C3" s="3">
        <f>C2+1</f>
        <v>44692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171</v>
      </c>
      <c r="E6" s="161" t="s">
        <v>22</v>
      </c>
      <c r="F6" s="119">
        <v>27842</v>
      </c>
      <c r="G6" s="117">
        <v>12542.1404</v>
      </c>
      <c r="H6" s="117">
        <v>5318.8318655400008</v>
      </c>
      <c r="I6" s="152">
        <f>G6+H6</f>
        <v>17860.97226554</v>
      </c>
      <c r="J6" s="119">
        <v>27904</v>
      </c>
      <c r="K6" s="117">
        <v>13787.022150000001</v>
      </c>
      <c r="L6" s="117">
        <v>5362.5447349599981</v>
      </c>
      <c r="M6" s="162">
        <f>K6+L6</f>
        <v>19149.566884959997</v>
      </c>
      <c r="N6" s="87">
        <v>86</v>
      </c>
      <c r="O6" s="87">
        <v>84</v>
      </c>
      <c r="P6" s="87">
        <v>77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3335.9788169800008</v>
      </c>
      <c r="I8" s="152">
        <f>G8+H8</f>
        <v>3335.9788169800008</v>
      </c>
      <c r="J8" s="119">
        <v>0</v>
      </c>
      <c r="K8" s="117">
        <v>0</v>
      </c>
      <c r="L8" s="117">
        <v>3339.846039380001</v>
      </c>
      <c r="M8" s="162">
        <f>K8+L8</f>
        <v>3339.846039380001</v>
      </c>
      <c r="N8" s="87">
        <v>7</v>
      </c>
      <c r="O8" s="87">
        <v>7</v>
      </c>
      <c r="P8" s="87">
        <v>5</v>
      </c>
    </row>
    <row r="9" spans="2:27" x14ac:dyDescent="0.3">
      <c r="B9" s="16" t="s">
        <v>23</v>
      </c>
      <c r="C9" s="17">
        <v>2720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785</v>
      </c>
      <c r="E10" s="161" t="s">
        <v>31</v>
      </c>
      <c r="F10" s="119">
        <v>20901</v>
      </c>
      <c r="G10" s="117">
        <v>13489.51275</v>
      </c>
      <c r="H10" s="117">
        <v>1717.5997325799999</v>
      </c>
      <c r="I10" s="152">
        <f>G10+H10</f>
        <v>15207.11248258</v>
      </c>
      <c r="J10" s="119">
        <v>20621</v>
      </c>
      <c r="K10" s="117">
        <v>13957.56775</v>
      </c>
      <c r="L10" s="117">
        <v>1361.9512454999999</v>
      </c>
      <c r="M10" s="162">
        <f>K10+L10</f>
        <v>15319.518995500001</v>
      </c>
      <c r="N10" s="88">
        <v>56</v>
      </c>
      <c r="O10" s="88">
        <v>56</v>
      </c>
      <c r="P10" s="88">
        <v>56</v>
      </c>
    </row>
    <row r="11" spans="2:27" x14ac:dyDescent="0.3">
      <c r="B11" s="28" t="s">
        <v>28</v>
      </c>
      <c r="C11" s="17">
        <v>465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2320</v>
      </c>
      <c r="E12" s="161" t="s">
        <v>35</v>
      </c>
      <c r="F12" s="119">
        <v>16421</v>
      </c>
      <c r="G12" s="117">
        <v>11848.086583333339</v>
      </c>
      <c r="H12" s="117">
        <v>18038.039548209999</v>
      </c>
      <c r="I12" s="152">
        <f>G12+H12</f>
        <v>29886.126131543337</v>
      </c>
      <c r="J12" s="119">
        <v>15762</v>
      </c>
      <c r="K12" s="117">
        <v>13341.76458333333</v>
      </c>
      <c r="L12" s="117">
        <v>18166.897696880002</v>
      </c>
      <c r="M12" s="162">
        <f>K12+L12</f>
        <v>31508.662280213332</v>
      </c>
      <c r="N12" s="88">
        <v>56</v>
      </c>
      <c r="O12" s="88">
        <v>56</v>
      </c>
      <c r="P12" s="88">
        <v>43</v>
      </c>
    </row>
    <row r="13" spans="2:27" x14ac:dyDescent="0.3">
      <c r="B13" s="16" t="s">
        <v>38</v>
      </c>
      <c r="C13" s="17">
        <v>11161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13</v>
      </c>
    </row>
    <row r="14" spans="2:27" x14ac:dyDescent="0.3">
      <c r="B14" s="16" t="s">
        <v>40</v>
      </c>
      <c r="C14" s="17">
        <v>1472</v>
      </c>
      <c r="E14" s="161" t="s">
        <v>39</v>
      </c>
      <c r="F14" s="119">
        <v>26255</v>
      </c>
      <c r="G14" s="117">
        <v>19059.252499999999</v>
      </c>
      <c r="H14" s="117">
        <v>33051.972942370019</v>
      </c>
      <c r="I14" s="152">
        <f>G14+H14</f>
        <v>52111.225442370021</v>
      </c>
      <c r="J14" s="119">
        <v>26679</v>
      </c>
      <c r="K14" s="117">
        <v>22873.96675</v>
      </c>
      <c r="L14" s="117">
        <v>33918.188037200023</v>
      </c>
      <c r="M14" s="162">
        <f>K14+L14</f>
        <v>56792.154787200023</v>
      </c>
      <c r="N14" s="88">
        <v>78</v>
      </c>
      <c r="O14" s="88">
        <v>74</v>
      </c>
      <c r="P14" s="88">
        <v>64</v>
      </c>
    </row>
    <row r="15" spans="2:27" x14ac:dyDescent="0.3">
      <c r="B15" s="28" t="s">
        <v>42</v>
      </c>
      <c r="C15" s="17">
        <v>34396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3">
      <c r="B16" s="43" t="s">
        <v>47</v>
      </c>
      <c r="C16" s="17">
        <v>1042</v>
      </c>
      <c r="E16" s="161" t="s">
        <v>79</v>
      </c>
      <c r="F16" s="119">
        <v>0</v>
      </c>
      <c r="G16" s="117">
        <v>0</v>
      </c>
      <c r="H16" s="117">
        <v>5598.9093754799997</v>
      </c>
      <c r="I16" s="152">
        <f>G16+H16</f>
        <v>5598.9093754799997</v>
      </c>
      <c r="J16" s="119">
        <v>0</v>
      </c>
      <c r="K16" s="117">
        <v>0</v>
      </c>
      <c r="L16" s="117">
        <v>5479.9045699399994</v>
      </c>
      <c r="M16" s="162">
        <f>K16+L16</f>
        <v>5479.9045699399994</v>
      </c>
      <c r="N16" s="88">
        <v>13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198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10993</v>
      </c>
      <c r="E18" s="84"/>
      <c r="F18" s="148">
        <f t="shared" ref="F18:M18" si="0">SUM(F6:F17)</f>
        <v>91419</v>
      </c>
      <c r="G18" s="149">
        <f t="shared" si="0"/>
        <v>56938.992233333338</v>
      </c>
      <c r="H18" s="149">
        <f t="shared" si="0"/>
        <v>67061.332281160023</v>
      </c>
      <c r="I18" s="150">
        <f t="shared" si="0"/>
        <v>124000.32451449336</v>
      </c>
      <c r="J18" s="149">
        <f t="shared" si="0"/>
        <v>90966</v>
      </c>
      <c r="K18" s="149">
        <f t="shared" si="0"/>
        <v>63960.321233333329</v>
      </c>
      <c r="L18" s="149">
        <f t="shared" si="0"/>
        <v>67629.332323860028</v>
      </c>
      <c r="M18" s="157">
        <f t="shared" si="0"/>
        <v>131589.65355719335</v>
      </c>
      <c r="N18" s="149">
        <f>SUM(N16,N14,N12,N10,N8,N6)</f>
        <v>296</v>
      </c>
      <c r="O18" s="149">
        <f>SUM(O16,O14,O12,O10,O8,O6)</f>
        <v>289</v>
      </c>
      <c r="P18" s="158">
        <f>SUM(P16,P14,P12,P10,P8,P6)</f>
        <v>256</v>
      </c>
    </row>
    <row r="19" spans="2:28" ht="15" customHeight="1" thickBot="1" x14ac:dyDescent="0.35">
      <c r="B19" s="16" t="s">
        <v>51</v>
      </c>
      <c r="C19" s="17">
        <v>892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35">
      <c r="B20" s="57" t="s">
        <v>52</v>
      </c>
      <c r="C20" s="58">
        <v>5497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0.11418685121107267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11525</v>
      </c>
      <c r="D25" s="76">
        <f>C13</f>
        <v>11161</v>
      </c>
      <c r="E25" s="77">
        <f t="shared" ref="E25:E32" si="1">D25-C25</f>
        <v>-364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39875</v>
      </c>
      <c r="D28" s="76">
        <f>C9+C14+C15+C16+C17</f>
        <v>39828</v>
      </c>
      <c r="E28" s="77">
        <f t="shared" si="1"/>
        <v>-47</v>
      </c>
      <c r="F28" s="1" t="s">
        <v>75</v>
      </c>
      <c r="P28" s="4"/>
    </row>
    <row r="29" spans="2:28" x14ac:dyDescent="0.3">
      <c r="B29" s="74" t="s">
        <v>21</v>
      </c>
      <c r="C29" s="122">
        <v>171</v>
      </c>
      <c r="D29" s="76">
        <f>C6</f>
        <v>171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2320</v>
      </c>
      <c r="D30" s="76">
        <f>C12</f>
        <v>2320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17378</v>
      </c>
      <c r="D31" s="76">
        <f>C18+C19+C20</f>
        <v>17382</v>
      </c>
      <c r="E31" s="77">
        <f t="shared" si="1"/>
        <v>4</v>
      </c>
      <c r="K31" s="53"/>
      <c r="P31" s="4"/>
    </row>
    <row r="32" spans="2:28" ht="15" customHeight="1" thickBot="1" x14ac:dyDescent="0.35">
      <c r="B32" s="78" t="s">
        <v>60</v>
      </c>
      <c r="C32" s="121">
        <v>1250</v>
      </c>
      <c r="D32" s="80">
        <f>C10+C11</f>
        <v>1250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44692</v>
      </c>
    </row>
    <row r="3" spans="2:27" ht="18.75" customHeight="1" thickBot="1" x14ac:dyDescent="0.35">
      <c r="B3" t="s">
        <v>1</v>
      </c>
      <c r="C3" s="3">
        <f>C2+1</f>
        <v>44693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2208</v>
      </c>
      <c r="E6" s="161" t="s">
        <v>22</v>
      </c>
      <c r="F6" s="119">
        <v>28150</v>
      </c>
      <c r="G6" s="117">
        <v>13835.478250000009</v>
      </c>
      <c r="H6" s="117">
        <v>5016.129043240001</v>
      </c>
      <c r="I6" s="152">
        <f>G6+H6</f>
        <v>18851.607293240009</v>
      </c>
      <c r="J6" s="119">
        <v>28860</v>
      </c>
      <c r="K6" s="117">
        <v>15969.723249999999</v>
      </c>
      <c r="L6" s="117">
        <v>4754.1428278000012</v>
      </c>
      <c r="M6" s="162">
        <f>K6+L6</f>
        <v>20723.866077800001</v>
      </c>
      <c r="N6" s="87">
        <v>75</v>
      </c>
      <c r="O6" s="87">
        <v>73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1450</v>
      </c>
      <c r="E8" s="161" t="s">
        <v>27</v>
      </c>
      <c r="F8" s="119">
        <v>0</v>
      </c>
      <c r="G8" s="117">
        <v>0</v>
      </c>
      <c r="H8" s="117">
        <v>3967.6535630600001</v>
      </c>
      <c r="I8" s="152">
        <f>G8+H8</f>
        <v>3967.6535630600001</v>
      </c>
      <c r="J8" s="119">
        <v>0</v>
      </c>
      <c r="K8" s="117">
        <v>0</v>
      </c>
      <c r="L8" s="117">
        <v>4165.1650670000008</v>
      </c>
      <c r="M8" s="162">
        <f>K8+L8</f>
        <v>4165.1650670000008</v>
      </c>
      <c r="N8" s="87">
        <v>5</v>
      </c>
      <c r="O8" s="87">
        <v>4</v>
      </c>
      <c r="P8" s="87">
        <v>3</v>
      </c>
    </row>
    <row r="9" spans="2:27" x14ac:dyDescent="0.3">
      <c r="B9" s="16" t="s">
        <v>23</v>
      </c>
      <c r="C9" s="17">
        <v>2074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19150</v>
      </c>
      <c r="G10" s="117">
        <v>14147.442499999999</v>
      </c>
      <c r="H10" s="117">
        <v>890.11645359999989</v>
      </c>
      <c r="I10" s="152">
        <f>G10+H10</f>
        <v>15037.558953599999</v>
      </c>
      <c r="J10" s="119">
        <v>20635</v>
      </c>
      <c r="K10" s="117">
        <v>14556.4015</v>
      </c>
      <c r="L10" s="117">
        <v>954.95640307999997</v>
      </c>
      <c r="M10" s="162">
        <f>K10+L10</f>
        <v>15511.357903079999</v>
      </c>
      <c r="N10" s="88">
        <v>59</v>
      </c>
      <c r="O10" s="88">
        <v>58</v>
      </c>
      <c r="P10" s="88">
        <v>55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4410</v>
      </c>
      <c r="E12" s="161" t="s">
        <v>35</v>
      </c>
      <c r="F12" s="119">
        <v>14284</v>
      </c>
      <c r="G12" s="117">
        <v>11424.013000000001</v>
      </c>
      <c r="H12" s="117">
        <v>16697.868932220012</v>
      </c>
      <c r="I12" s="152">
        <f>G12+H12</f>
        <v>28121.881932220014</v>
      </c>
      <c r="J12" s="119">
        <v>13951</v>
      </c>
      <c r="K12" s="117">
        <v>13285.062</v>
      </c>
      <c r="L12" s="117">
        <v>16361.30620628</v>
      </c>
      <c r="M12" s="162">
        <f>K12+L12</f>
        <v>29646.36820628</v>
      </c>
      <c r="N12" s="88">
        <v>60</v>
      </c>
      <c r="O12" s="88">
        <v>56</v>
      </c>
      <c r="P12" s="88">
        <v>45</v>
      </c>
    </row>
    <row r="13" spans="2:27" x14ac:dyDescent="0.3">
      <c r="B13" s="16" t="s">
        <v>38</v>
      </c>
      <c r="C13" s="17">
        <v>11346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3">
      <c r="B14" s="16" t="s">
        <v>40</v>
      </c>
      <c r="C14" s="17">
        <v>2431</v>
      </c>
      <c r="E14" s="161" t="s">
        <v>39</v>
      </c>
      <c r="F14" s="119">
        <v>27337</v>
      </c>
      <c r="G14" s="117">
        <v>20180.8665</v>
      </c>
      <c r="H14" s="117">
        <v>33531.223252900032</v>
      </c>
      <c r="I14" s="152">
        <f>G14+H14</f>
        <v>53712.089752900036</v>
      </c>
      <c r="J14" s="119">
        <v>27796</v>
      </c>
      <c r="K14" s="117">
        <v>23334.569500000001</v>
      </c>
      <c r="L14" s="117">
        <v>34358.814727020013</v>
      </c>
      <c r="M14" s="162">
        <f>K14+L14</f>
        <v>57693.384227020011</v>
      </c>
      <c r="N14" s="88">
        <v>69</v>
      </c>
      <c r="O14" s="88">
        <v>65</v>
      </c>
      <c r="P14" s="88">
        <v>57</v>
      </c>
    </row>
    <row r="15" spans="2:27" x14ac:dyDescent="0.3">
      <c r="B15" s="28" t="s">
        <v>42</v>
      </c>
      <c r="C15" s="17">
        <v>32773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2:27" x14ac:dyDescent="0.3">
      <c r="B16" s="43" t="s">
        <v>47</v>
      </c>
      <c r="C16" s="17">
        <v>1639</v>
      </c>
      <c r="E16" s="161" t="s">
        <v>79</v>
      </c>
      <c r="F16" s="119">
        <v>0</v>
      </c>
      <c r="G16" s="117">
        <v>0</v>
      </c>
      <c r="H16" s="117">
        <v>9553.3376400800007</v>
      </c>
      <c r="I16" s="152">
        <f>G16+H16</f>
        <v>9553.3376400800007</v>
      </c>
      <c r="J16" s="119">
        <v>0</v>
      </c>
      <c r="K16" s="117">
        <v>0</v>
      </c>
      <c r="L16" s="117">
        <v>9480.1768569399992</v>
      </c>
      <c r="M16" s="162">
        <f>K16+L16</f>
        <v>9480.1768569399992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431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11683</v>
      </c>
      <c r="E18" s="84"/>
      <c r="F18" s="148">
        <f t="shared" ref="F18:M18" si="0">SUM(F6:F17)</f>
        <v>88921</v>
      </c>
      <c r="G18" s="149">
        <f t="shared" si="0"/>
        <v>59587.800250000015</v>
      </c>
      <c r="H18" s="149">
        <f t="shared" si="0"/>
        <v>69656.32888510004</v>
      </c>
      <c r="I18" s="150">
        <f t="shared" si="0"/>
        <v>129244.12913510007</v>
      </c>
      <c r="J18" s="149">
        <f t="shared" si="0"/>
        <v>91242</v>
      </c>
      <c r="K18" s="149">
        <f t="shared" si="0"/>
        <v>67145.756250000006</v>
      </c>
      <c r="L18" s="149">
        <f t="shared" si="0"/>
        <v>70074.562088120016</v>
      </c>
      <c r="M18" s="157">
        <f t="shared" si="0"/>
        <v>137220.31833812001</v>
      </c>
      <c r="N18" s="149">
        <f>SUM(N16,N14,N12,N10,N8,N6)</f>
        <v>280</v>
      </c>
      <c r="O18" s="149">
        <f>SUM(O16,O14,O12,O10,O8,O6)</f>
        <v>268</v>
      </c>
      <c r="P18" s="158">
        <f>SUM(P16,P14,P12,P10,P8,P6)</f>
        <v>236</v>
      </c>
    </row>
    <row r="19" spans="2:28" ht="15" customHeight="1" thickBot="1" x14ac:dyDescent="0.35">
      <c r="B19" s="16" t="s">
        <v>51</v>
      </c>
      <c r="C19" s="17">
        <v>1398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35">
      <c r="B20" s="57" t="s">
        <v>52</v>
      </c>
      <c r="C20" s="58">
        <v>5359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0.11940298507462686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12248</v>
      </c>
      <c r="D25" s="76">
        <f>C13</f>
        <v>11346</v>
      </c>
      <c r="E25" s="77">
        <f t="shared" ref="E25:E32" si="1">D25-C25</f>
        <v>-902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1450</v>
      </c>
      <c r="D27" s="76">
        <f>C8</f>
        <v>1450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40298</v>
      </c>
      <c r="D28" s="76">
        <f>C9+C14+C15+C16+C17</f>
        <v>39348</v>
      </c>
      <c r="E28" s="77">
        <f t="shared" si="1"/>
        <v>-950</v>
      </c>
      <c r="F28" s="1" t="s">
        <v>75</v>
      </c>
      <c r="P28" s="4"/>
    </row>
    <row r="29" spans="2:28" x14ac:dyDescent="0.3">
      <c r="B29" s="74" t="s">
        <v>21</v>
      </c>
      <c r="C29" s="122">
        <v>2208</v>
      </c>
      <c r="D29" s="76">
        <f>C6</f>
        <v>2208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4410</v>
      </c>
      <c r="D30" s="76">
        <f>C12</f>
        <v>4410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17035</v>
      </c>
      <c r="D31" s="76">
        <f>C18+C19+C20</f>
        <v>18440</v>
      </c>
      <c r="E31" s="77">
        <f t="shared" si="1"/>
        <v>1405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44693</v>
      </c>
    </row>
    <row r="3" spans="2:27" ht="18.75" customHeight="1" thickBot="1" x14ac:dyDescent="0.35">
      <c r="B3" t="s">
        <v>1</v>
      </c>
      <c r="C3" s="3">
        <f>C2+1</f>
        <v>44694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117</v>
      </c>
    </row>
    <row r="6" spans="2:27" x14ac:dyDescent="0.3">
      <c r="B6" s="16" t="s">
        <v>21</v>
      </c>
      <c r="C6" s="17">
        <v>124</v>
      </c>
      <c r="E6" s="161" t="s">
        <v>22</v>
      </c>
      <c r="F6" s="119">
        <v>27358</v>
      </c>
      <c r="G6" s="117">
        <v>14398</v>
      </c>
      <c r="H6" s="117">
        <v>6200</v>
      </c>
      <c r="I6" s="152">
        <f>G6+H6</f>
        <v>20598</v>
      </c>
      <c r="J6" s="119">
        <v>27372</v>
      </c>
      <c r="K6" s="117">
        <v>15869.92401666666</v>
      </c>
      <c r="L6" s="117">
        <v>6030.1901712400004</v>
      </c>
      <c r="M6" s="162">
        <f>K6+L6</f>
        <v>21900.11418790666</v>
      </c>
      <c r="N6" s="87">
        <v>83</v>
      </c>
      <c r="O6" s="87">
        <v>80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3865</v>
      </c>
      <c r="I8" s="152">
        <f>G8+H8</f>
        <v>3865</v>
      </c>
      <c r="J8" s="119">
        <v>0</v>
      </c>
      <c r="K8" s="117">
        <v>0</v>
      </c>
      <c r="L8" s="117">
        <v>3869.0795584399998</v>
      </c>
      <c r="M8" s="162">
        <f>K8+L8</f>
        <v>3869.0795584399998</v>
      </c>
      <c r="N8" s="87">
        <v>4</v>
      </c>
      <c r="O8" s="87">
        <v>4</v>
      </c>
      <c r="P8" s="87">
        <v>3</v>
      </c>
    </row>
    <row r="9" spans="2:27" x14ac:dyDescent="0.3">
      <c r="B9" s="16" t="s">
        <v>23</v>
      </c>
      <c r="C9" s="17">
        <v>2721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900</v>
      </c>
      <c r="E10" s="161" t="s">
        <v>31</v>
      </c>
      <c r="F10" s="119">
        <v>20068</v>
      </c>
      <c r="G10" s="117">
        <v>13557</v>
      </c>
      <c r="H10" s="117">
        <v>1267</v>
      </c>
      <c r="I10" s="152">
        <f>G10+H10</f>
        <v>14824</v>
      </c>
      <c r="J10" s="119">
        <v>20009</v>
      </c>
      <c r="K10" s="117">
        <v>14011.987999999999</v>
      </c>
      <c r="L10" s="117">
        <v>1269.47096736</v>
      </c>
      <c r="M10" s="162">
        <f>K10+L10</f>
        <v>15281.458967359998</v>
      </c>
      <c r="N10" s="88">
        <v>63</v>
      </c>
      <c r="O10" s="88">
        <v>63</v>
      </c>
      <c r="P10" s="88">
        <v>63</v>
      </c>
    </row>
    <row r="11" spans="2:27" x14ac:dyDescent="0.3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2312</v>
      </c>
      <c r="E12" s="161" t="s">
        <v>35</v>
      </c>
      <c r="F12" s="119">
        <v>16570</v>
      </c>
      <c r="G12" s="117">
        <v>12377</v>
      </c>
      <c r="H12" s="117">
        <v>20370</v>
      </c>
      <c r="I12" s="152">
        <f>G12+H12</f>
        <v>32747</v>
      </c>
      <c r="J12" s="119">
        <v>16114</v>
      </c>
      <c r="K12" s="117">
        <v>14577.7945</v>
      </c>
      <c r="L12" s="117">
        <v>20190.874018539991</v>
      </c>
      <c r="M12" s="162">
        <f>K12+L12</f>
        <v>34768.668518539991</v>
      </c>
      <c r="N12" s="88">
        <v>57</v>
      </c>
      <c r="O12" s="88">
        <v>56</v>
      </c>
      <c r="P12" s="88">
        <v>42</v>
      </c>
    </row>
    <row r="13" spans="2:27" x14ac:dyDescent="0.3">
      <c r="B13" s="16" t="s">
        <v>38</v>
      </c>
      <c r="C13" s="17">
        <v>11461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14</v>
      </c>
    </row>
    <row r="14" spans="2:27" x14ac:dyDescent="0.3">
      <c r="B14" s="16" t="s">
        <v>40</v>
      </c>
      <c r="C14" s="17">
        <v>1516</v>
      </c>
      <c r="E14" s="161" t="s">
        <v>39</v>
      </c>
      <c r="F14" s="119">
        <v>27118</v>
      </c>
      <c r="G14" s="117">
        <v>19870</v>
      </c>
      <c r="H14" s="117">
        <v>35675</v>
      </c>
      <c r="I14" s="152">
        <f>G14+H14</f>
        <v>55545</v>
      </c>
      <c r="J14" s="119">
        <v>26653</v>
      </c>
      <c r="K14" s="117">
        <v>23432.635999999999</v>
      </c>
      <c r="L14" s="117">
        <v>34953.292059280007</v>
      </c>
      <c r="M14" s="162">
        <f>K14+L14</f>
        <v>58385.928059280006</v>
      </c>
      <c r="N14" s="88">
        <v>75</v>
      </c>
      <c r="O14" s="88">
        <v>72</v>
      </c>
      <c r="P14" s="88">
        <v>68</v>
      </c>
    </row>
    <row r="15" spans="2:27" x14ac:dyDescent="0.3">
      <c r="B15" s="28" t="s">
        <v>42</v>
      </c>
      <c r="C15" s="17">
        <v>33769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2:27" x14ac:dyDescent="0.3">
      <c r="B16" s="43" t="s">
        <v>47</v>
      </c>
      <c r="C16" s="17">
        <v>1046</v>
      </c>
      <c r="E16" s="161" t="s">
        <v>79</v>
      </c>
      <c r="F16" s="119">
        <v>0</v>
      </c>
      <c r="G16" s="117">
        <v>0</v>
      </c>
      <c r="H16" s="117">
        <v>6560</v>
      </c>
      <c r="I16" s="152">
        <f>G16+H16</f>
        <v>6560</v>
      </c>
      <c r="J16" s="119">
        <v>0</v>
      </c>
      <c r="K16" s="117">
        <v>0</v>
      </c>
      <c r="L16" s="117">
        <v>6672.6291442600004</v>
      </c>
      <c r="M16" s="162">
        <f>K16+L16</f>
        <v>6672.6291442600004</v>
      </c>
      <c r="N16" s="88">
        <v>11</v>
      </c>
      <c r="O16" s="88">
        <v>10</v>
      </c>
      <c r="P16" s="88">
        <v>7</v>
      </c>
    </row>
    <row r="17" spans="2:28" s="4" customFormat="1" ht="15" customHeight="1" thickBot="1" x14ac:dyDescent="0.35">
      <c r="B17" s="43" t="s">
        <v>48</v>
      </c>
      <c r="C17" s="50">
        <v>180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9661</v>
      </c>
      <c r="E18" s="84"/>
      <c r="F18" s="148">
        <f t="shared" ref="F18:M18" si="0">SUM(F6:F17)</f>
        <v>91114</v>
      </c>
      <c r="G18" s="149">
        <f t="shared" si="0"/>
        <v>60202</v>
      </c>
      <c r="H18" s="149">
        <f t="shared" si="0"/>
        <v>73937</v>
      </c>
      <c r="I18" s="150">
        <f t="shared" si="0"/>
        <v>134139</v>
      </c>
      <c r="J18" s="149">
        <f t="shared" si="0"/>
        <v>90148</v>
      </c>
      <c r="K18" s="149">
        <f t="shared" si="0"/>
        <v>67892.342516666657</v>
      </c>
      <c r="L18" s="149">
        <f t="shared" si="0"/>
        <v>72985.535919119997</v>
      </c>
      <c r="M18" s="157">
        <f t="shared" si="0"/>
        <v>140877.87843578664</v>
      </c>
      <c r="N18" s="149">
        <f>SUM(N16,N14,N12,N10,N8,N6)</f>
        <v>293</v>
      </c>
      <c r="O18" s="149">
        <f>SUM(O16,O14,O12,O10,O8,O6)</f>
        <v>285</v>
      </c>
      <c r="P18" s="158">
        <f>SUM(P16,P14,P12,P10,P8,P6)</f>
        <v>248</v>
      </c>
    </row>
    <row r="19" spans="2:28" ht="15" customHeight="1" thickBot="1" x14ac:dyDescent="0.35">
      <c r="B19" s="16" t="s">
        <v>51</v>
      </c>
      <c r="C19" s="17">
        <v>1707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</row>
    <row r="20" spans="2:28" ht="15" customHeight="1" thickBot="1" x14ac:dyDescent="0.35">
      <c r="B20" s="57" t="s">
        <v>52</v>
      </c>
      <c r="C20" s="58">
        <v>4729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0.12982456140350876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11547</v>
      </c>
      <c r="D25" s="76">
        <f>C13</f>
        <v>11461</v>
      </c>
      <c r="E25" s="77">
        <f t="shared" ref="E25:E32" si="1">D25-C25</f>
        <v>-86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42927</v>
      </c>
      <c r="D28" s="76">
        <f>C9+C14+C15+C16+C17</f>
        <v>39232</v>
      </c>
      <c r="E28" s="77">
        <f t="shared" si="1"/>
        <v>-3695</v>
      </c>
      <c r="F28" s="1" t="s">
        <v>75</v>
      </c>
      <c r="P28" s="4"/>
    </row>
    <row r="29" spans="2:28" x14ac:dyDescent="0.3">
      <c r="B29" s="74" t="s">
        <v>21</v>
      </c>
      <c r="C29" s="122">
        <v>124</v>
      </c>
      <c r="D29" s="76">
        <f>C6</f>
        <v>124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2312</v>
      </c>
      <c r="D30" s="76">
        <f>C12</f>
        <v>2312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16154</v>
      </c>
      <c r="D31" s="76">
        <f>C18+C19+C20</f>
        <v>16097</v>
      </c>
      <c r="E31" s="77">
        <f t="shared" si="1"/>
        <v>-57</v>
      </c>
      <c r="K31" s="53"/>
      <c r="P31" s="4"/>
    </row>
    <row r="32" spans="2:28" ht="15" customHeight="1" thickBot="1" x14ac:dyDescent="0.35">
      <c r="B32" s="78" t="s">
        <v>60</v>
      </c>
      <c r="C32" s="121">
        <v>1400</v>
      </c>
      <c r="D32" s="80">
        <f>C10+C11</f>
        <v>1400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44694</v>
      </c>
    </row>
    <row r="3" spans="2:27" ht="18.75" customHeight="1" thickBot="1" x14ac:dyDescent="0.35">
      <c r="B3" t="s">
        <v>1</v>
      </c>
      <c r="C3" s="3">
        <f>C2+1</f>
        <v>44695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112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22877</v>
      </c>
      <c r="G6" s="117">
        <v>13273.97800000001</v>
      </c>
      <c r="H6" s="117">
        <v>4152.20757366</v>
      </c>
      <c r="I6" s="152">
        <f>G6+H6</f>
        <v>17426.185573660012</v>
      </c>
      <c r="J6" s="119">
        <v>24230</v>
      </c>
      <c r="K6" s="117">
        <v>14150.54675</v>
      </c>
      <c r="L6" s="117">
        <v>4374.1397273200009</v>
      </c>
      <c r="M6" s="162">
        <f>K6+L6</f>
        <v>18524.68647732</v>
      </c>
      <c r="N6" s="87">
        <v>78</v>
      </c>
      <c r="O6" s="87">
        <v>74</v>
      </c>
      <c r="P6" s="87">
        <v>63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4163.7047352</v>
      </c>
      <c r="I8" s="152">
        <f>G8+H8</f>
        <v>4163.7047352</v>
      </c>
      <c r="J8" s="119">
        <v>0</v>
      </c>
      <c r="K8" s="117">
        <v>0</v>
      </c>
      <c r="L8" s="117">
        <v>4259.7779113599991</v>
      </c>
      <c r="M8" s="162">
        <f>K8+L8</f>
        <v>4259.7779113599991</v>
      </c>
      <c r="N8" s="87">
        <v>6</v>
      </c>
      <c r="O8" s="87">
        <v>6</v>
      </c>
      <c r="P8" s="87">
        <v>5</v>
      </c>
    </row>
    <row r="9" spans="2:27" x14ac:dyDescent="0.3">
      <c r="B9" s="16" t="s">
        <v>23</v>
      </c>
      <c r="C9" s="17">
        <v>2645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18760</v>
      </c>
      <c r="G10" s="117">
        <v>14517.7785</v>
      </c>
      <c r="H10" s="117">
        <v>779.86134030000005</v>
      </c>
      <c r="I10" s="152">
        <f>G10+H10</f>
        <v>15297.6398403</v>
      </c>
      <c r="J10" s="119">
        <v>19261</v>
      </c>
      <c r="K10" s="117">
        <v>15144.303</v>
      </c>
      <c r="L10" s="117">
        <v>823.34719357999995</v>
      </c>
      <c r="M10" s="162">
        <f>K10+L10</f>
        <v>15967.650193580001</v>
      </c>
      <c r="N10" s="88">
        <v>57</v>
      </c>
      <c r="O10" s="88">
        <v>56</v>
      </c>
      <c r="P10" s="88">
        <v>56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5397</v>
      </c>
      <c r="E12" s="161" t="s">
        <v>35</v>
      </c>
      <c r="F12" s="119">
        <v>14912</v>
      </c>
      <c r="G12" s="117">
        <v>12445.173500000001</v>
      </c>
      <c r="H12" s="117">
        <v>18293.530740400001</v>
      </c>
      <c r="I12" s="152">
        <f>G12+H12</f>
        <v>30738.704240400002</v>
      </c>
      <c r="J12" s="119">
        <v>14688</v>
      </c>
      <c r="K12" s="117">
        <v>14571.5335</v>
      </c>
      <c r="L12" s="117">
        <v>18303.292655950001</v>
      </c>
      <c r="M12" s="162">
        <f>K12+L12</f>
        <v>32874.826155950002</v>
      </c>
      <c r="N12" s="88">
        <v>62</v>
      </c>
      <c r="O12" s="88">
        <v>60</v>
      </c>
      <c r="P12" s="88">
        <v>50</v>
      </c>
    </row>
    <row r="13" spans="2:27" x14ac:dyDescent="0.3">
      <c r="B13" s="16" t="s">
        <v>38</v>
      </c>
      <c r="C13" s="17">
        <v>10461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3">
      <c r="B14" s="16" t="s">
        <v>40</v>
      </c>
      <c r="C14" s="17">
        <v>2448</v>
      </c>
      <c r="E14" s="161" t="s">
        <v>39</v>
      </c>
      <c r="F14" s="119">
        <v>31653</v>
      </c>
      <c r="G14" s="117">
        <v>24846.12975</v>
      </c>
      <c r="H14" s="117">
        <v>40365.622291439977</v>
      </c>
      <c r="I14" s="152">
        <f>G14+H14</f>
        <v>65211.752041439977</v>
      </c>
      <c r="J14" s="119">
        <v>31085</v>
      </c>
      <c r="K14" s="117">
        <v>25989.906999999999</v>
      </c>
      <c r="L14" s="117">
        <v>39486.488908319989</v>
      </c>
      <c r="M14" s="162">
        <f>K14+L14</f>
        <v>65476.395908319988</v>
      </c>
      <c r="N14" s="88">
        <v>78</v>
      </c>
      <c r="O14" s="88">
        <v>70</v>
      </c>
      <c r="P14" s="88">
        <v>67</v>
      </c>
    </row>
    <row r="15" spans="2:27" x14ac:dyDescent="0.3">
      <c r="B15" s="28" t="s">
        <v>42</v>
      </c>
      <c r="C15" s="17">
        <v>32849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2:27" x14ac:dyDescent="0.3">
      <c r="B16" s="43" t="s">
        <v>47</v>
      </c>
      <c r="C16" s="17">
        <v>2392</v>
      </c>
      <c r="E16" s="161" t="s">
        <v>79</v>
      </c>
      <c r="F16" s="119">
        <v>0</v>
      </c>
      <c r="G16" s="117">
        <v>0</v>
      </c>
      <c r="H16" s="117">
        <v>10766.769656640001</v>
      </c>
      <c r="I16" s="152">
        <f>G16+H16</f>
        <v>10766.769656640001</v>
      </c>
      <c r="J16" s="119">
        <v>0</v>
      </c>
      <c r="K16" s="117">
        <v>0</v>
      </c>
      <c r="L16" s="117">
        <v>10993.634821940001</v>
      </c>
      <c r="M16" s="162">
        <f>K16+L16</f>
        <v>10993.634821940001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420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10700</v>
      </c>
      <c r="E18" s="84"/>
      <c r="F18" s="148">
        <f t="shared" ref="F18:M18" si="0">SUM(F6:F17)</f>
        <v>88202</v>
      </c>
      <c r="G18" s="149">
        <f t="shared" si="0"/>
        <v>65083.059750000008</v>
      </c>
      <c r="H18" s="149">
        <f t="shared" si="0"/>
        <v>78521.69633763998</v>
      </c>
      <c r="I18" s="150">
        <f t="shared" si="0"/>
        <v>143604.75608764001</v>
      </c>
      <c r="J18" s="149">
        <f t="shared" si="0"/>
        <v>89264</v>
      </c>
      <c r="K18" s="149">
        <f t="shared" si="0"/>
        <v>69856.290249999991</v>
      </c>
      <c r="L18" s="149">
        <f t="shared" si="0"/>
        <v>78240.681218469981</v>
      </c>
      <c r="M18" s="157">
        <f t="shared" si="0"/>
        <v>148096.97146846997</v>
      </c>
      <c r="N18" s="149">
        <f>SUM(N16,N14,N12,N10,N8,N6)</f>
        <v>293</v>
      </c>
      <c r="O18" s="149">
        <f>SUM(O16,O14,O12,O10,O8,O6)</f>
        <v>278</v>
      </c>
      <c r="P18" s="158">
        <f>SUM(P16,P14,P12,P10,P8,P6)</f>
        <v>253</v>
      </c>
    </row>
    <row r="19" spans="2:28" ht="15" customHeight="1" thickBot="1" x14ac:dyDescent="0.35">
      <c r="B19" s="16" t="s">
        <v>51</v>
      </c>
      <c r="C19" s="17">
        <v>576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ht="15" customHeight="1" thickBot="1" x14ac:dyDescent="0.35">
      <c r="B20" s="57" t="s">
        <v>52</v>
      </c>
      <c r="C20" s="58">
        <v>5109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8.9928057553956831E-2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10105</v>
      </c>
      <c r="D25" s="76">
        <f>C13</f>
        <v>10461</v>
      </c>
      <c r="E25" s="77">
        <f t="shared" ref="E25:E32" si="1">D25-C25</f>
        <v>356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43250</v>
      </c>
      <c r="D28" s="76">
        <f>C9+C14+C15+C16+C17</f>
        <v>40754</v>
      </c>
      <c r="E28" s="77">
        <f t="shared" si="1"/>
        <v>-2496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5397</v>
      </c>
      <c r="D30" s="76">
        <f>C12</f>
        <v>5397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15005</v>
      </c>
      <c r="D31" s="76">
        <f>C18+C19+C20</f>
        <v>16385</v>
      </c>
      <c r="E31" s="77">
        <f t="shared" si="1"/>
        <v>1380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44695</v>
      </c>
    </row>
    <row r="3" spans="2:27" ht="18.75" customHeight="1" thickBot="1" x14ac:dyDescent="0.35">
      <c r="B3" t="s">
        <v>1</v>
      </c>
      <c r="C3" s="3">
        <f>C2+1</f>
        <v>44696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90</v>
      </c>
      <c r="E6" s="161" t="s">
        <v>22</v>
      </c>
      <c r="F6" s="119">
        <v>26699</v>
      </c>
      <c r="G6" s="117">
        <v>12407.43276666667</v>
      </c>
      <c r="H6" s="117">
        <v>5507.9165866799995</v>
      </c>
      <c r="I6" s="152">
        <f>G6+H6</f>
        <v>17915.349353346668</v>
      </c>
      <c r="J6" s="119">
        <v>26915</v>
      </c>
      <c r="K6" s="117">
        <v>14588.73601666666</v>
      </c>
      <c r="L6" s="117">
        <v>4922.8644870400021</v>
      </c>
      <c r="M6" s="162">
        <f>K6+L6</f>
        <v>19511.600503706664</v>
      </c>
      <c r="N6" s="87">
        <v>86</v>
      </c>
      <c r="O6" s="87">
        <v>83</v>
      </c>
      <c r="P6" s="87">
        <v>73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3624.5689881400008</v>
      </c>
      <c r="I8" s="152">
        <f>G8+H8</f>
        <v>3624.5689881400008</v>
      </c>
      <c r="J8" s="119">
        <v>0</v>
      </c>
      <c r="K8" s="117">
        <v>0</v>
      </c>
      <c r="L8" s="117">
        <v>3673.9538507799989</v>
      </c>
      <c r="M8" s="162">
        <f>K8+L8</f>
        <v>3673.9538507799989</v>
      </c>
      <c r="N8" s="87">
        <v>8</v>
      </c>
      <c r="O8" s="87">
        <v>7</v>
      </c>
      <c r="P8" s="87">
        <v>6</v>
      </c>
    </row>
    <row r="9" spans="2:27" x14ac:dyDescent="0.3">
      <c r="B9" s="16" t="s">
        <v>23</v>
      </c>
      <c r="C9" s="17">
        <v>1930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785</v>
      </c>
      <c r="E10" s="161" t="s">
        <v>31</v>
      </c>
      <c r="F10" s="119">
        <v>18596</v>
      </c>
      <c r="G10" s="117">
        <v>12663.255999999999</v>
      </c>
      <c r="H10" s="117">
        <v>1272.5423489</v>
      </c>
      <c r="I10" s="152">
        <f>G10+H10</f>
        <v>13935.7983489</v>
      </c>
      <c r="J10" s="119">
        <v>18976</v>
      </c>
      <c r="K10" s="117">
        <v>14100.504999999999</v>
      </c>
      <c r="L10" s="117">
        <v>1284.5449361799999</v>
      </c>
      <c r="M10" s="162">
        <f>K10+L10</f>
        <v>15385.049936179999</v>
      </c>
      <c r="N10" s="88">
        <v>67</v>
      </c>
      <c r="O10" s="88">
        <v>67</v>
      </c>
      <c r="P10" s="88">
        <v>64</v>
      </c>
    </row>
    <row r="11" spans="2:27" x14ac:dyDescent="0.3">
      <c r="B11" s="28" t="s">
        <v>28</v>
      </c>
      <c r="C11" s="17">
        <v>375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2642</v>
      </c>
      <c r="E12" s="161" t="s">
        <v>35</v>
      </c>
      <c r="F12" s="119">
        <v>16682</v>
      </c>
      <c r="G12" s="117">
        <v>12998.18266666666</v>
      </c>
      <c r="H12" s="117">
        <v>20115.372324529999</v>
      </c>
      <c r="I12" s="152">
        <f>G12+H12</f>
        <v>33113.554991196659</v>
      </c>
      <c r="J12" s="119">
        <v>16876</v>
      </c>
      <c r="K12" s="117">
        <v>14298.803416666669</v>
      </c>
      <c r="L12" s="117">
        <v>20053.383932379998</v>
      </c>
      <c r="M12" s="162">
        <f>K12+L12</f>
        <v>34352.187349046668</v>
      </c>
      <c r="N12" s="88">
        <v>63</v>
      </c>
      <c r="O12" s="88">
        <v>61</v>
      </c>
      <c r="P12" s="88">
        <v>44</v>
      </c>
    </row>
    <row r="13" spans="2:27" x14ac:dyDescent="0.3">
      <c r="B13" s="16" t="s">
        <v>38</v>
      </c>
      <c r="C13" s="17">
        <v>9127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17</v>
      </c>
    </row>
    <row r="14" spans="2:27" x14ac:dyDescent="0.3">
      <c r="B14" s="16" t="s">
        <v>40</v>
      </c>
      <c r="C14" s="17">
        <v>1292</v>
      </c>
      <c r="E14" s="161" t="s">
        <v>39</v>
      </c>
      <c r="F14" s="119">
        <v>30054</v>
      </c>
      <c r="G14" s="117">
        <v>22614.996749999998</v>
      </c>
      <c r="H14" s="117">
        <v>37669.292907460011</v>
      </c>
      <c r="I14" s="152">
        <f>G14+H14</f>
        <v>60284.289657460009</v>
      </c>
      <c r="J14" s="119">
        <v>29743</v>
      </c>
      <c r="K14" s="117">
        <v>27823.308249999998</v>
      </c>
      <c r="L14" s="117">
        <v>37187.524504720008</v>
      </c>
      <c r="M14" s="162">
        <f>K14+L14</f>
        <v>65010.832754720002</v>
      </c>
      <c r="N14" s="88">
        <v>81</v>
      </c>
      <c r="O14" s="88">
        <v>72</v>
      </c>
      <c r="P14" s="88">
        <v>65</v>
      </c>
    </row>
    <row r="15" spans="2:27" x14ac:dyDescent="0.3">
      <c r="B15" s="28" t="s">
        <v>42</v>
      </c>
      <c r="C15" s="17">
        <v>29374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47</v>
      </c>
      <c r="C16" s="17">
        <v>1121</v>
      </c>
      <c r="E16" s="161" t="s">
        <v>79</v>
      </c>
      <c r="F16" s="119">
        <v>0</v>
      </c>
      <c r="G16" s="117">
        <v>0</v>
      </c>
      <c r="H16" s="117">
        <v>5887.8425085399986</v>
      </c>
      <c r="I16" s="152">
        <f>G16+H16</f>
        <v>5887.8425085399986</v>
      </c>
      <c r="J16" s="119">
        <v>0</v>
      </c>
      <c r="K16" s="117">
        <v>0</v>
      </c>
      <c r="L16" s="117">
        <v>6097.2896695199997</v>
      </c>
      <c r="M16" s="162">
        <f>K16+L16</f>
        <v>6097.2896695199997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173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10967</v>
      </c>
      <c r="E18" s="84"/>
      <c r="F18" s="148">
        <f t="shared" ref="F18:M18" si="0">SUM(F6:F17)</f>
        <v>92031</v>
      </c>
      <c r="G18" s="149">
        <f t="shared" si="0"/>
        <v>60683.868183333332</v>
      </c>
      <c r="H18" s="149">
        <f t="shared" si="0"/>
        <v>74077.535664249997</v>
      </c>
      <c r="I18" s="150">
        <f t="shared" si="0"/>
        <v>134761.40384758334</v>
      </c>
      <c r="J18" s="149">
        <f t="shared" si="0"/>
        <v>92510</v>
      </c>
      <c r="K18" s="149">
        <f t="shared" si="0"/>
        <v>70811.352683333331</v>
      </c>
      <c r="L18" s="149">
        <f t="shared" si="0"/>
        <v>73219.561380620013</v>
      </c>
      <c r="M18" s="157">
        <f t="shared" si="0"/>
        <v>144030.91406395333</v>
      </c>
      <c r="N18" s="149">
        <f>SUM(N16,N14,N12,N10,N8,N6)</f>
        <v>315</v>
      </c>
      <c r="O18" s="149">
        <f>SUM(O16,O14,O12,O10,O8,O6)</f>
        <v>300</v>
      </c>
      <c r="P18" s="158">
        <f>SUM(P16,P14,P12,P10,P8,P6)</f>
        <v>262</v>
      </c>
    </row>
    <row r="19" spans="2:28" ht="15" customHeight="1" thickBot="1" x14ac:dyDescent="0.35">
      <c r="B19" s="16" t="s">
        <v>51</v>
      </c>
      <c r="C19" s="17">
        <v>1347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35">
      <c r="B20" s="57" t="s">
        <v>52</v>
      </c>
      <c r="C20" s="58">
        <v>5136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0.12666666666666668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12390</v>
      </c>
      <c r="D25" s="76">
        <f>C13</f>
        <v>9127</v>
      </c>
      <c r="E25" s="77">
        <f t="shared" ref="E25:E32" si="1">D25-C25</f>
        <v>-3263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42996</v>
      </c>
      <c r="D28" s="76">
        <f>C9+C14+C15+C16+C17</f>
        <v>33890</v>
      </c>
      <c r="E28" s="77">
        <f t="shared" si="1"/>
        <v>-9106</v>
      </c>
      <c r="F28" s="1" t="s">
        <v>75</v>
      </c>
      <c r="P28" s="4"/>
    </row>
    <row r="29" spans="2:28" x14ac:dyDescent="0.3">
      <c r="B29" s="74" t="s">
        <v>21</v>
      </c>
      <c r="C29" s="122">
        <v>90</v>
      </c>
      <c r="D29" s="76">
        <f>C6</f>
        <v>90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2642</v>
      </c>
      <c r="D30" s="76">
        <f>C12</f>
        <v>2642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17450</v>
      </c>
      <c r="D31" s="76">
        <f>C18+C19+C20</f>
        <v>17450</v>
      </c>
      <c r="E31" s="77">
        <f t="shared" si="1"/>
        <v>0</v>
      </c>
      <c r="K31" s="53"/>
      <c r="P31" s="4"/>
    </row>
    <row r="32" spans="2:28" ht="15" customHeight="1" thickBot="1" x14ac:dyDescent="0.35">
      <c r="B32" s="78" t="s">
        <v>60</v>
      </c>
      <c r="C32" s="121">
        <v>1160</v>
      </c>
      <c r="D32" s="80">
        <f>C10+C11</f>
        <v>1160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44696</v>
      </c>
    </row>
    <row r="3" spans="2:27" ht="18.75" customHeight="1" thickBot="1" x14ac:dyDescent="0.35">
      <c r="B3" t="s">
        <v>1</v>
      </c>
      <c r="C3" s="3">
        <f>C2+1</f>
        <v>44697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10840</v>
      </c>
      <c r="G6" s="117">
        <v>3655</v>
      </c>
      <c r="H6" s="117">
        <v>148.02187499999999</v>
      </c>
      <c r="I6" s="152">
        <f>G6+H6</f>
        <v>3803.0218749999999</v>
      </c>
      <c r="J6" s="119">
        <v>11764</v>
      </c>
      <c r="K6" s="117">
        <v>3973</v>
      </c>
      <c r="L6" s="117">
        <v>197</v>
      </c>
      <c r="M6" s="162">
        <f>K6+L6</f>
        <v>4170</v>
      </c>
      <c r="N6" s="87">
        <v>48</v>
      </c>
      <c r="O6" s="87">
        <v>46</v>
      </c>
      <c r="P6" s="87">
        <v>42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1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5995</v>
      </c>
      <c r="G10" s="117">
        <v>3110</v>
      </c>
      <c r="H10" s="117">
        <v>917.54826219999995</v>
      </c>
      <c r="I10" s="152">
        <f>G10+H10</f>
        <v>4027.5482622</v>
      </c>
      <c r="J10" s="119">
        <v>6216</v>
      </c>
      <c r="K10" s="117">
        <v>3186</v>
      </c>
      <c r="L10" s="117">
        <v>1012</v>
      </c>
      <c r="M10" s="162">
        <f>K10+L10</f>
        <v>4198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11674</v>
      </c>
      <c r="E18" s="84"/>
      <c r="F18" s="148">
        <f t="shared" ref="F18:M18" si="0">SUM(F6:F17)</f>
        <v>16835</v>
      </c>
      <c r="G18" s="149">
        <f t="shared" si="0"/>
        <v>6765</v>
      </c>
      <c r="H18" s="149">
        <f t="shared" si="0"/>
        <v>1065.5701371999999</v>
      </c>
      <c r="I18" s="150">
        <f t="shared" si="0"/>
        <v>7830.5701372000003</v>
      </c>
      <c r="J18" s="149">
        <f t="shared" si="0"/>
        <v>17980</v>
      </c>
      <c r="K18" s="149">
        <f t="shared" si="0"/>
        <v>7159</v>
      </c>
      <c r="L18" s="149">
        <f t="shared" si="0"/>
        <v>1209</v>
      </c>
      <c r="M18" s="157">
        <f t="shared" si="0"/>
        <v>8368</v>
      </c>
      <c r="N18" s="149">
        <f>SUM(N16,N14,N12,N10,N8,N6)</f>
        <v>49</v>
      </c>
      <c r="O18" s="149">
        <f>SUM(O16,O14,O12,O10,O8,O6)</f>
        <v>47</v>
      </c>
      <c r="P18" s="158">
        <f>SUM(P16,P14,P12,P10,P8,P6)</f>
        <v>42</v>
      </c>
    </row>
    <row r="19" spans="2:28" ht="15" customHeight="1" thickBot="1" x14ac:dyDescent="0.35">
      <c r="B19" s="16" t="s">
        <v>51</v>
      </c>
      <c r="C19" s="17">
        <v>1010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</v>
      </c>
    </row>
    <row r="20" spans="2:28" ht="15" customHeight="1" thickBot="1" x14ac:dyDescent="0.35">
      <c r="B20" s="57" t="s">
        <v>52</v>
      </c>
      <c r="C20" s="58">
        <v>5296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0.10638297872340426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16835</v>
      </c>
      <c r="D31" s="76">
        <f>C18+C19+C20</f>
        <v>17980</v>
      </c>
      <c r="E31" s="77">
        <f t="shared" si="1"/>
        <v>1145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44697</v>
      </c>
    </row>
    <row r="3" spans="2:27" ht="18.75" customHeight="1" thickBot="1" x14ac:dyDescent="0.35">
      <c r="B3" t="s">
        <v>1</v>
      </c>
      <c r="C3" s="3">
        <f>C2+1</f>
        <v>44698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91</v>
      </c>
      <c r="E6" s="161" t="s">
        <v>22</v>
      </c>
      <c r="F6" s="119">
        <v>25514</v>
      </c>
      <c r="G6" s="117">
        <v>12688.78995</v>
      </c>
      <c r="H6" s="117">
        <v>4716.5009640800045</v>
      </c>
      <c r="I6" s="152">
        <f>G6+H6</f>
        <v>17405.290914080004</v>
      </c>
      <c r="J6" s="119">
        <v>25077</v>
      </c>
      <c r="K6" s="117">
        <v>13201.738450000001</v>
      </c>
      <c r="L6" s="117">
        <v>4655.8984185200043</v>
      </c>
      <c r="M6" s="162">
        <f>K6+L6</f>
        <v>17857.636868520007</v>
      </c>
      <c r="N6" s="87">
        <v>84</v>
      </c>
      <c r="O6" s="87">
        <v>83</v>
      </c>
      <c r="P6" s="87">
        <v>73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4089.7039756600002</v>
      </c>
      <c r="I8" s="152">
        <f>G8+H8</f>
        <v>4089.7039756600002</v>
      </c>
      <c r="J8" s="119">
        <v>0</v>
      </c>
      <c r="K8" s="117">
        <v>0</v>
      </c>
      <c r="L8" s="117">
        <v>4051.1490875999998</v>
      </c>
      <c r="M8" s="162">
        <f>K8+L8</f>
        <v>4051.1490875999998</v>
      </c>
      <c r="N8" s="87">
        <v>9</v>
      </c>
      <c r="O8" s="87">
        <v>8</v>
      </c>
      <c r="P8" s="87">
        <v>8</v>
      </c>
    </row>
    <row r="9" spans="2:27" x14ac:dyDescent="0.3">
      <c r="B9" s="16" t="s">
        <v>23</v>
      </c>
      <c r="C9" s="17">
        <v>2101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400</v>
      </c>
      <c r="E10" s="161" t="s">
        <v>31</v>
      </c>
      <c r="F10" s="119">
        <v>20204</v>
      </c>
      <c r="G10" s="117">
        <v>14355.866</v>
      </c>
      <c r="H10" s="117">
        <v>989.40136969999992</v>
      </c>
      <c r="I10" s="152">
        <f>G10+H10</f>
        <v>15345.267369699999</v>
      </c>
      <c r="J10" s="119">
        <v>19885</v>
      </c>
      <c r="K10" s="117">
        <v>14411.282499999999</v>
      </c>
      <c r="L10" s="117">
        <v>951.60524046</v>
      </c>
      <c r="M10" s="162">
        <f>K10+L10</f>
        <v>15362.887740459999</v>
      </c>
      <c r="N10" s="88">
        <v>59</v>
      </c>
      <c r="O10" s="88">
        <v>57</v>
      </c>
      <c r="P10" s="88">
        <v>57</v>
      </c>
    </row>
    <row r="11" spans="2:27" x14ac:dyDescent="0.3">
      <c r="B11" s="28" t="s">
        <v>28</v>
      </c>
      <c r="C11" s="17">
        <v>235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2539</v>
      </c>
      <c r="E12" s="161" t="s">
        <v>35</v>
      </c>
      <c r="F12" s="119">
        <v>14460</v>
      </c>
      <c r="G12" s="117">
        <v>11758.71508333334</v>
      </c>
      <c r="H12" s="117">
        <v>17558.222284619991</v>
      </c>
      <c r="I12" s="152">
        <f>G12+H12</f>
        <v>29316.937367953331</v>
      </c>
      <c r="J12" s="119">
        <v>14241</v>
      </c>
      <c r="K12" s="117">
        <v>13081.808333333331</v>
      </c>
      <c r="L12" s="117">
        <v>17306.981859719999</v>
      </c>
      <c r="M12" s="162">
        <f>K12+L12</f>
        <v>30388.79019305333</v>
      </c>
      <c r="N12" s="88">
        <v>56</v>
      </c>
      <c r="O12" s="88">
        <v>55</v>
      </c>
      <c r="P12" s="88">
        <v>44</v>
      </c>
    </row>
    <row r="13" spans="2:27" x14ac:dyDescent="0.3">
      <c r="B13" s="16" t="s">
        <v>38</v>
      </c>
      <c r="C13" s="17">
        <v>10865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3">
      <c r="B14" s="16" t="s">
        <v>40</v>
      </c>
      <c r="C14" s="17">
        <v>2448</v>
      </c>
      <c r="E14" s="161" t="s">
        <v>39</v>
      </c>
      <c r="F14" s="119">
        <v>22934</v>
      </c>
      <c r="G14" s="117">
        <v>20689.63</v>
      </c>
      <c r="H14" s="117">
        <v>27896.36359945999</v>
      </c>
      <c r="I14" s="152">
        <f>G14+H14</f>
        <v>48585.993599459995</v>
      </c>
      <c r="J14" s="119">
        <v>22319</v>
      </c>
      <c r="K14" s="117">
        <v>19612.705999999998</v>
      </c>
      <c r="L14" s="117">
        <v>27067.454213780002</v>
      </c>
      <c r="M14" s="162">
        <f>K14+L14</f>
        <v>46680.16021378</v>
      </c>
      <c r="N14" s="88">
        <v>83</v>
      </c>
      <c r="O14" s="88">
        <v>79</v>
      </c>
      <c r="P14" s="88">
        <v>70</v>
      </c>
    </row>
    <row r="15" spans="2:27" x14ac:dyDescent="0.3">
      <c r="B15" s="28" t="s">
        <v>42</v>
      </c>
      <c r="C15" s="17">
        <v>30924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1688</v>
      </c>
      <c r="E16" s="161" t="s">
        <v>79</v>
      </c>
      <c r="F16" s="119">
        <v>0</v>
      </c>
      <c r="G16" s="117">
        <v>0</v>
      </c>
      <c r="H16" s="117">
        <v>9847.7003527600009</v>
      </c>
      <c r="I16" s="152">
        <f>G16+H16</f>
        <v>9847.7003527600009</v>
      </c>
      <c r="J16" s="119">
        <v>0</v>
      </c>
      <c r="K16" s="117">
        <v>0</v>
      </c>
      <c r="L16" s="117">
        <v>9709.0751142600002</v>
      </c>
      <c r="M16" s="162">
        <f>K16+L16</f>
        <v>9709.0751142600002</v>
      </c>
      <c r="N16" s="88">
        <v>9</v>
      </c>
      <c r="O16" s="88">
        <v>9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420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10862</v>
      </c>
      <c r="E18" s="84"/>
      <c r="F18" s="148">
        <f t="shared" ref="F18:M18" si="0">SUM(F6:F17)</f>
        <v>83112</v>
      </c>
      <c r="G18" s="149">
        <f t="shared" si="0"/>
        <v>59493.001033333348</v>
      </c>
      <c r="H18" s="149">
        <f t="shared" si="0"/>
        <v>65097.892546279989</v>
      </c>
      <c r="I18" s="150">
        <f t="shared" si="0"/>
        <v>124590.89357961333</v>
      </c>
      <c r="J18" s="149">
        <f t="shared" si="0"/>
        <v>81522</v>
      </c>
      <c r="K18" s="149">
        <f t="shared" si="0"/>
        <v>60307.535283333324</v>
      </c>
      <c r="L18" s="149">
        <f t="shared" si="0"/>
        <v>63742.163934340002</v>
      </c>
      <c r="M18" s="157">
        <f t="shared" si="0"/>
        <v>124049.69921767335</v>
      </c>
      <c r="N18" s="149">
        <f>SUM(N16,N14,N12,N10,N8,N6)</f>
        <v>300</v>
      </c>
      <c r="O18" s="149">
        <f>SUM(O16,O14,O12,O10,O8,O6)</f>
        <v>291</v>
      </c>
      <c r="P18" s="158">
        <f>SUM(P16,P14,P12,P10,P8,P6)</f>
        <v>261</v>
      </c>
    </row>
    <row r="19" spans="2:28" ht="15" customHeight="1" thickBot="1" x14ac:dyDescent="0.35">
      <c r="B19" s="16" t="s">
        <v>51</v>
      </c>
      <c r="C19" s="17">
        <v>868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5081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0.10309278350515463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10588</v>
      </c>
      <c r="D25" s="76">
        <f>C13</f>
        <v>10865</v>
      </c>
      <c r="E25" s="77">
        <f t="shared" ref="E25:E32" si="1">D25-C25</f>
        <v>277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38377</v>
      </c>
      <c r="D28" s="76">
        <f>C9+C14+C15+C16+C17</f>
        <v>37581</v>
      </c>
      <c r="E28" s="77">
        <f t="shared" si="1"/>
        <v>-796</v>
      </c>
      <c r="F28" s="1" t="s">
        <v>75</v>
      </c>
      <c r="P28" s="4"/>
    </row>
    <row r="29" spans="2:28" x14ac:dyDescent="0.3">
      <c r="B29" s="74" t="s">
        <v>21</v>
      </c>
      <c r="C29" s="122">
        <v>91</v>
      </c>
      <c r="D29" s="76">
        <f>C6</f>
        <v>91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2539</v>
      </c>
      <c r="D30" s="76">
        <f>C12</f>
        <v>2539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17770</v>
      </c>
      <c r="D31" s="76">
        <f>C18+C19+C20</f>
        <v>16811</v>
      </c>
      <c r="E31" s="77">
        <f t="shared" si="1"/>
        <v>-959</v>
      </c>
      <c r="K31" s="53"/>
      <c r="P31" s="4"/>
    </row>
    <row r="32" spans="2:28" ht="15" customHeight="1" thickBot="1" x14ac:dyDescent="0.35">
      <c r="B32" s="78" t="s">
        <v>60</v>
      </c>
      <c r="C32" s="121">
        <v>635</v>
      </c>
      <c r="D32" s="80">
        <f>C10+C11</f>
        <v>635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44698</v>
      </c>
    </row>
    <row r="3" spans="2:27" ht="18.75" customHeight="1" thickBot="1" x14ac:dyDescent="0.35">
      <c r="B3" t="s">
        <v>1</v>
      </c>
      <c r="C3" s="3">
        <f>C2+1</f>
        <v>44699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157</v>
      </c>
      <c r="E6" s="161" t="s">
        <v>22</v>
      </c>
      <c r="F6" s="119">
        <v>28468</v>
      </c>
      <c r="G6" s="117">
        <v>13421.478466666669</v>
      </c>
      <c r="H6" s="117">
        <v>5832.693145260002</v>
      </c>
      <c r="I6" s="152">
        <f>G6+H6</f>
        <v>19254.171611926671</v>
      </c>
      <c r="J6" s="119">
        <v>29445</v>
      </c>
      <c r="K6" s="117">
        <v>15657.31171666666</v>
      </c>
      <c r="L6" s="117">
        <v>5944.9034879600031</v>
      </c>
      <c r="M6" s="162">
        <f>K6+L6</f>
        <v>21602.215204626664</v>
      </c>
      <c r="N6" s="87">
        <v>87</v>
      </c>
      <c r="O6" s="87">
        <v>86</v>
      </c>
      <c r="P6" s="87">
        <v>72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3577.7736166799991</v>
      </c>
      <c r="I8" s="152">
        <f>G8+H8</f>
        <v>3577.7736166799991</v>
      </c>
      <c r="J8" s="119">
        <v>0</v>
      </c>
      <c r="K8" s="117">
        <v>0</v>
      </c>
      <c r="L8" s="117">
        <v>3731.3512487000012</v>
      </c>
      <c r="M8" s="162">
        <f>K8+L8</f>
        <v>3731.3512487000012</v>
      </c>
      <c r="N8" s="87">
        <v>5</v>
      </c>
      <c r="O8" s="87">
        <v>5</v>
      </c>
      <c r="P8" s="87">
        <v>5</v>
      </c>
    </row>
    <row r="9" spans="2:27" x14ac:dyDescent="0.3">
      <c r="B9" s="16" t="s">
        <v>23</v>
      </c>
      <c r="C9" s="17">
        <v>2645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970</v>
      </c>
      <c r="E10" s="161" t="s">
        <v>31</v>
      </c>
      <c r="F10" s="119">
        <v>20509</v>
      </c>
      <c r="G10" s="117">
        <v>13436.848</v>
      </c>
      <c r="H10" s="117">
        <v>1396.6727301400001</v>
      </c>
      <c r="I10" s="152">
        <f>G10+H10</f>
        <v>14833.520730140001</v>
      </c>
      <c r="J10" s="119">
        <v>20708</v>
      </c>
      <c r="K10" s="117">
        <v>14164.995999999999</v>
      </c>
      <c r="L10" s="117">
        <v>1417.74599266</v>
      </c>
      <c r="M10" s="162">
        <f>K10+L10</f>
        <v>15582.74199266</v>
      </c>
      <c r="N10" s="88">
        <v>59</v>
      </c>
      <c r="O10" s="88">
        <v>61</v>
      </c>
      <c r="P10" s="88">
        <v>56</v>
      </c>
    </row>
    <row r="11" spans="2:27" x14ac:dyDescent="0.3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3">
      <c r="B12" s="16" t="s">
        <v>30</v>
      </c>
      <c r="C12" s="17">
        <v>2445</v>
      </c>
      <c r="E12" s="161" t="s">
        <v>35</v>
      </c>
      <c r="F12" s="119">
        <v>16029</v>
      </c>
      <c r="G12" s="117">
        <v>11732.618666666671</v>
      </c>
      <c r="H12" s="117">
        <v>19233.357595889989</v>
      </c>
      <c r="I12" s="152">
        <f>G12+H12</f>
        <v>30965.976262556658</v>
      </c>
      <c r="J12" s="119">
        <v>16418</v>
      </c>
      <c r="K12" s="117">
        <v>13988.603166666669</v>
      </c>
      <c r="L12" s="117">
        <v>19624.916489070001</v>
      </c>
      <c r="M12" s="162">
        <f>K12+L12</f>
        <v>33613.519655736673</v>
      </c>
      <c r="N12" s="88">
        <v>53</v>
      </c>
      <c r="O12" s="88">
        <v>53</v>
      </c>
      <c r="P12" s="88">
        <v>46</v>
      </c>
    </row>
    <row r="13" spans="2:27" x14ac:dyDescent="0.3">
      <c r="B13" s="16" t="s">
        <v>38</v>
      </c>
      <c r="C13" s="17">
        <v>10277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16" t="s">
        <v>40</v>
      </c>
      <c r="C14" s="17">
        <v>1460</v>
      </c>
      <c r="E14" s="161" t="s">
        <v>39</v>
      </c>
      <c r="F14" s="119">
        <v>28753</v>
      </c>
      <c r="G14" s="117">
        <v>20847.3125</v>
      </c>
      <c r="H14" s="117">
        <v>34556.072127980027</v>
      </c>
      <c r="I14" s="152">
        <f>G14+H14</f>
        <v>55403.384627980027</v>
      </c>
      <c r="J14" s="119">
        <v>28318</v>
      </c>
      <c r="K14" s="117">
        <v>23436.36</v>
      </c>
      <c r="L14" s="117">
        <v>34059.152601260008</v>
      </c>
      <c r="M14" s="162">
        <f>K14+L14</f>
        <v>57495.512601260009</v>
      </c>
      <c r="N14" s="88">
        <v>81</v>
      </c>
      <c r="O14" s="88">
        <v>82</v>
      </c>
      <c r="P14" s="88">
        <v>69</v>
      </c>
    </row>
    <row r="15" spans="2:27" x14ac:dyDescent="0.3">
      <c r="B15" s="28" t="s">
        <v>42</v>
      </c>
      <c r="C15" s="17">
        <f>32550+8020</f>
        <v>40570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47</v>
      </c>
      <c r="C16" s="17">
        <v>1048</v>
      </c>
      <c r="E16" s="161" t="s">
        <v>79</v>
      </c>
      <c r="F16" s="119">
        <v>0</v>
      </c>
      <c r="G16" s="117">
        <v>0</v>
      </c>
      <c r="H16" s="117">
        <v>5697.5204293799998</v>
      </c>
      <c r="I16" s="152">
        <f>G16+H16</f>
        <v>5697.5204293799998</v>
      </c>
      <c r="J16" s="119">
        <v>0</v>
      </c>
      <c r="K16" s="117">
        <v>0</v>
      </c>
      <c r="L16" s="117">
        <v>5837.7439317000008</v>
      </c>
      <c r="M16" s="162">
        <f>K16+L16</f>
        <v>5837.7439317000008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187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12048</v>
      </c>
      <c r="E18" s="84"/>
      <c r="F18" s="148">
        <f t="shared" ref="F18:M18" si="0">SUM(F6:F17)</f>
        <v>93759</v>
      </c>
      <c r="G18" s="149">
        <f t="shared" si="0"/>
        <v>59438.257633333342</v>
      </c>
      <c r="H18" s="149">
        <f t="shared" si="0"/>
        <v>70294.089645330023</v>
      </c>
      <c r="I18" s="150">
        <f t="shared" si="0"/>
        <v>129732.34727866336</v>
      </c>
      <c r="J18" s="149">
        <f t="shared" si="0"/>
        <v>94889</v>
      </c>
      <c r="K18" s="149">
        <f t="shared" si="0"/>
        <v>67247.270883333331</v>
      </c>
      <c r="L18" s="149">
        <f t="shared" si="0"/>
        <v>70615.813751350011</v>
      </c>
      <c r="M18" s="157">
        <f t="shared" si="0"/>
        <v>137863.08463468336</v>
      </c>
      <c r="N18" s="149">
        <f>SUM(N16,N14,N12,N10,N8,N6)</f>
        <v>296</v>
      </c>
      <c r="O18" s="149">
        <f>SUM(O16,O14,O12,O10,O8,O6)</f>
        <v>298</v>
      </c>
      <c r="P18" s="158">
        <f>SUM(P16,P14,P12,P10,P8,P6)</f>
        <v>259</v>
      </c>
    </row>
    <row r="19" spans="2:28" ht="15" customHeight="1" thickBot="1" x14ac:dyDescent="0.35">
      <c r="B19" s="16" t="s">
        <v>51</v>
      </c>
      <c r="C19" s="17">
        <v>844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35">
      <c r="B20" s="57" t="s">
        <v>52</v>
      </c>
      <c r="C20" s="58">
        <v>5530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0.13087248322147652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11108</v>
      </c>
      <c r="D25" s="76">
        <f>C13</f>
        <v>10277</v>
      </c>
      <c r="E25" s="77">
        <f t="shared" ref="E25:E32" si="1">D25-C25</f>
        <v>-831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40572</v>
      </c>
      <c r="D28" s="76">
        <f>C9+C14+C15+C16+C17</f>
        <v>45910</v>
      </c>
      <c r="E28" s="77">
        <f t="shared" si="1"/>
        <v>5338</v>
      </c>
      <c r="F28" s="1" t="s">
        <v>75</v>
      </c>
      <c r="P28" s="4"/>
    </row>
    <row r="29" spans="2:28" x14ac:dyDescent="0.3">
      <c r="B29" s="74" t="s">
        <v>21</v>
      </c>
      <c r="C29" s="122">
        <v>157</v>
      </c>
      <c r="D29" s="76">
        <f>C6</f>
        <v>157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2445</v>
      </c>
      <c r="D30" s="76">
        <f>C12</f>
        <v>2445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18050</v>
      </c>
      <c r="D31" s="76">
        <f>C18+C19+C20</f>
        <v>18422</v>
      </c>
      <c r="E31" s="77">
        <f t="shared" si="1"/>
        <v>372</v>
      </c>
      <c r="K31" s="53"/>
      <c r="P31" s="4"/>
    </row>
    <row r="32" spans="2:28" ht="15" customHeight="1" thickBot="1" x14ac:dyDescent="0.35">
      <c r="B32" s="78" t="s">
        <v>60</v>
      </c>
      <c r="C32" s="121">
        <v>1470</v>
      </c>
      <c r="D32" s="80">
        <f>C10+C11</f>
        <v>1470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44699</v>
      </c>
    </row>
    <row r="3" spans="2:27" ht="18.75" customHeight="1" thickBot="1" x14ac:dyDescent="0.35">
      <c r="B3" t="s">
        <v>1</v>
      </c>
      <c r="C3" s="3">
        <f>C2+1</f>
        <v>44700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82</v>
      </c>
      <c r="E6" s="161" t="s">
        <v>22</v>
      </c>
      <c r="F6" s="119">
        <v>27831</v>
      </c>
      <c r="G6" s="117">
        <v>13125.166499999999</v>
      </c>
      <c r="H6" s="117">
        <v>4847.7676450000026</v>
      </c>
      <c r="I6" s="152">
        <f>G6+H6</f>
        <v>17972.934145000003</v>
      </c>
      <c r="J6" s="119">
        <v>27647</v>
      </c>
      <c r="K6" s="117">
        <v>15042.991249999999</v>
      </c>
      <c r="L6" s="117">
        <v>4717.0648683200034</v>
      </c>
      <c r="M6" s="162">
        <f>K6+L6</f>
        <v>19760.056118320004</v>
      </c>
      <c r="N6" s="87">
        <v>80</v>
      </c>
      <c r="O6" s="87">
        <v>76</v>
      </c>
      <c r="P6" s="87">
        <v>67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4626.7871660799992</v>
      </c>
      <c r="I8" s="152">
        <f>G8+H8</f>
        <v>4626.7871660799992</v>
      </c>
      <c r="J8" s="119">
        <v>0</v>
      </c>
      <c r="K8" s="117">
        <v>0</v>
      </c>
      <c r="L8" s="117">
        <v>4644.8265959199989</v>
      </c>
      <c r="M8" s="162">
        <f>K8+L8</f>
        <v>4644.8265959199989</v>
      </c>
      <c r="N8" s="87">
        <v>6</v>
      </c>
      <c r="O8" s="87">
        <v>6</v>
      </c>
      <c r="P8" s="87">
        <v>5</v>
      </c>
    </row>
    <row r="9" spans="2:27" x14ac:dyDescent="0.3">
      <c r="B9" s="16" t="s">
        <v>23</v>
      </c>
      <c r="C9" s="17">
        <v>1921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20145</v>
      </c>
      <c r="G10" s="117">
        <v>13688.049499999999</v>
      </c>
      <c r="H10" s="117">
        <v>956.81182109999986</v>
      </c>
      <c r="I10" s="152">
        <f>G10+H10</f>
        <v>14644.861321099999</v>
      </c>
      <c r="J10" s="119">
        <v>19920</v>
      </c>
      <c r="K10" s="117">
        <v>13919.3105</v>
      </c>
      <c r="L10" s="117">
        <v>934.62690772000008</v>
      </c>
      <c r="M10" s="162">
        <f>K10+L10</f>
        <v>14853.937407719999</v>
      </c>
      <c r="N10" s="88">
        <v>59</v>
      </c>
      <c r="O10" s="88">
        <v>58</v>
      </c>
      <c r="P10" s="88">
        <v>51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30</v>
      </c>
      <c r="C12" s="17">
        <v>2471</v>
      </c>
      <c r="E12" s="161" t="s">
        <v>35</v>
      </c>
      <c r="F12" s="119">
        <v>14153</v>
      </c>
      <c r="G12" s="117">
        <v>11304.48775</v>
      </c>
      <c r="H12" s="117">
        <v>17406.447720889992</v>
      </c>
      <c r="I12" s="152">
        <f>G12+H12</f>
        <v>28710.935470889992</v>
      </c>
      <c r="J12" s="119">
        <v>13959</v>
      </c>
      <c r="K12" s="117">
        <v>13710.748</v>
      </c>
      <c r="L12" s="117">
        <v>17193.89607431</v>
      </c>
      <c r="M12" s="162">
        <f>K12+L12</f>
        <v>30904.644074309999</v>
      </c>
      <c r="N12" s="88">
        <v>57</v>
      </c>
      <c r="O12" s="88">
        <v>54</v>
      </c>
      <c r="P12" s="88">
        <v>48</v>
      </c>
    </row>
    <row r="13" spans="2:27" x14ac:dyDescent="0.3">
      <c r="B13" s="16" t="s">
        <v>38</v>
      </c>
      <c r="C13" s="17">
        <v>11858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2258</v>
      </c>
      <c r="E14" s="161" t="s">
        <v>39</v>
      </c>
      <c r="F14" s="119">
        <v>21004</v>
      </c>
      <c r="G14" s="117">
        <v>18799.077499999999</v>
      </c>
      <c r="H14" s="117">
        <v>26980.046917539999</v>
      </c>
      <c r="I14" s="152">
        <f>G14+H14</f>
        <v>45779.124417539999</v>
      </c>
      <c r="J14" s="119">
        <v>20569</v>
      </c>
      <c r="K14" s="117">
        <v>20609.168000000001</v>
      </c>
      <c r="L14" s="117">
        <v>26575.866923820009</v>
      </c>
      <c r="M14" s="162">
        <f>K14+L14</f>
        <v>47185.034923820014</v>
      </c>
      <c r="N14" s="88">
        <v>76</v>
      </c>
      <c r="O14" s="88">
        <v>70</v>
      </c>
      <c r="P14" s="88">
        <v>66</v>
      </c>
    </row>
    <row r="15" spans="2:27" x14ac:dyDescent="0.3">
      <c r="B15" s="28" t="s">
        <v>42</v>
      </c>
      <c r="C15" s="17">
        <v>30355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2:27" x14ac:dyDescent="0.3">
      <c r="B16" s="43" t="s">
        <v>47</v>
      </c>
      <c r="C16" s="17">
        <v>1574</v>
      </c>
      <c r="E16" s="161" t="s">
        <v>79</v>
      </c>
      <c r="F16" s="119">
        <v>0</v>
      </c>
      <c r="G16" s="117">
        <v>0</v>
      </c>
      <c r="H16" s="117">
        <v>9807.41111198</v>
      </c>
      <c r="I16" s="152">
        <f>G16+H16</f>
        <v>9807.41111198</v>
      </c>
      <c r="J16" s="119">
        <v>0</v>
      </c>
      <c r="K16" s="117">
        <v>0</v>
      </c>
      <c r="L16" s="117">
        <v>9488.7429650400009</v>
      </c>
      <c r="M16" s="162">
        <f>K16+L16</f>
        <v>9488.7429650400009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10617</v>
      </c>
      <c r="E18" s="84"/>
      <c r="F18" s="148">
        <f t="shared" ref="F18:M18" si="0">SUM(F6:F17)</f>
        <v>83133</v>
      </c>
      <c r="G18" s="149">
        <f t="shared" si="0"/>
        <v>56916.78125</v>
      </c>
      <c r="H18" s="149">
        <f t="shared" si="0"/>
        <v>64625.272382589996</v>
      </c>
      <c r="I18" s="150">
        <f t="shared" si="0"/>
        <v>121542.05363258999</v>
      </c>
      <c r="J18" s="149">
        <f t="shared" si="0"/>
        <v>82095</v>
      </c>
      <c r="K18" s="149">
        <f t="shared" si="0"/>
        <v>63282.217749999996</v>
      </c>
      <c r="L18" s="149">
        <f t="shared" si="0"/>
        <v>63555.024335130009</v>
      </c>
      <c r="M18" s="157">
        <f t="shared" si="0"/>
        <v>126837.24208513001</v>
      </c>
      <c r="N18" s="149">
        <f>SUM(N16,N14,N12,N10,N8,N6)</f>
        <v>288</v>
      </c>
      <c r="O18" s="149">
        <f>SUM(O16,O14,O12,O10,O8,O6)</f>
        <v>274</v>
      </c>
      <c r="P18" s="158">
        <f>SUM(P16,P14,P12,P10,P8,P6)</f>
        <v>247</v>
      </c>
    </row>
    <row r="19" spans="2:28" ht="15" customHeight="1" thickBot="1" x14ac:dyDescent="0.35">
      <c r="B19" s="16" t="s">
        <v>51</v>
      </c>
      <c r="C19" s="17">
        <v>1807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35">
      <c r="B20" s="57" t="s">
        <v>52</v>
      </c>
      <c r="C20" s="58">
        <v>5468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9.8540145985401464E-2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12159</v>
      </c>
      <c r="D25" s="76">
        <f>C13</f>
        <v>11858</v>
      </c>
      <c r="E25" s="77">
        <f t="shared" ref="E25:E32" si="1">D25-C25</f>
        <v>-301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39124</v>
      </c>
      <c r="D28" s="76">
        <f>C9+C14+C15+C16+C17</f>
        <v>36512</v>
      </c>
      <c r="E28" s="77">
        <f t="shared" si="1"/>
        <v>-2612</v>
      </c>
      <c r="F28" s="1" t="s">
        <v>75</v>
      </c>
      <c r="P28" s="4"/>
    </row>
    <row r="29" spans="2:28" x14ac:dyDescent="0.3">
      <c r="B29" s="74" t="s">
        <v>21</v>
      </c>
      <c r="C29" s="122">
        <v>82</v>
      </c>
      <c r="D29" s="76">
        <f>C6</f>
        <v>82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2471</v>
      </c>
      <c r="D30" s="76">
        <f>C12</f>
        <v>2471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18000</v>
      </c>
      <c r="D31" s="76">
        <f>C18+C19+C20</f>
        <v>17892</v>
      </c>
      <c r="E31" s="77">
        <f t="shared" si="1"/>
        <v>-108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44700</v>
      </c>
    </row>
    <row r="3" spans="2:27" ht="18.75" customHeight="1" thickBot="1" x14ac:dyDescent="0.35">
      <c r="B3" t="s">
        <v>1</v>
      </c>
      <c r="C3" s="3">
        <f>C2+1</f>
        <v>44701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135</v>
      </c>
      <c r="E6" s="161" t="s">
        <v>22</v>
      </c>
      <c r="F6" s="119">
        <v>27827</v>
      </c>
      <c r="G6" s="117">
        <v>13691.67060000001</v>
      </c>
      <c r="H6" s="117">
        <v>6137.1794424400023</v>
      </c>
      <c r="I6" s="152">
        <f>G6+H6</f>
        <v>19828.850042440012</v>
      </c>
      <c r="J6" s="119">
        <v>28410</v>
      </c>
      <c r="K6" s="117">
        <v>15301.9396</v>
      </c>
      <c r="L6" s="117">
        <v>5937.1552328200014</v>
      </c>
      <c r="M6" s="162">
        <f>K6+L6</f>
        <v>21239.094832820003</v>
      </c>
      <c r="N6" s="87">
        <v>80</v>
      </c>
      <c r="O6" s="87">
        <v>74</v>
      </c>
      <c r="P6" s="87">
        <v>70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3676.3728476599999</v>
      </c>
      <c r="I8" s="152">
        <f>G8+H8</f>
        <v>3676.3728476599999</v>
      </c>
      <c r="J8" s="119">
        <v>0</v>
      </c>
      <c r="K8" s="117">
        <v>0</v>
      </c>
      <c r="L8" s="117">
        <v>3695.9134951000001</v>
      </c>
      <c r="M8" s="162">
        <f>K8+L8</f>
        <v>3695.9134951000001</v>
      </c>
      <c r="N8" s="87">
        <v>6</v>
      </c>
      <c r="O8" s="87">
        <v>6</v>
      </c>
      <c r="P8" s="87">
        <v>6</v>
      </c>
    </row>
    <row r="9" spans="2:27" x14ac:dyDescent="0.3">
      <c r="B9" s="16" t="s">
        <v>23</v>
      </c>
      <c r="C9" s="17">
        <v>2609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985</v>
      </c>
      <c r="E10" s="161" t="s">
        <v>31</v>
      </c>
      <c r="F10" s="119">
        <v>19950</v>
      </c>
      <c r="G10" s="117">
        <v>13245.23</v>
      </c>
      <c r="H10" s="117">
        <v>1259.70736554</v>
      </c>
      <c r="I10" s="152">
        <f>G10+H10</f>
        <v>14504.93736554</v>
      </c>
      <c r="J10" s="119">
        <v>20110</v>
      </c>
      <c r="K10" s="117">
        <v>13899.041499999999</v>
      </c>
      <c r="L10" s="117">
        <v>1316.2407221200001</v>
      </c>
      <c r="M10" s="162">
        <f>K10+L10</f>
        <v>15215.28222212</v>
      </c>
      <c r="N10" s="88">
        <v>65</v>
      </c>
      <c r="O10" s="88">
        <v>63</v>
      </c>
      <c r="P10" s="88">
        <v>60</v>
      </c>
    </row>
    <row r="11" spans="2:27" x14ac:dyDescent="0.3">
      <c r="B11" s="28" t="s">
        <v>28</v>
      </c>
      <c r="C11" s="17">
        <v>525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5161</v>
      </c>
      <c r="E12" s="161" t="s">
        <v>35</v>
      </c>
      <c r="F12" s="119">
        <v>16985</v>
      </c>
      <c r="G12" s="117">
        <v>12225.378333333339</v>
      </c>
      <c r="H12" s="117">
        <v>20272.445541450001</v>
      </c>
      <c r="I12" s="152">
        <f>G12+H12</f>
        <v>32497.823874783338</v>
      </c>
      <c r="J12" s="119">
        <v>17010</v>
      </c>
      <c r="K12" s="117">
        <v>14808.87783333333</v>
      </c>
      <c r="L12" s="117">
        <v>20290.94735101</v>
      </c>
      <c r="M12" s="162">
        <f>K12+L12</f>
        <v>35099.825184343332</v>
      </c>
      <c r="N12" s="88">
        <v>56</v>
      </c>
      <c r="O12" s="88">
        <v>52</v>
      </c>
      <c r="P12" s="88">
        <v>51</v>
      </c>
    </row>
    <row r="13" spans="2:27" x14ac:dyDescent="0.3">
      <c r="B13" s="16" t="s">
        <v>38</v>
      </c>
      <c r="C13" s="17">
        <v>11757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2:27" x14ac:dyDescent="0.3">
      <c r="B14" s="16" t="s">
        <v>40</v>
      </c>
      <c r="C14" s="17">
        <v>1461</v>
      </c>
      <c r="E14" s="161" t="s">
        <v>39</v>
      </c>
      <c r="F14" s="119">
        <v>35066</v>
      </c>
      <c r="G14" s="117">
        <v>22537.497500000001</v>
      </c>
      <c r="H14" s="117">
        <v>38710.048325039977</v>
      </c>
      <c r="I14" s="152">
        <f>G14+H14</f>
        <v>61247.545825039982</v>
      </c>
      <c r="J14" s="119">
        <v>35725</v>
      </c>
      <c r="K14" s="117">
        <v>25332.928</v>
      </c>
      <c r="L14" s="117">
        <v>39938.908702899978</v>
      </c>
      <c r="M14" s="162">
        <f>K14+L14</f>
        <v>65271.836702899978</v>
      </c>
      <c r="N14" s="88">
        <v>80</v>
      </c>
      <c r="O14" s="88">
        <v>74</v>
      </c>
      <c r="P14" s="88">
        <v>65</v>
      </c>
    </row>
    <row r="15" spans="2:27" x14ac:dyDescent="0.3">
      <c r="B15" s="28" t="s">
        <v>42</v>
      </c>
      <c r="C15" s="17">
        <f>31952+8180</f>
        <v>40132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3">
      <c r="B16" s="43" t="s">
        <v>47</v>
      </c>
      <c r="C16" s="17">
        <v>1038</v>
      </c>
      <c r="E16" s="161" t="s">
        <v>79</v>
      </c>
      <c r="F16" s="119">
        <v>0</v>
      </c>
      <c r="G16" s="117">
        <v>0</v>
      </c>
      <c r="H16" s="117">
        <v>5942.4101683999997</v>
      </c>
      <c r="I16" s="152">
        <f>G16+H16</f>
        <v>5942.4101683999997</v>
      </c>
      <c r="J16" s="119">
        <v>0</v>
      </c>
      <c r="K16" s="117">
        <v>0</v>
      </c>
      <c r="L16" s="117">
        <v>5932.3113849599986</v>
      </c>
      <c r="M16" s="162">
        <f>K16+L16</f>
        <v>5932.3113849599986</v>
      </c>
      <c r="N16" s="88">
        <v>8</v>
      </c>
      <c r="O16" s="88">
        <v>8</v>
      </c>
      <c r="P16" s="88">
        <v>7</v>
      </c>
    </row>
    <row r="17" spans="2:28" s="4" customFormat="1" ht="15" customHeight="1" thickBot="1" x14ac:dyDescent="0.35">
      <c r="B17" s="43" t="s">
        <v>48</v>
      </c>
      <c r="C17" s="50">
        <v>189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10378</v>
      </c>
      <c r="E18" s="84"/>
      <c r="F18" s="148">
        <f t="shared" ref="F18:M18" si="0">SUM(F6:F17)</f>
        <v>99828</v>
      </c>
      <c r="G18" s="149">
        <f t="shared" si="0"/>
        <v>61699.776433333347</v>
      </c>
      <c r="H18" s="149">
        <f t="shared" si="0"/>
        <v>75998.163690529982</v>
      </c>
      <c r="I18" s="150">
        <f t="shared" si="0"/>
        <v>137697.94012386331</v>
      </c>
      <c r="J18" s="149">
        <f t="shared" si="0"/>
        <v>101255</v>
      </c>
      <c r="K18" s="149">
        <f t="shared" si="0"/>
        <v>69342.786933333322</v>
      </c>
      <c r="L18" s="149">
        <f t="shared" si="0"/>
        <v>77111.47688890998</v>
      </c>
      <c r="M18" s="157">
        <f t="shared" si="0"/>
        <v>146454.26382224332</v>
      </c>
      <c r="N18" s="149">
        <f>SUM(N16,N14,N12,N10,N8,N6)</f>
        <v>295</v>
      </c>
      <c r="O18" s="149">
        <f>SUM(O16,O14,O12,O10,O8,O6)</f>
        <v>277</v>
      </c>
      <c r="P18" s="158">
        <f>SUM(P16,P14,P12,P10,P8,P6)</f>
        <v>259</v>
      </c>
    </row>
    <row r="19" spans="2:28" ht="15" customHeight="1" thickBot="1" x14ac:dyDescent="0.35">
      <c r="B19" s="16" t="s">
        <v>51</v>
      </c>
      <c r="C19" s="17">
        <v>1918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35">
      <c r="B20" s="57" t="s">
        <v>52</v>
      </c>
      <c r="C20" s="58">
        <v>4809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6.4981949458483748E-2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12064</v>
      </c>
      <c r="D25" s="76">
        <f>C13</f>
        <v>11757</v>
      </c>
      <c r="E25" s="77">
        <f t="shared" ref="E25:E32" si="1">D25-C25</f>
        <v>-307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39398</v>
      </c>
      <c r="D28" s="76">
        <f>C9+C14+C15+C16+C17</f>
        <v>45429</v>
      </c>
      <c r="E28" s="77">
        <f t="shared" si="1"/>
        <v>6031</v>
      </c>
      <c r="F28" s="1" t="s">
        <v>75</v>
      </c>
      <c r="P28" s="4"/>
    </row>
    <row r="29" spans="2:28" x14ac:dyDescent="0.3">
      <c r="B29" s="74" t="s">
        <v>21</v>
      </c>
      <c r="C29" s="122">
        <v>135</v>
      </c>
      <c r="D29" s="76">
        <f>C6</f>
        <v>135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5161</v>
      </c>
      <c r="D30" s="76">
        <f>C12</f>
        <v>5161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16154</v>
      </c>
      <c r="D31" s="76">
        <f>C18+C19+C20</f>
        <v>17105</v>
      </c>
      <c r="E31" s="77">
        <f t="shared" si="1"/>
        <v>951</v>
      </c>
      <c r="K31" s="53"/>
      <c r="P31" s="4"/>
    </row>
    <row r="32" spans="2:28" ht="15" customHeight="1" thickBot="1" x14ac:dyDescent="0.35">
      <c r="B32" s="78" t="s">
        <v>60</v>
      </c>
      <c r="C32" s="121">
        <v>1510</v>
      </c>
      <c r="D32" s="80">
        <f>C10+C11</f>
        <v>1510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44701</v>
      </c>
    </row>
    <row r="3" spans="2:27" ht="18.75" customHeight="1" thickBot="1" x14ac:dyDescent="0.35">
      <c r="B3" t="s">
        <v>1</v>
      </c>
      <c r="C3" s="3">
        <f>C2+1</f>
        <v>44702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118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22795</v>
      </c>
      <c r="G6" s="117">
        <v>13491.530250000011</v>
      </c>
      <c r="H6" s="117">
        <v>4301.277627540001</v>
      </c>
      <c r="I6" s="152">
        <f>G6+H6</f>
        <v>17792.807877540014</v>
      </c>
      <c r="J6" s="119">
        <v>23217</v>
      </c>
      <c r="K6" s="117">
        <v>13889.9895</v>
      </c>
      <c r="L6" s="117">
        <v>4389.8234302400006</v>
      </c>
      <c r="M6" s="162">
        <f>K6+L6</f>
        <v>18279.812930240001</v>
      </c>
      <c r="N6" s="87">
        <v>79</v>
      </c>
      <c r="O6" s="87">
        <v>76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4057.2226860199999</v>
      </c>
      <c r="I8" s="152">
        <f>G8+H8</f>
        <v>4057.2226860199999</v>
      </c>
      <c r="J8" s="119">
        <v>0</v>
      </c>
      <c r="K8" s="117">
        <v>0</v>
      </c>
      <c r="L8" s="117">
        <v>4198.51913754</v>
      </c>
      <c r="M8" s="162">
        <f>K8+L8</f>
        <v>4198.51913754</v>
      </c>
      <c r="N8" s="87">
        <v>9</v>
      </c>
      <c r="O8" s="87">
        <v>8</v>
      </c>
      <c r="P8" s="87">
        <v>7</v>
      </c>
    </row>
    <row r="9" spans="2:27" x14ac:dyDescent="0.3">
      <c r="B9" s="16" t="s">
        <v>23</v>
      </c>
      <c r="C9" s="17">
        <v>2372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18092</v>
      </c>
      <c r="G10" s="117">
        <v>14027.020500000001</v>
      </c>
      <c r="H10" s="117">
        <v>780.23711850000007</v>
      </c>
      <c r="I10" s="152">
        <f>G10+H10</f>
        <v>14807.2576185</v>
      </c>
      <c r="J10" s="119">
        <v>18224</v>
      </c>
      <c r="K10" s="117">
        <v>14297.636</v>
      </c>
      <c r="L10" s="117">
        <v>765.93996848000006</v>
      </c>
      <c r="M10" s="162">
        <f>K10+L10</f>
        <v>15063.57596848</v>
      </c>
      <c r="N10" s="88">
        <v>59</v>
      </c>
      <c r="O10" s="88">
        <v>59</v>
      </c>
      <c r="P10" s="88">
        <v>59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4035</v>
      </c>
      <c r="E12" s="161" t="s">
        <v>35</v>
      </c>
      <c r="F12" s="119">
        <v>15156</v>
      </c>
      <c r="G12" s="117">
        <v>12967.150750000001</v>
      </c>
      <c r="H12" s="117">
        <v>18616.452952459989</v>
      </c>
      <c r="I12" s="152">
        <f>G12+H12</f>
        <v>31583.60370245999</v>
      </c>
      <c r="J12" s="119">
        <v>15295</v>
      </c>
      <c r="K12" s="117">
        <v>15272.3685</v>
      </c>
      <c r="L12" s="117">
        <v>18716.769663310009</v>
      </c>
      <c r="M12" s="162">
        <f>K12+L12</f>
        <v>33989.13816331001</v>
      </c>
      <c r="N12" s="88">
        <v>64</v>
      </c>
      <c r="O12" s="88">
        <v>59</v>
      </c>
      <c r="P12" s="88">
        <v>50</v>
      </c>
    </row>
    <row r="13" spans="2:27" x14ac:dyDescent="0.3">
      <c r="B13" s="16" t="s">
        <v>38</v>
      </c>
      <c r="C13" s="17">
        <v>10568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2258</v>
      </c>
      <c r="E14" s="161" t="s">
        <v>39</v>
      </c>
      <c r="F14" s="119">
        <v>28335</v>
      </c>
      <c r="G14" s="117">
        <v>22089.75475</v>
      </c>
      <c r="H14" s="117">
        <v>33527.903899200021</v>
      </c>
      <c r="I14" s="152">
        <f>G14+H14</f>
        <v>55617.658649200021</v>
      </c>
      <c r="J14" s="119">
        <v>28301</v>
      </c>
      <c r="K14" s="117">
        <v>25344.727500000001</v>
      </c>
      <c r="L14" s="117">
        <v>33600.898264440031</v>
      </c>
      <c r="M14" s="162">
        <f>K14+L14</f>
        <v>58945.625764440032</v>
      </c>
      <c r="N14" s="88">
        <v>88</v>
      </c>
      <c r="O14" s="88">
        <v>82</v>
      </c>
      <c r="P14" s="88">
        <v>65</v>
      </c>
    </row>
    <row r="15" spans="2:27" x14ac:dyDescent="0.3">
      <c r="B15" s="28" t="s">
        <v>42</v>
      </c>
      <c r="C15" s="17">
        <f>34706+8951</f>
        <v>43657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2:27" x14ac:dyDescent="0.3">
      <c r="B16" s="43" t="s">
        <v>47</v>
      </c>
      <c r="C16" s="17">
        <v>2339</v>
      </c>
      <c r="E16" s="161" t="s">
        <v>79</v>
      </c>
      <c r="F16" s="119">
        <v>0</v>
      </c>
      <c r="G16" s="117">
        <v>0</v>
      </c>
      <c r="H16" s="117">
        <v>10218.0114218</v>
      </c>
      <c r="I16" s="152">
        <f>G16+H16</f>
        <v>10218.0114218</v>
      </c>
      <c r="J16" s="119">
        <v>0</v>
      </c>
      <c r="K16" s="117">
        <v>0</v>
      </c>
      <c r="L16" s="117">
        <v>10218.38366146</v>
      </c>
      <c r="M16" s="162">
        <f>K16+L16</f>
        <v>10218.38366146</v>
      </c>
      <c r="N16" s="88">
        <v>14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9789</v>
      </c>
      <c r="E18" s="84"/>
      <c r="F18" s="148">
        <f t="shared" ref="F18:M18" si="0">SUM(F6:F17)</f>
        <v>84378</v>
      </c>
      <c r="G18" s="149">
        <f t="shared" si="0"/>
        <v>62575.45625000001</v>
      </c>
      <c r="H18" s="149">
        <f t="shared" si="0"/>
        <v>71501.105705520007</v>
      </c>
      <c r="I18" s="150">
        <f t="shared" si="0"/>
        <v>134076.56195552004</v>
      </c>
      <c r="J18" s="149">
        <f t="shared" si="0"/>
        <v>85037</v>
      </c>
      <c r="K18" s="149">
        <f t="shared" si="0"/>
        <v>68804.721500000014</v>
      </c>
      <c r="L18" s="149">
        <f t="shared" si="0"/>
        <v>71890.33412547005</v>
      </c>
      <c r="M18" s="157">
        <f t="shared" si="0"/>
        <v>140695.05562547004</v>
      </c>
      <c r="N18" s="149">
        <f>SUM(N16,N14,N12,N10,N8,N6)</f>
        <v>313</v>
      </c>
      <c r="O18" s="149">
        <f>SUM(O16,O14,O12,O10,O8,O6)</f>
        <v>296</v>
      </c>
      <c r="P18" s="158">
        <f>SUM(P16,P14,P12,P10,P8,P6)</f>
        <v>261</v>
      </c>
    </row>
    <row r="19" spans="2:28" ht="15" customHeight="1" thickBot="1" x14ac:dyDescent="0.35">
      <c r="B19" s="16" t="s">
        <v>51</v>
      </c>
      <c r="C19" s="17">
        <v>627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5008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0.11824324324324324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10085</v>
      </c>
      <c r="D25" s="76">
        <f>C13</f>
        <v>10568</v>
      </c>
      <c r="E25" s="77">
        <f t="shared" ref="E25:E32" si="1">D25-C25</f>
        <v>483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43542</v>
      </c>
      <c r="D28" s="76">
        <f>C9+C14+C15+C16+C17</f>
        <v>51030</v>
      </c>
      <c r="E28" s="77">
        <f t="shared" si="1"/>
        <v>7488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4035</v>
      </c>
      <c r="D30" s="76">
        <f>C12</f>
        <v>4035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15331</v>
      </c>
      <c r="D31" s="76">
        <f>C18+C19+C20</f>
        <v>15424</v>
      </c>
      <c r="E31" s="77">
        <f t="shared" si="1"/>
        <v>93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>
    <tabColor theme="1"/>
    <pageSetUpPr fitToPage="1"/>
  </sheetPr>
  <dimension ref="B1:AB32"/>
  <sheetViews>
    <sheetView zoomScale="85" zoomScaleNormal="85" zoomScaleSheetLayoutView="70" workbookViewId="0">
      <selection activeCell="I29" sqref="I2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44702</v>
      </c>
    </row>
    <row r="3" spans="2:27" ht="18.75" customHeight="1" thickBot="1" x14ac:dyDescent="0.35">
      <c r="B3" t="s">
        <v>1</v>
      </c>
      <c r="C3" s="3">
        <f>C2+1</f>
        <v>44703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74</v>
      </c>
      <c r="E6" s="161" t="s">
        <v>22</v>
      </c>
      <c r="F6" s="119">
        <v>26466</v>
      </c>
      <c r="G6" s="117">
        <v>12272.76715</v>
      </c>
      <c r="H6" s="117">
        <v>5262.3942737800025</v>
      </c>
      <c r="I6" s="152">
        <f>G6+H6</f>
        <v>17535.161423780002</v>
      </c>
      <c r="J6" s="119">
        <v>27256</v>
      </c>
      <c r="K6" s="117">
        <v>14939.513650000001</v>
      </c>
      <c r="L6" s="117">
        <v>5119.2051659200006</v>
      </c>
      <c r="M6" s="162">
        <f>K6+L6</f>
        <v>20058.718815920001</v>
      </c>
      <c r="N6" s="87">
        <v>83</v>
      </c>
      <c r="O6" s="87">
        <v>82</v>
      </c>
      <c r="P6" s="87">
        <v>67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3689.9685934200002</v>
      </c>
      <c r="I8" s="152">
        <f>G8+H8</f>
        <v>3689.9685934200002</v>
      </c>
      <c r="J8" s="119">
        <v>0</v>
      </c>
      <c r="K8" s="117">
        <v>0</v>
      </c>
      <c r="L8" s="117">
        <v>3711.8264497599998</v>
      </c>
      <c r="M8" s="162">
        <f>K8+L8</f>
        <v>3711.8264497599998</v>
      </c>
      <c r="N8" s="87">
        <v>8</v>
      </c>
      <c r="O8" s="87">
        <v>8</v>
      </c>
      <c r="P8" s="87">
        <v>8</v>
      </c>
    </row>
    <row r="9" spans="2:27" x14ac:dyDescent="0.3">
      <c r="B9" s="16" t="s">
        <v>23</v>
      </c>
      <c r="C9" s="17">
        <v>1894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800</v>
      </c>
      <c r="E10" s="161" t="s">
        <v>31</v>
      </c>
      <c r="F10" s="119">
        <v>18529</v>
      </c>
      <c r="G10" s="117">
        <v>12517.56925</v>
      </c>
      <c r="H10" s="117">
        <v>1274.0007261999999</v>
      </c>
      <c r="I10" s="152">
        <f>G10+H10</f>
        <v>13791.5699762</v>
      </c>
      <c r="J10" s="119">
        <v>18725</v>
      </c>
      <c r="K10" s="117">
        <v>13602.908750000001</v>
      </c>
      <c r="L10" s="117">
        <v>1349.4047797999999</v>
      </c>
      <c r="M10" s="162">
        <f>K10+L10</f>
        <v>14952.3135298</v>
      </c>
      <c r="N10" s="88">
        <v>69</v>
      </c>
      <c r="O10" s="88">
        <v>69</v>
      </c>
      <c r="P10" s="88">
        <v>66</v>
      </c>
    </row>
    <row r="11" spans="2:27" x14ac:dyDescent="0.3">
      <c r="B11" s="28" t="s">
        <v>28</v>
      </c>
      <c r="C11" s="17">
        <v>430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2641</v>
      </c>
      <c r="E12" s="161" t="s">
        <v>35</v>
      </c>
      <c r="F12" s="119">
        <v>16725</v>
      </c>
      <c r="G12" s="117">
        <v>12896.20058333333</v>
      </c>
      <c r="H12" s="117">
        <v>19995.928253070011</v>
      </c>
      <c r="I12" s="152">
        <f>G12+H12</f>
        <v>32892.128836403339</v>
      </c>
      <c r="J12" s="119">
        <v>17023</v>
      </c>
      <c r="K12" s="117">
        <v>15182.97983333334</v>
      </c>
      <c r="L12" s="117">
        <v>20349.42967704</v>
      </c>
      <c r="M12" s="162">
        <f>K12+L12</f>
        <v>35532.409510373342</v>
      </c>
      <c r="N12" s="88">
        <v>64</v>
      </c>
      <c r="O12" s="88">
        <v>60</v>
      </c>
      <c r="P12" s="88">
        <v>55</v>
      </c>
    </row>
    <row r="13" spans="2:27" x14ac:dyDescent="0.3">
      <c r="B13" s="16" t="s">
        <v>38</v>
      </c>
      <c r="C13" s="17">
        <v>11331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3">
      <c r="B14" s="16" t="s">
        <v>40</v>
      </c>
      <c r="C14" s="17">
        <v>1254</v>
      </c>
      <c r="E14" s="161" t="s">
        <v>39</v>
      </c>
      <c r="F14" s="119">
        <v>29334</v>
      </c>
      <c r="G14" s="117">
        <v>22217.3665</v>
      </c>
      <c r="H14" s="117">
        <v>35650.287266179977</v>
      </c>
      <c r="I14" s="152">
        <f>G14+H14</f>
        <v>57867.653766179981</v>
      </c>
      <c r="J14" s="119">
        <v>30325</v>
      </c>
      <c r="K14" s="117">
        <v>27750.32</v>
      </c>
      <c r="L14" s="117">
        <v>36992.486185340043</v>
      </c>
      <c r="M14" s="162">
        <f>K14+L14</f>
        <v>64742.806185340043</v>
      </c>
      <c r="N14" s="88">
        <v>81</v>
      </c>
      <c r="O14" s="88">
        <v>78</v>
      </c>
      <c r="P14" s="88">
        <v>60</v>
      </c>
    </row>
    <row r="15" spans="2:27" x14ac:dyDescent="0.3">
      <c r="B15" s="28" t="s">
        <v>42</v>
      </c>
      <c r="C15" s="17">
        <f>36669+7224</f>
        <v>43893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2:27" x14ac:dyDescent="0.3">
      <c r="B16" s="43" t="s">
        <v>47</v>
      </c>
      <c r="C16" s="17">
        <v>1093</v>
      </c>
      <c r="E16" s="161" t="s">
        <v>79</v>
      </c>
      <c r="F16" s="119">
        <v>0</v>
      </c>
      <c r="G16" s="117">
        <v>0</v>
      </c>
      <c r="H16" s="117">
        <v>5669.5726325200003</v>
      </c>
      <c r="I16" s="152">
        <f>G16+H16</f>
        <v>5669.5726325200003</v>
      </c>
      <c r="J16" s="119">
        <v>0</v>
      </c>
      <c r="K16" s="117">
        <v>0</v>
      </c>
      <c r="L16" s="117">
        <v>5603.9390754599999</v>
      </c>
      <c r="M16" s="162">
        <f>K16+L16</f>
        <v>5603.9390754599999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171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11647</v>
      </c>
      <c r="E18" s="84"/>
      <c r="F18" s="148">
        <f t="shared" ref="F18:M18" si="0">SUM(F6:F17)</f>
        <v>91054</v>
      </c>
      <c r="G18" s="149">
        <f t="shared" si="0"/>
        <v>59903.903483333328</v>
      </c>
      <c r="H18" s="149">
        <f t="shared" si="0"/>
        <v>71542.151745169976</v>
      </c>
      <c r="I18" s="150">
        <f t="shared" si="0"/>
        <v>131446.05522850333</v>
      </c>
      <c r="J18" s="149">
        <f t="shared" si="0"/>
        <v>93329</v>
      </c>
      <c r="K18" s="149">
        <f t="shared" si="0"/>
        <v>71475.722233333334</v>
      </c>
      <c r="L18" s="149">
        <f t="shared" si="0"/>
        <v>73126.291333320041</v>
      </c>
      <c r="M18" s="157">
        <f t="shared" si="0"/>
        <v>144602.01356665339</v>
      </c>
      <c r="N18" s="149">
        <f>SUM(N16,N14,N12,N10,N8,N6)</f>
        <v>317</v>
      </c>
      <c r="O18" s="149">
        <f>SUM(O16,O14,O12,O10,O8,O6)</f>
        <v>309</v>
      </c>
      <c r="P18" s="158">
        <f>SUM(P16,P14,P12,P10,P8,P6)</f>
        <v>266</v>
      </c>
    </row>
    <row r="19" spans="2:28" ht="15" customHeight="1" thickBot="1" x14ac:dyDescent="0.35">
      <c r="B19" s="16" t="s">
        <v>51</v>
      </c>
      <c r="C19" s="17">
        <v>1611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35">
      <c r="B20" s="57" t="s">
        <v>52</v>
      </c>
      <c r="C20" s="58">
        <v>5131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0.13915857605177995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11684</v>
      </c>
      <c r="D25" s="76">
        <f>C13</f>
        <v>11331</v>
      </c>
      <c r="E25" s="77">
        <f t="shared" ref="E25:E32" si="1">D25-C25</f>
        <v>-353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42454</v>
      </c>
      <c r="D28" s="76">
        <f>C9+C14+C15+C16+C17</f>
        <v>48305</v>
      </c>
      <c r="E28" s="77">
        <f t="shared" si="1"/>
        <v>5851</v>
      </c>
      <c r="F28" s="1" t="s">
        <v>75</v>
      </c>
      <c r="P28" s="4"/>
    </row>
    <row r="29" spans="2:28" x14ac:dyDescent="0.3">
      <c r="B29" s="74" t="s">
        <v>21</v>
      </c>
      <c r="C29" s="122">
        <v>74</v>
      </c>
      <c r="D29" s="76">
        <f>C6</f>
        <v>74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2641</v>
      </c>
      <c r="D30" s="76">
        <f>C12</f>
        <v>2641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17275</v>
      </c>
      <c r="D31" s="76">
        <f>C18+C19+C20</f>
        <v>18389</v>
      </c>
      <c r="E31" s="77">
        <f t="shared" si="1"/>
        <v>1114</v>
      </c>
      <c r="K31" s="53"/>
      <c r="P31" s="4"/>
    </row>
    <row r="32" spans="2:28" ht="15" customHeight="1" thickBot="1" x14ac:dyDescent="0.35">
      <c r="B32" s="78" t="s">
        <v>60</v>
      </c>
      <c r="C32" s="121">
        <v>1230</v>
      </c>
      <c r="D32" s="80">
        <f>C10+C11</f>
        <v>1230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44703</v>
      </c>
    </row>
    <row r="3" spans="2:27" ht="18.75" customHeight="1" thickBot="1" x14ac:dyDescent="0.35">
      <c r="B3" t="s">
        <v>1</v>
      </c>
      <c r="C3" s="3">
        <f>C2+1</f>
        <v>44704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10760</v>
      </c>
      <c r="G6" s="117">
        <v>3627</v>
      </c>
      <c r="H6" s="117">
        <v>777</v>
      </c>
      <c r="I6" s="152">
        <f>G6+H6</f>
        <v>4404</v>
      </c>
      <c r="J6" s="119">
        <v>10647</v>
      </c>
      <c r="K6" s="117">
        <v>3606</v>
      </c>
      <c r="L6" s="117">
        <v>726</v>
      </c>
      <c r="M6" s="162">
        <f>K6+L6</f>
        <v>4332</v>
      </c>
      <c r="N6" s="87">
        <v>49</v>
      </c>
      <c r="O6" s="87">
        <v>49</v>
      </c>
      <c r="P6" s="87">
        <v>37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5825</v>
      </c>
      <c r="G10" s="117">
        <v>3018</v>
      </c>
      <c r="H10" s="117">
        <v>887</v>
      </c>
      <c r="I10" s="152">
        <f>G10+H10</f>
        <v>3905</v>
      </c>
      <c r="J10" s="119">
        <v>5916</v>
      </c>
      <c r="K10" s="117">
        <v>3044</v>
      </c>
      <c r="L10" s="117">
        <v>889</v>
      </c>
      <c r="M10" s="162">
        <f>K10+L10</f>
        <v>3933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10460</v>
      </c>
      <c r="E18" s="84"/>
      <c r="F18" s="148">
        <f t="shared" ref="F18:M18" si="0">SUM(F6:F17)</f>
        <v>16585</v>
      </c>
      <c r="G18" s="149">
        <f t="shared" si="0"/>
        <v>6645</v>
      </c>
      <c r="H18" s="149">
        <f t="shared" si="0"/>
        <v>1664</v>
      </c>
      <c r="I18" s="150">
        <f t="shared" si="0"/>
        <v>8309</v>
      </c>
      <c r="J18" s="149">
        <f t="shared" si="0"/>
        <v>16563</v>
      </c>
      <c r="K18" s="149">
        <f t="shared" si="0"/>
        <v>6650</v>
      </c>
      <c r="L18" s="149">
        <f t="shared" si="0"/>
        <v>1615</v>
      </c>
      <c r="M18" s="157">
        <f t="shared" si="0"/>
        <v>8265</v>
      </c>
      <c r="N18" s="149">
        <f>SUM(N16,N14,N12,N10,N8,N6)</f>
        <v>49</v>
      </c>
      <c r="O18" s="149">
        <f>SUM(O16,O14,O12,O10,O8,O6)</f>
        <v>49</v>
      </c>
      <c r="P18" s="158">
        <f>SUM(P16,P14,P12,P10,P8,P6)</f>
        <v>37</v>
      </c>
    </row>
    <row r="19" spans="2:28" ht="15" customHeight="1" thickBot="1" x14ac:dyDescent="0.35">
      <c r="B19" s="16" t="s">
        <v>51</v>
      </c>
      <c r="C19" s="17">
        <v>906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35">
      <c r="B20" s="57" t="s">
        <v>52</v>
      </c>
      <c r="C20" s="58">
        <v>5224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0.24489795918367346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16585</v>
      </c>
      <c r="D31" s="76">
        <f>C18+C19+C20</f>
        <v>16590</v>
      </c>
      <c r="E31" s="77">
        <f t="shared" si="1"/>
        <v>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44704</v>
      </c>
    </row>
    <row r="3" spans="2:27" ht="18.75" customHeight="1" thickBot="1" x14ac:dyDescent="0.35">
      <c r="B3" t="s">
        <v>1</v>
      </c>
      <c r="C3" s="3">
        <f>C2+1</f>
        <v>44705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78</v>
      </c>
      <c r="E6" s="161" t="s">
        <v>22</v>
      </c>
      <c r="F6" s="119">
        <v>25548</v>
      </c>
      <c r="G6" s="117">
        <v>12893.06246666667</v>
      </c>
      <c r="H6" s="117">
        <v>4368.7896511200024</v>
      </c>
      <c r="I6" s="152">
        <f>G6+H6</f>
        <v>17261.852117786671</v>
      </c>
      <c r="J6" s="119">
        <v>26368</v>
      </c>
      <c r="K6" s="117">
        <v>14006.849216666669</v>
      </c>
      <c r="L6" s="117">
        <v>4216.9056459000012</v>
      </c>
      <c r="M6" s="162">
        <f>K6+L6</f>
        <v>18223.754862566671</v>
      </c>
      <c r="N6" s="87">
        <v>82</v>
      </c>
      <c r="O6" s="87">
        <v>81</v>
      </c>
      <c r="P6" s="87">
        <v>68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3915.5486462400008</v>
      </c>
      <c r="I8" s="152">
        <f>G8+H8</f>
        <v>3915.5486462400008</v>
      </c>
      <c r="J8" s="119">
        <v>0</v>
      </c>
      <c r="K8" s="117">
        <v>0</v>
      </c>
      <c r="L8" s="117">
        <v>3913.1901322399999</v>
      </c>
      <c r="M8" s="162">
        <f>K8+L8</f>
        <v>3913.1901322399999</v>
      </c>
      <c r="N8" s="87">
        <v>9</v>
      </c>
      <c r="O8" s="87">
        <v>9</v>
      </c>
      <c r="P8" s="87">
        <v>7</v>
      </c>
    </row>
    <row r="9" spans="2:27" x14ac:dyDescent="0.3">
      <c r="B9" s="16" t="s">
        <v>23</v>
      </c>
      <c r="C9" s="17">
        <v>1921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415</v>
      </c>
      <c r="E10" s="161" t="s">
        <v>31</v>
      </c>
      <c r="F10" s="119">
        <v>19111</v>
      </c>
      <c r="G10" s="117">
        <v>13452.86</v>
      </c>
      <c r="H10" s="117">
        <v>951.47408650000011</v>
      </c>
      <c r="I10" s="152">
        <f>G10+H10</f>
        <v>14404.334086500001</v>
      </c>
      <c r="J10" s="119">
        <v>19519</v>
      </c>
      <c r="K10" s="117">
        <v>14007.111000000001</v>
      </c>
      <c r="L10" s="117">
        <v>1036.0380758199999</v>
      </c>
      <c r="M10" s="162">
        <f>K10+L10</f>
        <v>15043.149075820002</v>
      </c>
      <c r="N10" s="88">
        <v>58</v>
      </c>
      <c r="O10" s="88">
        <v>59</v>
      </c>
      <c r="P10" s="88">
        <v>57</v>
      </c>
    </row>
    <row r="11" spans="2:27" x14ac:dyDescent="0.3">
      <c r="B11" s="28" t="s">
        <v>28</v>
      </c>
      <c r="C11" s="17">
        <v>225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30</v>
      </c>
      <c r="C12" s="17">
        <v>4024</v>
      </c>
      <c r="E12" s="161" t="s">
        <v>35</v>
      </c>
      <c r="F12" s="119">
        <v>13836</v>
      </c>
      <c r="G12" s="117">
        <v>11404.57816666667</v>
      </c>
      <c r="H12" s="117">
        <v>17458.493071140001</v>
      </c>
      <c r="I12" s="152">
        <f>G12+H12</f>
        <v>28863.071237806671</v>
      </c>
      <c r="J12" s="119">
        <v>14401</v>
      </c>
      <c r="K12" s="117">
        <v>13382.216166666671</v>
      </c>
      <c r="L12" s="117">
        <v>17972.91363341</v>
      </c>
      <c r="M12" s="162">
        <f>K12+L12</f>
        <v>31355.129800076669</v>
      </c>
      <c r="N12" s="88">
        <v>58</v>
      </c>
      <c r="O12" s="88">
        <v>55</v>
      </c>
      <c r="P12" s="88">
        <v>47</v>
      </c>
    </row>
    <row r="13" spans="2:27" x14ac:dyDescent="0.3">
      <c r="B13" s="16" t="s">
        <v>38</v>
      </c>
      <c r="C13" s="17">
        <v>10141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3">
      <c r="B14" s="16" t="s">
        <v>40</v>
      </c>
      <c r="C14" s="17">
        <v>2258</v>
      </c>
      <c r="E14" s="161" t="s">
        <v>39</v>
      </c>
      <c r="F14" s="119">
        <v>27979</v>
      </c>
      <c r="G14" s="117">
        <v>21875.74625</v>
      </c>
      <c r="H14" s="117">
        <v>34964.099533519991</v>
      </c>
      <c r="I14" s="152">
        <f>G14+H14</f>
        <v>56839.845783519995</v>
      </c>
      <c r="J14" s="119">
        <v>27960</v>
      </c>
      <c r="K14" s="117">
        <v>23830.517250000001</v>
      </c>
      <c r="L14" s="117">
        <v>35329.843973499977</v>
      </c>
      <c r="M14" s="162">
        <f>K14+L14</f>
        <v>59160.361223499975</v>
      </c>
      <c r="N14" s="88">
        <v>82</v>
      </c>
      <c r="O14" s="88">
        <v>77</v>
      </c>
      <c r="P14" s="88">
        <v>66</v>
      </c>
    </row>
    <row r="15" spans="2:27" x14ac:dyDescent="0.3">
      <c r="B15" s="28" t="s">
        <v>42</v>
      </c>
      <c r="C15" s="17">
        <v>31944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1668</v>
      </c>
      <c r="E16" s="161" t="s">
        <v>79</v>
      </c>
      <c r="F16" s="119">
        <v>0</v>
      </c>
      <c r="G16" s="117">
        <v>0</v>
      </c>
      <c r="H16" s="117">
        <v>9259.2159823599995</v>
      </c>
      <c r="I16" s="152">
        <f>G16+H16</f>
        <v>9259.2159823599995</v>
      </c>
      <c r="J16" s="119">
        <v>0</v>
      </c>
      <c r="K16" s="117">
        <v>0</v>
      </c>
      <c r="L16" s="117">
        <v>9306.2945960399993</v>
      </c>
      <c r="M16" s="162">
        <f>K16+L16</f>
        <v>9306.2945960399993</v>
      </c>
      <c r="N16" s="88">
        <v>11</v>
      </c>
      <c r="O16" s="88">
        <v>11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11735</v>
      </c>
      <c r="E18" s="84"/>
      <c r="F18" s="148">
        <f t="shared" ref="F18:M18" si="0">SUM(F6:F17)</f>
        <v>86474</v>
      </c>
      <c r="G18" s="149">
        <f t="shared" si="0"/>
        <v>59626.246883333341</v>
      </c>
      <c r="H18" s="149">
        <f t="shared" si="0"/>
        <v>70917.620970879987</v>
      </c>
      <c r="I18" s="150">
        <f t="shared" si="0"/>
        <v>130543.86785421333</v>
      </c>
      <c r="J18" s="149">
        <f t="shared" si="0"/>
        <v>88248</v>
      </c>
      <c r="K18" s="149">
        <f t="shared" si="0"/>
        <v>65226.693633333343</v>
      </c>
      <c r="L18" s="149">
        <f t="shared" si="0"/>
        <v>71775.186056909981</v>
      </c>
      <c r="M18" s="157">
        <f t="shared" si="0"/>
        <v>137001.87969024331</v>
      </c>
      <c r="N18" s="149">
        <f>SUM(N16,N14,N12,N10,N8,N6)</f>
        <v>300</v>
      </c>
      <c r="O18" s="149">
        <f>SUM(O16,O14,O12,O10,O8,O6)</f>
        <v>292</v>
      </c>
      <c r="P18" s="158">
        <f>SUM(P16,P14,P12,P10,P8,P6)</f>
        <v>253</v>
      </c>
    </row>
    <row r="19" spans="2:28" ht="15" customHeight="1" thickBot="1" x14ac:dyDescent="0.35">
      <c r="B19" s="16" t="s">
        <v>51</v>
      </c>
      <c r="C19" s="17">
        <v>1432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35">
      <c r="B20" s="57" t="s">
        <v>52</v>
      </c>
      <c r="C20" s="58">
        <v>5161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0.13356164383561644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10373</v>
      </c>
      <c r="D25" s="76">
        <f>C13</f>
        <v>10141</v>
      </c>
      <c r="E25" s="77">
        <f t="shared" ref="E25:E32" si="1">D25-C25</f>
        <v>-232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37803</v>
      </c>
      <c r="D28" s="76">
        <f>C9+C14+C15+C16+C17</f>
        <v>38195</v>
      </c>
      <c r="E28" s="77">
        <f t="shared" si="1"/>
        <v>392</v>
      </c>
      <c r="F28" s="1" t="s">
        <v>75</v>
      </c>
      <c r="P28" s="4"/>
    </row>
    <row r="29" spans="2:28" x14ac:dyDescent="0.3">
      <c r="B29" s="74" t="s">
        <v>21</v>
      </c>
      <c r="C29" s="122">
        <v>78</v>
      </c>
      <c r="D29" s="76">
        <f>C6</f>
        <v>78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4024</v>
      </c>
      <c r="D30" s="76">
        <f>C12</f>
        <v>4024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16815</v>
      </c>
      <c r="D31" s="76">
        <f>C18+C19+C20</f>
        <v>18328</v>
      </c>
      <c r="E31" s="77">
        <f t="shared" si="1"/>
        <v>1513</v>
      </c>
      <c r="K31" s="53"/>
      <c r="P31" s="4"/>
    </row>
    <row r="32" spans="2:28" ht="15" customHeight="1" thickBot="1" x14ac:dyDescent="0.35">
      <c r="B32" s="78" t="s">
        <v>60</v>
      </c>
      <c r="C32" s="121">
        <v>640</v>
      </c>
      <c r="D32" s="80">
        <f>C10+C11</f>
        <v>640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44705</v>
      </c>
    </row>
    <row r="3" spans="2:27" ht="18.75" customHeight="1" thickBot="1" x14ac:dyDescent="0.35">
      <c r="B3" t="s">
        <v>1</v>
      </c>
      <c r="C3" s="3">
        <f>C2+1</f>
        <v>44706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137</v>
      </c>
      <c r="E6" s="161" t="s">
        <v>22</v>
      </c>
      <c r="F6" s="119">
        <v>27167</v>
      </c>
      <c r="G6" s="117">
        <v>12970.18816666667</v>
      </c>
      <c r="H6" s="117">
        <v>5199.4672505199978</v>
      </c>
      <c r="I6" s="152">
        <f>G6+H6</f>
        <v>18169.655417186666</v>
      </c>
      <c r="J6" s="119">
        <v>27514</v>
      </c>
      <c r="K6" s="117">
        <v>14447.41016666667</v>
      </c>
      <c r="L6" s="117">
        <v>5244.6896580999964</v>
      </c>
      <c r="M6" s="162">
        <f>K6+L6</f>
        <v>19692.099824766665</v>
      </c>
      <c r="N6" s="87">
        <v>86</v>
      </c>
      <c r="O6" s="87">
        <v>83</v>
      </c>
      <c r="P6" s="87">
        <v>77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3499.51445182</v>
      </c>
      <c r="I8" s="152">
        <f>G8+H8</f>
        <v>3499.51445182</v>
      </c>
      <c r="J8" s="119">
        <v>0</v>
      </c>
      <c r="K8" s="117">
        <v>0</v>
      </c>
      <c r="L8" s="117">
        <v>3549.7893335399999</v>
      </c>
      <c r="M8" s="162">
        <f>K8+L8</f>
        <v>3549.7893335399999</v>
      </c>
      <c r="N8" s="87">
        <v>6</v>
      </c>
      <c r="O8" s="87">
        <v>6</v>
      </c>
      <c r="P8" s="87">
        <v>6</v>
      </c>
    </row>
    <row r="9" spans="2:27" x14ac:dyDescent="0.3">
      <c r="B9" s="16" t="s">
        <v>23</v>
      </c>
      <c r="C9" s="17">
        <v>2938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700</v>
      </c>
      <c r="E10" s="161" t="s">
        <v>31</v>
      </c>
      <c r="F10" s="119">
        <v>19852</v>
      </c>
      <c r="G10" s="117">
        <v>13086.531499999999</v>
      </c>
      <c r="H10" s="117">
        <v>1375.13337634</v>
      </c>
      <c r="I10" s="152">
        <f>G10+H10</f>
        <v>14461.664876339999</v>
      </c>
      <c r="J10" s="119">
        <v>19970</v>
      </c>
      <c r="K10" s="117">
        <v>13714.179</v>
      </c>
      <c r="L10" s="117">
        <v>1353.8930662</v>
      </c>
      <c r="M10" s="162">
        <f>K10+L10</f>
        <v>15068.0720662</v>
      </c>
      <c r="N10" s="88">
        <v>61</v>
      </c>
      <c r="O10" s="88">
        <v>59</v>
      </c>
      <c r="P10" s="88">
        <v>58</v>
      </c>
    </row>
    <row r="11" spans="2:27" x14ac:dyDescent="0.3">
      <c r="B11" s="28" t="s">
        <v>28</v>
      </c>
      <c r="C11" s="17">
        <v>470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30</v>
      </c>
      <c r="C12" s="17">
        <v>2260</v>
      </c>
      <c r="E12" s="161" t="s">
        <v>35</v>
      </c>
      <c r="F12" s="119">
        <v>15442</v>
      </c>
      <c r="G12" s="117">
        <v>11202.93933333333</v>
      </c>
      <c r="H12" s="117">
        <v>18343.212873889999</v>
      </c>
      <c r="I12" s="152">
        <f>G12+H12</f>
        <v>29546.152207223327</v>
      </c>
      <c r="J12" s="119">
        <v>15648</v>
      </c>
      <c r="K12" s="117">
        <v>13481.29783333333</v>
      </c>
      <c r="L12" s="117">
        <v>18610.892696700001</v>
      </c>
      <c r="M12" s="162">
        <f>K12+L12</f>
        <v>32092.190530033331</v>
      </c>
      <c r="N12" s="88">
        <v>54</v>
      </c>
      <c r="O12" s="88">
        <v>50</v>
      </c>
      <c r="P12" s="88">
        <v>43</v>
      </c>
    </row>
    <row r="13" spans="2:27" x14ac:dyDescent="0.3">
      <c r="B13" s="16" t="s">
        <v>38</v>
      </c>
      <c r="C13" s="17">
        <v>11185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16" t="s">
        <v>40</v>
      </c>
      <c r="C14" s="17">
        <v>1422</v>
      </c>
      <c r="E14" s="161" t="s">
        <v>39</v>
      </c>
      <c r="F14" s="119">
        <v>26025</v>
      </c>
      <c r="G14" s="117">
        <v>19707.052500000002</v>
      </c>
      <c r="H14" s="117">
        <v>32103.301065959971</v>
      </c>
      <c r="I14" s="152">
        <f>G14+H14</f>
        <v>51810.353565959973</v>
      </c>
      <c r="J14" s="119">
        <v>26364</v>
      </c>
      <c r="K14" s="117">
        <v>23402.966</v>
      </c>
      <c r="L14" s="117">
        <v>32677.389750179991</v>
      </c>
      <c r="M14" s="162">
        <f>K14+L14</f>
        <v>56080.355750179995</v>
      </c>
      <c r="N14" s="88">
        <v>81</v>
      </c>
      <c r="O14" s="88">
        <v>77</v>
      </c>
      <c r="P14" s="88">
        <v>66</v>
      </c>
    </row>
    <row r="15" spans="2:27" x14ac:dyDescent="0.3">
      <c r="B15" s="28" t="s">
        <v>42</v>
      </c>
      <c r="C15" s="17">
        <v>32071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3">
      <c r="B16" s="43" t="s">
        <v>47</v>
      </c>
      <c r="C16" s="17">
        <v>1037</v>
      </c>
      <c r="E16" s="161" t="s">
        <v>79</v>
      </c>
      <c r="F16" s="119">
        <v>0</v>
      </c>
      <c r="G16" s="117">
        <v>0</v>
      </c>
      <c r="H16" s="117">
        <v>5460.365447019999</v>
      </c>
      <c r="I16" s="152">
        <f>G16+H16</f>
        <v>5460.365447019999</v>
      </c>
      <c r="J16" s="119">
        <v>0</v>
      </c>
      <c r="K16" s="117">
        <v>0</v>
      </c>
      <c r="L16" s="117">
        <v>5390.3035870599988</v>
      </c>
      <c r="M16" s="162">
        <f>K16+L16</f>
        <v>5390.3035870599988</v>
      </c>
      <c r="N16" s="88">
        <v>12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185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11040</v>
      </c>
      <c r="E18" s="84"/>
      <c r="F18" s="148">
        <f t="shared" ref="F18:M18" si="0">SUM(F6:F17)</f>
        <v>88486</v>
      </c>
      <c r="G18" s="149">
        <f t="shared" si="0"/>
        <v>56966.711500000005</v>
      </c>
      <c r="H18" s="149">
        <f t="shared" si="0"/>
        <v>65980.994465549971</v>
      </c>
      <c r="I18" s="150">
        <f t="shared" si="0"/>
        <v>122947.70596554996</v>
      </c>
      <c r="J18" s="149">
        <f t="shared" si="0"/>
        <v>89496</v>
      </c>
      <c r="K18" s="149">
        <f t="shared" si="0"/>
        <v>65045.853000000003</v>
      </c>
      <c r="L18" s="149">
        <f t="shared" si="0"/>
        <v>66826.95809177999</v>
      </c>
      <c r="M18" s="157">
        <f t="shared" si="0"/>
        <v>131872.81109177999</v>
      </c>
      <c r="N18" s="149">
        <f>SUM(N16,N14,N12,N10,N8,N6)</f>
        <v>300</v>
      </c>
      <c r="O18" s="149">
        <f>SUM(O16,O14,O12,O10,O8,O6)</f>
        <v>285</v>
      </c>
      <c r="P18" s="158">
        <f>SUM(P16,P14,P12,P10,P8,P6)</f>
        <v>260</v>
      </c>
    </row>
    <row r="19" spans="2:28" ht="15" customHeight="1" thickBot="1" x14ac:dyDescent="0.35">
      <c r="B19" s="16" t="s">
        <v>51</v>
      </c>
      <c r="C19" s="17">
        <v>980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ht="15" customHeight="1" thickBot="1" x14ac:dyDescent="0.35">
      <c r="B20" s="57" t="s">
        <v>52</v>
      </c>
      <c r="C20" s="58">
        <v>55884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8.771929824561403E-2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11150</v>
      </c>
      <c r="D25" s="76">
        <f>C13</f>
        <v>11185</v>
      </c>
      <c r="E25" s="77">
        <f t="shared" ref="E25:E32" si="1">D25-C25</f>
        <v>35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39262</v>
      </c>
      <c r="D28" s="76">
        <f>C9+C14+C15+C16+C17</f>
        <v>37653</v>
      </c>
      <c r="E28" s="77">
        <f t="shared" si="1"/>
        <v>-1609</v>
      </c>
      <c r="F28" s="1" t="s">
        <v>75</v>
      </c>
      <c r="P28" s="4"/>
    </row>
    <row r="29" spans="2:28" x14ac:dyDescent="0.3">
      <c r="B29" s="74" t="s">
        <v>21</v>
      </c>
      <c r="C29" s="122">
        <v>137</v>
      </c>
      <c r="D29" s="76">
        <f>C6</f>
        <v>137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2260</v>
      </c>
      <c r="D30" s="76">
        <f>C12</f>
        <v>2260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17390</v>
      </c>
      <c r="D31" s="76">
        <f>C18+C19+C20</f>
        <v>67904</v>
      </c>
      <c r="E31" s="77">
        <f t="shared" si="1"/>
        <v>50514</v>
      </c>
      <c r="K31" s="53"/>
      <c r="P31" s="4"/>
    </row>
    <row r="32" spans="2:28" ht="15" customHeight="1" thickBot="1" x14ac:dyDescent="0.35">
      <c r="B32" s="78" t="s">
        <v>60</v>
      </c>
      <c r="C32" s="121">
        <v>1170</v>
      </c>
      <c r="D32" s="80">
        <f>C10+C11</f>
        <v>1170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44706</v>
      </c>
    </row>
    <row r="3" spans="2:27" ht="18.75" customHeight="1" thickBot="1" x14ac:dyDescent="0.35">
      <c r="B3" t="s">
        <v>1</v>
      </c>
      <c r="C3" s="3">
        <f>C2+1</f>
        <v>44707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119</v>
      </c>
    </row>
    <row r="6" spans="2:27" x14ac:dyDescent="0.3">
      <c r="B6" s="16" t="s">
        <v>21</v>
      </c>
      <c r="C6" s="17">
        <v>69</v>
      </c>
      <c r="E6" s="161" t="s">
        <v>22</v>
      </c>
      <c r="F6" s="119">
        <v>27107</v>
      </c>
      <c r="G6" s="117">
        <v>13569.794749999999</v>
      </c>
      <c r="H6" s="117">
        <v>4824.4651093400016</v>
      </c>
      <c r="I6" s="152">
        <f>G6+H6</f>
        <v>18394.25985934</v>
      </c>
      <c r="J6" s="119">
        <v>28102</v>
      </c>
      <c r="K6" s="117">
        <v>15632.4915</v>
      </c>
      <c r="L6" s="117">
        <v>5084.5061300400021</v>
      </c>
      <c r="M6" s="162">
        <f>K6+L6</f>
        <v>20716.997630040001</v>
      </c>
      <c r="N6" s="87">
        <v>75</v>
      </c>
      <c r="O6" s="87">
        <v>73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4565.4942763999989</v>
      </c>
      <c r="I8" s="152">
        <f>G8+H8</f>
        <v>4565.4942763999989</v>
      </c>
      <c r="J8" s="119">
        <v>0</v>
      </c>
      <c r="K8" s="117">
        <v>0</v>
      </c>
      <c r="L8" s="117">
        <v>4681.592401259999</v>
      </c>
      <c r="M8" s="162">
        <f>K8+L8</f>
        <v>4681.592401259999</v>
      </c>
      <c r="N8" s="87">
        <v>6</v>
      </c>
      <c r="O8" s="87">
        <v>6</v>
      </c>
      <c r="P8" s="87">
        <v>5</v>
      </c>
    </row>
    <row r="9" spans="2:27" x14ac:dyDescent="0.3">
      <c r="B9" s="16" t="s">
        <v>23</v>
      </c>
      <c r="C9" s="17">
        <v>1870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20009</v>
      </c>
      <c r="G10" s="117">
        <v>13522.268</v>
      </c>
      <c r="H10" s="117">
        <v>921.29341299999987</v>
      </c>
      <c r="I10" s="152">
        <f>G10+H10</f>
        <v>14443.561412999999</v>
      </c>
      <c r="J10" s="119">
        <v>20430</v>
      </c>
      <c r="K10" s="117">
        <v>14587.00399999999</v>
      </c>
      <c r="L10" s="117">
        <v>952.29943016000004</v>
      </c>
      <c r="M10" s="162">
        <f>K10+L10</f>
        <v>15539.303430159989</v>
      </c>
      <c r="N10" s="88">
        <v>61</v>
      </c>
      <c r="O10" s="88">
        <v>60</v>
      </c>
      <c r="P10" s="88">
        <v>53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3">
      <c r="B12" s="16" t="s">
        <v>30</v>
      </c>
      <c r="C12" s="17">
        <v>4385</v>
      </c>
      <c r="E12" s="161" t="s">
        <v>35</v>
      </c>
      <c r="F12" s="119">
        <v>14410</v>
      </c>
      <c r="G12" s="117">
        <v>12540.804249999999</v>
      </c>
      <c r="H12" s="117">
        <v>18341.004068940008</v>
      </c>
      <c r="I12" s="152">
        <f>G12+H12</f>
        <v>30881.808318940006</v>
      </c>
      <c r="J12" s="119">
        <v>14332</v>
      </c>
      <c r="K12" s="117">
        <v>14232.025</v>
      </c>
      <c r="L12" s="117">
        <v>17906.048691669999</v>
      </c>
      <c r="M12" s="162">
        <f>K12+L12</f>
        <v>32138.073691669997</v>
      </c>
      <c r="N12" s="88">
        <v>57</v>
      </c>
      <c r="O12" s="88">
        <v>55</v>
      </c>
      <c r="P12" s="88">
        <v>44</v>
      </c>
    </row>
    <row r="13" spans="2:27" x14ac:dyDescent="0.3">
      <c r="B13" s="16" t="s">
        <v>38</v>
      </c>
      <c r="C13" s="17">
        <v>12608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3">
      <c r="B14" s="16" t="s">
        <v>40</v>
      </c>
      <c r="C14" s="17">
        <v>2383</v>
      </c>
      <c r="E14" s="161" t="s">
        <v>39</v>
      </c>
      <c r="F14" s="119">
        <v>27919</v>
      </c>
      <c r="G14" s="117">
        <v>21153.615000000002</v>
      </c>
      <c r="H14" s="117">
        <v>33419.949640719991</v>
      </c>
      <c r="I14" s="152">
        <f>G14+H14</f>
        <v>54573.564640719997</v>
      </c>
      <c r="J14" s="119">
        <v>27831</v>
      </c>
      <c r="K14" s="117">
        <v>23082.0095</v>
      </c>
      <c r="L14" s="117">
        <v>33442.382261399987</v>
      </c>
      <c r="M14" s="162">
        <f>K14+L14</f>
        <v>56524.391761399987</v>
      </c>
      <c r="N14" s="88">
        <v>72</v>
      </c>
      <c r="O14" s="88">
        <v>68</v>
      </c>
      <c r="P14" s="88">
        <v>61</v>
      </c>
    </row>
    <row r="15" spans="2:27" x14ac:dyDescent="0.3">
      <c r="B15" s="28" t="s">
        <v>42</v>
      </c>
      <c r="C15" s="17">
        <v>32888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3">
      <c r="B16" s="43" t="s">
        <v>47</v>
      </c>
      <c r="C16" s="17">
        <v>1535</v>
      </c>
      <c r="E16" s="161" t="s">
        <v>79</v>
      </c>
      <c r="F16" s="119">
        <v>0</v>
      </c>
      <c r="G16" s="117">
        <v>0</v>
      </c>
      <c r="H16" s="117">
        <v>9430.2832751599999</v>
      </c>
      <c r="I16" s="152">
        <f>G16+H16</f>
        <v>9430.2832751599999</v>
      </c>
      <c r="J16" s="119">
        <v>0</v>
      </c>
      <c r="K16" s="117">
        <v>0</v>
      </c>
      <c r="L16" s="117">
        <v>9552.2871200400004</v>
      </c>
      <c r="M16" s="162">
        <f>K16+L16</f>
        <v>9552.2871200400004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366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11270</v>
      </c>
      <c r="E18" s="84"/>
      <c r="F18" s="148">
        <f t="shared" ref="F18:M18" si="0">SUM(F6:F17)</f>
        <v>89445</v>
      </c>
      <c r="G18" s="149">
        <f t="shared" si="0"/>
        <v>60786.482000000004</v>
      </c>
      <c r="H18" s="149">
        <f t="shared" si="0"/>
        <v>71502.489783559999</v>
      </c>
      <c r="I18" s="150">
        <f t="shared" si="0"/>
        <v>132288.97178356</v>
      </c>
      <c r="J18" s="149">
        <f t="shared" si="0"/>
        <v>90695</v>
      </c>
      <c r="K18" s="149">
        <f t="shared" si="0"/>
        <v>67533.53</v>
      </c>
      <c r="L18" s="149">
        <f t="shared" si="0"/>
        <v>71619.11603456999</v>
      </c>
      <c r="M18" s="157">
        <f t="shared" si="0"/>
        <v>139152.64603456997</v>
      </c>
      <c r="N18" s="149">
        <f>SUM(N16,N14,N12,N10,N8,N6)</f>
        <v>282</v>
      </c>
      <c r="O18" s="149">
        <f>SUM(O16,O14,O12,O10,O8,O6)</f>
        <v>273</v>
      </c>
      <c r="P18" s="158">
        <f>SUM(P16,P14,P12,P10,P8,P6)</f>
        <v>239</v>
      </c>
    </row>
    <row r="19" spans="2:28" ht="15" customHeight="1" thickBot="1" x14ac:dyDescent="0.35">
      <c r="B19" s="16" t="s">
        <v>51</v>
      </c>
      <c r="C19" s="17">
        <v>1661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</row>
    <row r="20" spans="2:28" ht="15" customHeight="1" thickBot="1" x14ac:dyDescent="0.35">
      <c r="B20" s="57" t="s">
        <v>52</v>
      </c>
      <c r="C20" s="58">
        <v>5414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0.12454212454212454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11781</v>
      </c>
      <c r="D25" s="76">
        <f>C13</f>
        <v>12608</v>
      </c>
      <c r="E25" s="77">
        <f t="shared" ref="E25:E32" si="1">D25-C25</f>
        <v>827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39295</v>
      </c>
      <c r="D28" s="76">
        <f>C9+C14+C15+C16+C17</f>
        <v>39042</v>
      </c>
      <c r="E28" s="77">
        <f t="shared" si="1"/>
        <v>-253</v>
      </c>
      <c r="F28" s="1" t="s">
        <v>75</v>
      </c>
      <c r="P28" s="4"/>
    </row>
    <row r="29" spans="2:28" x14ac:dyDescent="0.3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4385</v>
      </c>
      <c r="D30" s="76">
        <f>C12</f>
        <v>4385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17665</v>
      </c>
      <c r="D31" s="76">
        <f>C18+C19+C20</f>
        <v>18345</v>
      </c>
      <c r="E31" s="77">
        <f t="shared" si="1"/>
        <v>680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44707</v>
      </c>
    </row>
    <row r="3" spans="2:27" ht="18.75" customHeight="1" thickBot="1" x14ac:dyDescent="0.35">
      <c r="B3" t="s">
        <v>1</v>
      </c>
      <c r="C3" s="3">
        <f>C2+1</f>
        <v>44708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119</v>
      </c>
    </row>
    <row r="6" spans="2:27" x14ac:dyDescent="0.3">
      <c r="B6" s="16" t="s">
        <v>21</v>
      </c>
      <c r="C6" s="17">
        <v>118</v>
      </c>
      <c r="E6" s="161" t="s">
        <v>22</v>
      </c>
      <c r="F6" s="119">
        <v>28195</v>
      </c>
      <c r="G6" s="117">
        <v>14503.99548333334</v>
      </c>
      <c r="H6" s="117">
        <v>6432.4611403599993</v>
      </c>
      <c r="I6" s="152">
        <f>G6+H6</f>
        <v>20936.456623693339</v>
      </c>
      <c r="J6" s="119">
        <v>28590</v>
      </c>
      <c r="K6" s="117">
        <v>16620.189233333331</v>
      </c>
      <c r="L6" s="117">
        <v>6585.8092852999962</v>
      </c>
      <c r="M6" s="162">
        <f>K6+L6</f>
        <v>23205.998518633329</v>
      </c>
      <c r="N6" s="87">
        <v>78</v>
      </c>
      <c r="O6" s="87">
        <v>75</v>
      </c>
      <c r="P6" s="87">
        <v>66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4311.6412261400001</v>
      </c>
      <c r="I8" s="152">
        <f>G8+H8</f>
        <v>4311.6412261400001</v>
      </c>
      <c r="J8" s="119">
        <v>0</v>
      </c>
      <c r="K8" s="117">
        <v>0</v>
      </c>
      <c r="L8" s="117">
        <v>4423.8126272199997</v>
      </c>
      <c r="M8" s="162">
        <f>K8+L8</f>
        <v>4423.8126272199997</v>
      </c>
      <c r="N8" s="87">
        <v>8</v>
      </c>
      <c r="O8" s="87">
        <v>8</v>
      </c>
      <c r="P8" s="87">
        <v>7</v>
      </c>
    </row>
    <row r="9" spans="2:27" x14ac:dyDescent="0.3">
      <c r="B9" s="16" t="s">
        <v>23</v>
      </c>
      <c r="C9" s="17">
        <v>2453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850</v>
      </c>
      <c r="E10" s="161" t="s">
        <v>31</v>
      </c>
      <c r="F10" s="119">
        <v>21073</v>
      </c>
      <c r="G10" s="117">
        <v>14612.723749999999</v>
      </c>
      <c r="H10" s="117">
        <v>1297.65096404</v>
      </c>
      <c r="I10" s="152">
        <f>G10+H10</f>
        <v>15910.374714039999</v>
      </c>
      <c r="J10" s="119">
        <v>21276</v>
      </c>
      <c r="K10" s="117">
        <v>16023.411749999999</v>
      </c>
      <c r="L10" s="117">
        <v>1292.0158699399999</v>
      </c>
      <c r="M10" s="162">
        <f>K10+L10</f>
        <v>17315.427619939997</v>
      </c>
      <c r="N10" s="88">
        <v>66</v>
      </c>
      <c r="O10" s="88">
        <v>65</v>
      </c>
      <c r="P10" s="88">
        <v>62</v>
      </c>
    </row>
    <row r="11" spans="2:27" x14ac:dyDescent="0.3">
      <c r="B11" s="28" t="s">
        <v>28</v>
      </c>
      <c r="C11" s="17">
        <v>465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3">
      <c r="B12" s="16" t="s">
        <v>30</v>
      </c>
      <c r="C12" s="17">
        <v>3907</v>
      </c>
      <c r="E12" s="161" t="s">
        <v>35</v>
      </c>
      <c r="F12" s="119">
        <v>19827</v>
      </c>
      <c r="G12" s="117">
        <v>15643.53900000001</v>
      </c>
      <c r="H12" s="117">
        <v>24780.975094279998</v>
      </c>
      <c r="I12" s="152">
        <f>G12+H12</f>
        <v>40424.514094280006</v>
      </c>
      <c r="J12" s="119">
        <v>21105</v>
      </c>
      <c r="K12" s="117">
        <v>20349.128250000009</v>
      </c>
      <c r="L12" s="117">
        <v>25914.455623209989</v>
      </c>
      <c r="M12" s="162">
        <f>K12+L12</f>
        <v>46263.583873209995</v>
      </c>
      <c r="N12" s="88">
        <v>57</v>
      </c>
      <c r="O12" s="88">
        <v>55</v>
      </c>
      <c r="P12" s="88">
        <v>49</v>
      </c>
    </row>
    <row r="13" spans="2:27" x14ac:dyDescent="0.3">
      <c r="B13" s="16" t="s">
        <v>38</v>
      </c>
      <c r="C13" s="17">
        <v>13131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1546</v>
      </c>
      <c r="E14" s="161" t="s">
        <v>39</v>
      </c>
      <c r="F14" s="119">
        <v>31836</v>
      </c>
      <c r="G14" s="117">
        <v>20899.933249999998</v>
      </c>
      <c r="H14" s="117">
        <v>38285.69645866003</v>
      </c>
      <c r="I14" s="152">
        <f>G14+H14</f>
        <v>59185.629708660024</v>
      </c>
      <c r="J14" s="119">
        <v>35082</v>
      </c>
      <c r="K14" s="117">
        <v>30101.922500000001</v>
      </c>
      <c r="L14" s="117">
        <v>43191.75950611999</v>
      </c>
      <c r="M14" s="162">
        <f>K14+L14</f>
        <v>73293.682006119983</v>
      </c>
      <c r="N14" s="88">
        <v>85</v>
      </c>
      <c r="O14" s="88">
        <v>79</v>
      </c>
      <c r="P14" s="88">
        <v>73</v>
      </c>
    </row>
    <row r="15" spans="2:27" x14ac:dyDescent="0.3">
      <c r="B15" s="28" t="s">
        <v>42</v>
      </c>
      <c r="C15" s="17">
        <f>41511+8307</f>
        <v>49818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3">
      <c r="B16" s="43" t="s">
        <v>47</v>
      </c>
      <c r="C16" s="17">
        <v>1030</v>
      </c>
      <c r="E16" s="161" t="s">
        <v>79</v>
      </c>
      <c r="F16" s="119">
        <v>0</v>
      </c>
      <c r="G16" s="117">
        <v>0</v>
      </c>
      <c r="H16" s="117">
        <v>6777.5419747600008</v>
      </c>
      <c r="I16" s="152">
        <f>G16+H16</f>
        <v>6777.5419747600008</v>
      </c>
      <c r="J16" s="119">
        <v>0</v>
      </c>
      <c r="K16" s="117">
        <v>0</v>
      </c>
      <c r="L16" s="117">
        <v>6913.9078181799996</v>
      </c>
      <c r="M16" s="162">
        <f>K16+L16</f>
        <v>6913.9078181799996</v>
      </c>
      <c r="N16" s="88">
        <v>14</v>
      </c>
      <c r="O16" s="88">
        <v>10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172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9536</v>
      </c>
      <c r="E18" s="84"/>
      <c r="F18" s="148">
        <f t="shared" ref="F18:M18" si="0">SUM(F6:F17)</f>
        <v>100931</v>
      </c>
      <c r="G18" s="149">
        <f t="shared" si="0"/>
        <v>65660.191483333343</v>
      </c>
      <c r="H18" s="149">
        <f t="shared" si="0"/>
        <v>81885.966858240034</v>
      </c>
      <c r="I18" s="150">
        <f t="shared" si="0"/>
        <v>147546.15834157338</v>
      </c>
      <c r="J18" s="149">
        <f t="shared" si="0"/>
        <v>106053</v>
      </c>
      <c r="K18" s="149">
        <f t="shared" si="0"/>
        <v>83094.651733333332</v>
      </c>
      <c r="L18" s="149">
        <f t="shared" si="0"/>
        <v>88321.760729969974</v>
      </c>
      <c r="M18" s="157">
        <f t="shared" si="0"/>
        <v>171416.41246330331</v>
      </c>
      <c r="N18" s="149">
        <f>SUM(N16,N14,N12,N10,N8,N6)</f>
        <v>308</v>
      </c>
      <c r="O18" s="149">
        <f>SUM(O16,O14,O12,O10,O8,O6)</f>
        <v>292</v>
      </c>
      <c r="P18" s="158">
        <f>SUM(P16,P14,P12,P10,P8,P6)</f>
        <v>269</v>
      </c>
    </row>
    <row r="19" spans="2:28" ht="15" customHeight="1" thickBot="1" x14ac:dyDescent="0.35">
      <c r="B19" s="16" t="s">
        <v>51</v>
      </c>
      <c r="C19" s="17">
        <v>2192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35">
      <c r="B20" s="57" t="s">
        <v>52</v>
      </c>
      <c r="C20" s="58">
        <v>4818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7.8767123287671229E-2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12513</v>
      </c>
      <c r="D25" s="76">
        <f>C13</f>
        <v>13131</v>
      </c>
      <c r="E25" s="77">
        <f t="shared" ref="E25:E32" si="1">D25-C25</f>
        <v>618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45269</v>
      </c>
      <c r="D28" s="76">
        <f>C9+C14+C15+C16+C17</f>
        <v>55019</v>
      </c>
      <c r="E28" s="77">
        <f t="shared" si="1"/>
        <v>9750</v>
      </c>
      <c r="F28" s="1" t="s">
        <v>75</v>
      </c>
      <c r="P28" s="4"/>
    </row>
    <row r="29" spans="2:28" x14ac:dyDescent="0.3">
      <c r="B29" s="74" t="s">
        <v>21</v>
      </c>
      <c r="C29" s="122">
        <v>118</v>
      </c>
      <c r="D29" s="76">
        <f>C6</f>
        <v>118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3907</v>
      </c>
      <c r="D30" s="76">
        <f>C12</f>
        <v>3907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16600</v>
      </c>
      <c r="D31" s="76">
        <f>C18+C19+C20</f>
        <v>16546</v>
      </c>
      <c r="E31" s="77">
        <f t="shared" si="1"/>
        <v>-54</v>
      </c>
      <c r="K31" s="53"/>
      <c r="P31" s="4"/>
    </row>
    <row r="32" spans="2:28" ht="15" customHeight="1" thickBot="1" x14ac:dyDescent="0.35">
      <c r="B32" s="78" t="s">
        <v>60</v>
      </c>
      <c r="C32" s="121">
        <v>1315</v>
      </c>
      <c r="D32" s="80">
        <f>C10+C11</f>
        <v>1315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44708</v>
      </c>
    </row>
    <row r="3" spans="2:27" ht="18.75" customHeight="1" thickBot="1" x14ac:dyDescent="0.35">
      <c r="B3" t="s">
        <v>1</v>
      </c>
      <c r="C3" s="3">
        <f>C2+1</f>
        <v>44709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120</v>
      </c>
    </row>
    <row r="6" spans="2:27" x14ac:dyDescent="0.3">
      <c r="B6" s="16" t="s">
        <v>21</v>
      </c>
      <c r="C6" s="17">
        <v>0</v>
      </c>
      <c r="E6" s="161" t="s">
        <v>22</v>
      </c>
      <c r="F6" s="119">
        <v>23698</v>
      </c>
      <c r="G6" s="117">
        <v>14308.3655</v>
      </c>
      <c r="H6" s="117">
        <v>4679.1941893399999</v>
      </c>
      <c r="I6" s="152">
        <f>G6+H6</f>
        <v>18987.55968934</v>
      </c>
      <c r="J6" s="119">
        <v>24353</v>
      </c>
      <c r="K6" s="117">
        <v>14776.88175</v>
      </c>
      <c r="L6" s="117">
        <v>4496.5899225400026</v>
      </c>
      <c r="M6" s="162">
        <f>K6+L6</f>
        <v>19273.471672540003</v>
      </c>
      <c r="N6" s="87">
        <v>77</v>
      </c>
      <c r="O6" s="87">
        <v>74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4620.2406306800003</v>
      </c>
      <c r="I8" s="152">
        <f>G8+H8</f>
        <v>4620.2406306800003</v>
      </c>
      <c r="J8" s="119">
        <v>0</v>
      </c>
      <c r="K8" s="117">
        <v>0</v>
      </c>
      <c r="L8" s="117">
        <v>4718.5119524600013</v>
      </c>
      <c r="M8" s="162">
        <f>K8+L8</f>
        <v>4718.5119524600013</v>
      </c>
      <c r="N8" s="87">
        <v>8</v>
      </c>
      <c r="O8" s="87">
        <v>8</v>
      </c>
      <c r="P8" s="87">
        <v>7</v>
      </c>
    </row>
    <row r="9" spans="2:27" x14ac:dyDescent="0.3">
      <c r="B9" s="16" t="s">
        <v>23</v>
      </c>
      <c r="C9" s="17">
        <v>1999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18323</v>
      </c>
      <c r="G10" s="117">
        <v>14754.142</v>
      </c>
      <c r="H10" s="117">
        <v>778.69769099999996</v>
      </c>
      <c r="I10" s="152">
        <f>G10+H10</f>
        <v>15532.839690999999</v>
      </c>
      <c r="J10" s="119">
        <v>18183</v>
      </c>
      <c r="K10" s="117">
        <v>14390.558999999999</v>
      </c>
      <c r="L10" s="117">
        <v>775.90672210000002</v>
      </c>
      <c r="M10" s="162">
        <f>K10+L10</f>
        <v>15166.4657221</v>
      </c>
      <c r="N10" s="88">
        <v>58</v>
      </c>
      <c r="O10" s="88">
        <v>58</v>
      </c>
      <c r="P10" s="88">
        <v>54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4909</v>
      </c>
      <c r="E12" s="161" t="s">
        <v>35</v>
      </c>
      <c r="F12" s="119">
        <v>17420</v>
      </c>
      <c r="G12" s="117">
        <v>15573.584999999999</v>
      </c>
      <c r="H12" s="117">
        <v>22085.086432429998</v>
      </c>
      <c r="I12" s="152">
        <f>G12+H12</f>
        <v>37658.671432429997</v>
      </c>
      <c r="J12" s="119">
        <v>18399</v>
      </c>
      <c r="K12" s="117">
        <v>19258.403500000011</v>
      </c>
      <c r="L12" s="117">
        <v>22901.845338370011</v>
      </c>
      <c r="M12" s="162">
        <f>K12+L12</f>
        <v>42160.248838370026</v>
      </c>
      <c r="N12" s="88">
        <v>61</v>
      </c>
      <c r="O12" s="88">
        <v>58</v>
      </c>
      <c r="P12" s="88">
        <v>49</v>
      </c>
    </row>
    <row r="13" spans="2:27" x14ac:dyDescent="0.3">
      <c r="B13" s="16" t="s">
        <v>38</v>
      </c>
      <c r="C13" s="17">
        <v>9885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2263</v>
      </c>
      <c r="E14" s="161" t="s">
        <v>39</v>
      </c>
      <c r="F14" s="119">
        <v>32230</v>
      </c>
      <c r="G14" s="117">
        <v>24121.726750000002</v>
      </c>
      <c r="H14" s="117">
        <v>40589.375466780017</v>
      </c>
      <c r="I14" s="152">
        <f>G14+H14</f>
        <v>64711.102216780018</v>
      </c>
      <c r="J14" s="119">
        <v>34051</v>
      </c>
      <c r="K14" s="117">
        <v>31681.14025</v>
      </c>
      <c r="L14" s="117">
        <v>43190.953460800018</v>
      </c>
      <c r="M14" s="162">
        <f>K14+L14</f>
        <v>74872.093710800022</v>
      </c>
      <c r="N14" s="88">
        <v>89</v>
      </c>
      <c r="O14" s="88">
        <v>91</v>
      </c>
      <c r="P14" s="88">
        <v>70</v>
      </c>
    </row>
    <row r="15" spans="2:27" x14ac:dyDescent="0.3">
      <c r="B15" s="28" t="s">
        <v>42</v>
      </c>
      <c r="C15" s="17">
        <f>41815+9131</f>
        <v>50946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21</v>
      </c>
    </row>
    <row r="16" spans="2:27" x14ac:dyDescent="0.3">
      <c r="B16" s="43" t="s">
        <v>47</v>
      </c>
      <c r="C16" s="17">
        <v>2327</v>
      </c>
      <c r="E16" s="161" t="s">
        <v>79</v>
      </c>
      <c r="F16" s="119">
        <v>0</v>
      </c>
      <c r="G16" s="117">
        <v>0</v>
      </c>
      <c r="H16" s="117">
        <v>11044.13016626</v>
      </c>
      <c r="I16" s="152">
        <f>G16+H16</f>
        <v>11044.13016626</v>
      </c>
      <c r="J16" s="119">
        <v>0</v>
      </c>
      <c r="K16" s="117">
        <v>0</v>
      </c>
      <c r="L16" s="117">
        <v>11010.125945039999</v>
      </c>
      <c r="M16" s="162">
        <f>K16+L16</f>
        <v>11010.125945039999</v>
      </c>
      <c r="N16" s="88">
        <v>10</v>
      </c>
      <c r="O16" s="88">
        <v>11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589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10130</v>
      </c>
      <c r="E18" s="84"/>
      <c r="F18" s="148">
        <f t="shared" ref="F18:M18" si="0">SUM(F6:F17)</f>
        <v>91671</v>
      </c>
      <c r="G18" s="149">
        <f t="shared" si="0"/>
        <v>68757.81925</v>
      </c>
      <c r="H18" s="149">
        <f t="shared" si="0"/>
        <v>83796.724576490014</v>
      </c>
      <c r="I18" s="150">
        <f t="shared" si="0"/>
        <v>152554.54382649</v>
      </c>
      <c r="J18" s="149">
        <f t="shared" si="0"/>
        <v>94986</v>
      </c>
      <c r="K18" s="149">
        <f t="shared" si="0"/>
        <v>80106.984500000006</v>
      </c>
      <c r="L18" s="149">
        <f t="shared" si="0"/>
        <v>87093.933341310039</v>
      </c>
      <c r="M18" s="157">
        <f t="shared" si="0"/>
        <v>167200.91784131006</v>
      </c>
      <c r="N18" s="149">
        <f>SUM(N16,N14,N12,N10,N8,N6)</f>
        <v>303</v>
      </c>
      <c r="O18" s="149">
        <f>SUM(O16,O14,O12,O10,O8,O6)</f>
        <v>300</v>
      </c>
      <c r="P18" s="158">
        <f>SUM(P16,P14,P12,P10,P8,P6)</f>
        <v>254</v>
      </c>
    </row>
    <row r="19" spans="2:28" ht="15" customHeight="1" thickBot="1" x14ac:dyDescent="0.35">
      <c r="B19" s="16" t="s">
        <v>51</v>
      </c>
      <c r="C19" s="17">
        <v>553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46</v>
      </c>
    </row>
    <row r="20" spans="2:28" ht="15" customHeight="1" thickBot="1" x14ac:dyDescent="0.35">
      <c r="B20" s="57" t="s">
        <v>52</v>
      </c>
      <c r="C20" s="58">
        <v>5067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0.15333333333333332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9952</v>
      </c>
      <c r="D25" s="76">
        <f>C13</f>
        <v>9885</v>
      </c>
      <c r="E25" s="77">
        <f t="shared" ref="E25:E32" si="1">D25-C25</f>
        <v>-67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48117</v>
      </c>
      <c r="D28" s="76">
        <f>C9+C14+C15+C16+C17</f>
        <v>58124</v>
      </c>
      <c r="E28" s="77">
        <f t="shared" si="1"/>
        <v>10007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4909</v>
      </c>
      <c r="D30" s="76">
        <f>C12</f>
        <v>4909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15255</v>
      </c>
      <c r="D31" s="76">
        <f>C18+C19+C20</f>
        <v>15750</v>
      </c>
      <c r="E31" s="77">
        <f t="shared" si="1"/>
        <v>495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44709</v>
      </c>
    </row>
    <row r="3" spans="2:27" ht="18.75" customHeight="1" thickBot="1" x14ac:dyDescent="0.35">
      <c r="B3" t="s">
        <v>1</v>
      </c>
      <c r="C3" s="3">
        <f>C2+1</f>
        <v>44710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71</v>
      </c>
      <c r="E6" s="161" t="s">
        <v>22</v>
      </c>
      <c r="F6" s="119">
        <v>25987</v>
      </c>
      <c r="G6" s="117">
        <v>13180.478816666669</v>
      </c>
      <c r="H6" s="117">
        <v>5543.3483531399997</v>
      </c>
      <c r="I6" s="152">
        <f>G6+H6</f>
        <v>18723.827169806667</v>
      </c>
      <c r="J6" s="119">
        <v>25695</v>
      </c>
      <c r="K6" s="117">
        <v>15401.832316666671</v>
      </c>
      <c r="L6" s="117">
        <v>5385.8334916999956</v>
      </c>
      <c r="M6" s="162">
        <f>K6+L6</f>
        <v>20787.665808366666</v>
      </c>
      <c r="N6" s="87">
        <v>81</v>
      </c>
      <c r="O6" s="87">
        <v>76</v>
      </c>
      <c r="P6" s="87">
        <v>64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3758.079141740001</v>
      </c>
      <c r="I8" s="152">
        <f>G8+H8</f>
        <v>3758.079141740001</v>
      </c>
      <c r="J8" s="119">
        <v>0</v>
      </c>
      <c r="K8" s="117">
        <v>0</v>
      </c>
      <c r="L8" s="117">
        <v>3704.2752080000009</v>
      </c>
      <c r="M8" s="162">
        <f>K8+L8</f>
        <v>3704.2752080000009</v>
      </c>
      <c r="N8" s="87">
        <v>7</v>
      </c>
      <c r="O8" s="87">
        <v>7</v>
      </c>
      <c r="P8" s="87">
        <v>5</v>
      </c>
    </row>
    <row r="9" spans="2:27" x14ac:dyDescent="0.3">
      <c r="B9" s="16" t="s">
        <v>23</v>
      </c>
      <c r="C9" s="17">
        <v>1963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775</v>
      </c>
      <c r="E10" s="161" t="s">
        <v>31</v>
      </c>
      <c r="F10" s="119">
        <v>18442</v>
      </c>
      <c r="G10" s="117">
        <v>12734.23625</v>
      </c>
      <c r="H10" s="117">
        <v>1272.6981337</v>
      </c>
      <c r="I10" s="152">
        <f>G10+H10</f>
        <v>14006.9343837</v>
      </c>
      <c r="J10" s="119">
        <v>18054</v>
      </c>
      <c r="K10" s="117">
        <v>13071.94425</v>
      </c>
      <c r="L10" s="117">
        <v>1213.2203391400001</v>
      </c>
      <c r="M10" s="162">
        <f>K10+L10</f>
        <v>14285.16458914</v>
      </c>
      <c r="N10" s="88">
        <v>63</v>
      </c>
      <c r="O10" s="88">
        <v>63</v>
      </c>
      <c r="P10" s="88">
        <v>61</v>
      </c>
    </row>
    <row r="11" spans="2:27" x14ac:dyDescent="0.3">
      <c r="B11" s="28" t="s">
        <v>28</v>
      </c>
      <c r="C11" s="17">
        <v>460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30</v>
      </c>
      <c r="C12" s="17">
        <v>2595</v>
      </c>
      <c r="E12" s="161" t="s">
        <v>35</v>
      </c>
      <c r="F12" s="119">
        <v>18246</v>
      </c>
      <c r="G12" s="117">
        <v>15092.989250000001</v>
      </c>
      <c r="H12" s="117">
        <v>22253.61512408001</v>
      </c>
      <c r="I12" s="152">
        <f>G12+H12</f>
        <v>37346.604374080009</v>
      </c>
      <c r="J12" s="119">
        <v>17536</v>
      </c>
      <c r="K12" s="117">
        <v>16598.322250000001</v>
      </c>
      <c r="L12" s="117">
        <v>22476.792371250001</v>
      </c>
      <c r="M12" s="162">
        <f>K12+L12</f>
        <v>39075.114621250003</v>
      </c>
      <c r="N12" s="88">
        <v>64</v>
      </c>
      <c r="O12" s="88">
        <v>62</v>
      </c>
      <c r="P12" s="88">
        <v>53</v>
      </c>
    </row>
    <row r="13" spans="2:27" x14ac:dyDescent="0.3">
      <c r="B13" s="16" t="s">
        <v>38</v>
      </c>
      <c r="C13" s="17">
        <v>11417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3">
      <c r="B14" s="16" t="s">
        <v>40</v>
      </c>
      <c r="C14" s="17">
        <v>1297</v>
      </c>
      <c r="E14" s="161" t="s">
        <v>39</v>
      </c>
      <c r="F14" s="119">
        <v>30473</v>
      </c>
      <c r="G14" s="117">
        <v>24703.4015</v>
      </c>
      <c r="H14" s="117">
        <v>38125.57303798003</v>
      </c>
      <c r="I14" s="152">
        <f>G14+H14</f>
        <v>62828.97453798003</v>
      </c>
      <c r="J14" s="119">
        <v>30906</v>
      </c>
      <c r="K14" s="117">
        <v>29905.883249999999</v>
      </c>
      <c r="L14" s="117">
        <v>39016.415410880043</v>
      </c>
      <c r="M14" s="162">
        <f>K14+L14</f>
        <v>68922.298660880042</v>
      </c>
      <c r="N14" s="88">
        <v>84</v>
      </c>
      <c r="O14" s="88">
        <v>86</v>
      </c>
      <c r="P14" s="88">
        <v>63</v>
      </c>
    </row>
    <row r="15" spans="2:27" x14ac:dyDescent="0.3">
      <c r="B15" s="28" t="s">
        <v>42</v>
      </c>
      <c r="C15" s="17">
        <f>37081+7425</f>
        <v>44506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23</v>
      </c>
    </row>
    <row r="16" spans="2:27" x14ac:dyDescent="0.3">
      <c r="B16" s="43" t="s">
        <v>47</v>
      </c>
      <c r="C16" s="17">
        <v>1081</v>
      </c>
      <c r="E16" s="161" t="s">
        <v>79</v>
      </c>
      <c r="F16" s="119">
        <v>0</v>
      </c>
      <c r="G16" s="117">
        <v>0</v>
      </c>
      <c r="H16" s="117">
        <v>5864.8234898199998</v>
      </c>
      <c r="I16" s="152">
        <f>G16+H16</f>
        <v>5864.8234898199998</v>
      </c>
      <c r="J16" s="119">
        <v>0</v>
      </c>
      <c r="K16" s="117">
        <v>0</v>
      </c>
      <c r="L16" s="117">
        <v>6026.6322691999994</v>
      </c>
      <c r="M16" s="162">
        <f>K16+L16</f>
        <v>6026.6322691999994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10382</v>
      </c>
      <c r="E18" s="84"/>
      <c r="F18" s="148">
        <f t="shared" ref="F18:M18" si="0">SUM(F6:F17)</f>
        <v>93148</v>
      </c>
      <c r="G18" s="149">
        <f t="shared" si="0"/>
        <v>65711.105816666677</v>
      </c>
      <c r="H18" s="149">
        <f t="shared" si="0"/>
        <v>76818.13728046004</v>
      </c>
      <c r="I18" s="150">
        <f t="shared" si="0"/>
        <v>142529.24309712672</v>
      </c>
      <c r="J18" s="149">
        <f t="shared" si="0"/>
        <v>92191</v>
      </c>
      <c r="K18" s="149">
        <f t="shared" si="0"/>
        <v>74977.982066666678</v>
      </c>
      <c r="L18" s="149">
        <f t="shared" si="0"/>
        <v>77823.169090170035</v>
      </c>
      <c r="M18" s="157">
        <f t="shared" si="0"/>
        <v>152801.15115683671</v>
      </c>
      <c r="N18" s="149">
        <f>SUM(N16,N14,N12,N10,N8,N6)</f>
        <v>311</v>
      </c>
      <c r="O18" s="149">
        <f>SUM(O16,O14,O12,O10,O8,O6)</f>
        <v>306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1457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49</v>
      </c>
    </row>
    <row r="20" spans="2:28" ht="15" customHeight="1" thickBot="1" x14ac:dyDescent="0.35">
      <c r="B20" s="57" t="s">
        <v>52</v>
      </c>
      <c r="C20" s="58">
        <v>4954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0.16013071895424835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11306</v>
      </c>
      <c r="D25" s="76">
        <f>C13</f>
        <v>11417</v>
      </c>
      <c r="E25" s="77">
        <f t="shared" ref="E25:E32" si="1">D25-C25</f>
        <v>111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45332</v>
      </c>
      <c r="D28" s="76">
        <f>C9+C14+C15+C16+C17</f>
        <v>49088</v>
      </c>
      <c r="E28" s="77">
        <f t="shared" si="1"/>
        <v>3756</v>
      </c>
      <c r="F28" s="1" t="s">
        <v>75</v>
      </c>
      <c r="P28" s="4"/>
    </row>
    <row r="29" spans="2:28" x14ac:dyDescent="0.3">
      <c r="B29" s="74" t="s">
        <v>21</v>
      </c>
      <c r="C29" s="122">
        <v>71</v>
      </c>
      <c r="D29" s="76">
        <f>C6</f>
        <v>71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2595</v>
      </c>
      <c r="D30" s="76">
        <f>C12</f>
        <v>2595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17385</v>
      </c>
      <c r="D31" s="76">
        <f>C18+C19+C20</f>
        <v>16793</v>
      </c>
      <c r="E31" s="77">
        <f t="shared" si="1"/>
        <v>-592</v>
      </c>
      <c r="K31" s="53"/>
      <c r="P31" s="4"/>
    </row>
    <row r="32" spans="2:28" ht="15" customHeight="1" thickBot="1" x14ac:dyDescent="0.35">
      <c r="B32" s="78" t="s">
        <v>60</v>
      </c>
      <c r="C32" s="121">
        <v>1235</v>
      </c>
      <c r="D32" s="80">
        <f>C10+C11</f>
        <v>1235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44710</v>
      </c>
    </row>
    <row r="3" spans="2:27" ht="18.75" customHeight="1" thickBot="1" x14ac:dyDescent="0.35">
      <c r="B3" t="s">
        <v>1</v>
      </c>
      <c r="C3" s="3">
        <f>C2+1</f>
        <v>44711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0</v>
      </c>
      <c r="E6" s="161" t="s">
        <v>22</v>
      </c>
      <c r="F6" s="119">
        <v>10680</v>
      </c>
      <c r="G6" s="117">
        <v>3609</v>
      </c>
      <c r="H6" s="117">
        <v>809</v>
      </c>
      <c r="I6" s="152">
        <f>G6+H6</f>
        <v>4418</v>
      </c>
      <c r="J6" s="119">
        <v>11189</v>
      </c>
      <c r="K6" s="117">
        <v>3786</v>
      </c>
      <c r="L6" s="117">
        <v>946</v>
      </c>
      <c r="M6" s="162">
        <f>K6+L6</f>
        <v>4732</v>
      </c>
      <c r="N6" s="87">
        <v>46</v>
      </c>
      <c r="O6" s="87">
        <v>43</v>
      </c>
      <c r="P6" s="87">
        <v>37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5790</v>
      </c>
      <c r="G10" s="117">
        <v>2985</v>
      </c>
      <c r="H10" s="117">
        <v>887</v>
      </c>
      <c r="I10" s="152">
        <f>G10+H10</f>
        <v>3872</v>
      </c>
      <c r="J10" s="119">
        <v>6132</v>
      </c>
      <c r="K10" s="117">
        <v>3145</v>
      </c>
      <c r="L10" s="117">
        <v>927</v>
      </c>
      <c r="M10" s="162">
        <f>K10+L10</f>
        <v>4072</v>
      </c>
      <c r="N10" s="88">
        <v>0</v>
      </c>
      <c r="O10" s="88">
        <v>0</v>
      </c>
      <c r="P10" s="88">
        <v>0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3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11245</v>
      </c>
      <c r="E18" s="84"/>
      <c r="F18" s="148">
        <f t="shared" ref="F18:M18" si="0">SUM(F6:F17)</f>
        <v>16470</v>
      </c>
      <c r="G18" s="149">
        <f t="shared" si="0"/>
        <v>6594</v>
      </c>
      <c r="H18" s="149">
        <f t="shared" si="0"/>
        <v>1696</v>
      </c>
      <c r="I18" s="150">
        <f t="shared" si="0"/>
        <v>8290</v>
      </c>
      <c r="J18" s="149">
        <f t="shared" si="0"/>
        <v>17321</v>
      </c>
      <c r="K18" s="149">
        <f t="shared" si="0"/>
        <v>6931</v>
      </c>
      <c r="L18" s="149">
        <f t="shared" si="0"/>
        <v>1873</v>
      </c>
      <c r="M18" s="157">
        <f t="shared" si="0"/>
        <v>8804</v>
      </c>
      <c r="N18" s="149">
        <f>SUM(N16,N14,N12,N10,N8,N6)</f>
        <v>46</v>
      </c>
      <c r="O18" s="149">
        <f>SUM(O16,O14,O12,O10,O8,O6)</f>
        <v>43</v>
      </c>
      <c r="P18" s="158">
        <f>SUM(P16,P14,P12,P10,P8,P6)</f>
        <v>37</v>
      </c>
    </row>
    <row r="19" spans="2:28" ht="15" customHeight="1" thickBot="1" x14ac:dyDescent="0.35">
      <c r="B19" s="16" t="s">
        <v>51</v>
      </c>
      <c r="C19" s="17">
        <v>867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6</v>
      </c>
    </row>
    <row r="20" spans="2:28" ht="15" customHeight="1" thickBot="1" x14ac:dyDescent="0.35">
      <c r="B20" s="57" t="s">
        <v>52</v>
      </c>
      <c r="C20" s="58">
        <v>5209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0.13953488372093023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16470</v>
      </c>
      <c r="D31" s="76">
        <f>C18+C19+C20</f>
        <v>17321</v>
      </c>
      <c r="E31" s="77">
        <f t="shared" si="1"/>
        <v>851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44711</v>
      </c>
    </row>
    <row r="3" spans="2:27" ht="18.75" customHeight="1" thickBot="1" x14ac:dyDescent="0.35">
      <c r="B3" t="s">
        <v>1</v>
      </c>
      <c r="C3" s="3">
        <f>C2+1</f>
        <v>44712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78</v>
      </c>
      <c r="E6" s="161" t="s">
        <v>22</v>
      </c>
      <c r="F6" s="119">
        <v>23009</v>
      </c>
      <c r="G6" s="117">
        <v>12271.317166666669</v>
      </c>
      <c r="H6" s="117">
        <v>4207.3374197800022</v>
      </c>
      <c r="I6" s="152">
        <f>G6+H6</f>
        <v>16478.654586446672</v>
      </c>
      <c r="J6" s="119">
        <v>22208</v>
      </c>
      <c r="K6" s="117">
        <v>12186.08766666667</v>
      </c>
      <c r="L6" s="117">
        <v>3737.5650028200021</v>
      </c>
      <c r="M6" s="162">
        <f>K6+L6</f>
        <v>15923.652669486672</v>
      </c>
      <c r="N6" s="87">
        <v>79</v>
      </c>
      <c r="O6" s="87">
        <v>78</v>
      </c>
      <c r="P6" s="87">
        <v>69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3673.69698776</v>
      </c>
      <c r="I8" s="152">
        <f>G8+H8</f>
        <v>3673.69698776</v>
      </c>
      <c r="J8" s="119">
        <v>0</v>
      </c>
      <c r="K8" s="117">
        <v>0</v>
      </c>
      <c r="L8" s="117">
        <v>3569.930191899999</v>
      </c>
      <c r="M8" s="162">
        <f>K8+L8</f>
        <v>3569.930191899999</v>
      </c>
      <c r="N8" s="87">
        <v>8</v>
      </c>
      <c r="O8" s="87">
        <v>8</v>
      </c>
      <c r="P8" s="87">
        <v>6</v>
      </c>
    </row>
    <row r="9" spans="2:27" x14ac:dyDescent="0.3">
      <c r="B9" s="16" t="s">
        <v>23</v>
      </c>
      <c r="C9" s="17">
        <v>1842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3">
      <c r="B10" s="28" t="s">
        <v>26</v>
      </c>
      <c r="C10" s="17">
        <v>365</v>
      </c>
      <c r="E10" s="161" t="s">
        <v>31</v>
      </c>
      <c r="F10" s="119">
        <v>18377</v>
      </c>
      <c r="G10" s="117">
        <v>12994.275750000001</v>
      </c>
      <c r="H10" s="117">
        <v>952.65826150000021</v>
      </c>
      <c r="I10" s="152">
        <f>G10+H10</f>
        <v>13946.934011500001</v>
      </c>
      <c r="J10" s="119">
        <v>18010</v>
      </c>
      <c r="K10" s="117">
        <v>12890.78025</v>
      </c>
      <c r="L10" s="117">
        <v>942.71319143999995</v>
      </c>
      <c r="M10" s="162">
        <f>K10+L10</f>
        <v>13833.49344144</v>
      </c>
      <c r="N10" s="88">
        <v>56</v>
      </c>
      <c r="O10" s="88">
        <v>56</v>
      </c>
      <c r="P10" s="88">
        <v>54</v>
      </c>
    </row>
    <row r="11" spans="2:27" x14ac:dyDescent="0.3">
      <c r="B11" s="28" t="s">
        <v>28</v>
      </c>
      <c r="C11" s="17">
        <v>260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3">
      <c r="B12" s="16" t="s">
        <v>30</v>
      </c>
      <c r="C12" s="17">
        <v>1844</v>
      </c>
      <c r="E12" s="161" t="s">
        <v>35</v>
      </c>
      <c r="F12" s="119">
        <v>14284</v>
      </c>
      <c r="G12" s="117">
        <v>12213.83116666666</v>
      </c>
      <c r="H12" s="117">
        <v>18162.301437030019</v>
      </c>
      <c r="I12" s="152">
        <f>G12+H12</f>
        <v>30376.132603696678</v>
      </c>
      <c r="J12" s="119">
        <v>13496</v>
      </c>
      <c r="K12" s="117">
        <v>12719.801166666661</v>
      </c>
      <c r="L12" s="117">
        <v>17563.85020383001</v>
      </c>
      <c r="M12" s="162">
        <f>K12+L12</f>
        <v>30283.651370496671</v>
      </c>
      <c r="N12" s="88">
        <v>55</v>
      </c>
      <c r="O12" s="88">
        <v>54</v>
      </c>
      <c r="P12" s="88">
        <v>42</v>
      </c>
    </row>
    <row r="13" spans="2:27" x14ac:dyDescent="0.3">
      <c r="B13" s="16" t="s">
        <v>38</v>
      </c>
      <c r="C13" s="17">
        <v>9076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12</v>
      </c>
    </row>
    <row r="14" spans="2:27" x14ac:dyDescent="0.3">
      <c r="B14" s="16" t="s">
        <v>40</v>
      </c>
      <c r="C14" s="17">
        <v>1994</v>
      </c>
      <c r="E14" s="161" t="s">
        <v>39</v>
      </c>
      <c r="F14" s="119">
        <v>23012</v>
      </c>
      <c r="G14" s="117">
        <v>18924.59</v>
      </c>
      <c r="H14" s="117">
        <v>28173.89295486001</v>
      </c>
      <c r="I14" s="152">
        <f>G14+H14</f>
        <v>47098.48295486001</v>
      </c>
      <c r="J14" s="119">
        <v>21870</v>
      </c>
      <c r="K14" s="117">
        <v>20767.314999999999</v>
      </c>
      <c r="L14" s="117">
        <v>26934.810430540001</v>
      </c>
      <c r="M14" s="162">
        <f>K14+L14</f>
        <v>47702.12543054</v>
      </c>
      <c r="N14" s="88">
        <v>80</v>
      </c>
      <c r="O14" s="88">
        <v>87</v>
      </c>
      <c r="P14" s="88">
        <v>70</v>
      </c>
    </row>
    <row r="15" spans="2:27" x14ac:dyDescent="0.3">
      <c r="B15" s="28" t="s">
        <v>42</v>
      </c>
      <c r="C15" s="17">
        <v>30202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2:27" x14ac:dyDescent="0.3">
      <c r="B16" s="43" t="s">
        <v>47</v>
      </c>
      <c r="C16" s="17">
        <v>1577</v>
      </c>
      <c r="E16" s="161" t="s">
        <v>79</v>
      </c>
      <c r="F16" s="119">
        <v>0</v>
      </c>
      <c r="G16" s="117">
        <v>0</v>
      </c>
      <c r="H16" s="117">
        <v>8885.9254793</v>
      </c>
      <c r="I16" s="152">
        <f>G16+H16</f>
        <v>8885.9254793</v>
      </c>
      <c r="J16" s="119">
        <v>0</v>
      </c>
      <c r="K16" s="117">
        <v>0</v>
      </c>
      <c r="L16" s="117">
        <v>8788.5314236999984</v>
      </c>
      <c r="M16" s="162">
        <f>K16+L16</f>
        <v>8788.5314236999984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575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10562</v>
      </c>
      <c r="E18" s="84"/>
      <c r="F18" s="148">
        <f t="shared" ref="F18:M18" si="0">SUM(F6:F17)</f>
        <v>78682</v>
      </c>
      <c r="G18" s="149">
        <f t="shared" si="0"/>
        <v>56404.014083333328</v>
      </c>
      <c r="H18" s="149">
        <f t="shared" si="0"/>
        <v>64055.812540230036</v>
      </c>
      <c r="I18" s="150">
        <f t="shared" si="0"/>
        <v>120459.82662356336</v>
      </c>
      <c r="J18" s="149">
        <f t="shared" si="0"/>
        <v>75584</v>
      </c>
      <c r="K18" s="149">
        <f t="shared" si="0"/>
        <v>58563.984083333329</v>
      </c>
      <c r="L18" s="149">
        <f t="shared" si="0"/>
        <v>61537.400444230007</v>
      </c>
      <c r="M18" s="157">
        <f t="shared" si="0"/>
        <v>120101.38452756334</v>
      </c>
      <c r="N18" s="149">
        <f>SUM(N16,N14,N12,N10,N8,N6)</f>
        <v>289</v>
      </c>
      <c r="O18" s="149">
        <f>SUM(O16,O14,O12,O10,O8,O6)</f>
        <v>294</v>
      </c>
      <c r="P18" s="158">
        <f>SUM(P16,P14,P12,P10,P8,P6)</f>
        <v>251</v>
      </c>
    </row>
    <row r="19" spans="2:28" ht="15" customHeight="1" thickBot="1" x14ac:dyDescent="0.35">
      <c r="B19" s="16" t="s">
        <v>51</v>
      </c>
      <c r="C19" s="17">
        <v>1169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35">
      <c r="B20" s="57" t="s">
        <v>52</v>
      </c>
      <c r="C20" s="58">
        <v>5054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0.14625850340136054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10059</v>
      </c>
      <c r="D25" s="76">
        <f>C13</f>
        <v>9076</v>
      </c>
      <c r="E25" s="77">
        <f t="shared" ref="E25:E32" si="1">D25-C25</f>
        <v>-983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38118</v>
      </c>
      <c r="D28" s="76">
        <f>C9+C14+C15+C16+C17</f>
        <v>36190</v>
      </c>
      <c r="E28" s="77">
        <f t="shared" si="1"/>
        <v>-1928</v>
      </c>
      <c r="F28" s="1" t="s">
        <v>75</v>
      </c>
      <c r="P28" s="4"/>
    </row>
    <row r="29" spans="2:28" x14ac:dyDescent="0.3">
      <c r="B29" s="74" t="s">
        <v>21</v>
      </c>
      <c r="C29" s="122">
        <v>78</v>
      </c>
      <c r="D29" s="76">
        <f>C6</f>
        <v>78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1844</v>
      </c>
      <c r="D30" s="76">
        <f>C12</f>
        <v>1844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16970</v>
      </c>
      <c r="D31" s="76">
        <f>C18+C19+C20</f>
        <v>16785</v>
      </c>
      <c r="E31" s="77">
        <f t="shared" si="1"/>
        <v>-185</v>
      </c>
      <c r="K31" s="53"/>
      <c r="P31" s="4"/>
    </row>
    <row r="32" spans="2:28" ht="15" customHeight="1" thickBot="1" x14ac:dyDescent="0.35">
      <c r="B32" s="78" t="s">
        <v>60</v>
      </c>
      <c r="C32" s="121">
        <v>625</v>
      </c>
      <c r="D32" s="80">
        <f>C10+C11</f>
        <v>625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4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44712</v>
      </c>
    </row>
    <row r="3" spans="2:27" ht="18.75" customHeight="1" thickBot="1" x14ac:dyDescent="0.35">
      <c r="B3" t="s">
        <v>1</v>
      </c>
      <c r="C3" s="3">
        <f>C2+1</f>
        <v>44713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172</v>
      </c>
      <c r="E6" s="161" t="s">
        <v>22</v>
      </c>
      <c r="F6" s="119">
        <v>27200</v>
      </c>
      <c r="G6" s="117">
        <v>12715.824083333329</v>
      </c>
      <c r="H6" s="117">
        <v>5536.7570219199961</v>
      </c>
      <c r="I6" s="152">
        <f>G6+H6</f>
        <v>18252.581105253324</v>
      </c>
      <c r="J6" s="119">
        <v>26793</v>
      </c>
      <c r="K6" s="117">
        <v>13669.21908333333</v>
      </c>
      <c r="L6" s="117">
        <v>5308.9059887799967</v>
      </c>
      <c r="M6" s="162">
        <f>K6+L6</f>
        <v>18978.125072113326</v>
      </c>
      <c r="N6" s="87">
        <v>81</v>
      </c>
      <c r="O6" s="87">
        <v>77</v>
      </c>
      <c r="P6" s="87">
        <v>69</v>
      </c>
    </row>
    <row r="7" spans="2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3455.0797512600011</v>
      </c>
      <c r="I8" s="152">
        <f>G8+H8</f>
        <v>3455.0797512600011</v>
      </c>
      <c r="J8" s="119">
        <v>0</v>
      </c>
      <c r="K8" s="117">
        <v>0</v>
      </c>
      <c r="L8" s="117">
        <v>3430.0318864000001</v>
      </c>
      <c r="M8" s="162">
        <f>K8+L8</f>
        <v>3430.0318864000001</v>
      </c>
      <c r="N8" s="87">
        <v>5</v>
      </c>
      <c r="O8" s="87">
        <v>5</v>
      </c>
      <c r="P8" s="87">
        <v>5</v>
      </c>
    </row>
    <row r="9" spans="2:27" x14ac:dyDescent="0.3">
      <c r="B9" s="16" t="s">
        <v>23</v>
      </c>
      <c r="C9" s="17">
        <v>2696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750</v>
      </c>
      <c r="E10" s="161" t="s">
        <v>31</v>
      </c>
      <c r="F10" s="119">
        <v>20067</v>
      </c>
      <c r="G10" s="117">
        <v>13013.54675</v>
      </c>
      <c r="H10" s="117">
        <v>1362.0942938400001</v>
      </c>
      <c r="I10" s="152">
        <f>G10+H10</f>
        <v>14375.64104384</v>
      </c>
      <c r="J10" s="119">
        <v>19783</v>
      </c>
      <c r="K10" s="117">
        <v>13154.304249999999</v>
      </c>
      <c r="L10" s="117">
        <v>1381.89033152</v>
      </c>
      <c r="M10" s="162">
        <f>K10+L10</f>
        <v>14536.19458152</v>
      </c>
      <c r="N10" s="88">
        <v>61</v>
      </c>
      <c r="O10" s="88">
        <v>61</v>
      </c>
      <c r="P10" s="88">
        <v>57</v>
      </c>
    </row>
    <row r="11" spans="2:27" x14ac:dyDescent="0.3">
      <c r="B11" s="28" t="s">
        <v>28</v>
      </c>
      <c r="C11" s="17">
        <v>450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3">
      <c r="B12" s="16" t="s">
        <v>30</v>
      </c>
      <c r="C12" s="17">
        <v>2349</v>
      </c>
      <c r="E12" s="161" t="s">
        <v>35</v>
      </c>
      <c r="F12" s="119">
        <v>15586</v>
      </c>
      <c r="G12" s="117">
        <v>12322.343999999999</v>
      </c>
      <c r="H12" s="117">
        <v>19237.301752769999</v>
      </c>
      <c r="I12" s="152">
        <f>G12+H12</f>
        <v>31559.645752769997</v>
      </c>
      <c r="J12" s="119">
        <v>15643</v>
      </c>
      <c r="K12" s="117">
        <v>13932.724</v>
      </c>
      <c r="L12" s="117">
        <v>19309.37860801</v>
      </c>
      <c r="M12" s="162">
        <f>K12+L12</f>
        <v>33242.102608009998</v>
      </c>
      <c r="N12" s="88">
        <v>53</v>
      </c>
      <c r="O12" s="88">
        <v>51</v>
      </c>
      <c r="P12" s="88">
        <v>44</v>
      </c>
    </row>
    <row r="13" spans="2:27" x14ac:dyDescent="0.3">
      <c r="B13" s="16" t="s">
        <v>38</v>
      </c>
      <c r="C13" s="17">
        <v>9672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3">
      <c r="B14" s="16" t="s">
        <v>40</v>
      </c>
      <c r="C14" s="17">
        <v>1361</v>
      </c>
      <c r="E14" s="161" t="s">
        <v>39</v>
      </c>
      <c r="F14" s="119">
        <v>26505</v>
      </c>
      <c r="G14" s="117">
        <v>19471.494999999999</v>
      </c>
      <c r="H14" s="117">
        <v>32099.359955860011</v>
      </c>
      <c r="I14" s="152">
        <f>G14+H14</f>
        <v>51570.854955860006</v>
      </c>
      <c r="J14" s="119">
        <v>26960</v>
      </c>
      <c r="K14" s="117">
        <v>23143.716250000001</v>
      </c>
      <c r="L14" s="117">
        <v>32758.787779300019</v>
      </c>
      <c r="M14" s="162">
        <f>K14+L14</f>
        <v>55902.50402930002</v>
      </c>
      <c r="N14" s="88">
        <v>82</v>
      </c>
      <c r="O14" s="88">
        <v>86</v>
      </c>
      <c r="P14" s="88">
        <v>71</v>
      </c>
    </row>
    <row r="15" spans="2:27" x14ac:dyDescent="0.3">
      <c r="B15" s="28" t="s">
        <v>42</v>
      </c>
      <c r="C15" s="17">
        <f>39598-5322</f>
        <v>34276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15</v>
      </c>
    </row>
    <row r="16" spans="2:27" x14ac:dyDescent="0.3">
      <c r="B16" s="43" t="s">
        <v>47</v>
      </c>
      <c r="C16" s="17">
        <v>1017</v>
      </c>
      <c r="E16" s="161" t="s">
        <v>79</v>
      </c>
      <c r="F16" s="119">
        <v>0</v>
      </c>
      <c r="G16" s="117">
        <v>0</v>
      </c>
      <c r="H16" s="117">
        <v>5516.9166696799984</v>
      </c>
      <c r="I16" s="152">
        <f>G16+H16</f>
        <v>5516.9166696799984</v>
      </c>
      <c r="J16" s="119">
        <v>0</v>
      </c>
      <c r="K16" s="117">
        <v>0</v>
      </c>
      <c r="L16" s="117">
        <v>5479.9312522999999</v>
      </c>
      <c r="M16" s="162">
        <f>K16+L16</f>
        <v>5479.9312522999999</v>
      </c>
      <c r="N16" s="88">
        <v>12</v>
      </c>
      <c r="O16" s="88">
        <v>11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11415</v>
      </c>
      <c r="E18" s="84"/>
      <c r="F18" s="148">
        <f t="shared" ref="F18:M18" si="0">SUM(F6:F17)</f>
        <v>89358</v>
      </c>
      <c r="G18" s="149">
        <f t="shared" si="0"/>
        <v>57523.209833333327</v>
      </c>
      <c r="H18" s="149">
        <f t="shared" si="0"/>
        <v>67207.509445330012</v>
      </c>
      <c r="I18" s="150">
        <f t="shared" si="0"/>
        <v>124730.71927866332</v>
      </c>
      <c r="J18" s="149">
        <f t="shared" si="0"/>
        <v>89179</v>
      </c>
      <c r="K18" s="149">
        <f t="shared" si="0"/>
        <v>63899.96358333333</v>
      </c>
      <c r="L18" s="149">
        <f t="shared" si="0"/>
        <v>67668.925846310012</v>
      </c>
      <c r="M18" s="157">
        <f t="shared" si="0"/>
        <v>131568.88942964334</v>
      </c>
      <c r="N18" s="149">
        <f>SUM(N16,N14,N12,N10,N8,N6)</f>
        <v>294</v>
      </c>
      <c r="O18" s="149">
        <f>SUM(O16,O14,O12,O10,O8,O6)</f>
        <v>291</v>
      </c>
      <c r="P18" s="158">
        <f>SUM(P16,P14,P12,P10,P8,P6)</f>
        <v>258</v>
      </c>
    </row>
    <row r="19" spans="2:28" ht="15" customHeight="1" thickBot="1" x14ac:dyDescent="0.35">
      <c r="B19" s="16" t="s">
        <v>51</v>
      </c>
      <c r="C19" s="17">
        <v>842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35">
      <c r="B20" s="57" t="s">
        <v>52</v>
      </c>
      <c r="C20" s="58">
        <v>5317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0.1134020618556701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10805</v>
      </c>
      <c r="D25" s="76">
        <f>C13</f>
        <v>9672</v>
      </c>
      <c r="E25" s="77">
        <f t="shared" ref="E25:E32" si="1">D25-C25</f>
        <v>-1133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38761</v>
      </c>
      <c r="D28" s="76">
        <f>C9+C14+C15+C16+C17</f>
        <v>39598</v>
      </c>
      <c r="E28" s="77">
        <f t="shared" si="1"/>
        <v>837</v>
      </c>
      <c r="F28" s="1" t="s">
        <v>75</v>
      </c>
      <c r="P28" s="4"/>
    </row>
    <row r="29" spans="2:28" x14ac:dyDescent="0.3">
      <c r="B29" s="74" t="s">
        <v>21</v>
      </c>
      <c r="C29" s="122">
        <v>172</v>
      </c>
      <c r="D29" s="76">
        <f>C6</f>
        <v>172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2349</v>
      </c>
      <c r="D30" s="76">
        <f>C12</f>
        <v>2349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17410</v>
      </c>
      <c r="D31" s="76">
        <f>C18+C19+C20</f>
        <v>17574</v>
      </c>
      <c r="E31" s="77">
        <f t="shared" si="1"/>
        <v>164</v>
      </c>
      <c r="K31" s="53"/>
      <c r="P31" s="4"/>
    </row>
    <row r="32" spans="2:28" ht="15" customHeight="1" thickBot="1" x14ac:dyDescent="0.35">
      <c r="B32" s="78" t="s">
        <v>60</v>
      </c>
      <c r="C32" s="121">
        <v>1200</v>
      </c>
      <c r="D32" s="80">
        <f>C10+C11</f>
        <v>1200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>
    <tabColor theme="1"/>
    <pageSetUpPr fitToPage="1"/>
  </sheetPr>
  <dimension ref="B1:AB32"/>
  <sheetViews>
    <sheetView zoomScale="85" zoomScaleNormal="85" zoomScaleSheetLayoutView="70" workbookViewId="0">
      <selection activeCell="P29" sqref="P2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56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44713</v>
      </c>
    </row>
    <row r="3" spans="2:27" ht="18.75" customHeight="1" thickBot="1" x14ac:dyDescent="0.35">
      <c r="B3" t="s">
        <v>1</v>
      </c>
      <c r="C3" s="3">
        <f>C2+1</f>
        <v>44714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50</v>
      </c>
      <c r="E6" s="161" t="s">
        <v>22</v>
      </c>
      <c r="F6" s="119">
        <v>25765</v>
      </c>
      <c r="G6" s="117">
        <v>13526.44975</v>
      </c>
      <c r="H6" s="117">
        <v>4836.2320600000012</v>
      </c>
      <c r="I6" s="152">
        <f>G6+H6</f>
        <v>18362.681810000002</v>
      </c>
      <c r="J6" s="119">
        <v>24318</v>
      </c>
      <c r="K6" s="117">
        <v>14230.54775</v>
      </c>
      <c r="L6" s="117">
        <v>4496.0005881399993</v>
      </c>
      <c r="M6" s="162">
        <f>K6+L6</f>
        <v>18726.548338139997</v>
      </c>
      <c r="N6" s="87">
        <v>74</v>
      </c>
      <c r="O6" s="87">
        <v>70</v>
      </c>
      <c r="P6" s="87">
        <v>65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4374.6995535200003</v>
      </c>
      <c r="I8" s="152">
        <f>G8+H8</f>
        <v>4374.6995535200003</v>
      </c>
      <c r="J8" s="119">
        <v>0</v>
      </c>
      <c r="K8" s="117">
        <v>0</v>
      </c>
      <c r="L8" s="117">
        <v>4185.5101025200001</v>
      </c>
      <c r="M8" s="162">
        <f>K8+L8</f>
        <v>4185.5101025200001</v>
      </c>
      <c r="N8" s="87">
        <v>5</v>
      </c>
      <c r="O8" s="87">
        <v>5</v>
      </c>
      <c r="P8" s="87">
        <v>5</v>
      </c>
    </row>
    <row r="9" spans="2:27" x14ac:dyDescent="0.3">
      <c r="B9" s="16" t="s">
        <v>23</v>
      </c>
      <c r="C9" s="17">
        <v>1764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0</v>
      </c>
      <c r="E10" s="161" t="s">
        <v>31</v>
      </c>
      <c r="F10" s="119">
        <v>19446</v>
      </c>
      <c r="G10" s="117">
        <v>13098.656999999999</v>
      </c>
      <c r="H10" s="117">
        <v>932.33676590000005</v>
      </c>
      <c r="I10" s="152">
        <f>G10+H10</f>
        <v>14030.993765899999</v>
      </c>
      <c r="J10" s="119">
        <v>18858</v>
      </c>
      <c r="K10" s="117">
        <v>13147.9905</v>
      </c>
      <c r="L10" s="117">
        <v>923.6726047799998</v>
      </c>
      <c r="M10" s="162">
        <f>K10+L10</f>
        <v>14071.66310478</v>
      </c>
      <c r="N10" s="88">
        <v>61</v>
      </c>
      <c r="O10" s="88">
        <v>60</v>
      </c>
      <c r="P10" s="88">
        <v>59</v>
      </c>
    </row>
    <row r="11" spans="2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3">
      <c r="B12" s="16" t="s">
        <v>30</v>
      </c>
      <c r="C12" s="17">
        <v>2517</v>
      </c>
      <c r="E12" s="161" t="s">
        <v>35</v>
      </c>
      <c r="F12" s="119">
        <v>14789</v>
      </c>
      <c r="G12" s="117">
        <v>12670.3565</v>
      </c>
      <c r="H12" s="117">
        <v>18580.717872450001</v>
      </c>
      <c r="I12" s="152">
        <f>G12+H12</f>
        <v>31251.074372449999</v>
      </c>
      <c r="J12" s="119">
        <v>14851</v>
      </c>
      <c r="K12" s="117">
        <v>14721.887000000001</v>
      </c>
      <c r="L12" s="117">
        <v>18496.12680188</v>
      </c>
      <c r="M12" s="162">
        <f>K12+L12</f>
        <v>33218.013801879999</v>
      </c>
      <c r="N12" s="88">
        <v>57</v>
      </c>
      <c r="O12" s="88">
        <v>56</v>
      </c>
      <c r="P12" s="88">
        <v>50</v>
      </c>
    </row>
    <row r="13" spans="2:27" x14ac:dyDescent="0.3">
      <c r="B13" s="16" t="s">
        <v>38</v>
      </c>
      <c r="C13" s="17">
        <v>9796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2146</v>
      </c>
      <c r="E14" s="161" t="s">
        <v>39</v>
      </c>
      <c r="F14" s="119">
        <v>21341</v>
      </c>
      <c r="G14" s="117">
        <v>18293.712500000001</v>
      </c>
      <c r="H14" s="117">
        <v>25905.900472619989</v>
      </c>
      <c r="I14" s="152">
        <f>G14+H14</f>
        <v>44199.612972619987</v>
      </c>
      <c r="J14" s="119">
        <v>21965</v>
      </c>
      <c r="K14" s="117">
        <v>21912.579000000002</v>
      </c>
      <c r="L14" s="117">
        <v>26930.3631652</v>
      </c>
      <c r="M14" s="162">
        <f>K14+L14</f>
        <v>48842.942165200002</v>
      </c>
      <c r="N14" s="88">
        <v>76</v>
      </c>
      <c r="O14" s="88">
        <v>79</v>
      </c>
      <c r="P14" s="88">
        <v>66</v>
      </c>
    </row>
    <row r="15" spans="2:27" x14ac:dyDescent="0.3">
      <c r="B15" s="28" t="s">
        <v>42</v>
      </c>
      <c r="C15" s="17">
        <f>40255-5879</f>
        <v>34376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3">
      <c r="B16" s="43" t="s">
        <v>47</v>
      </c>
      <c r="C16" s="17">
        <v>1576</v>
      </c>
      <c r="E16" s="161" t="s">
        <v>79</v>
      </c>
      <c r="F16" s="119">
        <v>0</v>
      </c>
      <c r="G16" s="117">
        <v>0</v>
      </c>
      <c r="H16" s="117">
        <v>9393.0100022799998</v>
      </c>
      <c r="I16" s="152">
        <f>G16+H16</f>
        <v>9393.0100022799998</v>
      </c>
      <c r="J16" s="119">
        <v>0</v>
      </c>
      <c r="K16" s="117">
        <v>0</v>
      </c>
      <c r="L16" s="117">
        <v>9220.0986046399994</v>
      </c>
      <c r="M16" s="162">
        <f>K16+L16</f>
        <v>9220.0986046399994</v>
      </c>
      <c r="N16" s="88">
        <v>9</v>
      </c>
      <c r="O16" s="88">
        <v>12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10323</v>
      </c>
      <c r="E18" s="84"/>
      <c r="F18" s="148">
        <f t="shared" ref="F18:M18" si="0">SUM(F6:F17)</f>
        <v>81341</v>
      </c>
      <c r="G18" s="149">
        <f t="shared" si="0"/>
        <v>57589.175750000002</v>
      </c>
      <c r="H18" s="149">
        <f t="shared" si="0"/>
        <v>64022.896726769992</v>
      </c>
      <c r="I18" s="150">
        <f t="shared" si="0"/>
        <v>121612.07247676999</v>
      </c>
      <c r="J18" s="149">
        <f t="shared" si="0"/>
        <v>79992</v>
      </c>
      <c r="K18" s="149">
        <f t="shared" si="0"/>
        <v>64013.004249999998</v>
      </c>
      <c r="L18" s="149">
        <f t="shared" si="0"/>
        <v>64251.771867159994</v>
      </c>
      <c r="M18" s="157">
        <f t="shared" si="0"/>
        <v>128264.77611716001</v>
      </c>
      <c r="N18" s="149">
        <f>SUM(N16,N14,N12,N10,N8,N6)</f>
        <v>282</v>
      </c>
      <c r="O18" s="149">
        <f>SUM(O16,O14,O12,O10,O8,O6)</f>
        <v>282</v>
      </c>
      <c r="P18" s="158">
        <f>SUM(P16,P14,P12,P10,P8,P6)</f>
        <v>254</v>
      </c>
    </row>
    <row r="19" spans="2:28" ht="15" customHeight="1" thickBot="1" x14ac:dyDescent="0.35">
      <c r="B19" s="16" t="s">
        <v>51</v>
      </c>
      <c r="C19" s="17">
        <v>1515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35">
      <c r="B20" s="57" t="s">
        <v>52</v>
      </c>
      <c r="C20" s="58">
        <v>5258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9.9290780141843976E-2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11259</v>
      </c>
      <c r="D25" s="76">
        <f>C13</f>
        <v>9796</v>
      </c>
      <c r="E25" s="77">
        <f t="shared" ref="E25:E32" si="1">D25-C25</f>
        <v>-1463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39349</v>
      </c>
      <c r="D28" s="76">
        <f>C9+C14+C15+C16+C17</f>
        <v>40255</v>
      </c>
      <c r="E28" s="77">
        <f t="shared" si="1"/>
        <v>906</v>
      </c>
      <c r="F28" s="1" t="s">
        <v>75</v>
      </c>
      <c r="P28" s="4"/>
    </row>
    <row r="29" spans="2:28" x14ac:dyDescent="0.3">
      <c r="B29" s="74" t="s">
        <v>21</v>
      </c>
      <c r="C29" s="122">
        <v>50</v>
      </c>
      <c r="D29" s="76">
        <f>C6</f>
        <v>50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2517</v>
      </c>
      <c r="D30" s="76">
        <f>C12</f>
        <v>2517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17840</v>
      </c>
      <c r="D31" s="76">
        <f>C18+C19+C20</f>
        <v>17096</v>
      </c>
      <c r="E31" s="77">
        <f t="shared" si="1"/>
        <v>-744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>
    <tabColor theme="1"/>
    <pageSetUpPr fitToPage="1"/>
  </sheetPr>
  <dimension ref="B1:AB32"/>
  <sheetViews>
    <sheetView zoomScale="85" zoomScaleNormal="85" zoomScaleSheetLayoutView="70" workbookViewId="0">
      <selection activeCell="I28" sqref="I2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56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2:27" ht="6" customHeight="1" x14ac:dyDescent="0.3"/>
    <row r="2" spans="2:27" ht="22.5" customHeight="1" x14ac:dyDescent="0.3">
      <c r="B2" t="s">
        <v>0</v>
      </c>
      <c r="C2" s="2">
        <v>44713</v>
      </c>
    </row>
    <row r="3" spans="2:27" ht="18.75" customHeight="1" thickBot="1" x14ac:dyDescent="0.35">
      <c r="B3" t="s">
        <v>1</v>
      </c>
      <c r="C3" s="3">
        <f>C2+1</f>
        <v>44714</v>
      </c>
    </row>
    <row r="4" spans="2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3">
      <c r="B6" s="16" t="s">
        <v>21</v>
      </c>
      <c r="C6" s="17">
        <v>97</v>
      </c>
      <c r="E6" s="161" t="s">
        <v>22</v>
      </c>
      <c r="F6" s="119">
        <v>25949</v>
      </c>
      <c r="G6" s="117">
        <v>14532.13548333333</v>
      </c>
      <c r="H6" s="117">
        <v>5561.2822593999981</v>
      </c>
      <c r="I6" s="152">
        <f>G6+H6</f>
        <v>20093.417742733327</v>
      </c>
      <c r="J6" s="119">
        <v>24873</v>
      </c>
      <c r="K6" s="117">
        <v>14203.343483333339</v>
      </c>
      <c r="L6" s="117">
        <v>5150.9879247999997</v>
      </c>
      <c r="M6" s="162">
        <f>K6+L6</f>
        <v>19354.331408133337</v>
      </c>
      <c r="N6" s="87">
        <v>92</v>
      </c>
      <c r="O6" s="87">
        <v>83</v>
      </c>
      <c r="P6" s="87">
        <v>82</v>
      </c>
    </row>
    <row r="7" spans="2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2:27" x14ac:dyDescent="0.3">
      <c r="B8" s="16" t="s">
        <v>103</v>
      </c>
      <c r="C8" s="17">
        <v>0</v>
      </c>
      <c r="E8" s="161" t="s">
        <v>27</v>
      </c>
      <c r="F8" s="119"/>
      <c r="G8" s="117">
        <v>0</v>
      </c>
      <c r="H8" s="117">
        <v>3647.64816204</v>
      </c>
      <c r="I8" s="152">
        <f>G8+H8</f>
        <v>3647.64816204</v>
      </c>
      <c r="J8" s="119">
        <v>0</v>
      </c>
      <c r="K8" s="117">
        <v>0</v>
      </c>
      <c r="L8" s="117">
        <v>3468.79984448</v>
      </c>
      <c r="M8" s="162">
        <f>K8+L8</f>
        <v>3468.79984448</v>
      </c>
      <c r="N8" s="87">
        <v>7</v>
      </c>
      <c r="O8" s="87">
        <v>7</v>
      </c>
      <c r="P8" s="87">
        <v>7</v>
      </c>
    </row>
    <row r="9" spans="2:27" x14ac:dyDescent="0.3">
      <c r="B9" s="16" t="s">
        <v>23</v>
      </c>
      <c r="C9" s="17">
        <v>2637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3">
      <c r="B10" s="28" t="s">
        <v>26</v>
      </c>
      <c r="C10" s="17">
        <v>900</v>
      </c>
      <c r="E10" s="161" t="s">
        <v>31</v>
      </c>
      <c r="F10" s="119">
        <v>19527</v>
      </c>
      <c r="G10" s="117">
        <v>13162.361999999999</v>
      </c>
      <c r="H10" s="117">
        <v>1294.57210904</v>
      </c>
      <c r="I10" s="152">
        <f>G10+H10</f>
        <v>14456.934109039999</v>
      </c>
      <c r="J10" s="119">
        <v>18961</v>
      </c>
      <c r="K10" s="117">
        <v>13197.612499999999</v>
      </c>
      <c r="L10" s="117">
        <v>1287.4116922799999</v>
      </c>
      <c r="M10" s="162">
        <f>K10+L10</f>
        <v>14485.02419228</v>
      </c>
      <c r="N10" s="88">
        <v>63</v>
      </c>
      <c r="O10" s="88">
        <v>63</v>
      </c>
      <c r="P10" s="88">
        <v>57</v>
      </c>
    </row>
    <row r="11" spans="2:27" x14ac:dyDescent="0.3">
      <c r="B11" s="28" t="s">
        <v>28</v>
      </c>
      <c r="C11" s="17">
        <v>570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3">
      <c r="B12" s="16" t="s">
        <v>30</v>
      </c>
      <c r="C12" s="17">
        <v>2168</v>
      </c>
      <c r="E12" s="161" t="s">
        <v>35</v>
      </c>
      <c r="F12" s="119">
        <v>16742</v>
      </c>
      <c r="G12" s="117">
        <v>11847.923500000001</v>
      </c>
      <c r="H12" s="117">
        <v>20575.675874140001</v>
      </c>
      <c r="I12" s="152">
        <f>G12+H12</f>
        <v>32423.599374140002</v>
      </c>
      <c r="J12" s="119">
        <v>16569</v>
      </c>
      <c r="K12" s="117">
        <v>14130.98625</v>
      </c>
      <c r="L12" s="117">
        <v>20199.638097620002</v>
      </c>
      <c r="M12" s="162">
        <f>K12+L12</f>
        <v>34330.624347620003</v>
      </c>
      <c r="N12" s="88">
        <v>58</v>
      </c>
      <c r="O12" s="88">
        <v>57</v>
      </c>
      <c r="P12" s="88">
        <v>51</v>
      </c>
    </row>
    <row r="13" spans="2:27" x14ac:dyDescent="0.3">
      <c r="B13" s="16" t="s">
        <v>38</v>
      </c>
      <c r="C13" s="17">
        <v>9962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3">
      <c r="B14" s="16" t="s">
        <v>40</v>
      </c>
      <c r="C14" s="17">
        <v>1497</v>
      </c>
      <c r="E14" s="161" t="s">
        <v>39</v>
      </c>
      <c r="F14" s="119">
        <v>25798</v>
      </c>
      <c r="G14" s="117">
        <v>20020.2605</v>
      </c>
      <c r="H14" s="117">
        <v>32390.23415891999</v>
      </c>
      <c r="I14" s="152">
        <f>G14+H14</f>
        <v>52410.49465891999</v>
      </c>
      <c r="J14" s="119">
        <v>25745</v>
      </c>
      <c r="K14" s="117">
        <v>22206.730500000001</v>
      </c>
      <c r="L14" s="117">
        <v>31965.147515559991</v>
      </c>
      <c r="M14" s="162">
        <f>K14+L14</f>
        <v>54171.878015559996</v>
      </c>
      <c r="N14" s="88">
        <v>81</v>
      </c>
      <c r="O14" s="88">
        <v>85</v>
      </c>
      <c r="P14" s="88">
        <v>73</v>
      </c>
    </row>
    <row r="15" spans="2:27" x14ac:dyDescent="0.3">
      <c r="B15" s="28" t="s">
        <v>42</v>
      </c>
      <c r="C15" s="17">
        <v>39989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2:27" x14ac:dyDescent="0.3">
      <c r="B16" s="43" t="s">
        <v>47</v>
      </c>
      <c r="C16" s="17">
        <v>1034</v>
      </c>
      <c r="E16" s="161" t="s">
        <v>79</v>
      </c>
      <c r="F16" s="119"/>
      <c r="G16" s="117">
        <v>0</v>
      </c>
      <c r="H16" s="117">
        <v>5845.6311056399991</v>
      </c>
      <c r="I16" s="152">
        <f>G16+H16</f>
        <v>5845.6311056399991</v>
      </c>
      <c r="J16" s="119">
        <v>0</v>
      </c>
      <c r="K16" s="117">
        <v>0</v>
      </c>
      <c r="L16" s="117">
        <v>5597.5951445999999</v>
      </c>
      <c r="M16" s="162">
        <f>K16+L16</f>
        <v>5597.5951445999999</v>
      </c>
      <c r="N16" s="88">
        <v>11</v>
      </c>
      <c r="O16" s="88">
        <v>10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10037</v>
      </c>
      <c r="E18" s="84"/>
      <c r="F18" s="148">
        <f t="shared" ref="F18:M18" si="0">SUM(F6:F17)</f>
        <v>88016</v>
      </c>
      <c r="G18" s="149">
        <f t="shared" si="0"/>
        <v>59562.681483333334</v>
      </c>
      <c r="H18" s="149">
        <f t="shared" si="0"/>
        <v>69315.043669179984</v>
      </c>
      <c r="I18" s="150">
        <f t="shared" si="0"/>
        <v>128877.7251525133</v>
      </c>
      <c r="J18" s="149">
        <f t="shared" si="0"/>
        <v>86148</v>
      </c>
      <c r="K18" s="149">
        <f t="shared" si="0"/>
        <v>63738.67273333334</v>
      </c>
      <c r="L18" s="149">
        <f t="shared" si="0"/>
        <v>67669.580219339987</v>
      </c>
      <c r="M18" s="157">
        <f t="shared" si="0"/>
        <v>131408.25295267336</v>
      </c>
      <c r="N18" s="149">
        <f>SUM(N16,N14,N12,N10,N8,N6)</f>
        <v>312</v>
      </c>
      <c r="O18" s="149">
        <f>SUM(O16,O14,O12,O10,O8,O6)</f>
        <v>305</v>
      </c>
      <c r="P18" s="158">
        <f>SUM(P16,P14,P12,P10,P8,P6)</f>
        <v>281</v>
      </c>
    </row>
    <row r="19" spans="2:28" ht="15" customHeight="1" thickBot="1" x14ac:dyDescent="0.35">
      <c r="B19" s="16" t="s">
        <v>51</v>
      </c>
      <c r="C19" s="17">
        <v>1897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35">
      <c r="B20" s="57" t="s">
        <v>52</v>
      </c>
      <c r="C20" s="58">
        <v>4535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7.8688524590163941E-2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11646</v>
      </c>
      <c r="D25" s="76">
        <f>C13</f>
        <v>9962</v>
      </c>
      <c r="E25" s="77">
        <f t="shared" ref="E25:E32" si="1">D25-C25</f>
        <v>-1684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40002</v>
      </c>
      <c r="D28" s="76">
        <f>C9+C14+C15+C16+C17</f>
        <v>45363</v>
      </c>
      <c r="E28" s="77">
        <f t="shared" si="1"/>
        <v>5361</v>
      </c>
      <c r="F28" s="1" t="s">
        <v>75</v>
      </c>
      <c r="P28" s="4"/>
    </row>
    <row r="29" spans="2:28" x14ac:dyDescent="0.3">
      <c r="B29" s="74" t="s">
        <v>21</v>
      </c>
      <c r="C29" s="122">
        <v>97</v>
      </c>
      <c r="D29" s="76">
        <f>C6</f>
        <v>97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2168</v>
      </c>
      <c r="D30" s="76">
        <f>C12</f>
        <v>2168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16600</v>
      </c>
      <c r="D31" s="76">
        <f>C18+C19+C20</f>
        <v>16469</v>
      </c>
      <c r="E31" s="77">
        <f t="shared" si="1"/>
        <v>-131</v>
      </c>
      <c r="K31" s="53"/>
      <c r="P31" s="4"/>
    </row>
    <row r="32" spans="2:28" ht="15" customHeight="1" thickBot="1" x14ac:dyDescent="0.35">
      <c r="B32" s="78" t="s">
        <v>60</v>
      </c>
      <c r="C32" s="121">
        <v>1470</v>
      </c>
      <c r="D32" s="80">
        <f>C10+C11</f>
        <v>1470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>
    <tabColor theme="1"/>
    <pageSetUpPr fitToPage="1"/>
  </sheetPr>
  <dimension ref="A1:AB32"/>
  <sheetViews>
    <sheetView zoomScale="85" zoomScaleNormal="85" zoomScaleSheetLayoutView="70" workbookViewId="0">
      <selection activeCell="A12" sqref="A1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56.10937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44715</v>
      </c>
    </row>
    <row r="3" spans="1:27" ht="18.75" customHeight="1" thickBot="1" x14ac:dyDescent="0.35">
      <c r="B3" t="s">
        <v>1</v>
      </c>
      <c r="C3" s="3">
        <f>C2+1</f>
        <v>44716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1:27" x14ac:dyDescent="0.3">
      <c r="B6" s="16" t="s">
        <v>21</v>
      </c>
      <c r="C6" s="17">
        <v>0</v>
      </c>
      <c r="E6" s="161" t="s">
        <v>22</v>
      </c>
      <c r="F6" s="119">
        <v>21613</v>
      </c>
      <c r="G6" s="117">
        <v>13319.418500000011</v>
      </c>
      <c r="H6" s="117">
        <v>4192.6563269599992</v>
      </c>
      <c r="I6" s="152">
        <f>G6+H6</f>
        <v>17512.074826960008</v>
      </c>
      <c r="J6" s="119">
        <v>20796</v>
      </c>
      <c r="K6" s="117">
        <v>12325.3385</v>
      </c>
      <c r="L6" s="117">
        <v>4014.6316034000001</v>
      </c>
      <c r="M6" s="162">
        <f>K6+L6</f>
        <v>16339.970103399999</v>
      </c>
      <c r="N6" s="87">
        <v>92</v>
      </c>
      <c r="O6" s="87">
        <v>82</v>
      </c>
      <c r="P6" s="87">
        <v>78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3881.3348527799999</v>
      </c>
      <c r="I8" s="152">
        <f>G8+H8</f>
        <v>3881.3348527799999</v>
      </c>
      <c r="J8" s="119">
        <v>0</v>
      </c>
      <c r="K8" s="117">
        <v>0</v>
      </c>
      <c r="L8" s="117">
        <v>3794.607019940001</v>
      </c>
      <c r="M8" s="162">
        <f>K8+L8</f>
        <v>3794.607019940001</v>
      </c>
      <c r="N8" s="87">
        <v>8</v>
      </c>
      <c r="O8" s="87">
        <v>8</v>
      </c>
      <c r="P8" s="87">
        <v>8</v>
      </c>
    </row>
    <row r="9" spans="1:27" x14ac:dyDescent="0.3">
      <c r="B9" s="16" t="s">
        <v>23</v>
      </c>
      <c r="C9" s="17">
        <v>2041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17560</v>
      </c>
      <c r="G10" s="117">
        <v>13790.012000000001</v>
      </c>
      <c r="H10" s="117">
        <v>758.95880949999992</v>
      </c>
      <c r="I10" s="152">
        <f>G10+H10</f>
        <v>14548.970809500001</v>
      </c>
      <c r="J10" s="119">
        <v>17415</v>
      </c>
      <c r="K10" s="117">
        <v>13593.4905</v>
      </c>
      <c r="L10" s="117">
        <v>752.31364044000009</v>
      </c>
      <c r="M10" s="162">
        <f>K10+L10</f>
        <v>14345.804140439999</v>
      </c>
      <c r="N10" s="88">
        <v>58</v>
      </c>
      <c r="O10" s="88">
        <v>57</v>
      </c>
      <c r="P10" s="88">
        <v>56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 t="s">
        <v>121</v>
      </c>
      <c r="B12" s="16" t="s">
        <v>30</v>
      </c>
      <c r="C12" s="17">
        <v>5202</v>
      </c>
      <c r="E12" s="161" t="s">
        <v>35</v>
      </c>
      <c r="F12" s="119">
        <v>14664</v>
      </c>
      <c r="G12" s="117">
        <v>12393.72075</v>
      </c>
      <c r="H12" s="117">
        <v>18000.517548439999</v>
      </c>
      <c r="I12" s="152">
        <f>G12+H12</f>
        <v>30394.238298439999</v>
      </c>
      <c r="J12" s="119">
        <v>14293</v>
      </c>
      <c r="K12" s="117">
        <v>14247.509749999999</v>
      </c>
      <c r="L12" s="117">
        <v>17767.986160690001</v>
      </c>
      <c r="M12" s="162">
        <f>K12+L12</f>
        <v>32015.495910689999</v>
      </c>
      <c r="N12" s="88">
        <v>60</v>
      </c>
      <c r="O12" s="88">
        <v>58</v>
      </c>
      <c r="P12" s="88">
        <v>53</v>
      </c>
    </row>
    <row r="13" spans="1:27" x14ac:dyDescent="0.3">
      <c r="B13" s="16" t="s">
        <v>38</v>
      </c>
      <c r="C13" s="17">
        <v>8080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2067</v>
      </c>
      <c r="E14" s="161" t="s">
        <v>39</v>
      </c>
      <c r="F14" s="119">
        <v>32785</v>
      </c>
      <c r="G14" s="117">
        <v>23955.727500000001</v>
      </c>
      <c r="H14" s="117">
        <v>40307.74466116001</v>
      </c>
      <c r="I14" s="152">
        <f>G14+H14</f>
        <v>64263.472161160011</v>
      </c>
      <c r="J14" s="119">
        <v>33126</v>
      </c>
      <c r="K14" s="117">
        <v>28308.702249999998</v>
      </c>
      <c r="L14" s="117">
        <v>40569.942780240017</v>
      </c>
      <c r="M14" s="162">
        <f>K14+L14</f>
        <v>68878.645030240019</v>
      </c>
      <c r="N14" s="88">
        <v>85</v>
      </c>
      <c r="O14" s="88">
        <v>90</v>
      </c>
      <c r="P14" s="88">
        <v>68</v>
      </c>
    </row>
    <row r="15" spans="1:27" x14ac:dyDescent="0.3">
      <c r="B15" s="28" t="s">
        <v>42</v>
      </c>
      <c r="C15" s="17">
        <f>43194-7071</f>
        <v>36123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22</v>
      </c>
    </row>
    <row r="16" spans="1:27" x14ac:dyDescent="0.3">
      <c r="B16" s="43" t="s">
        <v>47</v>
      </c>
      <c r="C16" s="17">
        <v>2412</v>
      </c>
      <c r="E16" s="161" t="s">
        <v>79</v>
      </c>
      <c r="F16" s="119">
        <v>0</v>
      </c>
      <c r="G16" s="117">
        <v>0</v>
      </c>
      <c r="H16" s="117">
        <v>9728.2793983800002</v>
      </c>
      <c r="I16" s="152">
        <f>G16+H16</f>
        <v>9728.2793983800002</v>
      </c>
      <c r="J16" s="119">
        <v>0</v>
      </c>
      <c r="K16" s="117">
        <v>0</v>
      </c>
      <c r="L16" s="117">
        <v>9665.0925102399997</v>
      </c>
      <c r="M16" s="162">
        <f>K16+L16</f>
        <v>9665.0925102399997</v>
      </c>
      <c r="N16" s="88">
        <v>14</v>
      </c>
      <c r="O16" s="88">
        <v>12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551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9555</v>
      </c>
      <c r="E18" s="84"/>
      <c r="F18" s="148">
        <f t="shared" ref="F18:M18" si="0">SUM(F6:F17)</f>
        <v>86622</v>
      </c>
      <c r="G18" s="149">
        <f t="shared" si="0"/>
        <v>63458.878750000011</v>
      </c>
      <c r="H18" s="149">
        <f t="shared" si="0"/>
        <v>76869.491597220011</v>
      </c>
      <c r="I18" s="150">
        <f t="shared" si="0"/>
        <v>140328.37034722001</v>
      </c>
      <c r="J18" s="149">
        <f t="shared" si="0"/>
        <v>85630</v>
      </c>
      <c r="K18" s="149">
        <f t="shared" si="0"/>
        <v>68475.040999999997</v>
      </c>
      <c r="L18" s="149">
        <f t="shared" si="0"/>
        <v>76564.573714950035</v>
      </c>
      <c r="M18" s="157">
        <f t="shared" si="0"/>
        <v>145039.61471495</v>
      </c>
      <c r="N18" s="149">
        <f>SUM(N16,N14,N12,N10,N8,N6)</f>
        <v>317</v>
      </c>
      <c r="O18" s="149">
        <f>SUM(O16,O14,O12,O10,O8,O6)</f>
        <v>307</v>
      </c>
      <c r="P18" s="158">
        <f>SUM(P16,P14,P12,P10,P8,P6)</f>
        <v>276</v>
      </c>
    </row>
    <row r="19" spans="2:28" ht="15" customHeight="1" thickBot="1" x14ac:dyDescent="0.35">
      <c r="B19" s="16" t="s">
        <v>51</v>
      </c>
      <c r="C19" s="17">
        <v>519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ht="15" customHeight="1" thickBot="1" x14ac:dyDescent="0.35">
      <c r="B20" s="57" t="s">
        <v>52</v>
      </c>
      <c r="C20" s="58">
        <v>4959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0.10097719869706841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8983</v>
      </c>
      <c r="D25" s="76">
        <f>C13</f>
        <v>8080</v>
      </c>
      <c r="E25" s="77">
        <f t="shared" ref="E25:E32" si="1">D25-C25</f>
        <v>-903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43099</v>
      </c>
      <c r="D28" s="76">
        <f>C9+C14+C15+C16+C17</f>
        <v>43194</v>
      </c>
      <c r="E28" s="77">
        <f t="shared" si="1"/>
        <v>95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5202</v>
      </c>
      <c r="D30" s="76">
        <f>C12</f>
        <v>5202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15155</v>
      </c>
      <c r="D31" s="76">
        <f>C18+C19+C20</f>
        <v>15033</v>
      </c>
      <c r="E31" s="77">
        <f t="shared" si="1"/>
        <v>-122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>
    <tabColor theme="1"/>
    <pageSetUpPr fitToPage="1"/>
  </sheetPr>
  <dimension ref="A1:AB32"/>
  <sheetViews>
    <sheetView zoomScale="85" zoomScaleNormal="85" zoomScaleSheetLayoutView="70" workbookViewId="0">
      <selection activeCell="A6" sqref="A6:A1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44716</v>
      </c>
    </row>
    <row r="3" spans="1:27" ht="18.75" customHeight="1" thickBot="1" x14ac:dyDescent="0.35">
      <c r="B3" t="s">
        <v>1</v>
      </c>
      <c r="C3" s="3">
        <f>C2+1</f>
        <v>44717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 t="s">
        <v>122</v>
      </c>
    </row>
    <row r="6" spans="1:27" x14ac:dyDescent="0.3">
      <c r="A6" s="166" t="s">
        <v>123</v>
      </c>
      <c r="B6" s="16" t="s">
        <v>21</v>
      </c>
      <c r="C6" s="17">
        <v>67</v>
      </c>
      <c r="E6" s="161" t="s">
        <v>22</v>
      </c>
      <c r="F6" s="119">
        <v>25432</v>
      </c>
      <c r="G6" s="117">
        <v>12371.30736666667</v>
      </c>
      <c r="H6" s="117">
        <v>4621.1620532199986</v>
      </c>
      <c r="I6" s="152">
        <f>G6+H6</f>
        <v>16992.469419886667</v>
      </c>
      <c r="J6" s="119">
        <v>25247</v>
      </c>
      <c r="K6" s="117">
        <v>13814.74336666666</v>
      </c>
      <c r="L6" s="117">
        <v>4292.736094079999</v>
      </c>
      <c r="M6" s="162">
        <f>K6+L6</f>
        <v>18107.479460746661</v>
      </c>
      <c r="N6" s="87">
        <v>95</v>
      </c>
      <c r="O6" s="87">
        <v>87</v>
      </c>
      <c r="P6" s="87">
        <v>79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3421.2710218799989</v>
      </c>
      <c r="I8" s="152">
        <f>G8+H8</f>
        <v>3421.2710218799989</v>
      </c>
      <c r="J8" s="119">
        <v>0</v>
      </c>
      <c r="K8" s="117">
        <v>0</v>
      </c>
      <c r="L8" s="117">
        <v>3362.0436418999998</v>
      </c>
      <c r="M8" s="162">
        <f>K8+L8</f>
        <v>3362.0436418999998</v>
      </c>
      <c r="N8" s="87">
        <v>7</v>
      </c>
      <c r="O8" s="87">
        <v>7</v>
      </c>
      <c r="P8" s="87">
        <v>5</v>
      </c>
    </row>
    <row r="9" spans="1:27" x14ac:dyDescent="0.3">
      <c r="B9" s="16" t="s">
        <v>23</v>
      </c>
      <c r="C9" s="17">
        <v>1916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835</v>
      </c>
      <c r="E10" s="161" t="s">
        <v>31</v>
      </c>
      <c r="F10" s="119">
        <v>17681</v>
      </c>
      <c r="G10" s="117">
        <v>12313.871999999999</v>
      </c>
      <c r="H10" s="117">
        <v>1245.3331651999999</v>
      </c>
      <c r="I10" s="152">
        <f>G10+H10</f>
        <v>13559.205165199999</v>
      </c>
      <c r="J10" s="119">
        <v>17774</v>
      </c>
      <c r="K10" s="117">
        <v>12859.815500000001</v>
      </c>
      <c r="L10" s="117">
        <v>1293.27814786</v>
      </c>
      <c r="M10" s="162">
        <f>K10+L10</f>
        <v>14153.093647860002</v>
      </c>
      <c r="N10" s="88">
        <v>61</v>
      </c>
      <c r="O10" s="88">
        <v>60</v>
      </c>
      <c r="P10" s="88">
        <v>58</v>
      </c>
    </row>
    <row r="11" spans="1:27" x14ac:dyDescent="0.3">
      <c r="B11" s="28" t="s">
        <v>28</v>
      </c>
      <c r="C11" s="17">
        <v>350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 t="s">
        <v>124</v>
      </c>
      <c r="B12" s="16" t="s">
        <v>30</v>
      </c>
      <c r="C12" s="17">
        <v>2619</v>
      </c>
      <c r="E12" s="161" t="s">
        <v>35</v>
      </c>
      <c r="F12" s="119">
        <v>15850</v>
      </c>
      <c r="G12" s="117">
        <v>12798.257250000001</v>
      </c>
      <c r="H12" s="117">
        <v>19180.879456660012</v>
      </c>
      <c r="I12" s="152">
        <f>G12+H12</f>
        <v>31979.136706660014</v>
      </c>
      <c r="J12" s="119">
        <v>14551</v>
      </c>
      <c r="K12" s="117">
        <v>12840.644749999999</v>
      </c>
      <c r="L12" s="117">
        <v>18136.922186309999</v>
      </c>
      <c r="M12" s="162">
        <f>K12+L12</f>
        <v>30977.566936309999</v>
      </c>
      <c r="N12" s="88">
        <v>64</v>
      </c>
      <c r="O12" s="88">
        <v>63</v>
      </c>
      <c r="P12" s="88">
        <v>49</v>
      </c>
    </row>
    <row r="13" spans="1:27" x14ac:dyDescent="0.3">
      <c r="B13" s="16" t="s">
        <v>38</v>
      </c>
      <c r="C13" s="17">
        <v>9703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14</v>
      </c>
    </row>
    <row r="14" spans="1:27" x14ac:dyDescent="0.3">
      <c r="B14" s="16" t="s">
        <v>40</v>
      </c>
      <c r="C14" s="17">
        <v>1269</v>
      </c>
      <c r="E14" s="161" t="s">
        <v>39</v>
      </c>
      <c r="F14" s="119">
        <v>27089</v>
      </c>
      <c r="G14" s="117">
        <v>23356.508249999999</v>
      </c>
      <c r="H14" s="117">
        <v>32112.642089700021</v>
      </c>
      <c r="I14" s="152">
        <f>G14+H14</f>
        <v>55469.15033970002</v>
      </c>
      <c r="J14" s="119">
        <v>26084</v>
      </c>
      <c r="K14" s="117">
        <v>21966.956750000001</v>
      </c>
      <c r="L14" s="117">
        <v>30584.191330360001</v>
      </c>
      <c r="M14" s="162">
        <f>K14+L14</f>
        <v>52551.148080359999</v>
      </c>
      <c r="N14" s="88">
        <v>83</v>
      </c>
      <c r="O14" s="88">
        <v>85</v>
      </c>
      <c r="P14" s="88">
        <v>67</v>
      </c>
    </row>
    <row r="15" spans="1:27" x14ac:dyDescent="0.3">
      <c r="B15" s="28" t="s">
        <v>42</v>
      </c>
      <c r="C15" s="17">
        <f>37189-4503</f>
        <v>32686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3">
      <c r="B16" s="43" t="s">
        <v>47</v>
      </c>
      <c r="C16" s="17">
        <v>1092</v>
      </c>
      <c r="E16" s="161" t="s">
        <v>79</v>
      </c>
      <c r="F16" s="119">
        <v>0</v>
      </c>
      <c r="G16" s="117">
        <v>0</v>
      </c>
      <c r="H16" s="117">
        <v>5300.9478837000006</v>
      </c>
      <c r="I16" s="152">
        <f>G16+H16</f>
        <v>5300.9478837000006</v>
      </c>
      <c r="J16" s="119">
        <v>0</v>
      </c>
      <c r="K16" s="117">
        <v>0</v>
      </c>
      <c r="L16" s="117">
        <v>5227.3360824800002</v>
      </c>
      <c r="M16" s="162">
        <f>K16+L16</f>
        <v>5227.3360824800002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226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11246</v>
      </c>
      <c r="E18" s="84"/>
      <c r="F18" s="148">
        <f t="shared" ref="F18:M18" si="0">SUM(F6:F17)</f>
        <v>86052</v>
      </c>
      <c r="G18" s="149">
        <f t="shared" si="0"/>
        <v>60839.944866666672</v>
      </c>
      <c r="H18" s="149">
        <f t="shared" si="0"/>
        <v>65882.235670360038</v>
      </c>
      <c r="I18" s="150">
        <f t="shared" si="0"/>
        <v>126722.18053702671</v>
      </c>
      <c r="J18" s="149">
        <f t="shared" si="0"/>
        <v>83656</v>
      </c>
      <c r="K18" s="149">
        <f t="shared" si="0"/>
        <v>61482.160366666663</v>
      </c>
      <c r="L18" s="149">
        <f t="shared" si="0"/>
        <v>62896.507482989997</v>
      </c>
      <c r="M18" s="157">
        <f t="shared" si="0"/>
        <v>124378.66784965666</v>
      </c>
      <c r="N18" s="149">
        <f>SUM(N16,N14,N12,N10,N8,N6)</f>
        <v>322</v>
      </c>
      <c r="O18" s="149">
        <f>SUM(O16,O14,O12,O10,O8,O6)</f>
        <v>314</v>
      </c>
      <c r="P18" s="158">
        <f>SUM(P16,P14,P12,P10,P8,P6)</f>
        <v>270</v>
      </c>
    </row>
    <row r="19" spans="2:28" ht="15" customHeight="1" thickBot="1" x14ac:dyDescent="0.35">
      <c r="B19" s="16" t="s">
        <v>51</v>
      </c>
      <c r="C19" s="17">
        <v>1560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44</v>
      </c>
    </row>
    <row r="20" spans="2:28" ht="15" customHeight="1" thickBot="1" x14ac:dyDescent="0.35">
      <c r="B20" s="57" t="s">
        <v>52</v>
      </c>
      <c r="C20" s="58">
        <v>4862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0.14012738853503184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10476</v>
      </c>
      <c r="D25" s="76">
        <f>C13</f>
        <v>9703</v>
      </c>
      <c r="E25" s="77">
        <f t="shared" ref="E25:E32" si="1">D25-C25</f>
        <v>-773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39449</v>
      </c>
      <c r="D28" s="76">
        <f>C9+C14+C15+C16+C17</f>
        <v>37189</v>
      </c>
      <c r="E28" s="77">
        <f t="shared" si="1"/>
        <v>-2260</v>
      </c>
      <c r="F28" s="1" t="s">
        <v>75</v>
      </c>
      <c r="P28" s="4"/>
    </row>
    <row r="29" spans="2:28" x14ac:dyDescent="0.3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2619</v>
      </c>
      <c r="D30" s="76">
        <f>C12</f>
        <v>2619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17050</v>
      </c>
      <c r="D31" s="76">
        <f>C18+C19+C20</f>
        <v>17668</v>
      </c>
      <c r="E31" s="77">
        <f t="shared" si="1"/>
        <v>618</v>
      </c>
      <c r="K31" s="53"/>
      <c r="P31" s="4"/>
    </row>
    <row r="32" spans="2:28" ht="15" customHeight="1" thickBot="1" x14ac:dyDescent="0.35">
      <c r="B32" s="78" t="s">
        <v>60</v>
      </c>
      <c r="C32" s="121">
        <v>1185</v>
      </c>
      <c r="D32" s="80">
        <f>C10+C11</f>
        <v>1185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>
    <tabColor theme="1"/>
    <pageSetUpPr fitToPage="1"/>
  </sheetPr>
  <dimension ref="A1:AB32"/>
  <sheetViews>
    <sheetView zoomScale="85" zoomScaleNormal="85" zoomScaleSheetLayoutView="70" workbookViewId="0">
      <selection activeCell="G26" sqref="G2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44717</v>
      </c>
    </row>
    <row r="3" spans="1:27" ht="18.75" customHeight="1" thickBot="1" x14ac:dyDescent="0.35">
      <c r="B3" t="s">
        <v>1</v>
      </c>
      <c r="C3" s="3">
        <f>C2+1</f>
        <v>44718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10670</v>
      </c>
      <c r="G6" s="117">
        <v>3606</v>
      </c>
      <c r="H6" s="117">
        <v>848</v>
      </c>
      <c r="I6" s="152">
        <f>G6+H6</f>
        <v>4454</v>
      </c>
      <c r="J6" s="119">
        <v>10379</v>
      </c>
      <c r="K6" s="117">
        <v>3511</v>
      </c>
      <c r="L6" s="117">
        <v>840</v>
      </c>
      <c r="M6" s="162">
        <f>K6+L6</f>
        <v>4351</v>
      </c>
      <c r="N6" s="87">
        <v>57</v>
      </c>
      <c r="O6" s="87">
        <v>53</v>
      </c>
      <c r="P6" s="87">
        <v>45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5940</v>
      </c>
      <c r="G10" s="117">
        <v>3057</v>
      </c>
      <c r="H10" s="117">
        <v>897</v>
      </c>
      <c r="I10" s="152">
        <f>G10+H10</f>
        <v>3954</v>
      </c>
      <c r="J10" s="119">
        <v>5675</v>
      </c>
      <c r="K10" s="117">
        <v>2911</v>
      </c>
      <c r="L10" s="117">
        <v>843</v>
      </c>
      <c r="M10" s="162">
        <f>K10+L10</f>
        <v>3754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10102</v>
      </c>
      <c r="E18" s="84"/>
      <c r="F18" s="148">
        <f t="shared" ref="F18:M18" si="0">SUM(F6:F17)</f>
        <v>16610</v>
      </c>
      <c r="G18" s="149">
        <f t="shared" si="0"/>
        <v>6663</v>
      </c>
      <c r="H18" s="149">
        <f t="shared" si="0"/>
        <v>1745</v>
      </c>
      <c r="I18" s="150">
        <f t="shared" si="0"/>
        <v>8408</v>
      </c>
      <c r="J18" s="149">
        <f t="shared" si="0"/>
        <v>16054</v>
      </c>
      <c r="K18" s="149">
        <f t="shared" si="0"/>
        <v>6422</v>
      </c>
      <c r="L18" s="149">
        <f t="shared" si="0"/>
        <v>1683</v>
      </c>
      <c r="M18" s="157">
        <f t="shared" si="0"/>
        <v>8105</v>
      </c>
      <c r="N18" s="149">
        <f>SUM(N16,N14,N12,N10,N8,N6)</f>
        <v>58</v>
      </c>
      <c r="O18" s="149">
        <f>SUM(O16,O14,O12,O10,O8,O6)</f>
        <v>53</v>
      </c>
      <c r="P18" s="158">
        <f>SUM(P16,P14,P12,P10,P8,P6)</f>
        <v>45</v>
      </c>
    </row>
    <row r="19" spans="2:28" ht="15" customHeight="1" thickBot="1" x14ac:dyDescent="0.35">
      <c r="B19" s="16" t="s">
        <v>51</v>
      </c>
      <c r="C19" s="17">
        <v>822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8</v>
      </c>
    </row>
    <row r="20" spans="2:28" ht="15" customHeight="1" thickBot="1" x14ac:dyDescent="0.35">
      <c r="B20" s="57" t="s">
        <v>52</v>
      </c>
      <c r="C20" s="58">
        <v>5130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0.15094339622641509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16610</v>
      </c>
      <c r="D31" s="76">
        <f>C18+C19+C20</f>
        <v>16054</v>
      </c>
      <c r="E31" s="77">
        <f t="shared" si="1"/>
        <v>-556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>
    <tabColor theme="1"/>
    <pageSetUpPr fitToPage="1"/>
  </sheetPr>
  <dimension ref="A1:AB32"/>
  <sheetViews>
    <sheetView zoomScale="85" zoomScaleNormal="85" zoomScaleSheetLayoutView="70" workbookViewId="0">
      <selection activeCell="F24" sqref="F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44718</v>
      </c>
    </row>
    <row r="3" spans="1:27" ht="18.75" customHeight="1" thickBot="1" x14ac:dyDescent="0.35">
      <c r="B3" t="s">
        <v>1</v>
      </c>
      <c r="C3" s="3">
        <f>C2+1</f>
        <v>44719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75</v>
      </c>
      <c r="E6" s="161" t="s">
        <v>22</v>
      </c>
      <c r="F6" s="119">
        <v>23608</v>
      </c>
      <c r="G6" s="117">
        <v>12028.57613333333</v>
      </c>
      <c r="H6" s="117">
        <v>4526.0229408600007</v>
      </c>
      <c r="I6" s="152">
        <f>G6+H6</f>
        <v>16554.599074193331</v>
      </c>
      <c r="J6" s="119">
        <v>24576</v>
      </c>
      <c r="K6" s="117">
        <v>13440.51738333333</v>
      </c>
      <c r="L6" s="117">
        <v>4821.1984414600029</v>
      </c>
      <c r="M6" s="162">
        <f>K6+L6</f>
        <v>18261.715824793333</v>
      </c>
      <c r="N6" s="87">
        <v>89</v>
      </c>
      <c r="O6" s="87">
        <v>88</v>
      </c>
      <c r="P6" s="87">
        <v>82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3509.33269036</v>
      </c>
      <c r="I8" s="152">
        <f>G8+H8</f>
        <v>3509.33269036</v>
      </c>
      <c r="J8" s="119">
        <v>0</v>
      </c>
      <c r="K8" s="117">
        <v>0</v>
      </c>
      <c r="L8" s="117">
        <v>3565.6135282000009</v>
      </c>
      <c r="M8" s="162">
        <f>K8+L8</f>
        <v>3565.6135282000009</v>
      </c>
      <c r="N8" s="87">
        <v>8</v>
      </c>
      <c r="O8" s="87">
        <v>8</v>
      </c>
      <c r="P8" s="87">
        <v>7</v>
      </c>
    </row>
    <row r="9" spans="1:27" x14ac:dyDescent="0.3">
      <c r="B9" s="16" t="s">
        <v>23</v>
      </c>
      <c r="C9" s="17">
        <v>1752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370</v>
      </c>
      <c r="E10" s="161" t="s">
        <v>31</v>
      </c>
      <c r="F10" s="119">
        <v>17868</v>
      </c>
      <c r="G10" s="117">
        <v>12531.52925</v>
      </c>
      <c r="H10" s="117">
        <v>950.65042700000004</v>
      </c>
      <c r="I10" s="152">
        <f>G10+H10</f>
        <v>13482.179677</v>
      </c>
      <c r="J10" s="119">
        <v>18030</v>
      </c>
      <c r="K10" s="117">
        <v>13066.197249999999</v>
      </c>
      <c r="L10" s="117">
        <v>979.84407748000001</v>
      </c>
      <c r="M10" s="162">
        <f>K10+L10</f>
        <v>14046.041327479999</v>
      </c>
      <c r="N10" s="88">
        <v>56</v>
      </c>
      <c r="O10" s="88">
        <v>56</v>
      </c>
      <c r="P10" s="88">
        <v>50</v>
      </c>
    </row>
    <row r="11" spans="1:27" x14ac:dyDescent="0.3">
      <c r="B11" s="28" t="s">
        <v>28</v>
      </c>
      <c r="C11" s="17">
        <v>200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4509</v>
      </c>
      <c r="E12" s="161" t="s">
        <v>35</v>
      </c>
      <c r="F12" s="119">
        <v>12739</v>
      </c>
      <c r="G12" s="117">
        <v>10698.60416666667</v>
      </c>
      <c r="H12" s="117">
        <v>16051.016763969999</v>
      </c>
      <c r="I12" s="152">
        <f>G12+H12</f>
        <v>26749.620930636669</v>
      </c>
      <c r="J12" s="119">
        <v>12836</v>
      </c>
      <c r="K12" s="117">
        <v>11639.81916666667</v>
      </c>
      <c r="L12" s="117">
        <v>15971.40715807</v>
      </c>
      <c r="M12" s="162">
        <f>K12+L12</f>
        <v>27611.226324736672</v>
      </c>
      <c r="N12" s="88">
        <v>55</v>
      </c>
      <c r="O12" s="88">
        <v>56</v>
      </c>
      <c r="P12" s="88">
        <v>41</v>
      </c>
    </row>
    <row r="13" spans="1:27" x14ac:dyDescent="0.3">
      <c r="B13" s="16" t="s">
        <v>38</v>
      </c>
      <c r="C13" s="17">
        <v>10339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15</v>
      </c>
    </row>
    <row r="14" spans="1:27" x14ac:dyDescent="0.3">
      <c r="B14" s="16" t="s">
        <v>40</v>
      </c>
      <c r="C14" s="17">
        <v>1901</v>
      </c>
      <c r="E14" s="161" t="s">
        <v>39</v>
      </c>
      <c r="F14" s="119">
        <v>29970</v>
      </c>
      <c r="G14" s="117">
        <v>21950.748749999999</v>
      </c>
      <c r="H14" s="117">
        <v>33807.031468300018</v>
      </c>
      <c r="I14" s="152">
        <f>G14+H14</f>
        <v>55757.780218300017</v>
      </c>
      <c r="J14" s="119">
        <v>30862</v>
      </c>
      <c r="K14" s="117">
        <v>24721.309000000001</v>
      </c>
      <c r="L14" s="117">
        <v>34741.451825380012</v>
      </c>
      <c r="M14" s="162">
        <f>K14+L14</f>
        <v>59462.760825380014</v>
      </c>
      <c r="N14" s="88">
        <v>81</v>
      </c>
      <c r="O14" s="88">
        <v>87</v>
      </c>
      <c r="P14" s="88">
        <v>68</v>
      </c>
    </row>
    <row r="15" spans="1:27" x14ac:dyDescent="0.3">
      <c r="B15" s="28" t="s">
        <v>42</v>
      </c>
      <c r="C15" s="17"/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19</v>
      </c>
    </row>
    <row r="16" spans="1:27" x14ac:dyDescent="0.3">
      <c r="B16" s="43" t="s">
        <v>47</v>
      </c>
      <c r="C16" s="17">
        <v>1587</v>
      </c>
      <c r="E16" s="161" t="s">
        <v>79</v>
      </c>
      <c r="F16" s="119">
        <v>0</v>
      </c>
      <c r="G16" s="117">
        <v>0</v>
      </c>
      <c r="H16" s="117">
        <v>8503.7884998600002</v>
      </c>
      <c r="I16" s="152">
        <f>G16+H16</f>
        <v>8503.7884998600002</v>
      </c>
      <c r="J16" s="119">
        <v>0</v>
      </c>
      <c r="K16" s="117">
        <v>0</v>
      </c>
      <c r="L16" s="117">
        <v>8528.177391199999</v>
      </c>
      <c r="M16" s="162">
        <f>K16+L16</f>
        <v>8528.177391199999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530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11362</v>
      </c>
      <c r="E18" s="84"/>
      <c r="F18" s="148">
        <f t="shared" ref="F18:M18" si="0">SUM(F6:F17)</f>
        <v>84185</v>
      </c>
      <c r="G18" s="149">
        <f t="shared" si="0"/>
        <v>57209.458299999998</v>
      </c>
      <c r="H18" s="149">
        <f t="shared" si="0"/>
        <v>67347.842790350027</v>
      </c>
      <c r="I18" s="150">
        <f t="shared" si="0"/>
        <v>124557.30109035003</v>
      </c>
      <c r="J18" s="149">
        <f t="shared" si="0"/>
        <v>86304</v>
      </c>
      <c r="K18" s="149">
        <f t="shared" si="0"/>
        <v>62867.842799999999</v>
      </c>
      <c r="L18" s="149">
        <f t="shared" si="0"/>
        <v>68607.692421790009</v>
      </c>
      <c r="M18" s="157">
        <f t="shared" si="0"/>
        <v>131475.53522179002</v>
      </c>
      <c r="N18" s="149">
        <f>SUM(N16,N14,N12,N10,N8,N6)</f>
        <v>300</v>
      </c>
      <c r="O18" s="149">
        <f>SUM(O16,O14,O12,O10,O8,O6)</f>
        <v>306</v>
      </c>
      <c r="P18" s="158">
        <f>SUM(P16,P14,P12,P10,P8,P6)</f>
        <v>259</v>
      </c>
    </row>
    <row r="19" spans="2:28" ht="15" customHeight="1" thickBot="1" x14ac:dyDescent="0.35">
      <c r="B19" s="16" t="s">
        <v>51</v>
      </c>
      <c r="C19" s="17">
        <v>1100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47</v>
      </c>
    </row>
    <row r="20" spans="2:28" ht="15" customHeight="1" thickBot="1" x14ac:dyDescent="0.35">
      <c r="B20" s="57" t="s">
        <v>52</v>
      </c>
      <c r="C20" s="58">
        <v>4972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0.15359477124183007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9937</v>
      </c>
      <c r="D25" s="76">
        <f>C13</f>
        <v>10339</v>
      </c>
      <c r="E25" s="77">
        <f t="shared" ref="E25:E32" si="1">D25-C25</f>
        <v>402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34678</v>
      </c>
      <c r="D28" s="76">
        <f>C9+C14+C15+C16+C17</f>
        <v>5770</v>
      </c>
      <c r="E28" s="77">
        <f t="shared" si="1"/>
        <v>-28908</v>
      </c>
      <c r="F28" s="1" t="s">
        <v>75</v>
      </c>
      <c r="P28" s="4"/>
    </row>
    <row r="29" spans="2:28" x14ac:dyDescent="0.3">
      <c r="B29" s="74" t="s">
        <v>21</v>
      </c>
      <c r="C29" s="122">
        <v>75</v>
      </c>
      <c r="D29" s="76">
        <f>C6</f>
        <v>75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4509</v>
      </c>
      <c r="D30" s="76">
        <f>C12</f>
        <v>4509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16810</v>
      </c>
      <c r="D31" s="76">
        <f>C18+C19+C20</f>
        <v>17434</v>
      </c>
      <c r="E31" s="77">
        <f t="shared" si="1"/>
        <v>624</v>
      </c>
      <c r="K31" s="53"/>
      <c r="P31" s="4"/>
    </row>
    <row r="32" spans="2:28" ht="15" customHeight="1" thickBot="1" x14ac:dyDescent="0.35">
      <c r="B32" s="78" t="s">
        <v>60</v>
      </c>
      <c r="C32" s="121">
        <v>570</v>
      </c>
      <c r="D32" s="80">
        <f>C10+C11</f>
        <v>570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>
    <tabColor theme="1"/>
    <pageSetUpPr fitToPage="1"/>
  </sheetPr>
  <dimension ref="A1:AB32"/>
  <sheetViews>
    <sheetView zoomScale="85" zoomScaleNormal="85" zoomScaleSheetLayoutView="70" workbookViewId="0">
      <selection activeCell="G24" sqref="G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44719</v>
      </c>
    </row>
    <row r="3" spans="1:27" ht="18.75" customHeight="1" thickBot="1" x14ac:dyDescent="0.35">
      <c r="B3" t="s">
        <v>1</v>
      </c>
      <c r="C3" s="3">
        <f>C2+1</f>
        <v>44720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93</v>
      </c>
      <c r="E6" s="161" t="s">
        <v>22</v>
      </c>
      <c r="F6" s="119">
        <v>25532</v>
      </c>
      <c r="G6" s="117">
        <v>13132.920366666671</v>
      </c>
      <c r="H6" s="117">
        <v>5401.8997715600044</v>
      </c>
      <c r="I6" s="152">
        <f>G6+H6</f>
        <v>18534.820138226674</v>
      </c>
      <c r="J6" s="119">
        <v>25931</v>
      </c>
      <c r="K6" s="117">
        <v>14505.22361666667</v>
      </c>
      <c r="L6" s="117">
        <v>5571.1218130800016</v>
      </c>
      <c r="M6" s="162">
        <f>K6+L6</f>
        <v>20076.345429746671</v>
      </c>
      <c r="N6" s="87">
        <v>93</v>
      </c>
      <c r="O6" s="87">
        <v>87</v>
      </c>
      <c r="P6" s="87">
        <v>81</v>
      </c>
    </row>
    <row r="7" spans="1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3389.4294666000001</v>
      </c>
      <c r="I8" s="152">
        <f>G8+H8</f>
        <v>3389.4294666000001</v>
      </c>
      <c r="J8" s="119">
        <v>0</v>
      </c>
      <c r="K8" s="117">
        <v>0</v>
      </c>
      <c r="L8" s="117">
        <v>3497.6884434799999</v>
      </c>
      <c r="M8" s="162">
        <f>K8+L8</f>
        <v>3497.6884434799999</v>
      </c>
      <c r="N8" s="87">
        <v>5</v>
      </c>
      <c r="O8" s="87">
        <v>5</v>
      </c>
      <c r="P8" s="87">
        <v>4</v>
      </c>
    </row>
    <row r="9" spans="1:27" x14ac:dyDescent="0.3">
      <c r="B9" s="16" t="s">
        <v>23</v>
      </c>
      <c r="C9" s="17">
        <v>2666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770</v>
      </c>
      <c r="E10" s="161" t="s">
        <v>31</v>
      </c>
      <c r="F10" s="119">
        <v>19429</v>
      </c>
      <c r="G10" s="117">
        <v>12855.127</v>
      </c>
      <c r="H10" s="117">
        <v>1348.6073300400001</v>
      </c>
      <c r="I10" s="152">
        <f>G10+H10</f>
        <v>14203.734330040001</v>
      </c>
      <c r="J10" s="119">
        <v>19595</v>
      </c>
      <c r="K10" s="117">
        <v>13570.1075</v>
      </c>
      <c r="L10" s="117">
        <v>1341.42249296</v>
      </c>
      <c r="M10" s="162">
        <f>K10+L10</f>
        <v>14911.529992960001</v>
      </c>
      <c r="N10" s="88">
        <v>58</v>
      </c>
      <c r="O10" s="88">
        <v>58</v>
      </c>
      <c r="P10" s="88">
        <v>54</v>
      </c>
    </row>
    <row r="11" spans="1:27" x14ac:dyDescent="0.3">
      <c r="B11" s="28" t="s">
        <v>28</v>
      </c>
      <c r="C11" s="17">
        <v>560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2244</v>
      </c>
      <c r="E12" s="161" t="s">
        <v>35</v>
      </c>
      <c r="F12" s="119">
        <v>15287</v>
      </c>
      <c r="G12" s="117">
        <v>11253.937916666669</v>
      </c>
      <c r="H12" s="117">
        <v>18794.27818555</v>
      </c>
      <c r="I12" s="152">
        <f>G12+H12</f>
        <v>30048.216102216669</v>
      </c>
      <c r="J12" s="119">
        <v>15960</v>
      </c>
      <c r="K12" s="117">
        <v>13516.239416666671</v>
      </c>
      <c r="L12" s="117">
        <v>19302.57975891</v>
      </c>
      <c r="M12" s="162">
        <f>K12+L12</f>
        <v>32818.819175576675</v>
      </c>
      <c r="N12" s="88">
        <v>52</v>
      </c>
      <c r="O12" s="88">
        <v>51</v>
      </c>
      <c r="P12" s="88">
        <v>41</v>
      </c>
    </row>
    <row r="13" spans="1:27" x14ac:dyDescent="0.3">
      <c r="B13" s="16" t="s">
        <v>38</v>
      </c>
      <c r="C13" s="17">
        <v>10817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3">
      <c r="B14" s="16" t="s">
        <v>40</v>
      </c>
      <c r="C14" s="17">
        <v>1407</v>
      </c>
      <c r="E14" s="161" t="s">
        <v>39</v>
      </c>
      <c r="F14" s="119">
        <v>25814</v>
      </c>
      <c r="G14" s="117">
        <v>19765.37</v>
      </c>
      <c r="H14" s="117">
        <v>31718.52496667999</v>
      </c>
      <c r="I14" s="152">
        <f>G14+H14</f>
        <v>51483.894966679989</v>
      </c>
      <c r="J14" s="119">
        <v>26239</v>
      </c>
      <c r="K14" s="117">
        <v>22424.584500000001</v>
      </c>
      <c r="L14" s="117">
        <v>31872.43547868001</v>
      </c>
      <c r="M14" s="162">
        <f>K14+L14</f>
        <v>54297.019978680008</v>
      </c>
      <c r="N14" s="88">
        <v>84</v>
      </c>
      <c r="O14" s="88">
        <v>87</v>
      </c>
      <c r="P14" s="88">
        <v>72</v>
      </c>
    </row>
    <row r="15" spans="1:27" x14ac:dyDescent="0.3">
      <c r="B15" s="28" t="s">
        <v>42</v>
      </c>
      <c r="C15" s="17">
        <f>39670-5328</f>
        <v>34342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15</v>
      </c>
    </row>
    <row r="16" spans="1:27" x14ac:dyDescent="0.3">
      <c r="B16" s="43" t="s">
        <v>47</v>
      </c>
      <c r="C16" s="17">
        <v>1019</v>
      </c>
      <c r="E16" s="161" t="s">
        <v>79</v>
      </c>
      <c r="F16" s="119">
        <v>0</v>
      </c>
      <c r="G16" s="117">
        <v>0</v>
      </c>
      <c r="H16" s="117">
        <v>5413.8843543400008</v>
      </c>
      <c r="I16" s="152">
        <f>G16+H16</f>
        <v>5413.8843543400008</v>
      </c>
      <c r="J16" s="119">
        <v>0</v>
      </c>
      <c r="K16" s="117">
        <v>0</v>
      </c>
      <c r="L16" s="117">
        <v>5480.810691239999</v>
      </c>
      <c r="M16" s="162">
        <f>K16+L16</f>
        <v>5480.810691239999</v>
      </c>
      <c r="N16" s="88">
        <v>13</v>
      </c>
      <c r="O16" s="88">
        <v>12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236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10808</v>
      </c>
      <c r="E18" s="84"/>
      <c r="F18" s="148">
        <f t="shared" ref="F18:M18" si="0">SUM(F6:F17)</f>
        <v>86062</v>
      </c>
      <c r="G18" s="149">
        <f t="shared" si="0"/>
        <v>57007.355283333338</v>
      </c>
      <c r="H18" s="149">
        <f t="shared" si="0"/>
        <v>66066.624074769992</v>
      </c>
      <c r="I18" s="150">
        <f t="shared" si="0"/>
        <v>123073.97935810333</v>
      </c>
      <c r="J18" s="149">
        <f t="shared" si="0"/>
        <v>87725</v>
      </c>
      <c r="K18" s="149">
        <f t="shared" si="0"/>
        <v>64016.155033333343</v>
      </c>
      <c r="L18" s="149">
        <f t="shared" si="0"/>
        <v>67066.058678350018</v>
      </c>
      <c r="M18" s="157">
        <f t="shared" si="0"/>
        <v>131082.21371168335</v>
      </c>
      <c r="N18" s="149">
        <f>SUM(N16,N14,N12,N10,N8,N6)</f>
        <v>305</v>
      </c>
      <c r="O18" s="149">
        <f>SUM(O16,O14,O12,O10,O8,O6)</f>
        <v>300</v>
      </c>
      <c r="P18" s="158">
        <f>SUM(P16,P14,P12,P10,P8,P6)</f>
        <v>265</v>
      </c>
    </row>
    <row r="19" spans="2:28" ht="15" customHeight="1" thickBot="1" x14ac:dyDescent="0.35">
      <c r="B19" s="16" t="s">
        <v>51</v>
      </c>
      <c r="C19" s="17">
        <v>995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5415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0.11666666666666667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10181</v>
      </c>
      <c r="D25" s="76">
        <f>C13</f>
        <v>10817</v>
      </c>
      <c r="E25" s="77">
        <f t="shared" ref="E25:E32" si="1">D25-C25</f>
        <v>636</v>
      </c>
    </row>
    <row r="26" spans="2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38427</v>
      </c>
      <c r="D28" s="76">
        <f>C9+C14+C15+C16+C17</f>
        <v>39670</v>
      </c>
      <c r="E28" s="77">
        <f t="shared" si="1"/>
        <v>1243</v>
      </c>
      <c r="F28" s="1" t="s">
        <v>75</v>
      </c>
      <c r="P28" s="4"/>
    </row>
    <row r="29" spans="2:28" x14ac:dyDescent="0.3">
      <c r="B29" s="74" t="s">
        <v>21</v>
      </c>
      <c r="C29" s="122">
        <v>93</v>
      </c>
      <c r="D29" s="76">
        <f>C6</f>
        <v>93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2244</v>
      </c>
      <c r="D30" s="76">
        <f>C12</f>
        <v>2244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17395</v>
      </c>
      <c r="D31" s="76">
        <f>C18+C19+C20</f>
        <v>17218</v>
      </c>
      <c r="E31" s="77">
        <f t="shared" si="1"/>
        <v>-177</v>
      </c>
      <c r="K31" s="53"/>
      <c r="P31" s="4"/>
    </row>
    <row r="32" spans="2:28" ht="15" customHeight="1" thickBot="1" x14ac:dyDescent="0.35">
      <c r="B32" s="78" t="s">
        <v>60</v>
      </c>
      <c r="C32" s="121">
        <v>1330</v>
      </c>
      <c r="D32" s="80">
        <f>C10+C11</f>
        <v>1330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>
    <tabColor theme="1"/>
    <pageSetUpPr fitToPage="1"/>
  </sheetPr>
  <dimension ref="A1:AB32"/>
  <sheetViews>
    <sheetView zoomScale="85" zoomScaleNormal="85" zoomScaleSheetLayoutView="70" workbookViewId="0">
      <selection activeCell="R19" sqref="R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44720</v>
      </c>
    </row>
    <row r="3" spans="1:27" ht="18.75" customHeight="1" thickBot="1" x14ac:dyDescent="0.35">
      <c r="B3" t="s">
        <v>1</v>
      </c>
      <c r="C3" s="3">
        <f>C2+1</f>
        <v>44721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57</v>
      </c>
      <c r="E6" s="161" t="s">
        <v>22</v>
      </c>
      <c r="F6" s="119">
        <v>26053</v>
      </c>
      <c r="G6" s="117">
        <v>12982.160749999999</v>
      </c>
      <c r="H6" s="117">
        <v>4834.4354955999979</v>
      </c>
      <c r="I6" s="152">
        <f>G6+H6</f>
        <v>17816.596245599998</v>
      </c>
      <c r="J6" s="119">
        <v>27357</v>
      </c>
      <c r="K6" s="117">
        <v>15099.38725</v>
      </c>
      <c r="L6" s="117">
        <v>4876.6002602999988</v>
      </c>
      <c r="M6" s="162">
        <f>K6+L6</f>
        <v>19975.987510299998</v>
      </c>
      <c r="N6" s="87">
        <v>82</v>
      </c>
      <c r="O6" s="87">
        <v>79</v>
      </c>
      <c r="P6" s="87">
        <v>77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4234.9394027400003</v>
      </c>
      <c r="I8" s="152">
        <f>G8+H8</f>
        <v>4234.9394027400003</v>
      </c>
      <c r="J8" s="119">
        <v>0</v>
      </c>
      <c r="K8" s="117">
        <v>0</v>
      </c>
      <c r="L8" s="117">
        <v>4272.1597745199997</v>
      </c>
      <c r="M8" s="162">
        <f>K8+L8</f>
        <v>4272.1597745199997</v>
      </c>
      <c r="N8" s="87">
        <v>5</v>
      </c>
      <c r="O8" s="87">
        <v>5</v>
      </c>
      <c r="P8" s="87">
        <v>4</v>
      </c>
    </row>
    <row r="9" spans="1:27" x14ac:dyDescent="0.3">
      <c r="B9" s="16" t="s">
        <v>23</v>
      </c>
      <c r="C9" s="17">
        <v>1548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18516</v>
      </c>
      <c r="G10" s="117">
        <v>12432.522499999999</v>
      </c>
      <c r="H10" s="117">
        <v>899.83879350000007</v>
      </c>
      <c r="I10" s="152">
        <f>G10+H10</f>
        <v>13332.361293499998</v>
      </c>
      <c r="J10" s="119">
        <v>18662</v>
      </c>
      <c r="K10" s="117">
        <v>13091.441000000001</v>
      </c>
      <c r="L10" s="117">
        <v>946.84338331999993</v>
      </c>
      <c r="M10" s="162">
        <f>K10+L10</f>
        <v>14038.28438332</v>
      </c>
      <c r="N10" s="88">
        <v>59</v>
      </c>
      <c r="O10" s="88">
        <v>59</v>
      </c>
      <c r="P10" s="88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4343</v>
      </c>
      <c r="E12" s="161" t="s">
        <v>35</v>
      </c>
      <c r="F12" s="119">
        <v>13550</v>
      </c>
      <c r="G12" s="117">
        <v>11005.111500000001</v>
      </c>
      <c r="H12" s="117">
        <v>16455.16686033001</v>
      </c>
      <c r="I12" s="152">
        <f>G12+H12</f>
        <v>27460.278360330012</v>
      </c>
      <c r="J12" s="119">
        <v>13676</v>
      </c>
      <c r="K12" s="117">
        <v>13173.731750000001</v>
      </c>
      <c r="L12" s="117">
        <v>16659.658007220009</v>
      </c>
      <c r="M12" s="162">
        <f>K12+L12</f>
        <v>29833.389757220008</v>
      </c>
      <c r="N12" s="88">
        <v>56</v>
      </c>
      <c r="O12" s="88">
        <v>56</v>
      </c>
      <c r="P12" s="88">
        <v>51</v>
      </c>
    </row>
    <row r="13" spans="1:27" x14ac:dyDescent="0.3">
      <c r="B13" s="16" t="s">
        <v>38</v>
      </c>
      <c r="C13" s="17">
        <v>10966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1928</v>
      </c>
      <c r="E14" s="161" t="s">
        <v>39</v>
      </c>
      <c r="F14" s="119">
        <v>27293</v>
      </c>
      <c r="G14" s="117">
        <v>19791.33625</v>
      </c>
      <c r="H14" s="117">
        <v>32746.60521288</v>
      </c>
      <c r="I14" s="152">
        <f>G14+H14</f>
        <v>52537.94146288</v>
      </c>
      <c r="J14" s="119">
        <v>28106</v>
      </c>
      <c r="K14" s="117">
        <v>23689.3485</v>
      </c>
      <c r="L14" s="117">
        <v>33949.10960245999</v>
      </c>
      <c r="M14" s="162">
        <f>K14+L14</f>
        <v>57638.45810245999</v>
      </c>
      <c r="N14" s="88">
        <v>79</v>
      </c>
      <c r="O14" s="88">
        <v>81</v>
      </c>
      <c r="P14" s="88">
        <v>62</v>
      </c>
    </row>
    <row r="15" spans="1:27" x14ac:dyDescent="0.3">
      <c r="B15" s="28" t="s">
        <v>42</v>
      </c>
      <c r="C15" s="17">
        <f>38843-5599</f>
        <v>33244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19</v>
      </c>
    </row>
    <row r="16" spans="1:27" x14ac:dyDescent="0.3">
      <c r="B16" s="43" t="s">
        <v>47</v>
      </c>
      <c r="C16" s="17">
        <v>1819</v>
      </c>
      <c r="E16" s="161" t="s">
        <v>79</v>
      </c>
      <c r="F16" s="119">
        <v>0</v>
      </c>
      <c r="G16" s="117">
        <v>0</v>
      </c>
      <c r="H16" s="117">
        <v>8760.45155548</v>
      </c>
      <c r="I16" s="152">
        <f>G16+H16</f>
        <v>8760.45155548</v>
      </c>
      <c r="J16" s="119">
        <v>0</v>
      </c>
      <c r="K16" s="117">
        <v>0</v>
      </c>
      <c r="L16" s="117">
        <v>8789.4160784199994</v>
      </c>
      <c r="M16" s="162">
        <f>K16+L16</f>
        <v>8789.4160784199994</v>
      </c>
      <c r="N16" s="88">
        <v>10</v>
      </c>
      <c r="O16" s="88">
        <v>11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304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11113</v>
      </c>
      <c r="E18" s="84"/>
      <c r="F18" s="148">
        <f t="shared" ref="F18:M18" si="0">SUM(F6:F17)</f>
        <v>85412</v>
      </c>
      <c r="G18" s="149">
        <f t="shared" si="0"/>
        <v>56211.131000000001</v>
      </c>
      <c r="H18" s="149">
        <f t="shared" si="0"/>
        <v>67931.437320530007</v>
      </c>
      <c r="I18" s="150">
        <f t="shared" si="0"/>
        <v>124142.56832053002</v>
      </c>
      <c r="J18" s="149">
        <f t="shared" si="0"/>
        <v>87801</v>
      </c>
      <c r="K18" s="149">
        <f t="shared" si="0"/>
        <v>65053.908499999998</v>
      </c>
      <c r="L18" s="149">
        <f t="shared" si="0"/>
        <v>69493.787106239994</v>
      </c>
      <c r="M18" s="157">
        <f t="shared" si="0"/>
        <v>134547.69560624001</v>
      </c>
      <c r="N18" s="149">
        <f>SUM(N16,N14,N12,N10,N8,N6)</f>
        <v>291</v>
      </c>
      <c r="O18" s="149">
        <f>SUM(O16,O14,O12,O10,O8,O6)</f>
        <v>291</v>
      </c>
      <c r="P18" s="158">
        <f>SUM(P16,P14,P12,P10,P8,P6)</f>
        <v>261</v>
      </c>
    </row>
    <row r="19" spans="2:28" ht="15" customHeight="1" thickBot="1" x14ac:dyDescent="0.35">
      <c r="B19" s="16" t="s">
        <v>51</v>
      </c>
      <c r="C19" s="17">
        <v>1581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5307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0.10309278350515463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10888</v>
      </c>
      <c r="D25" s="76">
        <f>C13</f>
        <v>10966</v>
      </c>
      <c r="E25" s="77">
        <f t="shared" ref="E25:E32" si="1">D25-C25</f>
        <v>78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37924</v>
      </c>
      <c r="D28" s="76">
        <f>C9+C14+C15+C16+C17</f>
        <v>38843</v>
      </c>
      <c r="E28" s="77">
        <f t="shared" si="1"/>
        <v>919</v>
      </c>
      <c r="F28" s="1" t="s">
        <v>75</v>
      </c>
      <c r="P28" s="4"/>
    </row>
    <row r="29" spans="2:28" x14ac:dyDescent="0.3">
      <c r="B29" s="74" t="s">
        <v>21</v>
      </c>
      <c r="C29" s="122">
        <v>57</v>
      </c>
      <c r="D29" s="76">
        <f>C6</f>
        <v>57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4343</v>
      </c>
      <c r="D30" s="76">
        <f>C12</f>
        <v>4343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16685</v>
      </c>
      <c r="D31" s="76">
        <f>C18+C19+C20</f>
        <v>18001</v>
      </c>
      <c r="E31" s="77">
        <f t="shared" si="1"/>
        <v>1316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44721</v>
      </c>
    </row>
    <row r="3" spans="1:27" ht="18.75" customHeight="1" thickBot="1" x14ac:dyDescent="0.35">
      <c r="B3" t="s">
        <v>1</v>
      </c>
      <c r="C3" s="3">
        <f>C2+1</f>
        <v>44722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109</v>
      </c>
      <c r="E6" s="161" t="s">
        <v>22</v>
      </c>
      <c r="F6" s="119">
        <v>26662</v>
      </c>
      <c r="G6" s="117">
        <v>13106.70490000001</v>
      </c>
      <c r="H6" s="117">
        <v>5805.1122627399991</v>
      </c>
      <c r="I6" s="152">
        <f>G6+H6</f>
        <v>18911.817162740008</v>
      </c>
      <c r="J6" s="119">
        <v>27228</v>
      </c>
      <c r="K6" s="117">
        <v>15666.1769</v>
      </c>
      <c r="L6" s="117">
        <v>6182.3713802399971</v>
      </c>
      <c r="M6" s="162">
        <f>K6+L6</f>
        <v>21848.548280239997</v>
      </c>
      <c r="N6" s="87">
        <v>90</v>
      </c>
      <c r="O6" s="87">
        <v>84</v>
      </c>
      <c r="P6" s="87">
        <v>80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3681.347960000001</v>
      </c>
      <c r="I8" s="152">
        <f>G8+H8</f>
        <v>3681.347960000001</v>
      </c>
      <c r="J8" s="119">
        <v>0</v>
      </c>
      <c r="K8" s="117">
        <v>0</v>
      </c>
      <c r="L8" s="117">
        <v>3765.9257831199998</v>
      </c>
      <c r="M8" s="162">
        <f>K8+L8</f>
        <v>3765.9257831199998</v>
      </c>
      <c r="N8" s="87">
        <v>7</v>
      </c>
      <c r="O8" s="87">
        <v>7</v>
      </c>
      <c r="P8" s="87">
        <v>5</v>
      </c>
    </row>
    <row r="9" spans="1:27" x14ac:dyDescent="0.3">
      <c r="B9" s="16" t="s">
        <v>23</v>
      </c>
      <c r="C9" s="17">
        <v>2189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860</v>
      </c>
      <c r="E10" s="161" t="s">
        <v>31</v>
      </c>
      <c r="F10" s="119">
        <v>19331</v>
      </c>
      <c r="G10" s="117">
        <v>12654.9195</v>
      </c>
      <c r="H10" s="117">
        <v>1291.32220654</v>
      </c>
      <c r="I10" s="152">
        <f>G10+H10</f>
        <v>13946.24170654</v>
      </c>
      <c r="J10" s="119">
        <v>19334</v>
      </c>
      <c r="K10" s="117">
        <v>13601.1985</v>
      </c>
      <c r="L10" s="117">
        <v>1259.0832789999999</v>
      </c>
      <c r="M10" s="162">
        <f>K10+L10</f>
        <v>14860.281779000001</v>
      </c>
      <c r="N10" s="88">
        <v>63</v>
      </c>
      <c r="O10" s="88">
        <v>63</v>
      </c>
      <c r="P10" s="88">
        <v>62</v>
      </c>
    </row>
    <row r="11" spans="1:27" x14ac:dyDescent="0.3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/>
      <c r="B12" s="16" t="s">
        <v>30</v>
      </c>
      <c r="C12" s="17">
        <v>2677</v>
      </c>
      <c r="E12" s="161" t="s">
        <v>35</v>
      </c>
      <c r="F12" s="119">
        <v>15952</v>
      </c>
      <c r="G12" s="117">
        <v>11702.838750000001</v>
      </c>
      <c r="H12" s="117">
        <v>19580.355105570001</v>
      </c>
      <c r="I12" s="152">
        <f>G12+H12</f>
        <v>31283.193855570004</v>
      </c>
      <c r="J12" s="119">
        <v>15998</v>
      </c>
      <c r="K12" s="117">
        <v>14012.053083333331</v>
      </c>
      <c r="L12" s="117">
        <v>19764.407434609999</v>
      </c>
      <c r="M12" s="162">
        <f>K12+L12</f>
        <v>33776.460517943327</v>
      </c>
      <c r="N12" s="88">
        <v>56</v>
      </c>
      <c r="O12" s="88">
        <v>56</v>
      </c>
      <c r="P12" s="88">
        <v>49</v>
      </c>
    </row>
    <row r="13" spans="1:27" x14ac:dyDescent="0.3">
      <c r="B13" s="16" t="s">
        <v>38</v>
      </c>
      <c r="C13" s="17">
        <v>12518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1386</v>
      </c>
      <c r="E14" s="161" t="s">
        <v>39</v>
      </c>
      <c r="F14" s="119">
        <v>30136</v>
      </c>
      <c r="G14" s="117">
        <v>20054.427500000002</v>
      </c>
      <c r="H14" s="117">
        <v>36045.673600640017</v>
      </c>
      <c r="I14" s="152">
        <f>G14+H14</f>
        <v>56100.101100640022</v>
      </c>
      <c r="J14" s="119">
        <v>28564</v>
      </c>
      <c r="K14" s="117">
        <v>24178.310249999999</v>
      </c>
      <c r="L14" s="117">
        <v>34632.211401319997</v>
      </c>
      <c r="M14" s="162">
        <f>K14+L14</f>
        <v>58810.521651319999</v>
      </c>
      <c r="N14" s="88">
        <v>86</v>
      </c>
      <c r="O14" s="88">
        <v>87</v>
      </c>
      <c r="P14" s="88">
        <v>71</v>
      </c>
    </row>
    <row r="15" spans="1:27" x14ac:dyDescent="0.3">
      <c r="B15" s="28" t="s">
        <v>42</v>
      </c>
      <c r="C15" s="17">
        <f>40924-4884</f>
        <v>36040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16</v>
      </c>
    </row>
    <row r="16" spans="1:27" x14ac:dyDescent="0.3">
      <c r="B16" s="43" t="s">
        <v>47</v>
      </c>
      <c r="C16" s="17">
        <v>1148</v>
      </c>
      <c r="E16" s="161" t="s">
        <v>79</v>
      </c>
      <c r="F16" s="119">
        <v>0</v>
      </c>
      <c r="G16" s="117">
        <v>0</v>
      </c>
      <c r="H16" s="117">
        <v>5929.6868528600007</v>
      </c>
      <c r="I16" s="152">
        <f>G16+H16</f>
        <v>5929.6868528600007</v>
      </c>
      <c r="J16" s="119">
        <v>0</v>
      </c>
      <c r="K16" s="117">
        <v>0</v>
      </c>
      <c r="L16" s="117">
        <v>5912.0660143999994</v>
      </c>
      <c r="M16" s="162">
        <f>K16+L16</f>
        <v>5912.0660143999994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161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9476</v>
      </c>
      <c r="E18" s="84"/>
      <c r="F18" s="148">
        <f t="shared" ref="F18:M18" si="0">SUM(F6:F17)</f>
        <v>92081</v>
      </c>
      <c r="G18" s="149">
        <f t="shared" si="0"/>
        <v>57518.890650000016</v>
      </c>
      <c r="H18" s="149">
        <f t="shared" si="0"/>
        <v>72333.49798835002</v>
      </c>
      <c r="I18" s="150">
        <f t="shared" si="0"/>
        <v>129852.38863835004</v>
      </c>
      <c r="J18" s="149">
        <f t="shared" si="0"/>
        <v>91124</v>
      </c>
      <c r="K18" s="149">
        <f t="shared" si="0"/>
        <v>67457.738733333332</v>
      </c>
      <c r="L18" s="149">
        <f t="shared" si="0"/>
        <v>71516.065292689993</v>
      </c>
      <c r="M18" s="157">
        <f t="shared" si="0"/>
        <v>138973.80402602331</v>
      </c>
      <c r="N18" s="149">
        <f>SUM(N16,N14,N12,N10,N8,N6)</f>
        <v>312</v>
      </c>
      <c r="O18" s="149">
        <f>SUM(O16,O14,O12,O10,O8,O6)</f>
        <v>307</v>
      </c>
      <c r="P18" s="158">
        <f>SUM(P16,P14,P12,P10,P8,P6)</f>
        <v>277</v>
      </c>
    </row>
    <row r="19" spans="2:28" ht="15" customHeight="1" thickBot="1" x14ac:dyDescent="0.35">
      <c r="B19" s="16" t="s">
        <v>51</v>
      </c>
      <c r="C19" s="17">
        <v>1723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4690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9.7719869706840393E-2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11754</v>
      </c>
      <c r="D25" s="76">
        <f>C13</f>
        <v>12518</v>
      </c>
      <c r="E25" s="77">
        <f t="shared" ref="E25:E32" si="1">D25-C25</f>
        <v>764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40154</v>
      </c>
      <c r="D28" s="76">
        <f>C9+C14+C15+C16+C17</f>
        <v>40924</v>
      </c>
      <c r="E28" s="77">
        <f t="shared" si="1"/>
        <v>770</v>
      </c>
      <c r="F28" s="1" t="s">
        <v>75</v>
      </c>
      <c r="P28" s="4"/>
    </row>
    <row r="29" spans="2:28" x14ac:dyDescent="0.3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3324</v>
      </c>
      <c r="D30" s="76">
        <f>C12</f>
        <v>2677</v>
      </c>
      <c r="E30" s="77">
        <f t="shared" si="1"/>
        <v>-647</v>
      </c>
      <c r="J30" s="53"/>
      <c r="K30" s="53"/>
      <c r="P30" s="4"/>
    </row>
    <row r="31" spans="2:28" x14ac:dyDescent="0.3">
      <c r="B31" s="74" t="s">
        <v>59</v>
      </c>
      <c r="C31" s="122">
        <v>16340</v>
      </c>
      <c r="D31" s="76">
        <f>C18+C19+C20</f>
        <v>15889</v>
      </c>
      <c r="E31" s="77">
        <f t="shared" si="1"/>
        <v>-451</v>
      </c>
      <c r="K31" s="53"/>
      <c r="P31" s="4"/>
    </row>
    <row r="32" spans="2:28" ht="15" customHeight="1" thickBot="1" x14ac:dyDescent="0.35">
      <c r="B32" s="78" t="s">
        <v>60</v>
      </c>
      <c r="C32" s="121">
        <v>1315</v>
      </c>
      <c r="D32" s="80">
        <f>C10+C11</f>
        <v>1360</v>
      </c>
      <c r="E32" s="81">
        <f t="shared" si="1"/>
        <v>45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>
    <tabColor theme="1"/>
    <pageSetUpPr fitToPage="1"/>
  </sheetPr>
  <dimension ref="A1:AB32"/>
  <sheetViews>
    <sheetView zoomScale="85" zoomScaleNormal="85" zoomScaleSheetLayoutView="70" workbookViewId="0">
      <selection activeCell="A12" sqref="A1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44722</v>
      </c>
    </row>
    <row r="3" spans="1:27" ht="18.75" customHeight="1" thickBot="1" x14ac:dyDescent="0.35">
      <c r="B3" t="s">
        <v>1</v>
      </c>
      <c r="C3" s="3">
        <f>C2+1</f>
        <v>44723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23033</v>
      </c>
      <c r="G6" s="117">
        <v>13013.067250000009</v>
      </c>
      <c r="H6" s="117">
        <v>3926.433646020002</v>
      </c>
      <c r="I6" s="152">
        <f>G6+H6</f>
        <v>16939.50089602001</v>
      </c>
      <c r="J6" s="119">
        <v>23368</v>
      </c>
      <c r="K6" s="117">
        <v>13434.448</v>
      </c>
      <c r="L6" s="117">
        <v>3830.1375573400019</v>
      </c>
      <c r="M6" s="162">
        <f>K6+L6</f>
        <v>17264.585557340004</v>
      </c>
      <c r="N6" s="87">
        <v>88</v>
      </c>
      <c r="O6" s="87">
        <v>84</v>
      </c>
      <c r="P6" s="87">
        <v>75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3918.0679675200008</v>
      </c>
      <c r="I8" s="152">
        <f>G8+H8</f>
        <v>3918.0679675200008</v>
      </c>
      <c r="J8" s="119">
        <v>0</v>
      </c>
      <c r="K8" s="117">
        <v>0</v>
      </c>
      <c r="L8" s="117">
        <v>3944.284699939999</v>
      </c>
      <c r="M8" s="162">
        <f>K8+L8</f>
        <v>3944.284699939999</v>
      </c>
      <c r="N8" s="87">
        <v>8</v>
      </c>
      <c r="O8" s="87">
        <v>8</v>
      </c>
      <c r="P8" s="87">
        <v>7</v>
      </c>
    </row>
    <row r="9" spans="1:27" x14ac:dyDescent="0.3">
      <c r="B9" s="16" t="s">
        <v>23</v>
      </c>
      <c r="C9" s="17">
        <v>1694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16259</v>
      </c>
      <c r="G10" s="117">
        <v>12610.628500000001</v>
      </c>
      <c r="H10" s="117">
        <v>759.31406199999992</v>
      </c>
      <c r="I10" s="152">
        <f>G10+H10</f>
        <v>13369.942562</v>
      </c>
      <c r="J10" s="119">
        <v>16375</v>
      </c>
      <c r="K10" s="117">
        <v>12627.572</v>
      </c>
      <c r="L10" s="117">
        <v>777.7514036</v>
      </c>
      <c r="M10" s="162">
        <f>K10+L10</f>
        <v>13405.323403599999</v>
      </c>
      <c r="N10" s="88">
        <v>58</v>
      </c>
      <c r="O10" s="88">
        <v>58</v>
      </c>
      <c r="P10" s="88">
        <v>54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 t="s">
        <v>121</v>
      </c>
      <c r="B12" s="16" t="s">
        <v>30</v>
      </c>
      <c r="C12" s="17">
        <v>5220</v>
      </c>
      <c r="E12" s="161" t="s">
        <v>35</v>
      </c>
      <c r="F12" s="119">
        <v>14098</v>
      </c>
      <c r="G12" s="117">
        <v>11426.07475</v>
      </c>
      <c r="H12" s="117">
        <v>17132.76672073999</v>
      </c>
      <c r="I12" s="152">
        <f>G12+H12</f>
        <v>28558.84147073999</v>
      </c>
      <c r="J12" s="119">
        <v>13800</v>
      </c>
      <c r="K12" s="117">
        <v>13711.593000000001</v>
      </c>
      <c r="L12" s="117">
        <v>16806.36117539</v>
      </c>
      <c r="M12" s="162">
        <f>K12+L12</f>
        <v>30517.954175390001</v>
      </c>
      <c r="N12" s="88">
        <v>58</v>
      </c>
      <c r="O12" s="88">
        <v>57</v>
      </c>
      <c r="P12" s="88">
        <v>53</v>
      </c>
    </row>
    <row r="13" spans="1:27" x14ac:dyDescent="0.3">
      <c r="B13" s="16" t="s">
        <v>38</v>
      </c>
      <c r="C13" s="17">
        <v>9914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3">
      <c r="B14" s="16" t="s">
        <v>40</v>
      </c>
      <c r="C14" s="17">
        <v>1864</v>
      </c>
      <c r="E14" s="161" t="s">
        <v>39</v>
      </c>
      <c r="F14" s="119">
        <v>32778</v>
      </c>
      <c r="G14" s="117">
        <v>23604.772000000001</v>
      </c>
      <c r="H14" s="117">
        <v>39710.382556939992</v>
      </c>
      <c r="I14" s="152">
        <f>G14+H14</f>
        <v>63315.15455693999</v>
      </c>
      <c r="J14" s="119">
        <v>32783</v>
      </c>
      <c r="K14" s="117">
        <v>27867.676500000001</v>
      </c>
      <c r="L14" s="117">
        <v>39970.575577620009</v>
      </c>
      <c r="M14" s="162">
        <f>K14+L14</f>
        <v>67838.252077620011</v>
      </c>
      <c r="N14" s="88">
        <v>82</v>
      </c>
      <c r="O14" s="88">
        <v>84</v>
      </c>
      <c r="P14" s="88">
        <v>66</v>
      </c>
    </row>
    <row r="15" spans="1:27" x14ac:dyDescent="0.3">
      <c r="B15" s="28" t="s">
        <v>42</v>
      </c>
      <c r="C15" s="17">
        <f>40880-5815</f>
        <v>35065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3">
      <c r="B16" s="43" t="s">
        <v>47</v>
      </c>
      <c r="C16" s="17">
        <v>1748</v>
      </c>
      <c r="E16" s="161" t="s">
        <v>79</v>
      </c>
      <c r="F16" s="119">
        <v>0</v>
      </c>
      <c r="G16" s="117">
        <v>0</v>
      </c>
      <c r="H16" s="117">
        <v>8778.2985217999994</v>
      </c>
      <c r="I16" s="152">
        <f>G16+H16</f>
        <v>8778.2985217999994</v>
      </c>
      <c r="J16" s="119">
        <v>0</v>
      </c>
      <c r="K16" s="117">
        <v>0</v>
      </c>
      <c r="L16" s="117">
        <v>8684.0331873199993</v>
      </c>
      <c r="M16" s="162">
        <f>K16+L16</f>
        <v>8684.0331873199993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509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10138</v>
      </c>
      <c r="E18" s="84"/>
      <c r="F18" s="148">
        <f t="shared" ref="F18:M18" si="0">SUM(F6:F17)</f>
        <v>86168</v>
      </c>
      <c r="G18" s="149">
        <f t="shared" si="0"/>
        <v>60654.54250000001</v>
      </c>
      <c r="H18" s="149">
        <f t="shared" si="0"/>
        <v>74225.26347501998</v>
      </c>
      <c r="I18" s="150">
        <f t="shared" si="0"/>
        <v>134879.80597501999</v>
      </c>
      <c r="J18" s="149">
        <f t="shared" si="0"/>
        <v>86326</v>
      </c>
      <c r="K18" s="149">
        <f t="shared" si="0"/>
        <v>67641.289499999999</v>
      </c>
      <c r="L18" s="149">
        <f t="shared" si="0"/>
        <v>74013.143601210017</v>
      </c>
      <c r="M18" s="157">
        <f t="shared" si="0"/>
        <v>141654.43310120999</v>
      </c>
      <c r="N18" s="149">
        <f>SUM(N16,N14,N12,N10,N8,N6)</f>
        <v>308</v>
      </c>
      <c r="O18" s="149">
        <f>SUM(O16,O14,O12,O10,O8,O6)</f>
        <v>305</v>
      </c>
      <c r="P18" s="158">
        <f>SUM(P16,P14,P12,P10,P8,P6)</f>
        <v>268</v>
      </c>
    </row>
    <row r="19" spans="2:28" ht="15" customHeight="1" thickBot="1" x14ac:dyDescent="0.35">
      <c r="B19" s="16" t="s">
        <v>51</v>
      </c>
      <c r="C19" s="17">
        <v>561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</row>
    <row r="20" spans="2:28" ht="15" customHeight="1" thickBot="1" x14ac:dyDescent="0.35">
      <c r="B20" s="57" t="s">
        <v>52</v>
      </c>
      <c r="C20" s="58">
        <v>5028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0.12131147540983607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10386</v>
      </c>
      <c r="D25" s="76">
        <f>C13</f>
        <v>9914</v>
      </c>
      <c r="E25" s="77">
        <f t="shared" ref="E25:E32" si="1">D25-C25</f>
        <v>-472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40973</v>
      </c>
      <c r="D28" s="76">
        <f>C9+C14+C15+C16+C17</f>
        <v>40880</v>
      </c>
      <c r="E28" s="77">
        <f t="shared" si="1"/>
        <v>-93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5220</v>
      </c>
      <c r="D30" s="76">
        <f>C12</f>
        <v>5220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15045</v>
      </c>
      <c r="D31" s="76">
        <f>C18+C19+C20</f>
        <v>15727</v>
      </c>
      <c r="E31" s="77">
        <f t="shared" si="1"/>
        <v>682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>
    <tabColor theme="1"/>
    <pageSetUpPr fitToPage="1"/>
  </sheetPr>
  <dimension ref="A1:AB32"/>
  <sheetViews>
    <sheetView zoomScale="85" zoomScaleNormal="85" zoomScaleSheetLayoutView="70" workbookViewId="0">
      <selection activeCell="Q7" sqref="Q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44723</v>
      </c>
    </row>
    <row r="3" spans="1:27" ht="18.75" customHeight="1" thickBot="1" x14ac:dyDescent="0.35">
      <c r="B3" t="s">
        <v>1</v>
      </c>
      <c r="C3" s="3">
        <f>C2+1</f>
        <v>44724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 t="s">
        <v>123</v>
      </c>
      <c r="B6" s="16" t="s">
        <v>21</v>
      </c>
      <c r="C6" s="17">
        <v>83</v>
      </c>
      <c r="E6" s="161" t="s">
        <v>22</v>
      </c>
      <c r="F6" s="119">
        <v>25676</v>
      </c>
      <c r="G6" s="117">
        <v>12233.495183333331</v>
      </c>
      <c r="H6" s="117">
        <v>5118.7620450799977</v>
      </c>
      <c r="I6" s="152">
        <f>G6+H6</f>
        <v>17352.257228413328</v>
      </c>
      <c r="J6" s="119">
        <v>26056</v>
      </c>
      <c r="K6" s="117">
        <v>14240.677683333341</v>
      </c>
      <c r="L6" s="117">
        <v>5239.5377901199981</v>
      </c>
      <c r="M6" s="162">
        <f>K6+L6</f>
        <v>19480.21547345334</v>
      </c>
      <c r="N6" s="87">
        <v>94</v>
      </c>
      <c r="O6" s="87">
        <v>89</v>
      </c>
      <c r="P6" s="87">
        <v>80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3424.0605029200001</v>
      </c>
      <c r="I8" s="152">
        <f>G8+H8</f>
        <v>3424.0605029200001</v>
      </c>
      <c r="J8" s="119">
        <v>0</v>
      </c>
      <c r="K8" s="117">
        <v>0</v>
      </c>
      <c r="L8" s="117">
        <v>3487.0571087600001</v>
      </c>
      <c r="M8" s="162">
        <f>K8+L8</f>
        <v>3487.0571087600001</v>
      </c>
      <c r="N8" s="87">
        <v>7</v>
      </c>
      <c r="O8" s="87">
        <v>7</v>
      </c>
      <c r="P8" s="87">
        <v>5</v>
      </c>
    </row>
    <row r="9" spans="1:27" x14ac:dyDescent="0.3">
      <c r="B9" s="16" t="s">
        <v>23</v>
      </c>
      <c r="C9" s="17">
        <v>1852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855</v>
      </c>
      <c r="E10" s="161" t="s">
        <v>31</v>
      </c>
      <c r="F10" s="119">
        <v>15266</v>
      </c>
      <c r="G10" s="117">
        <v>10749.445</v>
      </c>
      <c r="H10" s="117">
        <v>973.80183769999996</v>
      </c>
      <c r="I10" s="152">
        <f>G10+H10</f>
        <v>11723.2468377</v>
      </c>
      <c r="J10" s="119">
        <v>17584</v>
      </c>
      <c r="K10" s="117">
        <v>12622.536</v>
      </c>
      <c r="L10" s="117">
        <v>1264.09870748</v>
      </c>
      <c r="M10" s="162">
        <f>K10+L10</f>
        <v>13886.63470748</v>
      </c>
      <c r="N10" s="88">
        <v>61</v>
      </c>
      <c r="O10" s="88">
        <v>61</v>
      </c>
      <c r="P10" s="88">
        <v>58</v>
      </c>
    </row>
    <row r="11" spans="1:27" x14ac:dyDescent="0.3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 t="s">
        <v>124</v>
      </c>
      <c r="B12" s="16" t="s">
        <v>30</v>
      </c>
      <c r="C12" s="17">
        <v>2575</v>
      </c>
      <c r="E12" s="161" t="s">
        <v>35</v>
      </c>
      <c r="F12" s="119">
        <v>15949</v>
      </c>
      <c r="G12" s="117">
        <v>12561.88058333333</v>
      </c>
      <c r="H12" s="117">
        <v>18948.354179879989</v>
      </c>
      <c r="I12" s="152">
        <f>G12+H12</f>
        <v>31510.234763213317</v>
      </c>
      <c r="J12" s="119">
        <v>15914</v>
      </c>
      <c r="K12" s="117">
        <v>13530.97033333334</v>
      </c>
      <c r="L12" s="117">
        <v>18820.592703229999</v>
      </c>
      <c r="M12" s="162">
        <f>K12+L12</f>
        <v>32351.563036563341</v>
      </c>
      <c r="N12" s="88">
        <v>62</v>
      </c>
      <c r="O12" s="88">
        <v>62</v>
      </c>
      <c r="P12" s="88">
        <v>57</v>
      </c>
    </row>
    <row r="13" spans="1:27" x14ac:dyDescent="0.3">
      <c r="B13" s="16" t="s">
        <v>38</v>
      </c>
      <c r="C13" s="17">
        <v>11328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1161</v>
      </c>
      <c r="E14" s="161" t="s">
        <v>39</v>
      </c>
      <c r="F14" s="119">
        <v>22843</v>
      </c>
      <c r="G14" s="117">
        <v>22946.632249999999</v>
      </c>
      <c r="H14" s="117">
        <v>27210.799395739999</v>
      </c>
      <c r="I14" s="152">
        <f>G14+H14</f>
        <v>50157.431645739998</v>
      </c>
      <c r="J14" s="119">
        <v>23458</v>
      </c>
      <c r="K14" s="117">
        <v>17847.907999999999</v>
      </c>
      <c r="L14" s="117">
        <v>27769.663199340019</v>
      </c>
      <c r="M14" s="162">
        <f>K14+L14</f>
        <v>45617.571199340018</v>
      </c>
      <c r="N14" s="88">
        <v>81</v>
      </c>
      <c r="O14" s="88">
        <v>81</v>
      </c>
      <c r="P14" s="88">
        <v>68</v>
      </c>
    </row>
    <row r="15" spans="1:27" x14ac:dyDescent="0.3">
      <c r="B15" s="28" t="s">
        <v>42</v>
      </c>
      <c r="C15" s="17">
        <f>34129-4207</f>
        <v>29922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982</v>
      </c>
      <c r="E16" s="161" t="s">
        <v>79</v>
      </c>
      <c r="F16" s="119">
        <v>0</v>
      </c>
      <c r="G16" s="117">
        <v>0</v>
      </c>
      <c r="H16" s="117">
        <v>4643.67411782</v>
      </c>
      <c r="I16" s="152">
        <f>G16+H16</f>
        <v>4643.67411782</v>
      </c>
      <c r="J16" s="119">
        <v>0</v>
      </c>
      <c r="K16" s="117">
        <v>0</v>
      </c>
      <c r="L16" s="117">
        <v>5140.9824869800004</v>
      </c>
      <c r="M16" s="162">
        <f>K16+L16</f>
        <v>5140.9824869800004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212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10589</v>
      </c>
      <c r="E18" s="84"/>
      <c r="F18" s="148">
        <f t="shared" ref="F18:M18" si="0">SUM(F6:F17)</f>
        <v>79734</v>
      </c>
      <c r="G18" s="149">
        <f t="shared" si="0"/>
        <v>58491.453016666666</v>
      </c>
      <c r="H18" s="149">
        <f t="shared" si="0"/>
        <v>60319.452079139985</v>
      </c>
      <c r="I18" s="150">
        <f t="shared" si="0"/>
        <v>118810.90509580665</v>
      </c>
      <c r="J18" s="149">
        <f t="shared" si="0"/>
        <v>83012</v>
      </c>
      <c r="K18" s="149">
        <f t="shared" si="0"/>
        <v>58242.092016666676</v>
      </c>
      <c r="L18" s="149">
        <f t="shared" si="0"/>
        <v>61721.931995910018</v>
      </c>
      <c r="M18" s="157">
        <f t="shared" si="0"/>
        <v>119964.0240125767</v>
      </c>
      <c r="N18" s="149">
        <f>SUM(N16,N14,N12,N10,N8,N6)</f>
        <v>317</v>
      </c>
      <c r="O18" s="149">
        <f>SUM(O16,O14,O12,O10,O8,O6)</f>
        <v>312</v>
      </c>
      <c r="P18" s="158">
        <f>SUM(P16,P14,P12,P10,P8,P6)</f>
        <v>280</v>
      </c>
    </row>
    <row r="19" spans="2:28" ht="15" customHeight="1" thickBot="1" x14ac:dyDescent="0.35">
      <c r="B19" s="16" t="s">
        <v>51</v>
      </c>
      <c r="C19" s="17">
        <v>1532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35">
      <c r="B20" s="57" t="s">
        <v>52</v>
      </c>
      <c r="C20" s="58">
        <v>5010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0.10256410256410256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11051</v>
      </c>
      <c r="D25" s="76">
        <f>C13</f>
        <v>11328</v>
      </c>
      <c r="E25" s="77">
        <f t="shared" ref="E25:E32" si="1">D25-C25</f>
        <v>277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32804</v>
      </c>
      <c r="D28" s="76">
        <f>C9+C14+C15+C16+C17</f>
        <v>34129</v>
      </c>
      <c r="E28" s="77">
        <f t="shared" si="1"/>
        <v>1325</v>
      </c>
      <c r="F28" s="1" t="s">
        <v>75</v>
      </c>
      <c r="P28" s="4"/>
    </row>
    <row r="29" spans="2:28" x14ac:dyDescent="0.3">
      <c r="B29" s="74" t="s">
        <v>21</v>
      </c>
      <c r="C29" s="122">
        <v>83</v>
      </c>
      <c r="D29" s="76">
        <f>C6</f>
        <v>83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2575</v>
      </c>
      <c r="D30" s="76">
        <f>C12</f>
        <v>2575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15515</v>
      </c>
      <c r="D31" s="76">
        <f>C18+C19+C20</f>
        <v>17131</v>
      </c>
      <c r="E31" s="77">
        <f t="shared" si="1"/>
        <v>1616</v>
      </c>
      <c r="K31" s="53"/>
      <c r="P31" s="4"/>
    </row>
    <row r="32" spans="2:28" ht="15" customHeight="1" thickBot="1" x14ac:dyDescent="0.35">
      <c r="B32" s="78" t="s">
        <v>60</v>
      </c>
      <c r="C32" s="121">
        <v>1355</v>
      </c>
      <c r="D32" s="80">
        <f>C10+C11</f>
        <v>1355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>
    <tabColor theme="1"/>
    <pageSetUpPr fitToPage="1"/>
  </sheetPr>
  <dimension ref="A1:AB32"/>
  <sheetViews>
    <sheetView zoomScale="85" zoomScaleNormal="85" zoomScaleSheetLayoutView="70" workbookViewId="0">
      <selection activeCell="F28" sqref="F2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44724</v>
      </c>
    </row>
    <row r="3" spans="1:27" ht="18.75" customHeight="1" thickBot="1" x14ac:dyDescent="0.35">
      <c r="B3" t="s">
        <v>1</v>
      </c>
      <c r="C3" s="3">
        <f>C2+1</f>
        <v>44725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10385</v>
      </c>
      <c r="G6" s="117">
        <v>3510</v>
      </c>
      <c r="H6" s="117">
        <v>823</v>
      </c>
      <c r="I6" s="152">
        <f>G6+H6</f>
        <v>4333</v>
      </c>
      <c r="J6" s="119">
        <v>10872</v>
      </c>
      <c r="K6" s="117">
        <v>3680</v>
      </c>
      <c r="L6" s="117">
        <v>839</v>
      </c>
      <c r="M6" s="162">
        <f>K6+L6</f>
        <v>4519</v>
      </c>
      <c r="N6" s="87">
        <v>53</v>
      </c>
      <c r="O6" s="87">
        <v>52</v>
      </c>
      <c r="P6" s="87">
        <v>41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5720</v>
      </c>
      <c r="G10" s="117">
        <v>2941</v>
      </c>
      <c r="H10" s="117">
        <v>876</v>
      </c>
      <c r="I10" s="152">
        <f>G10+H10</f>
        <v>3817</v>
      </c>
      <c r="J10" s="119">
        <v>6055</v>
      </c>
      <c r="K10" s="117">
        <v>3097</v>
      </c>
      <c r="L10" s="117">
        <v>935</v>
      </c>
      <c r="M10" s="162">
        <f>K10+L10</f>
        <v>4032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10987</v>
      </c>
      <c r="E18" s="84"/>
      <c r="F18" s="148">
        <f t="shared" ref="F18:M18" si="0">SUM(F6:F17)</f>
        <v>16105</v>
      </c>
      <c r="G18" s="149">
        <f t="shared" si="0"/>
        <v>6451</v>
      </c>
      <c r="H18" s="149">
        <f t="shared" si="0"/>
        <v>1699</v>
      </c>
      <c r="I18" s="150">
        <f t="shared" si="0"/>
        <v>8150</v>
      </c>
      <c r="J18" s="149">
        <f t="shared" si="0"/>
        <v>16927</v>
      </c>
      <c r="K18" s="149">
        <f t="shared" si="0"/>
        <v>6777</v>
      </c>
      <c r="L18" s="149">
        <f t="shared" si="0"/>
        <v>1774</v>
      </c>
      <c r="M18" s="157">
        <f t="shared" si="0"/>
        <v>8551</v>
      </c>
      <c r="N18" s="149">
        <f>SUM(N16,N14,N12,N10,N8,N6)</f>
        <v>53</v>
      </c>
      <c r="O18" s="149">
        <f>SUM(O16,O14,O12,O10,O8,O6)</f>
        <v>52</v>
      </c>
      <c r="P18" s="158">
        <f>SUM(P16,P14,P12,P10,P8,P6)</f>
        <v>41</v>
      </c>
    </row>
    <row r="19" spans="2:28" ht="15" customHeight="1" thickBot="1" x14ac:dyDescent="0.35">
      <c r="B19" s="16" t="s">
        <v>51</v>
      </c>
      <c r="C19" s="17">
        <v>774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35">
      <c r="B20" s="57" t="s">
        <v>52</v>
      </c>
      <c r="C20" s="58">
        <v>5166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0.21153846153846154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16105</v>
      </c>
      <c r="D31" s="76">
        <f>C18+C19+C20</f>
        <v>16927</v>
      </c>
      <c r="E31" s="77">
        <f t="shared" si="1"/>
        <v>822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>
    <tabColor theme="1"/>
    <pageSetUpPr fitToPage="1"/>
  </sheetPr>
  <dimension ref="A1:AB32"/>
  <sheetViews>
    <sheetView zoomScale="85" zoomScaleNormal="85" zoomScaleSheetLayoutView="70" workbookViewId="0">
      <selection activeCell="C21" sqref="C2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44725</v>
      </c>
    </row>
    <row r="3" spans="1:27" ht="18.75" customHeight="1" thickBot="1" x14ac:dyDescent="0.35">
      <c r="B3" t="s">
        <v>1</v>
      </c>
      <c r="C3" s="3">
        <f>C2+1</f>
        <v>44726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74</v>
      </c>
      <c r="E6" s="161" t="s">
        <v>22</v>
      </c>
      <c r="F6" s="119">
        <v>23678</v>
      </c>
      <c r="G6" s="117">
        <v>12520.281416666659</v>
      </c>
      <c r="H6" s="117">
        <v>4703.0623119399997</v>
      </c>
      <c r="I6" s="152">
        <f>G6+H6</f>
        <v>17223.343728606658</v>
      </c>
      <c r="J6" s="119">
        <v>24433</v>
      </c>
      <c r="K6" s="117">
        <v>13792.857416666669</v>
      </c>
      <c r="L6" s="117">
        <v>4815.0849511599999</v>
      </c>
      <c r="M6" s="162">
        <f>K6+L6</f>
        <v>18607.942367826668</v>
      </c>
      <c r="N6" s="87">
        <v>87</v>
      </c>
      <c r="O6" s="87">
        <v>88</v>
      </c>
      <c r="P6" s="87">
        <v>77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3649.165406380002</v>
      </c>
      <c r="I8" s="152">
        <f>G8+H8</f>
        <v>3649.165406380002</v>
      </c>
      <c r="J8" s="119">
        <v>0</v>
      </c>
      <c r="K8" s="117">
        <v>0</v>
      </c>
      <c r="L8" s="117">
        <v>3781.4040854200011</v>
      </c>
      <c r="M8" s="162">
        <f>K8+L8</f>
        <v>3781.4040854200011</v>
      </c>
      <c r="N8" s="87">
        <v>8</v>
      </c>
      <c r="O8" s="87">
        <v>8</v>
      </c>
      <c r="P8" s="87">
        <v>6</v>
      </c>
    </row>
    <row r="9" spans="1:27" x14ac:dyDescent="0.3">
      <c r="B9" s="16" t="s">
        <v>23</v>
      </c>
      <c r="C9" s="17">
        <v>1544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360</v>
      </c>
      <c r="E10" s="161" t="s">
        <v>31</v>
      </c>
      <c r="F10" s="119">
        <v>17194</v>
      </c>
      <c r="G10" s="117">
        <v>12060.328</v>
      </c>
      <c r="H10" s="117">
        <v>951.47934950000013</v>
      </c>
      <c r="I10" s="152">
        <f>G10+H10</f>
        <v>13011.807349499999</v>
      </c>
      <c r="J10" s="119">
        <v>17607</v>
      </c>
      <c r="K10" s="117">
        <v>12653.611500000001</v>
      </c>
      <c r="L10" s="117">
        <v>999.49454057999992</v>
      </c>
      <c r="M10" s="162">
        <f>K10+L10</f>
        <v>13653.106040580002</v>
      </c>
      <c r="N10" s="88">
        <v>57</v>
      </c>
      <c r="O10" s="88">
        <v>57</v>
      </c>
      <c r="P10" s="88">
        <v>51</v>
      </c>
    </row>
    <row r="11" spans="1:27" x14ac:dyDescent="0.3">
      <c r="B11" s="28" t="s">
        <v>28</v>
      </c>
      <c r="C11" s="17">
        <v>210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2473</v>
      </c>
      <c r="E12" s="161" t="s">
        <v>35</v>
      </c>
      <c r="F12" s="119">
        <v>13640</v>
      </c>
      <c r="G12" s="117">
        <v>11268.75333333333</v>
      </c>
      <c r="H12" s="117">
        <v>16816.84824291999</v>
      </c>
      <c r="I12" s="152">
        <f>G12+H12</f>
        <v>28085.601576253321</v>
      </c>
      <c r="J12" s="119">
        <v>14073</v>
      </c>
      <c r="K12" s="117">
        <v>12831.64233333333</v>
      </c>
      <c r="L12" s="117">
        <v>17238.358410900011</v>
      </c>
      <c r="M12" s="162">
        <f>K12+L12</f>
        <v>30070.000744233341</v>
      </c>
      <c r="N12" s="88">
        <v>53</v>
      </c>
      <c r="O12" s="88">
        <v>53</v>
      </c>
      <c r="P12" s="88">
        <v>48</v>
      </c>
    </row>
    <row r="13" spans="1:27" x14ac:dyDescent="0.3">
      <c r="B13" s="16" t="s">
        <v>38</v>
      </c>
      <c r="C13" s="17">
        <v>11047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1657</v>
      </c>
      <c r="E14" s="161" t="s">
        <v>39</v>
      </c>
      <c r="F14" s="119">
        <v>23562</v>
      </c>
      <c r="G14" s="117">
        <v>19301.717499999999</v>
      </c>
      <c r="H14" s="117">
        <v>27858.057289700009</v>
      </c>
      <c r="I14" s="152">
        <f>G14+H14</f>
        <v>47159.774789700008</v>
      </c>
      <c r="J14" s="119">
        <v>24812</v>
      </c>
      <c r="K14" s="117">
        <v>23213.008249999999</v>
      </c>
      <c r="L14" s="117">
        <v>29368.810115759989</v>
      </c>
      <c r="M14" s="162">
        <f>K14+L14</f>
        <v>52581.818365759988</v>
      </c>
      <c r="N14" s="88">
        <v>75</v>
      </c>
      <c r="O14" s="88">
        <v>81</v>
      </c>
      <c r="P14" s="88">
        <v>56</v>
      </c>
    </row>
    <row r="15" spans="1:27" x14ac:dyDescent="0.3">
      <c r="B15" s="28" t="s">
        <v>42</v>
      </c>
      <c r="C15" s="17">
        <v>31992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25</v>
      </c>
    </row>
    <row r="16" spans="1:27" x14ac:dyDescent="0.3">
      <c r="B16" s="43" t="s">
        <v>47</v>
      </c>
      <c r="C16" s="17">
        <v>1611</v>
      </c>
      <c r="E16" s="161" t="s">
        <v>79</v>
      </c>
      <c r="F16" s="119">
        <v>0</v>
      </c>
      <c r="G16" s="117">
        <v>0</v>
      </c>
      <c r="H16" s="117">
        <v>8259.6644529599998</v>
      </c>
      <c r="I16" s="152">
        <f>G16+H16</f>
        <v>8259.6644529599998</v>
      </c>
      <c r="J16" s="119">
        <v>0</v>
      </c>
      <c r="K16" s="117">
        <v>0</v>
      </c>
      <c r="L16" s="117">
        <v>8348.565986059999</v>
      </c>
      <c r="M16" s="162">
        <f>K16+L16</f>
        <v>8348.565986059999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484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10742</v>
      </c>
      <c r="E18" s="84"/>
      <c r="F18" s="148">
        <f t="shared" ref="F18:M18" si="0">SUM(F6:F17)</f>
        <v>78074</v>
      </c>
      <c r="G18" s="149">
        <f t="shared" si="0"/>
        <v>55151.080249999985</v>
      </c>
      <c r="H18" s="149">
        <f t="shared" si="0"/>
        <v>62238.277053400001</v>
      </c>
      <c r="I18" s="150">
        <f t="shared" si="0"/>
        <v>117389.35730339999</v>
      </c>
      <c r="J18" s="149">
        <f t="shared" si="0"/>
        <v>80925</v>
      </c>
      <c r="K18" s="149">
        <f t="shared" si="0"/>
        <v>62491.119500000001</v>
      </c>
      <c r="L18" s="149">
        <f t="shared" si="0"/>
        <v>64551.71808988</v>
      </c>
      <c r="M18" s="157">
        <f t="shared" si="0"/>
        <v>127042.83758988</v>
      </c>
      <c r="N18" s="149">
        <f>SUM(N16,N14,N12,N10,N8,N6)</f>
        <v>291</v>
      </c>
      <c r="O18" s="149">
        <f>SUM(O16,O14,O12,O10,O8,O6)</f>
        <v>298</v>
      </c>
      <c r="P18" s="158">
        <f>SUM(P16,P14,P12,P10,P8,P6)</f>
        <v>249</v>
      </c>
    </row>
    <row r="19" spans="2:28" ht="15" customHeight="1" thickBot="1" x14ac:dyDescent="0.35">
      <c r="B19" s="16" t="s">
        <v>51</v>
      </c>
      <c r="C19" s="17">
        <v>1461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49</v>
      </c>
    </row>
    <row r="20" spans="2:28" ht="15" customHeight="1" thickBot="1" x14ac:dyDescent="0.35">
      <c r="B20" s="57" t="s">
        <v>52</v>
      </c>
      <c r="C20" s="58">
        <v>5058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0.16442953020134229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10426</v>
      </c>
      <c r="D25" s="76">
        <f>C13</f>
        <v>11047</v>
      </c>
      <c r="E25" s="77">
        <f t="shared" ref="E25:E32" si="1">D25-C25</f>
        <v>621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35612</v>
      </c>
      <c r="D28" s="76">
        <f>C9+C14+C15+C16+C17</f>
        <v>37288</v>
      </c>
      <c r="E28" s="77">
        <f t="shared" si="1"/>
        <v>1676</v>
      </c>
      <c r="F28" s="1" t="s">
        <v>75</v>
      </c>
      <c r="P28" s="4"/>
    </row>
    <row r="29" spans="2:28" x14ac:dyDescent="0.3">
      <c r="B29" s="74" t="s">
        <v>21</v>
      </c>
      <c r="C29" s="122">
        <v>74</v>
      </c>
      <c r="D29" s="76">
        <f>C6</f>
        <v>74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2473</v>
      </c>
      <c r="D30" s="76">
        <f>C12</f>
        <v>2473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16760</v>
      </c>
      <c r="D31" s="76">
        <f>C18+C19+C20</f>
        <v>17261</v>
      </c>
      <c r="E31" s="77">
        <f t="shared" si="1"/>
        <v>501</v>
      </c>
      <c r="K31" s="53"/>
      <c r="P31" s="4"/>
    </row>
    <row r="32" spans="2:28" ht="15" customHeight="1" thickBot="1" x14ac:dyDescent="0.35">
      <c r="B32" s="78" t="s">
        <v>60</v>
      </c>
      <c r="C32" s="121">
        <v>570</v>
      </c>
      <c r="D32" s="80">
        <f>C10+C11</f>
        <v>570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>
    <tabColor theme="1"/>
    <pageSetUpPr fitToPage="1"/>
  </sheetPr>
  <dimension ref="A1:AB32"/>
  <sheetViews>
    <sheetView zoomScale="85" zoomScaleNormal="85" zoomScaleSheetLayoutView="70" workbookViewId="0">
      <selection activeCell="P11" sqref="P1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44726</v>
      </c>
    </row>
    <row r="3" spans="1:27" ht="18.75" customHeight="1" thickBot="1" x14ac:dyDescent="0.35">
      <c r="B3" t="s">
        <v>1</v>
      </c>
      <c r="C3" s="3">
        <f>C2+1</f>
        <v>44727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151</v>
      </c>
      <c r="E6" s="161" t="s">
        <v>22</v>
      </c>
      <c r="F6" s="119">
        <v>26687</v>
      </c>
      <c r="G6" s="117">
        <v>12738.04093333333</v>
      </c>
      <c r="H6" s="117">
        <v>5689.0942934600071</v>
      </c>
      <c r="I6" s="152">
        <f>G6+H6</f>
        <v>18427.135226793336</v>
      </c>
      <c r="J6" s="119">
        <v>21791</v>
      </c>
      <c r="K6" s="117">
        <v>10491.39143333334</v>
      </c>
      <c r="L6" s="117">
        <v>3643.1320148599998</v>
      </c>
      <c r="M6" s="162">
        <f>K6+L6</f>
        <v>14134.52344819334</v>
      </c>
      <c r="N6" s="87">
        <v>95</v>
      </c>
      <c r="O6" s="87">
        <v>89</v>
      </c>
      <c r="P6" s="87">
        <v>82</v>
      </c>
    </row>
    <row r="7" spans="1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3472.5835871800009</v>
      </c>
      <c r="I8" s="152">
        <f>G8+H8</f>
        <v>3472.5835871800009</v>
      </c>
      <c r="J8" s="119">
        <v>0</v>
      </c>
      <c r="K8" s="117">
        <v>0</v>
      </c>
      <c r="L8" s="117">
        <v>2444.1441669400001</v>
      </c>
      <c r="M8" s="162">
        <f>K8+L8</f>
        <v>2444.1441669400001</v>
      </c>
      <c r="N8" s="87">
        <v>5</v>
      </c>
      <c r="O8" s="87">
        <v>5</v>
      </c>
      <c r="P8" s="87">
        <v>4</v>
      </c>
    </row>
    <row r="9" spans="1:27" x14ac:dyDescent="0.3">
      <c r="B9" s="16" t="s">
        <v>23</v>
      </c>
      <c r="C9" s="17">
        <v>2467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725</v>
      </c>
      <c r="E10" s="161" t="s">
        <v>31</v>
      </c>
      <c r="F10" s="119">
        <v>19592</v>
      </c>
      <c r="G10" s="117">
        <v>12621.16625</v>
      </c>
      <c r="H10" s="117">
        <v>1349.55467004</v>
      </c>
      <c r="I10" s="152">
        <f>G10+H10</f>
        <v>13970.720920039999</v>
      </c>
      <c r="J10" s="119">
        <v>17522</v>
      </c>
      <c r="K10" s="117">
        <v>10986.71925</v>
      </c>
      <c r="L10" s="117">
        <v>1392.0463426199999</v>
      </c>
      <c r="M10" s="162">
        <f>K10+L10</f>
        <v>12378.76559262</v>
      </c>
      <c r="N10" s="88">
        <v>58</v>
      </c>
      <c r="O10" s="88">
        <v>58</v>
      </c>
      <c r="P10" s="88">
        <v>54</v>
      </c>
    </row>
    <row r="11" spans="1:27" x14ac:dyDescent="0.3">
      <c r="B11" s="28" t="s">
        <v>28</v>
      </c>
      <c r="C11" s="17">
        <v>550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3640</v>
      </c>
      <c r="E12" s="161" t="s">
        <v>35</v>
      </c>
      <c r="F12" s="119">
        <v>15271</v>
      </c>
      <c r="G12" s="117">
        <v>10945.144083333331</v>
      </c>
      <c r="H12" s="117">
        <v>18269.95165703</v>
      </c>
      <c r="I12" s="152">
        <f>G12+H12</f>
        <v>29215.095740363329</v>
      </c>
      <c r="J12" s="119">
        <v>13599</v>
      </c>
      <c r="K12" s="117">
        <v>11913.738833333329</v>
      </c>
      <c r="L12" s="117">
        <v>16902.97007497001</v>
      </c>
      <c r="M12" s="162">
        <f>K12+L12</f>
        <v>28816.708908303339</v>
      </c>
      <c r="N12" s="88">
        <v>51</v>
      </c>
      <c r="O12" s="88">
        <v>51</v>
      </c>
      <c r="P12" s="88">
        <v>48</v>
      </c>
    </row>
    <row r="13" spans="1:27" x14ac:dyDescent="0.3">
      <c r="B13" s="16" t="s">
        <v>38</v>
      </c>
      <c r="C13" s="17"/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3">
      <c r="B14" s="16" t="s">
        <v>40</v>
      </c>
      <c r="C14" s="17">
        <v>1257</v>
      </c>
      <c r="E14" s="161" t="s">
        <v>39</v>
      </c>
      <c r="F14" s="119">
        <v>31846</v>
      </c>
      <c r="G14" s="117">
        <v>21299.143749999999</v>
      </c>
      <c r="H14" s="117">
        <v>36184.530989660023</v>
      </c>
      <c r="I14" s="152">
        <f>G14+H14</f>
        <v>57483.674739660026</v>
      </c>
      <c r="J14" s="119">
        <v>30979</v>
      </c>
      <c r="K14" s="117">
        <v>23379.30675</v>
      </c>
      <c r="L14" s="117">
        <v>35101.383125059983</v>
      </c>
      <c r="M14" s="162">
        <f>K14+L14</f>
        <v>58480.689875059979</v>
      </c>
      <c r="N14" s="88">
        <v>81</v>
      </c>
      <c r="O14" s="88">
        <v>80</v>
      </c>
      <c r="P14" s="88">
        <v>69</v>
      </c>
    </row>
    <row r="15" spans="1:27" x14ac:dyDescent="0.3">
      <c r="B15" s="28" t="s">
        <v>42</v>
      </c>
      <c r="C15" s="17">
        <f>36841-4997</f>
        <v>31844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47</v>
      </c>
      <c r="C16" s="17">
        <v>1051</v>
      </c>
      <c r="E16" s="161" t="s">
        <v>79</v>
      </c>
      <c r="F16" s="119">
        <v>0</v>
      </c>
      <c r="G16" s="117">
        <v>0</v>
      </c>
      <c r="H16" s="117">
        <v>5311.1804229400004</v>
      </c>
      <c r="I16" s="152">
        <f>G16+H16</f>
        <v>5311.1804229400004</v>
      </c>
      <c r="J16" s="119">
        <v>0</v>
      </c>
      <c r="K16" s="117">
        <v>0</v>
      </c>
      <c r="L16" s="117">
        <v>4131.7649706000002</v>
      </c>
      <c r="M16" s="162">
        <f>K16+L16</f>
        <v>4131.7649706000002</v>
      </c>
      <c r="N16" s="88">
        <v>11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222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11654</v>
      </c>
      <c r="E18" s="84"/>
      <c r="F18" s="148">
        <f t="shared" ref="F18:M18" si="0">SUM(F6:F17)</f>
        <v>93396</v>
      </c>
      <c r="G18" s="149">
        <f t="shared" si="0"/>
        <v>57603.495016666668</v>
      </c>
      <c r="H18" s="149">
        <f t="shared" si="0"/>
        <v>70276.895620310039</v>
      </c>
      <c r="I18" s="150">
        <f t="shared" si="0"/>
        <v>127880.39063697669</v>
      </c>
      <c r="J18" s="149">
        <f t="shared" si="0"/>
        <v>83891</v>
      </c>
      <c r="K18" s="149">
        <f t="shared" si="0"/>
        <v>56771.156266666672</v>
      </c>
      <c r="L18" s="149">
        <f t="shared" si="0"/>
        <v>63615.440695049991</v>
      </c>
      <c r="M18" s="157">
        <f t="shared" si="0"/>
        <v>120386.59696171666</v>
      </c>
      <c r="N18" s="149">
        <f>SUM(N16,N14,N12,N10,N8,N6)</f>
        <v>301</v>
      </c>
      <c r="O18" s="149">
        <f>SUM(O16,O14,O12,O10,O8,O6)</f>
        <v>295</v>
      </c>
      <c r="P18" s="158">
        <f>SUM(P16,P14,P12,P10,P8,P6)</f>
        <v>268</v>
      </c>
    </row>
    <row r="19" spans="2:28" ht="15" customHeight="1" thickBot="1" x14ac:dyDescent="0.35">
      <c r="B19" s="16" t="s">
        <v>51</v>
      </c>
      <c r="C19" s="17">
        <v>943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35">
      <c r="B20" s="57" t="s">
        <v>52</v>
      </c>
      <c r="C20" s="58">
        <v>5396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9.152542372881356E-2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10867</v>
      </c>
      <c r="D25" s="76">
        <f>C13</f>
        <v>0</v>
      </c>
      <c r="E25" s="77">
        <f t="shared" ref="E25:E32" si="1">D25-C25</f>
        <v>-10867</v>
      </c>
    </row>
    <row r="26" spans="2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38133</v>
      </c>
      <c r="D28" s="76">
        <f>C9+C14+C15+C16+C17</f>
        <v>36841</v>
      </c>
      <c r="E28" s="77">
        <f t="shared" si="1"/>
        <v>-1292</v>
      </c>
      <c r="F28" s="1" t="s">
        <v>75</v>
      </c>
      <c r="P28" s="4"/>
    </row>
    <row r="29" spans="2:28" x14ac:dyDescent="0.3">
      <c r="B29" s="74" t="s">
        <v>21</v>
      </c>
      <c r="C29" s="122">
        <v>151</v>
      </c>
      <c r="D29" s="76">
        <f>C6</f>
        <v>151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3640</v>
      </c>
      <c r="D30" s="76">
        <f>C12</f>
        <v>3640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17245</v>
      </c>
      <c r="D31" s="76">
        <f>C18+C19+C20</f>
        <v>17993</v>
      </c>
      <c r="E31" s="77">
        <f t="shared" si="1"/>
        <v>748</v>
      </c>
      <c r="K31" s="53"/>
      <c r="P31" s="4"/>
    </row>
    <row r="32" spans="2:28" ht="15" customHeight="1" thickBot="1" x14ac:dyDescent="0.35">
      <c r="B32" s="78" t="s">
        <v>60</v>
      </c>
      <c r="C32" s="121">
        <v>1275</v>
      </c>
      <c r="D32" s="80">
        <f>C10+C11</f>
        <v>1275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>
    <tabColor theme="1"/>
    <pageSetUpPr fitToPage="1"/>
  </sheetPr>
  <dimension ref="A1:AB32"/>
  <sheetViews>
    <sheetView zoomScale="85" zoomScaleNormal="85" zoomScaleSheetLayoutView="70" workbookViewId="0">
      <selection activeCell="Q21" sqref="Q2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44727</v>
      </c>
    </row>
    <row r="3" spans="1:27" ht="18.75" customHeight="1" thickBot="1" x14ac:dyDescent="0.35">
      <c r="B3" t="s">
        <v>1</v>
      </c>
      <c r="C3" s="3">
        <f>C2+1</f>
        <v>44728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68</v>
      </c>
      <c r="E6" s="161" t="s">
        <v>22</v>
      </c>
      <c r="F6" s="119">
        <v>23167</v>
      </c>
      <c r="G6" s="117">
        <v>12229.42425</v>
      </c>
      <c r="H6" s="117">
        <v>4241.9997298200033</v>
      </c>
      <c r="I6" s="152">
        <f>G6+H6</f>
        <v>16471.423979820003</v>
      </c>
      <c r="J6" s="119">
        <v>24592</v>
      </c>
      <c r="K6" s="117">
        <v>13855.170749999999</v>
      </c>
      <c r="L6" s="117">
        <v>4327.450955680004</v>
      </c>
      <c r="M6" s="162">
        <f>K6+L6</f>
        <v>18182.621705680001</v>
      </c>
      <c r="N6" s="87">
        <v>89</v>
      </c>
      <c r="O6" s="87">
        <v>82</v>
      </c>
      <c r="P6" s="87">
        <v>79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4090.5590010800001</v>
      </c>
      <c r="I8" s="152">
        <f>G8+H8</f>
        <v>4090.5590010800001</v>
      </c>
      <c r="J8" s="119">
        <v>0</v>
      </c>
      <c r="K8" s="117">
        <v>0</v>
      </c>
      <c r="L8" s="117">
        <v>4255.8143580200003</v>
      </c>
      <c r="M8" s="162">
        <f>K8+L8</f>
        <v>4255.8143580200003</v>
      </c>
      <c r="N8" s="87">
        <v>5</v>
      </c>
      <c r="O8" s="87">
        <v>4</v>
      </c>
      <c r="P8" s="87">
        <v>4</v>
      </c>
    </row>
    <row r="9" spans="1:27" x14ac:dyDescent="0.3">
      <c r="B9" s="16" t="s">
        <v>23</v>
      </c>
      <c r="C9" s="17">
        <v>1467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17601</v>
      </c>
      <c r="G10" s="117">
        <v>11716.346</v>
      </c>
      <c r="H10" s="117">
        <v>899.48354100000006</v>
      </c>
      <c r="I10" s="152">
        <f>G10+H10</f>
        <v>12615.829540999999</v>
      </c>
      <c r="J10" s="119">
        <v>17074</v>
      </c>
      <c r="K10" s="117">
        <v>12157.931500000001</v>
      </c>
      <c r="L10" s="117">
        <v>779.6168213200001</v>
      </c>
      <c r="M10" s="162">
        <f>K10+L10</f>
        <v>12937.54832132</v>
      </c>
      <c r="N10" s="88">
        <v>60</v>
      </c>
      <c r="O10" s="88">
        <v>60</v>
      </c>
      <c r="P10" s="88">
        <v>54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2556</v>
      </c>
      <c r="E12" s="161" t="s">
        <v>35</v>
      </c>
      <c r="F12" s="119">
        <v>13166</v>
      </c>
      <c r="G12" s="117">
        <v>10685.161500000009</v>
      </c>
      <c r="H12" s="117">
        <v>15943.12134117998</v>
      </c>
      <c r="I12" s="152">
        <f>G12+H12</f>
        <v>26628.282841179989</v>
      </c>
      <c r="J12" s="119">
        <v>13117</v>
      </c>
      <c r="K12" s="117">
        <v>12468.6985</v>
      </c>
      <c r="L12" s="117">
        <v>15829.720936159991</v>
      </c>
      <c r="M12" s="162">
        <f>K12+L12</f>
        <v>28298.419436159991</v>
      </c>
      <c r="N12" s="88">
        <v>62</v>
      </c>
      <c r="O12" s="88">
        <v>60</v>
      </c>
      <c r="P12" s="88">
        <v>61</v>
      </c>
    </row>
    <row r="13" spans="1:27" x14ac:dyDescent="0.3">
      <c r="B13" s="16" t="s">
        <v>38</v>
      </c>
      <c r="C13" s="17">
        <v>12155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-1</v>
      </c>
    </row>
    <row r="14" spans="1:27" x14ac:dyDescent="0.3">
      <c r="B14" s="16" t="s">
        <v>40</v>
      </c>
      <c r="C14" s="17">
        <v>1608</v>
      </c>
      <c r="E14" s="161" t="s">
        <v>39</v>
      </c>
      <c r="F14" s="119">
        <v>22792</v>
      </c>
      <c r="G14" s="117">
        <v>20090.432499999999</v>
      </c>
      <c r="H14" s="117">
        <v>28826.102895799999</v>
      </c>
      <c r="I14" s="152">
        <f>G14+H14</f>
        <v>48916.535395799998</v>
      </c>
      <c r="J14" s="119">
        <v>22191</v>
      </c>
      <c r="K14" s="117">
        <v>21897.856749999999</v>
      </c>
      <c r="L14" s="117">
        <v>27846.810171240009</v>
      </c>
      <c r="M14" s="162">
        <f>K14+L14</f>
        <v>49744.666921240008</v>
      </c>
      <c r="N14" s="88">
        <v>84</v>
      </c>
      <c r="O14" s="88">
        <v>87</v>
      </c>
      <c r="P14" s="88">
        <v>61</v>
      </c>
    </row>
    <row r="15" spans="1:27" x14ac:dyDescent="0.3">
      <c r="B15" s="28" t="s">
        <v>42</v>
      </c>
      <c r="C15" s="17">
        <v>31547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26</v>
      </c>
    </row>
    <row r="16" spans="1:27" x14ac:dyDescent="0.3">
      <c r="B16" s="43" t="s">
        <v>47</v>
      </c>
      <c r="C16" s="17">
        <v>1568</v>
      </c>
      <c r="E16" s="161" t="s">
        <v>79</v>
      </c>
      <c r="F16" s="119">
        <v>0</v>
      </c>
      <c r="G16" s="117">
        <v>0</v>
      </c>
      <c r="H16" s="117">
        <v>8146.0983273999991</v>
      </c>
      <c r="I16" s="152">
        <f>G16+H16</f>
        <v>8146.0983273999991</v>
      </c>
      <c r="J16" s="119">
        <v>0</v>
      </c>
      <c r="K16" s="117">
        <v>0</v>
      </c>
      <c r="L16" s="117">
        <v>8243.9746935799994</v>
      </c>
      <c r="M16" s="162">
        <f>K16+L16</f>
        <v>8243.9746935799994</v>
      </c>
      <c r="N16" s="88">
        <v>12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384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9091</v>
      </c>
      <c r="E18" s="84"/>
      <c r="F18" s="148">
        <f t="shared" ref="F18:M18" si="0">SUM(F6:F17)</f>
        <v>76726</v>
      </c>
      <c r="G18" s="149">
        <f t="shared" si="0"/>
        <v>54721.364250000013</v>
      </c>
      <c r="H18" s="149">
        <f t="shared" si="0"/>
        <v>62147.364836279987</v>
      </c>
      <c r="I18" s="150">
        <f t="shared" si="0"/>
        <v>116868.72908628</v>
      </c>
      <c r="J18" s="149">
        <f t="shared" si="0"/>
        <v>76974</v>
      </c>
      <c r="K18" s="149">
        <f t="shared" si="0"/>
        <v>60379.657500000001</v>
      </c>
      <c r="L18" s="149">
        <f t="shared" si="0"/>
        <v>61283.387936000006</v>
      </c>
      <c r="M18" s="157">
        <f t="shared" si="0"/>
        <v>121663.04543600001</v>
      </c>
      <c r="N18" s="149">
        <f>SUM(N16,N14,N12,N10,N8,N6)</f>
        <v>312</v>
      </c>
      <c r="O18" s="149">
        <f>SUM(O16,O14,O12,O10,O8,O6)</f>
        <v>304</v>
      </c>
      <c r="P18" s="158">
        <f>SUM(P16,P14,P12,P10,P8,P6)</f>
        <v>270</v>
      </c>
    </row>
    <row r="19" spans="2:28" ht="15" customHeight="1" thickBot="1" x14ac:dyDescent="0.35">
      <c r="B19" s="16" t="s">
        <v>51</v>
      </c>
      <c r="C19" s="17">
        <v>1583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</row>
    <row r="20" spans="2:28" ht="15" customHeight="1" thickBot="1" x14ac:dyDescent="0.35">
      <c r="B20" s="57" t="s">
        <v>52</v>
      </c>
      <c r="C20" s="58">
        <v>4235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0.1118421052631579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11334</v>
      </c>
      <c r="D25" s="76">
        <f>C13</f>
        <v>12155</v>
      </c>
      <c r="E25" s="77">
        <f t="shared" ref="E25:E32" si="1">D25-C25</f>
        <v>821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37382</v>
      </c>
      <c r="D28" s="76">
        <f>C9+C14+C15+C16+C17</f>
        <v>36574</v>
      </c>
      <c r="E28" s="77">
        <f t="shared" si="1"/>
        <v>-808</v>
      </c>
      <c r="F28" s="1" t="s">
        <v>75</v>
      </c>
      <c r="P28" s="4"/>
    </row>
    <row r="29" spans="2:28" x14ac:dyDescent="0.3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2556</v>
      </c>
      <c r="D30" s="76">
        <f>C12</f>
        <v>2556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16705</v>
      </c>
      <c r="D31" s="76">
        <f>C18+C19+C20</f>
        <v>14909</v>
      </c>
      <c r="E31" s="77">
        <f t="shared" si="1"/>
        <v>-1796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>
    <tabColor theme="1"/>
    <pageSetUpPr fitToPage="1"/>
  </sheetPr>
  <dimension ref="A1:AB32"/>
  <sheetViews>
    <sheetView zoomScale="85" zoomScaleNormal="85" zoomScaleSheetLayoutView="70" workbookViewId="0">
      <selection activeCell="J25" sqref="J2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44728</v>
      </c>
    </row>
    <row r="3" spans="1:27" ht="18.75" customHeight="1" thickBot="1" x14ac:dyDescent="0.35">
      <c r="B3" t="s">
        <v>1</v>
      </c>
      <c r="C3" s="3">
        <f>C2+1</f>
        <v>44729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114</v>
      </c>
      <c r="E6" s="161" t="s">
        <v>22</v>
      </c>
      <c r="F6" s="119">
        <v>25836</v>
      </c>
      <c r="G6" s="117">
        <v>13110.72313333334</v>
      </c>
      <c r="H6" s="117">
        <v>5742.7784670999999</v>
      </c>
      <c r="I6" s="152">
        <f>G6+H6</f>
        <v>18853.501600433341</v>
      </c>
      <c r="J6" s="119">
        <v>27468</v>
      </c>
      <c r="K6" s="117">
        <v>15461.13338333333</v>
      </c>
      <c r="L6" s="117">
        <v>6056.9082994600012</v>
      </c>
      <c r="M6" s="162">
        <f>K6+L6</f>
        <v>21518.04168279333</v>
      </c>
      <c r="N6" s="87">
        <v>90</v>
      </c>
      <c r="O6" s="87">
        <v>84</v>
      </c>
      <c r="P6" s="87">
        <v>78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3532.0889852</v>
      </c>
      <c r="I8" s="152">
        <f>G8+H8</f>
        <v>3532.0889852</v>
      </c>
      <c r="J8" s="119">
        <v>0</v>
      </c>
      <c r="K8" s="117">
        <v>0</v>
      </c>
      <c r="L8" s="117">
        <v>3847.7460994399989</v>
      </c>
      <c r="M8" s="162">
        <f>K8+L8</f>
        <v>3847.7460994399989</v>
      </c>
      <c r="N8" s="87">
        <v>7</v>
      </c>
      <c r="O8" s="87">
        <v>7</v>
      </c>
      <c r="P8" s="87">
        <v>7</v>
      </c>
    </row>
    <row r="9" spans="1:27" x14ac:dyDescent="0.3">
      <c r="B9" s="16" t="s">
        <v>23</v>
      </c>
      <c r="C9" s="17">
        <v>2571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840</v>
      </c>
      <c r="E10" s="161" t="s">
        <v>31</v>
      </c>
      <c r="F10" s="119">
        <v>18942</v>
      </c>
      <c r="G10" s="117">
        <v>12461.528249999999</v>
      </c>
      <c r="H10" s="117">
        <v>1260.4406067</v>
      </c>
      <c r="I10" s="152">
        <f>G10+H10</f>
        <v>13721.968856699999</v>
      </c>
      <c r="J10" s="119">
        <v>19418</v>
      </c>
      <c r="K10" s="117">
        <v>13753.15575</v>
      </c>
      <c r="L10" s="117">
        <v>1275.2016375400001</v>
      </c>
      <c r="M10" s="162">
        <f>K10+L10</f>
        <v>15028.35738754</v>
      </c>
      <c r="N10" s="88">
        <v>63</v>
      </c>
      <c r="O10" s="88">
        <v>63</v>
      </c>
      <c r="P10" s="88">
        <v>61</v>
      </c>
    </row>
    <row r="11" spans="1:27" x14ac:dyDescent="0.3">
      <c r="B11" s="28" t="s">
        <v>28</v>
      </c>
      <c r="C11" s="17">
        <v>520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2475</v>
      </c>
      <c r="E12" s="161" t="s">
        <v>35</v>
      </c>
      <c r="F12" s="119">
        <v>15392</v>
      </c>
      <c r="G12" s="117">
        <v>11195.26941666667</v>
      </c>
      <c r="H12" s="117">
        <v>18611.408388569998</v>
      </c>
      <c r="I12" s="152">
        <f>G12+H12</f>
        <v>29806.677805236668</v>
      </c>
      <c r="J12" s="119">
        <v>15934</v>
      </c>
      <c r="K12" s="117">
        <v>13685.083166666671</v>
      </c>
      <c r="L12" s="117">
        <v>18981.45127143</v>
      </c>
      <c r="M12" s="162">
        <f>K12+L12</f>
        <v>32666.534438096671</v>
      </c>
      <c r="N12" s="88">
        <v>60</v>
      </c>
      <c r="O12" s="88">
        <v>58</v>
      </c>
      <c r="P12" s="88">
        <v>56</v>
      </c>
    </row>
    <row r="13" spans="1:27" x14ac:dyDescent="0.3">
      <c r="B13" s="16" t="s">
        <v>38</v>
      </c>
      <c r="C13" s="17">
        <v>13196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1280</v>
      </c>
      <c r="E14" s="161" t="s">
        <v>39</v>
      </c>
      <c r="F14" s="119">
        <v>27515</v>
      </c>
      <c r="G14" s="117">
        <v>20126.455000000002</v>
      </c>
      <c r="H14" s="117">
        <v>33460.581906320032</v>
      </c>
      <c r="I14" s="152">
        <f>G14+H14</f>
        <v>53587.036906320034</v>
      </c>
      <c r="J14" s="119">
        <v>28784</v>
      </c>
      <c r="K14" s="117">
        <v>25237.300999999999</v>
      </c>
      <c r="L14" s="117">
        <v>35319.273961660023</v>
      </c>
      <c r="M14" s="162">
        <f>K14+L14</f>
        <v>60556.574961660022</v>
      </c>
      <c r="N14" s="88">
        <v>87</v>
      </c>
      <c r="O14" s="88">
        <v>85</v>
      </c>
      <c r="P14" s="88">
        <v>71</v>
      </c>
    </row>
    <row r="15" spans="1:27" x14ac:dyDescent="0.3">
      <c r="B15" s="28" t="s">
        <v>42</v>
      </c>
      <c r="C15" s="17">
        <v>35686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1:27" x14ac:dyDescent="0.3">
      <c r="B16" s="43" t="s">
        <v>47</v>
      </c>
      <c r="C16" s="17">
        <v>1079</v>
      </c>
      <c r="E16" s="161" t="s">
        <v>79</v>
      </c>
      <c r="F16" s="119">
        <v>0</v>
      </c>
      <c r="G16" s="117">
        <v>0</v>
      </c>
      <c r="H16" s="117">
        <v>5676.7940419799997</v>
      </c>
      <c r="I16" s="152">
        <f>G16+H16</f>
        <v>5676.7940419799997</v>
      </c>
      <c r="J16" s="119">
        <v>0</v>
      </c>
      <c r="K16" s="117">
        <v>0</v>
      </c>
      <c r="L16" s="117">
        <v>5826.830871600001</v>
      </c>
      <c r="M16" s="162">
        <f>K16+L16</f>
        <v>5826.830871600001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135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9953</v>
      </c>
      <c r="E18" s="84"/>
      <c r="F18" s="148">
        <f t="shared" ref="F18:M18" si="0">SUM(F6:F17)</f>
        <v>87685</v>
      </c>
      <c r="G18" s="149">
        <f t="shared" si="0"/>
        <v>56893.975800000015</v>
      </c>
      <c r="H18" s="149">
        <f t="shared" si="0"/>
        <v>68284.09239587003</v>
      </c>
      <c r="I18" s="150">
        <f t="shared" si="0"/>
        <v>125178.06819587004</v>
      </c>
      <c r="J18" s="149">
        <f t="shared" si="0"/>
        <v>91604</v>
      </c>
      <c r="K18" s="149">
        <f t="shared" si="0"/>
        <v>68136.673299999995</v>
      </c>
      <c r="L18" s="149">
        <f t="shared" si="0"/>
        <v>71307.412141130029</v>
      </c>
      <c r="M18" s="157">
        <f t="shared" si="0"/>
        <v>139444.08544113001</v>
      </c>
      <c r="N18" s="149">
        <f>SUM(N16,N14,N12,N10,N8,N6)</f>
        <v>317</v>
      </c>
      <c r="O18" s="149">
        <f>SUM(O16,O14,O12,O10,O8,O6)</f>
        <v>307</v>
      </c>
      <c r="P18" s="158">
        <f>SUM(P16,P14,P12,P10,P8,P6)</f>
        <v>283</v>
      </c>
    </row>
    <row r="19" spans="2:28" ht="15" customHeight="1" thickBot="1" x14ac:dyDescent="0.35">
      <c r="B19" s="16" t="s">
        <v>51</v>
      </c>
      <c r="C19" s="17">
        <v>1924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35">
      <c r="B20" s="57" t="s">
        <v>52</v>
      </c>
      <c r="C20" s="58">
        <v>4654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7.8175895765472306E-2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11555</v>
      </c>
      <c r="D25" s="76">
        <f>C13</f>
        <v>13196</v>
      </c>
      <c r="E25" s="77">
        <f t="shared" ref="E25:E32" si="1">D25-C25</f>
        <v>1641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39067</v>
      </c>
      <c r="D28" s="76">
        <f>C9+C14+C15+C16+C17</f>
        <v>40751</v>
      </c>
      <c r="E28" s="77">
        <f t="shared" si="1"/>
        <v>1684</v>
      </c>
      <c r="F28" s="1" t="s">
        <v>75</v>
      </c>
      <c r="P28" s="4"/>
    </row>
    <row r="29" spans="2:28" x14ac:dyDescent="0.3">
      <c r="B29" s="74" t="s">
        <v>21</v>
      </c>
      <c r="C29" s="122">
        <v>114</v>
      </c>
      <c r="D29" s="76">
        <f>C6</f>
        <v>114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2475</v>
      </c>
      <c r="D30" s="76">
        <f>C12</f>
        <v>2475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16005</v>
      </c>
      <c r="D31" s="76">
        <f>C18+C19+C20</f>
        <v>16531</v>
      </c>
      <c r="E31" s="77">
        <f t="shared" si="1"/>
        <v>526</v>
      </c>
      <c r="K31" s="53"/>
      <c r="P31" s="4"/>
    </row>
    <row r="32" spans="2:28" ht="15" customHeight="1" thickBot="1" x14ac:dyDescent="0.35">
      <c r="B32" s="78" t="s">
        <v>60</v>
      </c>
      <c r="C32" s="121">
        <v>1360</v>
      </c>
      <c r="D32" s="80">
        <f>C10+C11</f>
        <v>1360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>
    <tabColor theme="1"/>
    <pageSetUpPr fitToPage="1"/>
  </sheetPr>
  <dimension ref="A1:AB32"/>
  <sheetViews>
    <sheetView zoomScale="85" zoomScaleNormal="85" zoomScaleSheetLayoutView="70" workbookViewId="0">
      <selection activeCell="M39" sqref="M3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44729</v>
      </c>
    </row>
    <row r="3" spans="1:27" ht="18.75" customHeight="1" thickBot="1" x14ac:dyDescent="0.35">
      <c r="B3" t="s">
        <v>1</v>
      </c>
      <c r="C3" s="3">
        <f>C2+1</f>
        <v>44730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22183</v>
      </c>
      <c r="G6" s="117">
        <v>13080.439249999999</v>
      </c>
      <c r="H6" s="117">
        <v>3957.6015557199989</v>
      </c>
      <c r="I6" s="152">
        <f>G6+H6</f>
        <v>17038.040805719997</v>
      </c>
      <c r="J6" s="119">
        <v>22807</v>
      </c>
      <c r="K6" s="117">
        <v>13515.78925</v>
      </c>
      <c r="L6" s="117">
        <v>4095.3596333800001</v>
      </c>
      <c r="M6" s="162">
        <f>K6+L6</f>
        <v>17611.148883379999</v>
      </c>
      <c r="N6" s="87">
        <v>90</v>
      </c>
      <c r="O6" s="87">
        <v>86</v>
      </c>
      <c r="P6" s="87">
        <v>72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3912.5786828</v>
      </c>
      <c r="I8" s="152">
        <f>G8+H8</f>
        <v>3912.5786828</v>
      </c>
      <c r="J8" s="119">
        <v>0</v>
      </c>
      <c r="K8" s="117">
        <v>0</v>
      </c>
      <c r="L8" s="117">
        <v>4000.3867253200001</v>
      </c>
      <c r="M8" s="162">
        <f>K8+L8</f>
        <v>4000.3867253200001</v>
      </c>
      <c r="N8" s="87">
        <v>8</v>
      </c>
      <c r="O8" s="87">
        <v>8</v>
      </c>
      <c r="P8" s="87">
        <v>8</v>
      </c>
    </row>
    <row r="9" spans="1:27" x14ac:dyDescent="0.3">
      <c r="B9" s="16" t="s">
        <v>23</v>
      </c>
      <c r="C9" s="17">
        <v>1988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16643</v>
      </c>
      <c r="G10" s="117">
        <v>12845.777</v>
      </c>
      <c r="H10" s="117">
        <v>760.61139149999997</v>
      </c>
      <c r="I10" s="152">
        <f>G10+H10</f>
        <v>13606.388391500001</v>
      </c>
      <c r="J10" s="119">
        <v>16600</v>
      </c>
      <c r="K10" s="117">
        <v>13009.8565</v>
      </c>
      <c r="L10" s="117">
        <v>714.3264643</v>
      </c>
      <c r="M10" s="162">
        <f>K10+L10</f>
        <v>13724.1829643</v>
      </c>
      <c r="N10" s="88">
        <v>58</v>
      </c>
      <c r="O10" s="88">
        <v>58</v>
      </c>
      <c r="P10" s="88">
        <v>55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 t="s">
        <v>121</v>
      </c>
      <c r="B12" s="16" t="s">
        <v>30</v>
      </c>
      <c r="C12" s="17">
        <v>4934</v>
      </c>
      <c r="E12" s="161" t="s">
        <v>35</v>
      </c>
      <c r="F12" s="119">
        <v>14185</v>
      </c>
      <c r="G12" s="117">
        <v>12007.596750000001</v>
      </c>
      <c r="H12" s="117">
        <v>17726.21473602</v>
      </c>
      <c r="I12" s="152">
        <f>G12+H12</f>
        <v>29733.81148602</v>
      </c>
      <c r="J12" s="119">
        <v>14463</v>
      </c>
      <c r="K12" s="117">
        <v>14413.12075</v>
      </c>
      <c r="L12" s="117">
        <v>17915.854025910001</v>
      </c>
      <c r="M12" s="162">
        <f>K12+L12</f>
        <v>32328.974775909999</v>
      </c>
      <c r="N12" s="88">
        <v>59</v>
      </c>
      <c r="O12" s="88">
        <v>59</v>
      </c>
      <c r="P12" s="88">
        <v>53</v>
      </c>
    </row>
    <row r="13" spans="1:27" x14ac:dyDescent="0.3">
      <c r="B13" s="16" t="s">
        <v>38</v>
      </c>
      <c r="C13" s="17">
        <v>10425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3">
      <c r="B14" s="16" t="s">
        <v>40</v>
      </c>
      <c r="C14" s="17">
        <v>2007</v>
      </c>
      <c r="E14" s="161" t="s">
        <v>39</v>
      </c>
      <c r="F14" s="119">
        <v>31917</v>
      </c>
      <c r="G14" s="117">
        <v>24042.663</v>
      </c>
      <c r="H14" s="117">
        <v>38154.978876179986</v>
      </c>
      <c r="I14" s="152">
        <f>G14+H14</f>
        <v>62197.641876179987</v>
      </c>
      <c r="J14" s="119">
        <v>32659</v>
      </c>
      <c r="K14" s="117">
        <v>28313.547750000002</v>
      </c>
      <c r="L14" s="117">
        <v>39170.343166959989</v>
      </c>
      <c r="M14" s="162">
        <f>K14+L14</f>
        <v>67483.890916959994</v>
      </c>
      <c r="N14" s="88">
        <v>87</v>
      </c>
      <c r="O14" s="88">
        <v>86</v>
      </c>
      <c r="P14" s="88">
        <v>67</v>
      </c>
    </row>
    <row r="15" spans="1:27" x14ac:dyDescent="0.3">
      <c r="B15" s="28" t="s">
        <v>42</v>
      </c>
      <c r="C15" s="17">
        <f>42673-6294</f>
        <v>36379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19</v>
      </c>
    </row>
    <row r="16" spans="1:27" x14ac:dyDescent="0.3">
      <c r="B16" s="43" t="s">
        <v>47</v>
      </c>
      <c r="C16" s="17">
        <v>1899</v>
      </c>
      <c r="E16" s="161" t="s">
        <v>79</v>
      </c>
      <c r="F16" s="119">
        <v>0</v>
      </c>
      <c r="G16" s="117">
        <v>0</v>
      </c>
      <c r="H16" s="117">
        <v>9193.2107044600016</v>
      </c>
      <c r="I16" s="152">
        <f>G16+H16</f>
        <v>9193.2107044600016</v>
      </c>
      <c r="J16" s="119">
        <v>0</v>
      </c>
      <c r="K16" s="117">
        <v>0</v>
      </c>
      <c r="L16" s="117">
        <v>9134.37039654</v>
      </c>
      <c r="M16" s="162">
        <f>K16+L16</f>
        <v>9134.37039654</v>
      </c>
      <c r="N16" s="88">
        <v>14</v>
      </c>
      <c r="O16" s="88">
        <v>14</v>
      </c>
      <c r="P16" s="88">
        <v>14</v>
      </c>
    </row>
    <row r="17" spans="2:28" s="4" customFormat="1" ht="15" customHeight="1" thickBot="1" x14ac:dyDescent="0.35">
      <c r="B17" s="43" t="s">
        <v>48</v>
      </c>
      <c r="C17" s="50">
        <v>400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9451</v>
      </c>
      <c r="E18" s="84"/>
      <c r="F18" s="148">
        <f t="shared" ref="F18:M18" si="0">SUM(F6:F17)</f>
        <v>84928</v>
      </c>
      <c r="G18" s="149">
        <f t="shared" si="0"/>
        <v>61976.475999999995</v>
      </c>
      <c r="H18" s="149">
        <f t="shared" si="0"/>
        <v>73705.195946679989</v>
      </c>
      <c r="I18" s="150">
        <f t="shared" si="0"/>
        <v>135681.67194668</v>
      </c>
      <c r="J18" s="149">
        <f t="shared" si="0"/>
        <v>86529</v>
      </c>
      <c r="K18" s="149">
        <f t="shared" si="0"/>
        <v>69252.314249999996</v>
      </c>
      <c r="L18" s="149">
        <f t="shared" si="0"/>
        <v>75030.640412409994</v>
      </c>
      <c r="M18" s="157">
        <f t="shared" si="0"/>
        <v>144282.95466240999</v>
      </c>
      <c r="N18" s="149">
        <f>SUM(N16,N14,N12,N10,N8,N6)</f>
        <v>316</v>
      </c>
      <c r="O18" s="149">
        <f>SUM(O16,O14,O12,O10,O8,O6)</f>
        <v>311</v>
      </c>
      <c r="P18" s="158">
        <f>SUM(P16,P14,P12,P10,P8,P6)</f>
        <v>269</v>
      </c>
    </row>
    <row r="19" spans="2:28" ht="15" customHeight="1" thickBot="1" x14ac:dyDescent="0.35">
      <c r="B19" s="16" t="s">
        <v>51</v>
      </c>
      <c r="C19" s="17">
        <v>511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42</v>
      </c>
    </row>
    <row r="20" spans="2:28" ht="15" customHeight="1" thickBot="1" x14ac:dyDescent="0.35">
      <c r="B20" s="57" t="s">
        <v>52</v>
      </c>
      <c r="C20" s="58">
        <v>5132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0.13504823151125403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9896</v>
      </c>
      <c r="D25" s="76">
        <f>C13</f>
        <v>10425</v>
      </c>
      <c r="E25" s="77">
        <f t="shared" ref="E25:E32" si="1">D25-C25</f>
        <v>529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41652</v>
      </c>
      <c r="D28" s="76">
        <f>C9+C14+C15+C16+C17</f>
        <v>42673</v>
      </c>
      <c r="E28" s="77">
        <f t="shared" si="1"/>
        <v>1021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4934</v>
      </c>
      <c r="D30" s="76">
        <f>C12</f>
        <v>4934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15085</v>
      </c>
      <c r="D31" s="76">
        <f>C18+C19+C20</f>
        <v>15094</v>
      </c>
      <c r="E31" s="77">
        <f t="shared" si="1"/>
        <v>9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44730</v>
      </c>
    </row>
    <row r="3" spans="1:27" ht="18.75" customHeight="1" thickBot="1" x14ac:dyDescent="0.35">
      <c r="B3" t="s">
        <v>1</v>
      </c>
      <c r="C3" s="3">
        <f>C2+1</f>
        <v>44731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68</v>
      </c>
      <c r="E6" s="161" t="s">
        <v>22</v>
      </c>
      <c r="F6" s="119">
        <v>25645</v>
      </c>
      <c r="G6" s="117">
        <v>12244.1973</v>
      </c>
      <c r="H6" s="117">
        <v>4798.5555985799974</v>
      </c>
      <c r="I6" s="152">
        <f>G6+H6</f>
        <v>17042.752898579998</v>
      </c>
      <c r="J6" s="119">
        <v>26126</v>
      </c>
      <c r="K6" s="117">
        <v>14739.18605</v>
      </c>
      <c r="L6" s="117">
        <v>4679.6283243999969</v>
      </c>
      <c r="M6" s="162">
        <f>K6+L6</f>
        <v>19418.814374399997</v>
      </c>
      <c r="N6" s="87">
        <v>96</v>
      </c>
      <c r="O6" s="87">
        <v>90</v>
      </c>
      <c r="P6" s="87">
        <v>79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3615.67859744</v>
      </c>
      <c r="I8" s="152">
        <f>G8+H8</f>
        <v>3615.67859744</v>
      </c>
      <c r="J8" s="119">
        <v>0</v>
      </c>
      <c r="K8" s="117">
        <v>0</v>
      </c>
      <c r="L8" s="117">
        <v>3668.4652690600001</v>
      </c>
      <c r="M8" s="162">
        <f>K8+L8</f>
        <v>3668.4652690600001</v>
      </c>
      <c r="N8" s="87">
        <v>7</v>
      </c>
      <c r="O8" s="87">
        <v>7</v>
      </c>
      <c r="P8" s="87">
        <v>6</v>
      </c>
    </row>
    <row r="9" spans="1:27" x14ac:dyDescent="0.3">
      <c r="B9" s="16" t="s">
        <v>23</v>
      </c>
      <c r="C9" s="17">
        <v>1858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770</v>
      </c>
      <c r="E10" s="161" t="s">
        <v>31</v>
      </c>
      <c r="F10" s="119">
        <v>17873</v>
      </c>
      <c r="G10" s="117">
        <v>12111.963</v>
      </c>
      <c r="H10" s="117">
        <v>1253.47544724</v>
      </c>
      <c r="I10" s="152">
        <f>G10+H10</f>
        <v>13365.43844724</v>
      </c>
      <c r="J10" s="119">
        <v>17684</v>
      </c>
      <c r="K10" s="117">
        <v>12958.208000000001</v>
      </c>
      <c r="L10" s="117">
        <v>1215.9544676400001</v>
      </c>
      <c r="M10" s="162">
        <f>K10+L10</f>
        <v>14174.162467640001</v>
      </c>
      <c r="N10" s="88">
        <v>61</v>
      </c>
      <c r="O10" s="88">
        <v>61</v>
      </c>
      <c r="P10" s="88">
        <v>56</v>
      </c>
    </row>
    <row r="11" spans="1:27" x14ac:dyDescent="0.3">
      <c r="B11" s="28" t="s">
        <v>28</v>
      </c>
      <c r="C11" s="17">
        <v>450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1:27" x14ac:dyDescent="0.3">
      <c r="A12" s="166"/>
      <c r="B12" s="16" t="s">
        <v>30</v>
      </c>
      <c r="C12" s="17">
        <v>4001</v>
      </c>
      <c r="E12" s="161" t="s">
        <v>35</v>
      </c>
      <c r="F12" s="119">
        <v>16772</v>
      </c>
      <c r="G12" s="117">
        <v>12830.79541666667</v>
      </c>
      <c r="H12" s="117">
        <v>20341.47377077999</v>
      </c>
      <c r="I12" s="152">
        <f>G12+H12</f>
        <v>33172.269187446662</v>
      </c>
      <c r="J12" s="119">
        <v>17168</v>
      </c>
      <c r="K12" s="117">
        <v>15311.05116666667</v>
      </c>
      <c r="L12" s="117">
        <v>20619.637397150011</v>
      </c>
      <c r="M12" s="162">
        <f>K12+L12</f>
        <v>35930.688563816679</v>
      </c>
      <c r="N12" s="88">
        <v>65</v>
      </c>
      <c r="O12" s="88">
        <v>64</v>
      </c>
      <c r="P12" s="88">
        <v>53</v>
      </c>
    </row>
    <row r="13" spans="1:27" x14ac:dyDescent="0.3">
      <c r="B13" s="16" t="s">
        <v>38</v>
      </c>
      <c r="C13" s="17">
        <v>11329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1:27" x14ac:dyDescent="0.3">
      <c r="B14" s="16" t="s">
        <v>40</v>
      </c>
      <c r="C14" s="17">
        <v>1216</v>
      </c>
      <c r="E14" s="161" t="s">
        <v>39</v>
      </c>
      <c r="F14" s="119">
        <v>28052</v>
      </c>
      <c r="G14" s="117">
        <v>24399.241249999999</v>
      </c>
      <c r="H14" s="117">
        <v>33158.069080160029</v>
      </c>
      <c r="I14" s="152">
        <f>G14+H14</f>
        <v>57557.310330160028</v>
      </c>
      <c r="J14" s="119">
        <v>28675</v>
      </c>
      <c r="K14" s="117">
        <v>20689.590499999998</v>
      </c>
      <c r="L14" s="117">
        <v>34397.282261620006</v>
      </c>
      <c r="M14" s="162">
        <f>K14+L14</f>
        <v>55086.872761620005</v>
      </c>
      <c r="N14" s="88">
        <v>83</v>
      </c>
      <c r="O14" s="88">
        <v>82</v>
      </c>
      <c r="P14" s="88">
        <v>70</v>
      </c>
    </row>
    <row r="15" spans="1:27" x14ac:dyDescent="0.3">
      <c r="B15" s="28" t="s">
        <v>42</v>
      </c>
      <c r="C15" s="17">
        <f>36772-4236</f>
        <v>32536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1022</v>
      </c>
      <c r="E16" s="161" t="s">
        <v>79</v>
      </c>
      <c r="F16" s="119">
        <v>0</v>
      </c>
      <c r="G16" s="117">
        <v>0</v>
      </c>
      <c r="H16" s="117">
        <v>5579.3296714600001</v>
      </c>
      <c r="I16" s="152">
        <f>G16+H16</f>
        <v>5579.3296714600001</v>
      </c>
      <c r="J16" s="119">
        <v>0</v>
      </c>
      <c r="K16" s="117">
        <v>0</v>
      </c>
      <c r="L16" s="117">
        <v>5570.6290037799999</v>
      </c>
      <c r="M16" s="162">
        <f>K16+L16</f>
        <v>5570.6290037799999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140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10978</v>
      </c>
      <c r="E18" s="84"/>
      <c r="F18" s="148">
        <f t="shared" ref="F18:M18" si="0">SUM(F6:F17)</f>
        <v>88342</v>
      </c>
      <c r="G18" s="149">
        <f t="shared" si="0"/>
        <v>61586.19696666667</v>
      </c>
      <c r="H18" s="149">
        <f t="shared" si="0"/>
        <v>68746.582165660016</v>
      </c>
      <c r="I18" s="150">
        <f t="shared" si="0"/>
        <v>130332.77913232669</v>
      </c>
      <c r="J18" s="149">
        <f t="shared" si="0"/>
        <v>89653</v>
      </c>
      <c r="K18" s="149">
        <f t="shared" si="0"/>
        <v>63698.035716666673</v>
      </c>
      <c r="L18" s="149">
        <f t="shared" si="0"/>
        <v>70151.596723650015</v>
      </c>
      <c r="M18" s="157">
        <f t="shared" si="0"/>
        <v>133849.63244031667</v>
      </c>
      <c r="N18" s="149">
        <f>SUM(N16,N14,N12,N10,N8,N6)</f>
        <v>324</v>
      </c>
      <c r="O18" s="149">
        <f>SUM(O16,O14,O12,O10,O8,O6)</f>
        <v>316</v>
      </c>
      <c r="P18" s="158">
        <f>SUM(P16,P14,P12,P10,P8,P6)</f>
        <v>275</v>
      </c>
    </row>
    <row r="19" spans="2:28" ht="15" customHeight="1" thickBot="1" x14ac:dyDescent="0.35">
      <c r="B19" s="16" t="s">
        <v>51</v>
      </c>
      <c r="C19" s="17">
        <v>1425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41</v>
      </c>
    </row>
    <row r="20" spans="2:28" ht="15" customHeight="1" thickBot="1" x14ac:dyDescent="0.35">
      <c r="B20" s="57" t="s">
        <v>52</v>
      </c>
      <c r="C20" s="58">
        <v>4893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0.12974683544303797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11180</v>
      </c>
      <c r="D25" s="76">
        <f>C13</f>
        <v>11329</v>
      </c>
      <c r="E25" s="77">
        <f t="shared" ref="E25:E32" si="1">D25-C25</f>
        <v>149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35837</v>
      </c>
      <c r="D28" s="76">
        <f>C9+C14+C15+C16+C17</f>
        <v>36772</v>
      </c>
      <c r="E28" s="77">
        <f t="shared" si="1"/>
        <v>935</v>
      </c>
      <c r="F28" s="1" t="s">
        <v>75</v>
      </c>
      <c r="P28" s="4"/>
    </row>
    <row r="29" spans="2:28" x14ac:dyDescent="0.3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4001</v>
      </c>
      <c r="D30" s="76">
        <f>C12</f>
        <v>4001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17080</v>
      </c>
      <c r="D31" s="76">
        <f>C18+C19+C20</f>
        <v>17296</v>
      </c>
      <c r="E31" s="77">
        <f t="shared" si="1"/>
        <v>216</v>
      </c>
      <c r="K31" s="53"/>
      <c r="P31" s="4"/>
    </row>
    <row r="32" spans="2:28" ht="15" customHeight="1" thickBot="1" x14ac:dyDescent="0.35">
      <c r="B32" s="78" t="s">
        <v>60</v>
      </c>
      <c r="C32" s="121">
        <v>1220</v>
      </c>
      <c r="D32" s="80">
        <f>C10+C11</f>
        <v>1220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>
    <tabColor theme="1"/>
    <pageSetUpPr fitToPage="1"/>
  </sheetPr>
  <dimension ref="A1:AB32"/>
  <sheetViews>
    <sheetView zoomScale="85" zoomScaleNormal="85" zoomScaleSheetLayoutView="70" workbookViewId="0">
      <selection activeCell="L40" sqref="L4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44731</v>
      </c>
    </row>
    <row r="3" spans="1:27" ht="18.75" customHeight="1" thickBot="1" x14ac:dyDescent="0.35">
      <c r="B3" t="s">
        <v>1</v>
      </c>
      <c r="C3" s="3">
        <f>C2+1</f>
        <v>44732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10435</v>
      </c>
      <c r="G6" s="117">
        <v>3531</v>
      </c>
      <c r="H6" s="117">
        <v>761</v>
      </c>
      <c r="I6" s="152">
        <f>G6+H6</f>
        <v>4292</v>
      </c>
      <c r="J6" s="119">
        <v>10388</v>
      </c>
      <c r="K6" s="117">
        <v>3516</v>
      </c>
      <c r="L6" s="117">
        <v>723</v>
      </c>
      <c r="M6" s="162">
        <f>K6+L6</f>
        <v>4239</v>
      </c>
      <c r="N6" s="87">
        <v>52</v>
      </c>
      <c r="O6" s="87">
        <v>49</v>
      </c>
      <c r="P6" s="87">
        <v>38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5720</v>
      </c>
      <c r="G10" s="117">
        <v>2941</v>
      </c>
      <c r="H10" s="117">
        <v>859</v>
      </c>
      <c r="I10" s="152">
        <f>G10+H10</f>
        <v>3800</v>
      </c>
      <c r="J10" s="119">
        <v>5236</v>
      </c>
      <c r="K10" s="117">
        <v>2732</v>
      </c>
      <c r="L10" s="117">
        <v>766</v>
      </c>
      <c r="M10" s="162">
        <f>K10+L10</f>
        <v>3498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5</v>
      </c>
      <c r="O14" s="88">
        <v>8</v>
      </c>
      <c r="P14" s="88">
        <v>2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9846</v>
      </c>
      <c r="E18" s="84"/>
      <c r="F18" s="148">
        <f t="shared" ref="F18:M18" si="0">SUM(F6:F17)</f>
        <v>16155</v>
      </c>
      <c r="G18" s="149">
        <f t="shared" si="0"/>
        <v>6472</v>
      </c>
      <c r="H18" s="149">
        <f t="shared" si="0"/>
        <v>1620</v>
      </c>
      <c r="I18" s="150">
        <f t="shared" si="0"/>
        <v>8092</v>
      </c>
      <c r="J18" s="149">
        <f t="shared" si="0"/>
        <v>15624</v>
      </c>
      <c r="K18" s="149">
        <f t="shared" si="0"/>
        <v>6248</v>
      </c>
      <c r="L18" s="149">
        <f t="shared" si="0"/>
        <v>1489</v>
      </c>
      <c r="M18" s="157">
        <f t="shared" si="0"/>
        <v>7737</v>
      </c>
      <c r="N18" s="149">
        <f>SUM(N16,N14,N12,N10,N8,N6)</f>
        <v>57</v>
      </c>
      <c r="O18" s="149">
        <f>SUM(O16,O14,O12,O10,O8,O6)</f>
        <v>57</v>
      </c>
      <c r="P18" s="158">
        <f>SUM(P16,P14,P12,P10,P8,P6)</f>
        <v>40</v>
      </c>
    </row>
    <row r="19" spans="2:28" ht="15" customHeight="1" thickBot="1" x14ac:dyDescent="0.35">
      <c r="B19" s="16" t="s">
        <v>51</v>
      </c>
      <c r="C19" s="17">
        <v>843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ht="15" customHeight="1" thickBot="1" x14ac:dyDescent="0.35">
      <c r="B20" s="57" t="s">
        <v>52</v>
      </c>
      <c r="C20" s="58">
        <v>4935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0.2982456140350877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16155</v>
      </c>
      <c r="D31" s="76">
        <f>C18+C19+C20</f>
        <v>15624</v>
      </c>
      <c r="E31" s="77">
        <f t="shared" si="1"/>
        <v>-531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>
    <tabColor theme="1"/>
    <pageSetUpPr fitToPage="1"/>
  </sheetPr>
  <dimension ref="A1:AB32"/>
  <sheetViews>
    <sheetView zoomScale="85" zoomScaleNormal="85" zoomScaleSheetLayoutView="70" workbookViewId="0">
      <selection activeCell="M34" sqref="M3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44732</v>
      </c>
    </row>
    <row r="3" spans="1:27" ht="18.75" customHeight="1" thickBot="1" x14ac:dyDescent="0.35">
      <c r="B3" t="s">
        <v>1</v>
      </c>
      <c r="C3" s="3">
        <f>C2+1</f>
        <v>44733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71</v>
      </c>
      <c r="E6" s="161" t="s">
        <v>22</v>
      </c>
      <c r="F6" s="119">
        <v>24718</v>
      </c>
      <c r="G6" s="117">
        <v>12941.21336666666</v>
      </c>
      <c r="H6" s="117">
        <v>4636.6999658999957</v>
      </c>
      <c r="I6" s="152">
        <f>G6+H6</f>
        <v>17577.913332566655</v>
      </c>
      <c r="J6" s="119">
        <v>24263</v>
      </c>
      <c r="K6" s="117">
        <v>13787.125366666671</v>
      </c>
      <c r="L6" s="117">
        <v>4484.2597971000032</v>
      </c>
      <c r="M6" s="162">
        <f>K6+L6</f>
        <v>18271.385163766674</v>
      </c>
      <c r="N6" s="87">
        <v>88</v>
      </c>
      <c r="O6" s="87">
        <v>85</v>
      </c>
      <c r="P6" s="87">
        <v>73</v>
      </c>
    </row>
    <row r="7" spans="1:27" x14ac:dyDescent="0.3">
      <c r="B7" s="16" t="s">
        <v>43</v>
      </c>
      <c r="C7" s="17">
        <v>30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4076.1449910799988</v>
      </c>
      <c r="I8" s="152">
        <f>G8+H8</f>
        <v>4076.1449910799988</v>
      </c>
      <c r="J8" s="119">
        <v>0</v>
      </c>
      <c r="K8" s="117">
        <v>0</v>
      </c>
      <c r="L8" s="117">
        <v>4027.2276460199992</v>
      </c>
      <c r="M8" s="162">
        <f>K8+L8</f>
        <v>4027.2276460199992</v>
      </c>
      <c r="N8" s="87">
        <v>8</v>
      </c>
      <c r="O8" s="87">
        <v>8</v>
      </c>
      <c r="P8" s="87">
        <v>7</v>
      </c>
    </row>
    <row r="9" spans="1:27" x14ac:dyDescent="0.3">
      <c r="B9" s="16" t="s">
        <v>23</v>
      </c>
      <c r="C9" s="17">
        <v>1547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390</v>
      </c>
      <c r="E10" s="161" t="s">
        <v>31</v>
      </c>
      <c r="F10" s="119">
        <v>19190</v>
      </c>
      <c r="G10" s="117">
        <v>12458.776750000001</v>
      </c>
      <c r="H10" s="117">
        <v>975.48915549999992</v>
      </c>
      <c r="I10" s="152">
        <f>G10+H10</f>
        <v>13434.2659055</v>
      </c>
      <c r="J10" s="119">
        <v>18450</v>
      </c>
      <c r="K10" s="117">
        <v>12342.18475</v>
      </c>
      <c r="L10" s="117">
        <v>869.48928295999985</v>
      </c>
      <c r="M10" s="162">
        <f>K10+L10</f>
        <v>13211.67403296</v>
      </c>
      <c r="N10" s="88">
        <v>57</v>
      </c>
      <c r="O10" s="88">
        <v>57</v>
      </c>
      <c r="P10" s="88">
        <v>53</v>
      </c>
    </row>
    <row r="11" spans="1:27" x14ac:dyDescent="0.3">
      <c r="B11" s="28" t="s">
        <v>28</v>
      </c>
      <c r="C11" s="17">
        <v>240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3970</v>
      </c>
      <c r="E12" s="161" t="s">
        <v>35</v>
      </c>
      <c r="F12" s="119">
        <v>14247</v>
      </c>
      <c r="G12" s="117">
        <v>11798.26325</v>
      </c>
      <c r="H12" s="117">
        <v>17881.911804129999</v>
      </c>
      <c r="I12" s="152">
        <f>G12+H12</f>
        <v>29680.175054129999</v>
      </c>
      <c r="J12" s="119">
        <v>14112</v>
      </c>
      <c r="K12" s="117">
        <v>13280.096999999991</v>
      </c>
      <c r="L12" s="117">
        <v>17858.135861030001</v>
      </c>
      <c r="M12" s="162">
        <f>K12+L12</f>
        <v>31138.232861029992</v>
      </c>
      <c r="N12" s="88">
        <v>55</v>
      </c>
      <c r="O12" s="88">
        <v>55</v>
      </c>
      <c r="P12" s="88">
        <v>45</v>
      </c>
    </row>
    <row r="13" spans="1:27" x14ac:dyDescent="0.3">
      <c r="B13" s="16" t="s">
        <v>38</v>
      </c>
      <c r="C13" s="17">
        <v>9968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3">
      <c r="B14" s="16" t="s">
        <v>40</v>
      </c>
      <c r="C14" s="17">
        <v>1785</v>
      </c>
      <c r="E14" s="161" t="s">
        <v>39</v>
      </c>
      <c r="F14" s="119">
        <v>29816</v>
      </c>
      <c r="G14" s="117">
        <v>22021.755000000001</v>
      </c>
      <c r="H14" s="117">
        <v>35567.656085180002</v>
      </c>
      <c r="I14" s="152">
        <f>G14+H14</f>
        <v>57589.411085180007</v>
      </c>
      <c r="J14" s="119">
        <v>29640</v>
      </c>
      <c r="K14" s="117">
        <v>24256.096750000001</v>
      </c>
      <c r="L14" s="117">
        <v>35738.676277960003</v>
      </c>
      <c r="M14" s="162">
        <f>K14+L14</f>
        <v>59994.773027960007</v>
      </c>
      <c r="N14" s="88">
        <v>78</v>
      </c>
      <c r="O14" s="88">
        <v>82</v>
      </c>
      <c r="P14" s="88">
        <v>69</v>
      </c>
    </row>
    <row r="15" spans="1:27" x14ac:dyDescent="0.3">
      <c r="B15" s="28" t="s">
        <v>42</v>
      </c>
      <c r="C15" s="17">
        <v>31895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1715</v>
      </c>
      <c r="E16" s="161" t="s">
        <v>79</v>
      </c>
      <c r="F16" s="119">
        <v>0</v>
      </c>
      <c r="G16" s="117">
        <v>0</v>
      </c>
      <c r="H16" s="117">
        <v>8497.741208219999</v>
      </c>
      <c r="I16" s="152">
        <f>G16+H16</f>
        <v>8497.741208219999</v>
      </c>
      <c r="J16" s="119">
        <v>0</v>
      </c>
      <c r="K16" s="117">
        <v>0</v>
      </c>
      <c r="L16" s="117">
        <v>8369.1174812000008</v>
      </c>
      <c r="M16" s="162">
        <f>K16+L16</f>
        <v>8369.1174812000008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385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10726</v>
      </c>
      <c r="E18" s="84"/>
      <c r="F18" s="148">
        <f t="shared" ref="F18:M18" si="0">SUM(F6:F17)</f>
        <v>87971</v>
      </c>
      <c r="G18" s="149">
        <f t="shared" si="0"/>
        <v>59220.008366666661</v>
      </c>
      <c r="H18" s="149">
        <f t="shared" si="0"/>
        <v>71635.643210009992</v>
      </c>
      <c r="I18" s="150">
        <f t="shared" si="0"/>
        <v>130855.65157667667</v>
      </c>
      <c r="J18" s="149">
        <f t="shared" si="0"/>
        <v>86465</v>
      </c>
      <c r="K18" s="149">
        <f t="shared" si="0"/>
        <v>63665.503866666666</v>
      </c>
      <c r="L18" s="149">
        <f t="shared" si="0"/>
        <v>71346.90634627</v>
      </c>
      <c r="M18" s="157">
        <f t="shared" si="0"/>
        <v>135012.41021293667</v>
      </c>
      <c r="N18" s="149">
        <f>SUM(N16,N14,N12,N10,N8,N6)</f>
        <v>297</v>
      </c>
      <c r="O18" s="149">
        <f>SUM(O16,O14,O12,O10,O8,O6)</f>
        <v>298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1121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41</v>
      </c>
    </row>
    <row r="20" spans="2:28" ht="15" customHeight="1" thickBot="1" x14ac:dyDescent="0.35">
      <c r="B20" s="57" t="s">
        <v>52</v>
      </c>
      <c r="C20" s="58">
        <v>4751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0.13758389261744966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10790</v>
      </c>
      <c r="D25" s="76">
        <f>C13</f>
        <v>9968</v>
      </c>
      <c r="E25" s="77">
        <f t="shared" ref="E25:E32" si="1">D25-C25</f>
        <v>-822</v>
      </c>
    </row>
    <row r="26" spans="2:28" x14ac:dyDescent="0.3">
      <c r="B26" s="74" t="s">
        <v>58</v>
      </c>
      <c r="C26" s="122">
        <v>30</v>
      </c>
      <c r="D26" s="76">
        <f>C7</f>
        <v>30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37453</v>
      </c>
      <c r="D28" s="76">
        <f>C9+C14+C15+C16+C17</f>
        <v>37327</v>
      </c>
      <c r="E28" s="77">
        <f t="shared" si="1"/>
        <v>-126</v>
      </c>
      <c r="F28" s="1" t="s">
        <v>75</v>
      </c>
      <c r="P28" s="4"/>
    </row>
    <row r="29" spans="2:28" x14ac:dyDescent="0.3">
      <c r="B29" s="74" t="s">
        <v>21</v>
      </c>
      <c r="C29" s="122">
        <v>71</v>
      </c>
      <c r="D29" s="76">
        <f>C6</f>
        <v>71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3970</v>
      </c>
      <c r="D30" s="76">
        <f>C12</f>
        <v>3970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17048</v>
      </c>
      <c r="D31" s="76">
        <f>C18+C19+C20</f>
        <v>16598</v>
      </c>
      <c r="E31" s="77">
        <f t="shared" si="1"/>
        <v>-450</v>
      </c>
      <c r="K31" s="53"/>
      <c r="P31" s="4"/>
    </row>
    <row r="32" spans="2:28" ht="15" customHeight="1" thickBot="1" x14ac:dyDescent="0.35">
      <c r="B32" s="78" t="s">
        <v>60</v>
      </c>
      <c r="C32" s="121">
        <v>630</v>
      </c>
      <c r="D32" s="80">
        <f>C10+C11</f>
        <v>630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44733</v>
      </c>
    </row>
    <row r="3" spans="1:27" ht="18.75" customHeight="1" thickBot="1" x14ac:dyDescent="0.35">
      <c r="B3" t="s">
        <v>1</v>
      </c>
      <c r="C3" s="3">
        <f>C2+1</f>
        <v>44734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0.34027777777777779</v>
      </c>
    </row>
    <row r="6" spans="1:27" x14ac:dyDescent="0.3">
      <c r="A6" s="166"/>
      <c r="B6" s="16" t="s">
        <v>21</v>
      </c>
      <c r="C6" s="17">
        <v>132</v>
      </c>
      <c r="E6" s="161" t="s">
        <v>22</v>
      </c>
      <c r="F6" s="119">
        <v>26338</v>
      </c>
      <c r="G6" s="117">
        <v>13432.311416666669</v>
      </c>
      <c r="H6" s="117">
        <v>5336.604387280001</v>
      </c>
      <c r="I6" s="152">
        <f>G6+H6</f>
        <v>18768.915803946671</v>
      </c>
      <c r="J6" s="119">
        <v>25714</v>
      </c>
      <c r="K6" s="117">
        <v>13917.999916666669</v>
      </c>
      <c r="L6" s="117">
        <v>5068.032965880001</v>
      </c>
      <c r="M6" s="162">
        <f>K6+L6</f>
        <v>18986.032882546671</v>
      </c>
      <c r="N6" s="87">
        <v>90</v>
      </c>
      <c r="O6" s="87">
        <v>87</v>
      </c>
      <c r="P6" s="87">
        <v>83</v>
      </c>
    </row>
    <row r="7" spans="1:27" x14ac:dyDescent="0.3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3266.8528223200001</v>
      </c>
      <c r="I8" s="152">
        <f>G8+H8</f>
        <v>3266.8528223200001</v>
      </c>
      <c r="J8" s="119">
        <v>0</v>
      </c>
      <c r="K8" s="117">
        <v>0</v>
      </c>
      <c r="L8" s="117">
        <v>3234.0750688399999</v>
      </c>
      <c r="M8" s="162">
        <f>K8+L8</f>
        <v>3234.0750688399999</v>
      </c>
      <c r="N8" s="87">
        <v>6</v>
      </c>
      <c r="O8" s="87">
        <v>6</v>
      </c>
      <c r="P8" s="87">
        <v>5</v>
      </c>
    </row>
    <row r="9" spans="1:27" x14ac:dyDescent="0.3">
      <c r="B9" s="16" t="s">
        <v>23</v>
      </c>
      <c r="C9" s="17">
        <v>4029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710</v>
      </c>
      <c r="E10" s="161" t="s">
        <v>31</v>
      </c>
      <c r="F10" s="119">
        <v>19617</v>
      </c>
      <c r="G10" s="117">
        <v>12684.6625</v>
      </c>
      <c r="H10" s="117">
        <v>1349.3332029999999</v>
      </c>
      <c r="I10" s="152">
        <f>G10+H10</f>
        <v>14033.995703000001</v>
      </c>
      <c r="J10" s="119">
        <v>18780</v>
      </c>
      <c r="K10" s="117">
        <v>12549.354499999999</v>
      </c>
      <c r="L10" s="117">
        <v>1265.0233113199999</v>
      </c>
      <c r="M10" s="162">
        <f>K10+L10</f>
        <v>13814.377811319999</v>
      </c>
      <c r="N10" s="88">
        <v>58</v>
      </c>
      <c r="O10" s="88">
        <v>58</v>
      </c>
      <c r="P10" s="88">
        <v>54</v>
      </c>
    </row>
    <row r="11" spans="1:27" x14ac:dyDescent="0.3">
      <c r="B11" s="28" t="s">
        <v>28</v>
      </c>
      <c r="C11" s="17">
        <v>460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4115</v>
      </c>
      <c r="E12" s="161" t="s">
        <v>35</v>
      </c>
      <c r="F12" s="119">
        <v>14508</v>
      </c>
      <c r="G12" s="117">
        <v>10666.556583333329</v>
      </c>
      <c r="H12" s="117">
        <v>17434.543152509999</v>
      </c>
      <c r="I12" s="152">
        <f>G12+H12</f>
        <v>28101.099735843331</v>
      </c>
      <c r="J12" s="119">
        <v>14391</v>
      </c>
      <c r="K12" s="117">
        <v>12195.336333333329</v>
      </c>
      <c r="L12" s="117">
        <v>17391.075929729999</v>
      </c>
      <c r="M12" s="162">
        <f>K12+L12</f>
        <v>29586.412263063328</v>
      </c>
      <c r="N12" s="88">
        <v>55</v>
      </c>
      <c r="O12" s="88">
        <v>54</v>
      </c>
      <c r="P12" s="88">
        <v>46</v>
      </c>
    </row>
    <row r="13" spans="1:27" x14ac:dyDescent="0.3">
      <c r="B13" s="16" t="s">
        <v>38</v>
      </c>
      <c r="C13" s="17">
        <v>9646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1:27" x14ac:dyDescent="0.3">
      <c r="B14" s="16" t="s">
        <v>40</v>
      </c>
      <c r="C14" s="17">
        <v>3095</v>
      </c>
      <c r="E14" s="161" t="s">
        <v>39</v>
      </c>
      <c r="F14" s="119">
        <v>30878</v>
      </c>
      <c r="G14" s="117">
        <v>21045.263749999998</v>
      </c>
      <c r="H14" s="117">
        <v>36108.667578000008</v>
      </c>
      <c r="I14" s="152">
        <f>G14+H14</f>
        <v>57153.931328000006</v>
      </c>
      <c r="J14" s="119">
        <v>32541</v>
      </c>
      <c r="K14" s="117">
        <v>25636.654750000002</v>
      </c>
      <c r="L14" s="117">
        <v>38303.710399500029</v>
      </c>
      <c r="M14" s="162">
        <f>K14+L14</f>
        <v>63940.36514950003</v>
      </c>
      <c r="N14" s="88">
        <v>82</v>
      </c>
      <c r="O14" s="88">
        <v>84</v>
      </c>
      <c r="P14" s="88">
        <v>67</v>
      </c>
    </row>
    <row r="15" spans="1:27" x14ac:dyDescent="0.3">
      <c r="B15" s="28" t="s">
        <v>42</v>
      </c>
      <c r="C15" s="17">
        <f>37936-10447</f>
        <v>27489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1:27" x14ac:dyDescent="0.3">
      <c r="B16" s="43" t="s">
        <v>47</v>
      </c>
      <c r="C16" s="17">
        <v>2802</v>
      </c>
      <c r="E16" s="161" t="s">
        <v>79</v>
      </c>
      <c r="F16" s="119">
        <v>0</v>
      </c>
      <c r="G16" s="117">
        <v>0</v>
      </c>
      <c r="H16" s="117">
        <v>4960.4250595999993</v>
      </c>
      <c r="I16" s="152">
        <f>G16+H16</f>
        <v>4960.4250595999993</v>
      </c>
      <c r="J16" s="119">
        <v>0</v>
      </c>
      <c r="K16" s="117">
        <v>0</v>
      </c>
      <c r="L16" s="117">
        <v>4810.7892374599996</v>
      </c>
      <c r="M16" s="162">
        <f>K16+L16</f>
        <v>4810.7892374599996</v>
      </c>
      <c r="N16" s="88">
        <v>13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521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10417</v>
      </c>
      <c r="E18" s="84"/>
      <c r="F18" s="148">
        <f t="shared" ref="F18:M18" si="0">SUM(F6:F17)</f>
        <v>91341</v>
      </c>
      <c r="G18" s="149">
        <f t="shared" si="0"/>
        <v>57828.794249999999</v>
      </c>
      <c r="H18" s="149">
        <f t="shared" si="0"/>
        <v>68456.426202710005</v>
      </c>
      <c r="I18" s="150">
        <f t="shared" si="0"/>
        <v>126285.22045271003</v>
      </c>
      <c r="J18" s="149">
        <f t="shared" si="0"/>
        <v>91426</v>
      </c>
      <c r="K18" s="149">
        <f t="shared" si="0"/>
        <v>64299.345499999996</v>
      </c>
      <c r="L18" s="149">
        <f t="shared" si="0"/>
        <v>70072.706912730035</v>
      </c>
      <c r="M18" s="157">
        <f t="shared" si="0"/>
        <v>134372.05241273003</v>
      </c>
      <c r="N18" s="149">
        <f>SUM(N16,N14,N12,N10,N8,N6)</f>
        <v>304</v>
      </c>
      <c r="O18" s="149">
        <f>SUM(O16,O14,O12,O10,O8,O6)</f>
        <v>301</v>
      </c>
      <c r="P18" s="158">
        <f>SUM(P16,P14,P12,P10,P8,P6)</f>
        <v>267</v>
      </c>
    </row>
    <row r="19" spans="2:28" ht="15" customHeight="1" thickBot="1" x14ac:dyDescent="0.35">
      <c r="B19" s="16" t="s">
        <v>51</v>
      </c>
      <c r="C19" s="17">
        <v>1027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</row>
    <row r="20" spans="2:28" ht="15" customHeight="1" thickBot="1" x14ac:dyDescent="0.35">
      <c r="B20" s="57" t="s">
        <v>52</v>
      </c>
      <c r="C20" s="58">
        <v>5175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0.11295681063122924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10636</v>
      </c>
      <c r="D25" s="76">
        <f>C13</f>
        <v>9646</v>
      </c>
      <c r="E25" s="77">
        <f t="shared" ref="E25:E32" si="1">D25-C25</f>
        <v>-990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36154</v>
      </c>
      <c r="D28" s="76">
        <f>C9+C14+C15+C16+C17</f>
        <v>37936</v>
      </c>
      <c r="E28" s="77">
        <f t="shared" si="1"/>
        <v>1782</v>
      </c>
      <c r="F28" s="1" t="s">
        <v>75</v>
      </c>
      <c r="P28" s="4"/>
    </row>
    <row r="29" spans="2:28" x14ac:dyDescent="0.3">
      <c r="B29" s="74" t="s">
        <v>21</v>
      </c>
      <c r="C29" s="122">
        <v>132</v>
      </c>
      <c r="D29" s="76">
        <f>C6</f>
        <v>132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4115</v>
      </c>
      <c r="D30" s="76">
        <f>C12</f>
        <v>4115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17305</v>
      </c>
      <c r="D31" s="76">
        <f>C18+C19+C20</f>
        <v>16619</v>
      </c>
      <c r="E31" s="77">
        <f t="shared" si="1"/>
        <v>-686</v>
      </c>
      <c r="K31" s="53"/>
      <c r="P31" s="4"/>
    </row>
    <row r="32" spans="2:28" ht="15" customHeight="1" thickBot="1" x14ac:dyDescent="0.35">
      <c r="B32" s="78" t="s">
        <v>60</v>
      </c>
      <c r="C32" s="121">
        <v>1170</v>
      </c>
      <c r="D32" s="80">
        <f>C10+C11</f>
        <v>1170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>
    <tabColor theme="1"/>
    <pageSetUpPr fitToPage="1"/>
  </sheetPr>
  <dimension ref="A1:AB32"/>
  <sheetViews>
    <sheetView zoomScale="85" zoomScaleNormal="85" zoomScaleSheetLayoutView="70" workbookViewId="0">
      <selection activeCell="A6" sqref="A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44734</v>
      </c>
    </row>
    <row r="3" spans="1:27" ht="18.75" customHeight="1" thickBot="1" x14ac:dyDescent="0.35">
      <c r="B3" t="s">
        <v>1</v>
      </c>
      <c r="C3" s="3">
        <f>C2+1</f>
        <v>44735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0.34791666666666671</v>
      </c>
    </row>
    <row r="6" spans="1:27" x14ac:dyDescent="0.3">
      <c r="A6" s="166" t="s">
        <v>125</v>
      </c>
      <c r="B6" s="16" t="s">
        <v>21</v>
      </c>
      <c r="C6" s="17">
        <v>67</v>
      </c>
      <c r="E6" s="161" t="s">
        <v>22</v>
      </c>
      <c r="F6" s="119">
        <v>25327</v>
      </c>
      <c r="G6" s="117">
        <v>12511.604499999999</v>
      </c>
      <c r="H6" s="117">
        <v>4413.6412980399982</v>
      </c>
      <c r="I6" s="152">
        <f>G6+H6</f>
        <v>16925.245798039999</v>
      </c>
      <c r="J6" s="119">
        <v>26672</v>
      </c>
      <c r="K6" s="117">
        <v>14603.69075</v>
      </c>
      <c r="L6" s="117">
        <v>4386.0145479199982</v>
      </c>
      <c r="M6" s="162">
        <f>K6+L6</f>
        <v>18989.705297919998</v>
      </c>
      <c r="N6" s="87">
        <v>84</v>
      </c>
      <c r="O6" s="87">
        <v>81</v>
      </c>
      <c r="P6" s="87">
        <v>75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27</v>
      </c>
      <c r="E8" s="161" t="s">
        <v>27</v>
      </c>
      <c r="F8" s="119">
        <v>0</v>
      </c>
      <c r="G8" s="117">
        <v>0</v>
      </c>
      <c r="H8" s="117">
        <v>4086.9293277799989</v>
      </c>
      <c r="I8" s="152">
        <f>G8+H8</f>
        <v>4086.9293277799989</v>
      </c>
      <c r="J8" s="119">
        <v>0</v>
      </c>
      <c r="K8" s="117">
        <v>0</v>
      </c>
      <c r="L8" s="117">
        <v>4279.5317295399982</v>
      </c>
      <c r="M8" s="162">
        <f>K8+L8</f>
        <v>4279.5317295399982</v>
      </c>
      <c r="N8" s="87">
        <v>4</v>
      </c>
      <c r="O8" s="87">
        <v>4</v>
      </c>
      <c r="P8" s="87">
        <v>4</v>
      </c>
    </row>
    <row r="9" spans="1:27" x14ac:dyDescent="0.3">
      <c r="B9" s="16" t="s">
        <v>23</v>
      </c>
      <c r="C9" s="17">
        <v>1587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18004</v>
      </c>
      <c r="G10" s="117">
        <v>12045.913500000001</v>
      </c>
      <c r="H10" s="117">
        <v>899.0098710000002</v>
      </c>
      <c r="I10" s="152">
        <f>G10+H10</f>
        <v>12944.923371000001</v>
      </c>
      <c r="J10" s="119">
        <v>17817</v>
      </c>
      <c r="K10" s="117">
        <v>12549.903</v>
      </c>
      <c r="L10" s="117">
        <v>862.35991790000003</v>
      </c>
      <c r="M10" s="162">
        <f>K10+L10</f>
        <v>13412.2629179</v>
      </c>
      <c r="N10" s="88">
        <v>59</v>
      </c>
      <c r="O10" s="88">
        <v>58</v>
      </c>
      <c r="P10" s="88">
        <v>55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2431</v>
      </c>
      <c r="E12" s="161" t="s">
        <v>35</v>
      </c>
      <c r="F12" s="119">
        <v>12968</v>
      </c>
      <c r="G12" s="117">
        <v>10447.53225</v>
      </c>
      <c r="H12" s="117">
        <v>15870.238699569991</v>
      </c>
      <c r="I12" s="152">
        <f>G12+H12</f>
        <v>26317.770949569989</v>
      </c>
      <c r="J12" s="119">
        <v>12697</v>
      </c>
      <c r="K12" s="117">
        <v>12275.070750000001</v>
      </c>
      <c r="L12" s="117">
        <v>15733.228305689991</v>
      </c>
      <c r="M12" s="162">
        <f>K12+L12</f>
        <v>28008.299055689989</v>
      </c>
      <c r="N12" s="88">
        <v>61</v>
      </c>
      <c r="O12" s="88">
        <v>60</v>
      </c>
      <c r="P12" s="88">
        <v>54</v>
      </c>
    </row>
    <row r="13" spans="1:27" x14ac:dyDescent="0.3">
      <c r="B13" s="16" t="s">
        <v>38</v>
      </c>
      <c r="C13" s="17">
        <v>11772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3">
      <c r="B14" s="16" t="s">
        <v>40</v>
      </c>
      <c r="C14" s="17">
        <v>1684</v>
      </c>
      <c r="E14" s="161" t="s">
        <v>39</v>
      </c>
      <c r="F14" s="119">
        <v>22253</v>
      </c>
      <c r="G14" s="117">
        <v>19206.357499999998</v>
      </c>
      <c r="H14" s="117">
        <v>28868.774109580001</v>
      </c>
      <c r="I14" s="152">
        <f>G14+H14</f>
        <v>48075.131609579999</v>
      </c>
      <c r="J14" s="119">
        <v>21262</v>
      </c>
      <c r="K14" s="117">
        <v>21169.868750000001</v>
      </c>
      <c r="L14" s="117">
        <v>27453.964962999999</v>
      </c>
      <c r="M14" s="162">
        <f>K14+L14</f>
        <v>48623.833713</v>
      </c>
      <c r="N14" s="88">
        <v>82</v>
      </c>
      <c r="O14" s="88">
        <v>84</v>
      </c>
      <c r="P14" s="88">
        <v>69</v>
      </c>
    </row>
    <row r="15" spans="1:27" x14ac:dyDescent="0.3">
      <c r="B15" s="28" t="s">
        <v>42</v>
      </c>
      <c r="C15" s="17">
        <f>36189-5235</f>
        <v>30954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15</v>
      </c>
    </row>
    <row r="16" spans="1:27" x14ac:dyDescent="0.3">
      <c r="B16" s="43" t="s">
        <v>47</v>
      </c>
      <c r="C16" s="17">
        <v>1569</v>
      </c>
      <c r="E16" s="161" t="s">
        <v>79</v>
      </c>
      <c r="F16" s="119">
        <v>0</v>
      </c>
      <c r="G16" s="117">
        <v>0</v>
      </c>
      <c r="H16" s="117">
        <v>8358.0950344199991</v>
      </c>
      <c r="I16" s="152">
        <f>G16+H16</f>
        <v>8358.0950344199991</v>
      </c>
      <c r="J16" s="119">
        <v>0</v>
      </c>
      <c r="K16" s="117">
        <v>0</v>
      </c>
      <c r="L16" s="117">
        <v>8423.8006831000002</v>
      </c>
      <c r="M16" s="162">
        <f>K16+L16</f>
        <v>8423.8006831000002</v>
      </c>
      <c r="N16" s="88">
        <v>8</v>
      </c>
      <c r="O16" s="88">
        <v>10</v>
      </c>
      <c r="P16" s="88">
        <v>8</v>
      </c>
    </row>
    <row r="17" spans="2:28" s="4" customFormat="1" ht="15" customHeight="1" thickBot="1" x14ac:dyDescent="0.35">
      <c r="B17" s="43" t="s">
        <v>48</v>
      </c>
      <c r="C17" s="50">
        <v>395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10529</v>
      </c>
      <c r="E18" s="84"/>
      <c r="F18" s="148">
        <f t="shared" ref="F18:M18" si="0">SUM(F6:F17)</f>
        <v>78552</v>
      </c>
      <c r="G18" s="149">
        <f t="shared" si="0"/>
        <v>54211.407749999998</v>
      </c>
      <c r="H18" s="149">
        <f t="shared" si="0"/>
        <v>62496.688340389985</v>
      </c>
      <c r="I18" s="150">
        <f t="shared" si="0"/>
        <v>116708.09609038998</v>
      </c>
      <c r="J18" s="149">
        <f t="shared" si="0"/>
        <v>78448</v>
      </c>
      <c r="K18" s="149">
        <f t="shared" si="0"/>
        <v>60598.53325</v>
      </c>
      <c r="L18" s="149">
        <f t="shared" si="0"/>
        <v>61138.900147149987</v>
      </c>
      <c r="M18" s="157">
        <f t="shared" si="0"/>
        <v>121737.43339714997</v>
      </c>
      <c r="N18" s="149">
        <f>SUM(N16,N14,N12,N10,N8,N6)</f>
        <v>298</v>
      </c>
      <c r="O18" s="149">
        <f>SUM(O16,O14,O12,O10,O8,O6)</f>
        <v>297</v>
      </c>
      <c r="P18" s="158">
        <f>SUM(P16,P14,P12,P10,P8,P6)</f>
        <v>265</v>
      </c>
    </row>
    <row r="19" spans="2:28" ht="15" customHeight="1" thickBot="1" x14ac:dyDescent="0.35">
      <c r="B19" s="16" t="s">
        <v>51</v>
      </c>
      <c r="C19" s="17">
        <v>1804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35">
      <c r="B20" s="57" t="s">
        <v>52</v>
      </c>
      <c r="C20" s="58">
        <v>5115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0.10774410774410774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11315</v>
      </c>
      <c r="D25" s="76">
        <f>C13</f>
        <v>11772</v>
      </c>
      <c r="E25" s="77">
        <f t="shared" ref="E25:E32" si="1">D25-C25</f>
        <v>457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27</v>
      </c>
      <c r="D27" s="76">
        <f>C8</f>
        <v>27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37528</v>
      </c>
      <c r="D28" s="76">
        <f>C9+C14+C15+C16+C17</f>
        <v>36189</v>
      </c>
      <c r="E28" s="77">
        <f t="shared" si="1"/>
        <v>-1339</v>
      </c>
      <c r="F28" s="1" t="s">
        <v>75</v>
      </c>
      <c r="P28" s="4"/>
    </row>
    <row r="29" spans="2:28" x14ac:dyDescent="0.3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2431</v>
      </c>
      <c r="D30" s="76">
        <f>C12</f>
        <v>2431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16695</v>
      </c>
      <c r="D31" s="76">
        <f>C18+C19+C20</f>
        <v>17448</v>
      </c>
      <c r="E31" s="77">
        <f t="shared" si="1"/>
        <v>753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44735</v>
      </c>
    </row>
    <row r="3" spans="1:27" ht="18.75" customHeight="1" thickBot="1" x14ac:dyDescent="0.35">
      <c r="B3" t="s">
        <v>1</v>
      </c>
      <c r="C3" s="3">
        <f>C2+1</f>
        <v>44736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 t="s">
        <v>126</v>
      </c>
      <c r="B6" s="16" t="s">
        <v>21</v>
      </c>
      <c r="C6" s="17">
        <v>107</v>
      </c>
      <c r="E6" s="161" t="s">
        <v>22</v>
      </c>
      <c r="F6" s="119">
        <v>26400</v>
      </c>
      <c r="G6" s="117">
        <v>13264.940783333341</v>
      </c>
      <c r="H6" s="117">
        <v>5730.2512623199946</v>
      </c>
      <c r="I6" s="152">
        <f>G6+H6</f>
        <v>18995.192045653333</v>
      </c>
      <c r="J6" s="119">
        <v>25767</v>
      </c>
      <c r="K6" s="117">
        <v>14113.954449999999</v>
      </c>
      <c r="L6" s="117">
        <v>10.101000000000001</v>
      </c>
      <c r="M6" s="162">
        <f>K6+L6</f>
        <v>14124.05545</v>
      </c>
      <c r="N6" s="87">
        <v>91</v>
      </c>
      <c r="O6" s="87">
        <v>85</v>
      </c>
      <c r="P6" s="87">
        <v>81</v>
      </c>
    </row>
    <row r="7" spans="1:27" x14ac:dyDescent="0.3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3729.4423249800011</v>
      </c>
      <c r="I8" s="152">
        <f>G8+H8</f>
        <v>3729.4423249800011</v>
      </c>
      <c r="J8" s="119">
        <v>0</v>
      </c>
      <c r="K8" s="117">
        <v>0</v>
      </c>
      <c r="L8" s="117">
        <v>1.973625</v>
      </c>
      <c r="M8" s="162">
        <f>K8+L8</f>
        <v>1.973625</v>
      </c>
      <c r="N8" s="87">
        <v>7</v>
      </c>
      <c r="O8" s="87">
        <v>7</v>
      </c>
      <c r="P8" s="87">
        <v>8</v>
      </c>
    </row>
    <row r="9" spans="1:27" x14ac:dyDescent="0.3">
      <c r="B9" s="16" t="s">
        <v>23</v>
      </c>
      <c r="C9" s="17">
        <v>2512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1:27" x14ac:dyDescent="0.3">
      <c r="B10" s="28" t="s">
        <v>26</v>
      </c>
      <c r="C10" s="17">
        <v>880</v>
      </c>
      <c r="E10" s="161" t="s">
        <v>31</v>
      </c>
      <c r="F10" s="119">
        <v>19104</v>
      </c>
      <c r="G10" s="117">
        <v>12858.329750000001</v>
      </c>
      <c r="H10" s="117">
        <v>1260.7958592</v>
      </c>
      <c r="I10" s="152">
        <f>G10+H10</f>
        <v>14119.1256092</v>
      </c>
      <c r="J10" s="119">
        <v>18360</v>
      </c>
      <c r="K10" s="117">
        <v>13020.097250000001</v>
      </c>
      <c r="L10" s="117">
        <v>0</v>
      </c>
      <c r="M10" s="162">
        <f>K10+L10</f>
        <v>13020.097250000001</v>
      </c>
      <c r="N10" s="88">
        <v>63</v>
      </c>
      <c r="O10" s="88">
        <v>62</v>
      </c>
      <c r="P10" s="88">
        <v>59</v>
      </c>
    </row>
    <row r="11" spans="1:27" x14ac:dyDescent="0.3">
      <c r="B11" s="28" t="s">
        <v>28</v>
      </c>
      <c r="C11" s="17">
        <v>475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2579</v>
      </c>
      <c r="E12" s="161" t="s">
        <v>35</v>
      </c>
      <c r="F12" s="119">
        <v>15990</v>
      </c>
      <c r="G12" s="117">
        <v>11865.114750000001</v>
      </c>
      <c r="H12" s="117">
        <v>19302.428720610002</v>
      </c>
      <c r="I12" s="152">
        <f>G12+H12</f>
        <v>31167.543470610002</v>
      </c>
      <c r="J12" s="119">
        <v>15877</v>
      </c>
      <c r="K12" s="117">
        <v>13782.938666666671</v>
      </c>
      <c r="L12" s="117">
        <v>3.4936693999999999</v>
      </c>
      <c r="M12" s="162">
        <f>K12+L12</f>
        <v>13786.432336066671</v>
      </c>
      <c r="N12" s="88">
        <v>58</v>
      </c>
      <c r="O12" s="88">
        <v>57</v>
      </c>
      <c r="P12" s="88">
        <v>50</v>
      </c>
    </row>
    <row r="13" spans="1:27" x14ac:dyDescent="0.3">
      <c r="B13" s="16" t="s">
        <v>38</v>
      </c>
      <c r="C13" s="17">
        <v>10955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1326</v>
      </c>
      <c r="E14" s="161" t="s">
        <v>39</v>
      </c>
      <c r="F14" s="119">
        <v>27801</v>
      </c>
      <c r="G14" s="117">
        <v>20353.080000000002</v>
      </c>
      <c r="H14" s="117">
        <v>33746.151038700009</v>
      </c>
      <c r="I14" s="152">
        <f>G14+H14</f>
        <v>54099.231038700011</v>
      </c>
      <c r="J14" s="119">
        <v>27792</v>
      </c>
      <c r="K14" s="117">
        <v>23673.55975</v>
      </c>
      <c r="L14" s="117">
        <v>0</v>
      </c>
      <c r="M14" s="162">
        <f>K14+L14</f>
        <v>23673.55975</v>
      </c>
      <c r="N14" s="88">
        <v>86</v>
      </c>
      <c r="O14" s="88">
        <v>85</v>
      </c>
      <c r="P14" s="88">
        <v>72</v>
      </c>
    </row>
    <row r="15" spans="1:27" x14ac:dyDescent="0.3">
      <c r="B15" s="28" t="s">
        <v>42</v>
      </c>
      <c r="C15" s="17">
        <f>40001-5058</f>
        <v>34943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1079</v>
      </c>
      <c r="E16" s="161" t="s">
        <v>79</v>
      </c>
      <c r="F16" s="119">
        <v>0</v>
      </c>
      <c r="G16" s="117">
        <v>0</v>
      </c>
      <c r="H16" s="117">
        <v>5675.2928855600003</v>
      </c>
      <c r="I16" s="152">
        <f>G16+H16</f>
        <v>5675.2928855600003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12</v>
      </c>
    </row>
    <row r="17" spans="1:28" s="4" customFormat="1" ht="15" customHeight="1" thickBot="1" x14ac:dyDescent="0.35">
      <c r="B17" s="43" t="s">
        <v>48</v>
      </c>
      <c r="C17" s="50">
        <v>141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8838</v>
      </c>
      <c r="E18" s="84"/>
      <c r="F18" s="148">
        <f t="shared" ref="F18:M18" si="0">SUM(F6:F17)</f>
        <v>89295</v>
      </c>
      <c r="G18" s="149">
        <f t="shared" si="0"/>
        <v>58341.465283333346</v>
      </c>
      <c r="H18" s="149">
        <f t="shared" si="0"/>
        <v>69444.362091370014</v>
      </c>
      <c r="I18" s="150">
        <f t="shared" si="0"/>
        <v>127785.82737470335</v>
      </c>
      <c r="J18" s="149">
        <f t="shared" si="0"/>
        <v>87796</v>
      </c>
      <c r="K18" s="149">
        <f t="shared" si="0"/>
        <v>64590.550116666673</v>
      </c>
      <c r="L18" s="149">
        <f t="shared" si="0"/>
        <v>15.568294400000001</v>
      </c>
      <c r="M18" s="157">
        <f t="shared" si="0"/>
        <v>64606.118411066673</v>
      </c>
      <c r="N18" s="149">
        <f>SUM(N16,N14,N12,N10,N8,N6)</f>
        <v>317</v>
      </c>
      <c r="O18" s="149">
        <f>SUM(O16,O14,O12,O10,O8,O6)</f>
        <v>308</v>
      </c>
      <c r="P18" s="158">
        <f>SUM(P16,P14,P12,P10,P8,P6)</f>
        <v>282</v>
      </c>
    </row>
    <row r="19" spans="1:28" ht="15" customHeight="1" thickBot="1" x14ac:dyDescent="0.35">
      <c r="B19" s="16" t="s">
        <v>51</v>
      </c>
      <c r="C19" s="17">
        <v>2119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ht="15" customHeight="1" thickBot="1" x14ac:dyDescent="0.35">
      <c r="B20" s="57" t="s">
        <v>52</v>
      </c>
      <c r="C20" s="58">
        <v>4534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8.4415584415584416E-2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12022</v>
      </c>
      <c r="D25" s="76">
        <f>C13</f>
        <v>10955</v>
      </c>
      <c r="E25" s="77">
        <f t="shared" ref="E25:E32" si="1">D25-C25</f>
        <v>-1067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40222</v>
      </c>
      <c r="D28" s="76">
        <f>C9+C14+C15+C16+C17</f>
        <v>40001</v>
      </c>
      <c r="E28" s="77">
        <f t="shared" si="1"/>
        <v>-221</v>
      </c>
      <c r="F28" s="1" t="s">
        <v>75</v>
      </c>
      <c r="P28" s="4"/>
    </row>
    <row r="29" spans="1:28" x14ac:dyDescent="0.3">
      <c r="B29" s="74" t="s">
        <v>21</v>
      </c>
      <c r="C29" s="122">
        <v>107</v>
      </c>
      <c r="D29" s="76">
        <f>C6</f>
        <v>107</v>
      </c>
      <c r="E29" s="77">
        <f t="shared" si="1"/>
        <v>0</v>
      </c>
      <c r="F29" s="1" t="s">
        <v>75</v>
      </c>
      <c r="P29" s="4"/>
    </row>
    <row r="30" spans="1:28" x14ac:dyDescent="0.3">
      <c r="B30" s="74" t="s">
        <v>57</v>
      </c>
      <c r="C30" s="122">
        <v>2579</v>
      </c>
      <c r="D30" s="76">
        <f>C12</f>
        <v>2579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15990</v>
      </c>
      <c r="D31" s="76">
        <f>C18+C19+C20</f>
        <v>15491</v>
      </c>
      <c r="E31" s="77">
        <f t="shared" si="1"/>
        <v>-499</v>
      </c>
      <c r="K31" s="53"/>
      <c r="P31" s="4"/>
    </row>
    <row r="32" spans="1:28" ht="15" customHeight="1" thickBot="1" x14ac:dyDescent="0.35">
      <c r="A32" s="1" t="s">
        <v>127</v>
      </c>
      <c r="B32" s="78" t="s">
        <v>60</v>
      </c>
      <c r="C32" s="121">
        <v>1420</v>
      </c>
      <c r="D32" s="80">
        <f>C10+C11</f>
        <v>1355</v>
      </c>
      <c r="E32" s="81">
        <f t="shared" si="1"/>
        <v>-65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>
    <tabColor theme="1"/>
    <pageSetUpPr fitToPage="1"/>
  </sheetPr>
  <dimension ref="A1:AB32"/>
  <sheetViews>
    <sheetView zoomScale="85" zoomScaleNormal="85" zoomScaleSheetLayoutView="70" workbookViewId="0">
      <selection activeCell="A12" sqref="A1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44736</v>
      </c>
    </row>
    <row r="3" spans="1:27" ht="18.75" customHeight="1" thickBot="1" x14ac:dyDescent="0.35">
      <c r="B3" t="s">
        <v>1</v>
      </c>
      <c r="C3" s="3">
        <f>C2+1</f>
        <v>44737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0.34375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21788</v>
      </c>
      <c r="G6" s="117">
        <v>12417.130499999999</v>
      </c>
      <c r="H6" s="117">
        <v>3811.1487592599992</v>
      </c>
      <c r="I6" s="152">
        <f>G6+H6</f>
        <v>16228.279259259998</v>
      </c>
      <c r="J6" s="119">
        <v>21937</v>
      </c>
      <c r="K6" s="117">
        <v>12326.022749999989</v>
      </c>
      <c r="L6" s="117">
        <v>0</v>
      </c>
      <c r="M6" s="162">
        <f>K6+L6</f>
        <v>12326.022749999989</v>
      </c>
      <c r="N6" s="87">
        <v>93</v>
      </c>
      <c r="O6" s="87">
        <v>87</v>
      </c>
      <c r="P6" s="87">
        <v>82</v>
      </c>
    </row>
    <row r="7" spans="1:27" x14ac:dyDescent="0.3">
      <c r="A7" s="166" t="s">
        <v>128</v>
      </c>
      <c r="B7" s="16" t="s">
        <v>43</v>
      </c>
      <c r="C7" s="17">
        <v>30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3788.6690917199999</v>
      </c>
      <c r="I8" s="152">
        <f>G8+H8</f>
        <v>3788.6690917199999</v>
      </c>
      <c r="J8" s="119">
        <v>0</v>
      </c>
      <c r="K8" s="117">
        <v>0</v>
      </c>
      <c r="L8" s="117">
        <v>33.683199999999999</v>
      </c>
      <c r="M8" s="162">
        <f>K8+L8</f>
        <v>33.683199999999999</v>
      </c>
      <c r="N8" s="87">
        <v>9</v>
      </c>
      <c r="O8" s="87">
        <v>8</v>
      </c>
      <c r="P8" s="87">
        <v>8</v>
      </c>
    </row>
    <row r="9" spans="1:27" x14ac:dyDescent="0.3">
      <c r="B9" s="16" t="s">
        <v>23</v>
      </c>
      <c r="C9" s="17">
        <v>2485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18225</v>
      </c>
      <c r="G10" s="117">
        <v>12955.86616666667</v>
      </c>
      <c r="H10" s="117">
        <v>723.4756635</v>
      </c>
      <c r="I10" s="152">
        <f>G10+H10</f>
        <v>13679.34183016667</v>
      </c>
      <c r="J10" s="119">
        <v>17749</v>
      </c>
      <c r="K10" s="117">
        <v>12496.404166666671</v>
      </c>
      <c r="L10" s="117">
        <v>0</v>
      </c>
      <c r="M10" s="162">
        <f>K10+L10</f>
        <v>12496.404166666671</v>
      </c>
      <c r="N10" s="88">
        <v>59</v>
      </c>
      <c r="O10" s="88">
        <v>58</v>
      </c>
      <c r="P10" s="88">
        <v>55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 t="s">
        <v>129</v>
      </c>
      <c r="B12" s="16" t="s">
        <v>30</v>
      </c>
      <c r="C12" s="17">
        <v>4637</v>
      </c>
      <c r="E12" s="161" t="s">
        <v>35</v>
      </c>
      <c r="F12" s="119">
        <v>13142</v>
      </c>
      <c r="G12" s="117">
        <v>10740.767750000001</v>
      </c>
      <c r="H12" s="117">
        <v>16484.559338710002</v>
      </c>
      <c r="I12" s="152">
        <f>G12+H12</f>
        <v>27225.327088710001</v>
      </c>
      <c r="J12" s="119">
        <v>13194</v>
      </c>
      <c r="K12" s="117">
        <v>13078.85225</v>
      </c>
      <c r="L12" s="117">
        <v>0</v>
      </c>
      <c r="M12" s="162">
        <f>K12+L12</f>
        <v>13078.85225</v>
      </c>
      <c r="N12" s="88">
        <v>59</v>
      </c>
      <c r="O12" s="88">
        <v>59</v>
      </c>
      <c r="P12" s="88">
        <v>52</v>
      </c>
    </row>
    <row r="13" spans="1:27" x14ac:dyDescent="0.3">
      <c r="B13" s="16" t="s">
        <v>38</v>
      </c>
      <c r="C13" s="17">
        <v>8823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2080</v>
      </c>
      <c r="E14" s="161" t="s">
        <v>39</v>
      </c>
      <c r="F14" s="119">
        <v>30450</v>
      </c>
      <c r="G14" s="117">
        <v>23817.78875</v>
      </c>
      <c r="H14" s="117">
        <v>36422.357470280011</v>
      </c>
      <c r="I14" s="152">
        <f>G14+H14</f>
        <v>60240.14622028001</v>
      </c>
      <c r="J14" s="119">
        <v>29453</v>
      </c>
      <c r="K14" s="117">
        <v>26067.71975</v>
      </c>
      <c r="L14" s="117">
        <v>15.104900000000001</v>
      </c>
      <c r="M14" s="162">
        <f>K14+L14</f>
        <v>26082.824649999999</v>
      </c>
      <c r="N14" s="88">
        <v>83</v>
      </c>
      <c r="O14" s="88">
        <v>82</v>
      </c>
      <c r="P14" s="88">
        <v>68</v>
      </c>
    </row>
    <row r="15" spans="1:27" x14ac:dyDescent="0.3">
      <c r="B15" s="28" t="s">
        <v>42</v>
      </c>
      <c r="C15" s="17">
        <f>39522-6902</f>
        <v>32620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1:27" x14ac:dyDescent="0.3">
      <c r="B16" s="43" t="s">
        <v>47</v>
      </c>
      <c r="C16" s="17">
        <v>1910</v>
      </c>
      <c r="E16" s="161" t="s">
        <v>79</v>
      </c>
      <c r="F16" s="119">
        <v>0</v>
      </c>
      <c r="G16" s="117">
        <v>0</v>
      </c>
      <c r="H16" s="117">
        <v>8921.41976574</v>
      </c>
      <c r="I16" s="152">
        <f>G16+H16</f>
        <v>8921.41976574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9685</v>
      </c>
      <c r="E18" s="84"/>
      <c r="F18" s="148">
        <f t="shared" ref="F18:M18" si="0">SUM(F6:F17)</f>
        <v>83605</v>
      </c>
      <c r="G18" s="149">
        <f t="shared" si="0"/>
        <v>59931.553166666672</v>
      </c>
      <c r="H18" s="149">
        <f t="shared" si="0"/>
        <v>70151.630089210012</v>
      </c>
      <c r="I18" s="150">
        <f t="shared" si="0"/>
        <v>130083.18325587668</v>
      </c>
      <c r="J18" s="149">
        <f t="shared" si="0"/>
        <v>82333</v>
      </c>
      <c r="K18" s="149">
        <f t="shared" si="0"/>
        <v>63968.998916666664</v>
      </c>
      <c r="L18" s="149">
        <f t="shared" si="0"/>
        <v>48.7881</v>
      </c>
      <c r="M18" s="157">
        <f t="shared" si="0"/>
        <v>64017.787016666654</v>
      </c>
      <c r="N18" s="149">
        <f>SUM(N16,N14,N12,N10,N8,N6)</f>
        <v>317</v>
      </c>
      <c r="O18" s="149">
        <f>SUM(O16,O14,O12,O10,O8,O6)</f>
        <v>308</v>
      </c>
      <c r="P18" s="158">
        <f>SUM(P16,P14,P12,P10,P8,P6)</f>
        <v>278</v>
      </c>
    </row>
    <row r="19" spans="2:28" ht="15" customHeight="1" thickBot="1" x14ac:dyDescent="0.35">
      <c r="B19" s="16" t="s">
        <v>51</v>
      </c>
      <c r="C19" s="17">
        <v>577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4827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9.7402597402597407E-2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9582</v>
      </c>
      <c r="D25" s="76">
        <f>C13</f>
        <v>8823</v>
      </c>
      <c r="E25" s="77">
        <f t="shared" ref="E25:E32" si="1">D25-C25</f>
        <v>-759</v>
      </c>
    </row>
    <row r="26" spans="2:28" x14ac:dyDescent="0.3">
      <c r="B26" s="74" t="s">
        <v>58</v>
      </c>
      <c r="C26" s="122">
        <v>0</v>
      </c>
      <c r="D26" s="76">
        <f>C7</f>
        <v>30</v>
      </c>
      <c r="E26" s="77">
        <f t="shared" si="1"/>
        <v>30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40202</v>
      </c>
      <c r="D28" s="76">
        <f>C9+C14+C15+C16+C17</f>
        <v>39522</v>
      </c>
      <c r="E28" s="77">
        <f t="shared" si="1"/>
        <v>-680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4637</v>
      </c>
      <c r="D30" s="76">
        <f>C12</f>
        <v>4637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14930</v>
      </c>
      <c r="D31" s="76">
        <f>C18+C19+C20</f>
        <v>15089</v>
      </c>
      <c r="E31" s="77">
        <f t="shared" si="1"/>
        <v>159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44737</v>
      </c>
    </row>
    <row r="3" spans="1:27" ht="18.75" customHeight="1" thickBot="1" x14ac:dyDescent="0.35">
      <c r="B3" t="s">
        <v>1</v>
      </c>
      <c r="C3" s="3">
        <f>C2+1</f>
        <v>44738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69</v>
      </c>
      <c r="E6" s="161" t="s">
        <v>22</v>
      </c>
      <c r="F6" s="119">
        <v>25940</v>
      </c>
      <c r="G6" s="117">
        <v>12508.72533333333</v>
      </c>
      <c r="H6" s="117">
        <v>6035.0482617800008</v>
      </c>
      <c r="I6" s="152">
        <f>G6+H6</f>
        <v>18543.773595113329</v>
      </c>
      <c r="J6" s="119">
        <v>25383</v>
      </c>
      <c r="K6" s="117">
        <v>14868.06708333333</v>
      </c>
      <c r="L6" s="117">
        <v>0</v>
      </c>
      <c r="M6" s="162">
        <f>K6+L6</f>
        <v>14868.06708333333</v>
      </c>
      <c r="N6" s="87">
        <v>93</v>
      </c>
      <c r="O6" s="87">
        <v>91</v>
      </c>
      <c r="P6" s="87">
        <v>82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3501.57497582</v>
      </c>
      <c r="I8" s="152">
        <f>G8+H8</f>
        <v>3501.57497582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9</v>
      </c>
      <c r="O8" s="87">
        <v>8</v>
      </c>
      <c r="P8" s="87">
        <v>8</v>
      </c>
    </row>
    <row r="9" spans="1:27" x14ac:dyDescent="0.3">
      <c r="B9" s="16" t="s">
        <v>23</v>
      </c>
      <c r="C9" s="17">
        <v>1914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835</v>
      </c>
      <c r="E10" s="161" t="s">
        <v>31</v>
      </c>
      <c r="F10" s="119">
        <v>17676</v>
      </c>
      <c r="G10" s="117">
        <v>12073.55775</v>
      </c>
      <c r="H10" s="117">
        <v>1250.16923064</v>
      </c>
      <c r="I10" s="152">
        <f>G10+H10</f>
        <v>13323.72698064</v>
      </c>
      <c r="J10" s="119">
        <v>16974</v>
      </c>
      <c r="K10" s="117">
        <v>12324.626749999999</v>
      </c>
      <c r="L10" s="117">
        <v>0</v>
      </c>
      <c r="M10" s="162">
        <f>K10+L10</f>
        <v>12324.626749999999</v>
      </c>
      <c r="N10" s="88">
        <v>59</v>
      </c>
      <c r="O10" s="88">
        <v>61</v>
      </c>
      <c r="P10" s="88">
        <v>55</v>
      </c>
    </row>
    <row r="11" spans="1:27" x14ac:dyDescent="0.3">
      <c r="B11" s="28" t="s">
        <v>28</v>
      </c>
      <c r="C11" s="17">
        <v>435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 t="s">
        <v>130</v>
      </c>
      <c r="B12" s="16" t="s">
        <v>30</v>
      </c>
      <c r="C12" s="17">
        <v>2444</v>
      </c>
      <c r="E12" s="161" t="s">
        <v>35</v>
      </c>
      <c r="F12" s="119">
        <v>16049</v>
      </c>
      <c r="G12" s="117">
        <v>12001.22416666667</v>
      </c>
      <c r="H12" s="117">
        <v>19198.126417999989</v>
      </c>
      <c r="I12" s="152">
        <f>G12+H12</f>
        <v>31199.350584666659</v>
      </c>
      <c r="J12" s="119">
        <v>15143</v>
      </c>
      <c r="K12" s="117">
        <v>12891.73066666667</v>
      </c>
      <c r="L12" s="117">
        <v>0</v>
      </c>
      <c r="M12" s="162">
        <f>K12+L12</f>
        <v>12891.73066666667</v>
      </c>
      <c r="N12" s="88">
        <v>59</v>
      </c>
      <c r="O12" s="88">
        <v>56</v>
      </c>
      <c r="P12" s="88">
        <v>52</v>
      </c>
    </row>
    <row r="13" spans="1:27" x14ac:dyDescent="0.3">
      <c r="B13" s="16" t="s">
        <v>38</v>
      </c>
      <c r="C13" s="17">
        <v>10334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3">
      <c r="B14" s="16" t="s">
        <v>40</v>
      </c>
      <c r="C14" s="17">
        <v>1272</v>
      </c>
      <c r="E14" s="161" t="s">
        <v>39</v>
      </c>
      <c r="F14" s="119">
        <v>21925</v>
      </c>
      <c r="G14" s="117">
        <v>23310.4375</v>
      </c>
      <c r="H14" s="117">
        <v>26292.810511839991</v>
      </c>
      <c r="I14" s="152">
        <f>G14+H14</f>
        <v>49603.248011839991</v>
      </c>
      <c r="J14" s="119">
        <v>21310</v>
      </c>
      <c r="K14" s="117">
        <v>15589.9025</v>
      </c>
      <c r="L14" s="117">
        <v>0</v>
      </c>
      <c r="M14" s="162">
        <f>K14+L14</f>
        <v>15589.9025</v>
      </c>
      <c r="N14" s="88">
        <v>83</v>
      </c>
      <c r="O14" s="88">
        <v>80</v>
      </c>
      <c r="P14" s="88">
        <v>68</v>
      </c>
    </row>
    <row r="15" spans="1:27" x14ac:dyDescent="0.3">
      <c r="B15" s="28" t="s">
        <v>42</v>
      </c>
      <c r="C15" s="17">
        <f>32912-4370</f>
        <v>28542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1037</v>
      </c>
      <c r="E16" s="161" t="s">
        <v>79</v>
      </c>
      <c r="F16" s="119">
        <v>0</v>
      </c>
      <c r="G16" s="117">
        <v>0</v>
      </c>
      <c r="H16" s="117">
        <v>5232.2532338000001</v>
      </c>
      <c r="I16" s="152">
        <f>G16+H16</f>
        <v>5232.2532338000001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12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147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10107</v>
      </c>
      <c r="E18" s="84"/>
      <c r="F18" s="148">
        <f t="shared" ref="F18:M18" si="0">SUM(F6:F17)</f>
        <v>81590</v>
      </c>
      <c r="G18" s="149">
        <f t="shared" si="0"/>
        <v>59893.944749999995</v>
      </c>
      <c r="H18" s="149">
        <f t="shared" si="0"/>
        <v>61509.982631879982</v>
      </c>
      <c r="I18" s="150">
        <f t="shared" si="0"/>
        <v>121403.92738187997</v>
      </c>
      <c r="J18" s="149">
        <f t="shared" si="0"/>
        <v>78810</v>
      </c>
      <c r="K18" s="149">
        <f t="shared" si="0"/>
        <v>55674.327000000005</v>
      </c>
      <c r="L18" s="149">
        <f t="shared" si="0"/>
        <v>0</v>
      </c>
      <c r="M18" s="157">
        <f t="shared" si="0"/>
        <v>55674.327000000005</v>
      </c>
      <c r="N18" s="149">
        <f>SUM(N16,N14,N12,N10,N8,N6)</f>
        <v>317</v>
      </c>
      <c r="O18" s="149">
        <f>SUM(O16,O14,O12,O10,O8,O6)</f>
        <v>308</v>
      </c>
      <c r="P18" s="158">
        <f>SUM(P16,P14,P12,P10,P8,P6)</f>
        <v>278</v>
      </c>
    </row>
    <row r="19" spans="2:28" ht="15" customHeight="1" thickBot="1" x14ac:dyDescent="0.35">
      <c r="B19" s="16" t="s">
        <v>51</v>
      </c>
      <c r="C19" s="17">
        <v>1579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35">
      <c r="B20" s="57" t="s">
        <v>52</v>
      </c>
      <c r="C20" s="58">
        <v>4981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9.7402597402597407E-2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11270</v>
      </c>
      <c r="D25" s="76">
        <f>C13</f>
        <v>10334</v>
      </c>
      <c r="E25" s="77">
        <f t="shared" ref="E25:E32" si="1">D25-C25</f>
        <v>-936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34383</v>
      </c>
      <c r="D28" s="76">
        <f>C9+C14+C15+C16+C17</f>
        <v>32912</v>
      </c>
      <c r="E28" s="77">
        <f t="shared" si="1"/>
        <v>-1471</v>
      </c>
      <c r="F28" s="1" t="s">
        <v>75</v>
      </c>
      <c r="P28" s="4"/>
    </row>
    <row r="29" spans="2:28" x14ac:dyDescent="0.3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2444</v>
      </c>
      <c r="D30" s="76">
        <f>C12</f>
        <v>2444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17050</v>
      </c>
      <c r="D31" s="76">
        <f>C18+C19+C20</f>
        <v>16667</v>
      </c>
      <c r="E31" s="77">
        <f t="shared" si="1"/>
        <v>-383</v>
      </c>
      <c r="K31" s="53"/>
      <c r="P31" s="4"/>
    </row>
    <row r="32" spans="2:28" ht="15" customHeight="1" thickBot="1" x14ac:dyDescent="0.35">
      <c r="B32" s="78" t="s">
        <v>60</v>
      </c>
      <c r="C32" s="121">
        <v>1270</v>
      </c>
      <c r="D32" s="80">
        <f>C10+C11</f>
        <v>1270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theme="1"/>
    <pageSetUpPr fitToPage="1"/>
  </sheetPr>
  <dimension ref="A1:AB32"/>
  <sheetViews>
    <sheetView zoomScale="85" zoomScaleNormal="85" zoomScaleSheetLayoutView="70" workbookViewId="0">
      <selection activeCell="D19" sqref="D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44738</v>
      </c>
    </row>
    <row r="3" spans="1:27" ht="18.75" customHeight="1" thickBot="1" x14ac:dyDescent="0.35">
      <c r="B3" t="s">
        <v>1</v>
      </c>
      <c r="C3" s="3">
        <f>C2+1</f>
        <v>44739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10405</v>
      </c>
      <c r="G6" s="117">
        <v>3520</v>
      </c>
      <c r="H6" s="117">
        <v>144.73249999999999</v>
      </c>
      <c r="I6" s="152">
        <f>G6+H6</f>
        <v>3664.7325000000001</v>
      </c>
      <c r="J6" s="119">
        <v>10833</v>
      </c>
      <c r="K6" s="117">
        <v>3658</v>
      </c>
      <c r="L6" s="117">
        <v>186</v>
      </c>
      <c r="M6" s="162">
        <f>K6+L6</f>
        <v>3844</v>
      </c>
      <c r="N6" s="87">
        <v>53</v>
      </c>
      <c r="O6" s="87">
        <v>52</v>
      </c>
      <c r="P6" s="87">
        <v>47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5645</v>
      </c>
      <c r="G10" s="117">
        <v>2904</v>
      </c>
      <c r="H10" s="117">
        <v>832.34871300000009</v>
      </c>
      <c r="I10" s="152">
        <f>G10+H10</f>
        <v>3736.3487130000003</v>
      </c>
      <c r="J10" s="119">
        <v>5516</v>
      </c>
      <c r="K10" s="117">
        <v>2869</v>
      </c>
      <c r="L10" s="117">
        <v>855</v>
      </c>
      <c r="M10" s="162">
        <f>K10+L10</f>
        <v>3724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8</v>
      </c>
      <c r="O14" s="88">
        <v>10</v>
      </c>
      <c r="P14" s="88">
        <v>8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10422</v>
      </c>
      <c r="E18" s="84"/>
      <c r="F18" s="148">
        <f t="shared" ref="F18:M18" si="0">SUM(F6:F17)</f>
        <v>16050</v>
      </c>
      <c r="G18" s="149">
        <f t="shared" si="0"/>
        <v>6424</v>
      </c>
      <c r="H18" s="149">
        <f t="shared" si="0"/>
        <v>977.08121300000005</v>
      </c>
      <c r="I18" s="150">
        <f t="shared" si="0"/>
        <v>7401.0812130000004</v>
      </c>
      <c r="J18" s="149">
        <f t="shared" si="0"/>
        <v>16349</v>
      </c>
      <c r="K18" s="149">
        <f t="shared" si="0"/>
        <v>6527</v>
      </c>
      <c r="L18" s="149">
        <f t="shared" si="0"/>
        <v>1041</v>
      </c>
      <c r="M18" s="157">
        <f t="shared" si="0"/>
        <v>7568</v>
      </c>
      <c r="N18" s="149">
        <f>SUM(N16,N14,N12,N10,N8,N6)</f>
        <v>61</v>
      </c>
      <c r="O18" s="149">
        <f>SUM(O16,O14,O12,O10,O8,O6)</f>
        <v>62</v>
      </c>
      <c r="P18" s="158">
        <f>SUM(P16,P14,P12,P10,P8,P6)</f>
        <v>55</v>
      </c>
    </row>
    <row r="19" spans="2:28" ht="15" customHeight="1" thickBot="1" x14ac:dyDescent="0.35">
      <c r="B19" s="16" t="s">
        <v>51</v>
      </c>
      <c r="C19" s="17">
        <v>789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ht="15" customHeight="1" thickBot="1" x14ac:dyDescent="0.35">
      <c r="B20" s="57" t="s">
        <v>52</v>
      </c>
      <c r="C20" s="58">
        <v>5138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0.11290322580645161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16050</v>
      </c>
      <c r="D31" s="76">
        <f>C18+C19+C20</f>
        <v>16349</v>
      </c>
      <c r="E31" s="77">
        <f t="shared" si="1"/>
        <v>299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theme="1"/>
    <pageSetUpPr fitToPage="1"/>
  </sheetPr>
  <dimension ref="A1:AB32"/>
  <sheetViews>
    <sheetView zoomScale="85" zoomScaleNormal="85" zoomScaleSheetLayoutView="70" workbookViewId="0">
      <selection activeCell="M32" sqref="M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44739</v>
      </c>
    </row>
    <row r="3" spans="1:27" ht="18.75" customHeight="1" thickBot="1" x14ac:dyDescent="0.35">
      <c r="B3" t="s">
        <v>1</v>
      </c>
      <c r="C3" s="3">
        <f>C2+1</f>
        <v>44740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73</v>
      </c>
      <c r="E6" s="161" t="s">
        <v>22</v>
      </c>
      <c r="F6" s="119">
        <v>23542</v>
      </c>
      <c r="G6" s="117">
        <v>12445.385666666671</v>
      </c>
      <c r="H6" s="117">
        <v>4769.3128403800029</v>
      </c>
      <c r="I6" s="152">
        <f>G6+H6</f>
        <v>17214.698507046673</v>
      </c>
      <c r="J6" s="119">
        <v>23652</v>
      </c>
      <c r="K6" s="117">
        <v>13518.34516666667</v>
      </c>
      <c r="L6" s="117">
        <v>0</v>
      </c>
      <c r="M6" s="162">
        <f>K6+L6</f>
        <v>13518.34516666667</v>
      </c>
      <c r="N6" s="87">
        <v>88</v>
      </c>
      <c r="O6" s="87">
        <v>88</v>
      </c>
      <c r="P6" s="87">
        <v>76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3675.7558738799989</v>
      </c>
      <c r="I8" s="152">
        <f>G8+H8</f>
        <v>3675.7558738799989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9</v>
      </c>
      <c r="O8" s="87">
        <v>8</v>
      </c>
      <c r="P8" s="87">
        <v>8</v>
      </c>
    </row>
    <row r="9" spans="1:27" x14ac:dyDescent="0.3">
      <c r="B9" s="16" t="s">
        <v>23</v>
      </c>
      <c r="C9" s="17">
        <v>1640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570</v>
      </c>
      <c r="E10" s="161" t="s">
        <v>31</v>
      </c>
      <c r="F10" s="119">
        <v>17369</v>
      </c>
      <c r="G10" s="117">
        <v>12259.60925</v>
      </c>
      <c r="H10" s="117">
        <v>930.2536705</v>
      </c>
      <c r="I10" s="152">
        <f>G10+H10</f>
        <v>13189.8629205</v>
      </c>
      <c r="J10" s="119">
        <v>17099</v>
      </c>
      <c r="K10" s="117">
        <v>12574.66375</v>
      </c>
      <c r="L10" s="117">
        <v>0</v>
      </c>
      <c r="M10" s="162">
        <f>K10+L10</f>
        <v>12574.66375</v>
      </c>
      <c r="N10" s="88">
        <v>59</v>
      </c>
      <c r="O10" s="88">
        <v>58</v>
      </c>
      <c r="P10" s="88">
        <v>50</v>
      </c>
    </row>
    <row r="11" spans="1:27" x14ac:dyDescent="0.3">
      <c r="B11" s="28" t="s">
        <v>28</v>
      </c>
      <c r="C11" s="17">
        <v>360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1:27" x14ac:dyDescent="0.3">
      <c r="A12" s="166"/>
      <c r="B12" s="16" t="s">
        <v>30</v>
      </c>
      <c r="C12" s="17">
        <v>1626</v>
      </c>
      <c r="E12" s="161" t="s">
        <v>35</v>
      </c>
      <c r="F12" s="119">
        <v>13281</v>
      </c>
      <c r="G12" s="117">
        <v>11152.07</v>
      </c>
      <c r="H12" s="117">
        <v>16559.25037409001</v>
      </c>
      <c r="I12" s="152">
        <f>G12+H12</f>
        <v>27711.32037409001</v>
      </c>
      <c r="J12" s="119">
        <v>13368</v>
      </c>
      <c r="K12" s="117">
        <v>12027.63225000001</v>
      </c>
      <c r="L12" s="117">
        <v>0</v>
      </c>
      <c r="M12" s="162">
        <f>K12+L12</f>
        <v>12027.63225000001</v>
      </c>
      <c r="N12" s="88">
        <v>55</v>
      </c>
      <c r="O12" s="88">
        <v>55</v>
      </c>
      <c r="P12" s="88">
        <v>45</v>
      </c>
    </row>
    <row r="13" spans="1:27" x14ac:dyDescent="0.3">
      <c r="B13" s="16" t="s">
        <v>38</v>
      </c>
      <c r="C13" s="17">
        <v>10225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3">
      <c r="B14" s="16" t="s">
        <v>40</v>
      </c>
      <c r="C14" s="17">
        <v>1821</v>
      </c>
      <c r="E14" s="161" t="s">
        <v>39</v>
      </c>
      <c r="F14" s="119">
        <v>22553</v>
      </c>
      <c r="G14" s="117">
        <v>20132.52</v>
      </c>
      <c r="H14" s="117">
        <v>29445.548971140011</v>
      </c>
      <c r="I14" s="152">
        <f>G14+H14</f>
        <v>49578.068971140012</v>
      </c>
      <c r="J14" s="119">
        <v>22529</v>
      </c>
      <c r="K14" s="117">
        <v>21947.091</v>
      </c>
      <c r="L14" s="117">
        <v>0</v>
      </c>
      <c r="M14" s="162">
        <f>K14+L14</f>
        <v>21947.091</v>
      </c>
      <c r="N14" s="88">
        <v>79</v>
      </c>
      <c r="O14" s="88">
        <v>82</v>
      </c>
      <c r="P14" s="88">
        <v>70</v>
      </c>
    </row>
    <row r="15" spans="1:27" x14ac:dyDescent="0.3">
      <c r="B15" s="28" t="s">
        <v>42</v>
      </c>
      <c r="C15" s="17">
        <v>30908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1712</v>
      </c>
      <c r="E16" s="161" t="s">
        <v>79</v>
      </c>
      <c r="F16" s="119">
        <v>0</v>
      </c>
      <c r="G16" s="117">
        <v>0</v>
      </c>
      <c r="H16" s="117">
        <v>8393.1403776599982</v>
      </c>
      <c r="I16" s="152">
        <f>G16+H16</f>
        <v>8393.1403776599982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400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10085</v>
      </c>
      <c r="E18" s="84"/>
      <c r="F18" s="148">
        <f t="shared" ref="F18:M18" si="0">SUM(F6:F17)</f>
        <v>76745</v>
      </c>
      <c r="G18" s="149">
        <f t="shared" si="0"/>
        <v>55989.584916666674</v>
      </c>
      <c r="H18" s="149">
        <f t="shared" si="0"/>
        <v>63773.262107650022</v>
      </c>
      <c r="I18" s="150">
        <f t="shared" si="0"/>
        <v>119762.8470243167</v>
      </c>
      <c r="J18" s="149">
        <f t="shared" si="0"/>
        <v>76648</v>
      </c>
      <c r="K18" s="149">
        <f t="shared" si="0"/>
        <v>60067.732166666683</v>
      </c>
      <c r="L18" s="149">
        <f t="shared" si="0"/>
        <v>0</v>
      </c>
      <c r="M18" s="157">
        <f t="shared" si="0"/>
        <v>60067.732166666683</v>
      </c>
      <c r="N18" s="149">
        <f>SUM(N16,N14,N12,N10,N8,N6)</f>
        <v>301</v>
      </c>
      <c r="O18" s="149">
        <f>SUM(O16,O14,O12,O10,O8,O6)</f>
        <v>302</v>
      </c>
      <c r="P18" s="158">
        <f>SUM(P16,P14,P12,P10,P8,P6)</f>
        <v>260</v>
      </c>
    </row>
    <row r="19" spans="2:28" ht="15" customHeight="1" thickBot="1" x14ac:dyDescent="0.35">
      <c r="B19" s="16" t="s">
        <v>51</v>
      </c>
      <c r="C19" s="17">
        <v>1296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42</v>
      </c>
    </row>
    <row r="20" spans="2:28" ht="15" customHeight="1" thickBot="1" x14ac:dyDescent="0.35">
      <c r="B20" s="57" t="s">
        <v>52</v>
      </c>
      <c r="C20" s="58">
        <v>5042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0.13907284768211919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9967</v>
      </c>
      <c r="D25" s="76">
        <f>C13</f>
        <v>10225</v>
      </c>
      <c r="E25" s="77">
        <f t="shared" ref="E25:E32" si="1">D25-C25</f>
        <v>258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36464</v>
      </c>
      <c r="D28" s="76">
        <f>C9+C14+C15+C16+C17</f>
        <v>36481</v>
      </c>
      <c r="E28" s="77">
        <f t="shared" si="1"/>
        <v>17</v>
      </c>
      <c r="F28" s="1" t="s">
        <v>75</v>
      </c>
      <c r="P28" s="4"/>
    </row>
    <row r="29" spans="2:28" x14ac:dyDescent="0.3">
      <c r="B29" s="74" t="s">
        <v>21</v>
      </c>
      <c r="C29" s="122">
        <v>73</v>
      </c>
      <c r="D29" s="76">
        <f>C6</f>
        <v>73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1626</v>
      </c>
      <c r="D30" s="76">
        <f>C12</f>
        <v>1626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16760</v>
      </c>
      <c r="D31" s="76">
        <f>C18+C19+C20</f>
        <v>16423</v>
      </c>
      <c r="E31" s="77">
        <f t="shared" si="1"/>
        <v>-337</v>
      </c>
      <c r="K31" s="53"/>
      <c r="P31" s="4"/>
    </row>
    <row r="32" spans="2:28" ht="15" customHeight="1" thickBot="1" x14ac:dyDescent="0.35">
      <c r="B32" s="78" t="s">
        <v>60</v>
      </c>
      <c r="C32" s="121">
        <v>930</v>
      </c>
      <c r="D32" s="80">
        <f>C10+C11</f>
        <v>930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theme="1"/>
    <pageSetUpPr fitToPage="1"/>
  </sheetPr>
  <dimension ref="A1:AB32"/>
  <sheetViews>
    <sheetView zoomScale="85" zoomScaleNormal="85" zoomScaleSheetLayoutView="70" workbookViewId="0">
      <selection activeCell="R31" sqref="R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44740</v>
      </c>
    </row>
    <row r="3" spans="1:27" ht="18.75" customHeight="1" thickBot="1" x14ac:dyDescent="0.35">
      <c r="B3" t="s">
        <v>1</v>
      </c>
      <c r="C3" s="3">
        <f>C2+1</f>
        <v>44741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0.35416666666666669</v>
      </c>
    </row>
    <row r="6" spans="1:27" x14ac:dyDescent="0.3">
      <c r="A6" s="166"/>
      <c r="B6" s="16" t="s">
        <v>21</v>
      </c>
      <c r="C6" s="17">
        <v>115</v>
      </c>
      <c r="E6" s="161" t="s">
        <v>22</v>
      </c>
      <c r="F6" s="119">
        <v>24832</v>
      </c>
      <c r="G6" s="117">
        <v>12150.358116666661</v>
      </c>
      <c r="H6" s="117">
        <v>4817.8223659000014</v>
      </c>
      <c r="I6" s="152">
        <f>G6+H6</f>
        <v>16968.180482566662</v>
      </c>
      <c r="J6" s="119">
        <v>26050</v>
      </c>
      <c r="K6" s="117">
        <v>14024.948116666659</v>
      </c>
      <c r="L6" s="117">
        <v>0</v>
      </c>
      <c r="M6" s="162">
        <f>K6+L6</f>
        <v>14024.948116666659</v>
      </c>
      <c r="N6" s="87">
        <v>91</v>
      </c>
      <c r="O6" s="87">
        <v>88</v>
      </c>
      <c r="P6" s="87">
        <v>84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/>
      <c r="E8" s="161" t="s">
        <v>27</v>
      </c>
      <c r="F8" s="119">
        <v>0</v>
      </c>
      <c r="G8" s="117">
        <v>0</v>
      </c>
      <c r="H8" s="117">
        <v>3430.6751145000012</v>
      </c>
      <c r="I8" s="152">
        <f>G8+H8</f>
        <v>3430.6751145000012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6</v>
      </c>
    </row>
    <row r="9" spans="1:27" x14ac:dyDescent="0.3">
      <c r="B9" s="16" t="s">
        <v>23</v>
      </c>
      <c r="C9" s="17">
        <v>2748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875</v>
      </c>
      <c r="E10" s="161" t="s">
        <v>31</v>
      </c>
      <c r="F10" s="119">
        <v>19294</v>
      </c>
      <c r="G10" s="117">
        <v>12588.447249999999</v>
      </c>
      <c r="H10" s="117">
        <v>1332.0416164999999</v>
      </c>
      <c r="I10" s="152">
        <f>G10+H10</f>
        <v>13920.4888665</v>
      </c>
      <c r="J10" s="119">
        <v>19935</v>
      </c>
      <c r="K10" s="117">
        <v>13369.394749999999</v>
      </c>
      <c r="L10" s="117">
        <v>0</v>
      </c>
      <c r="M10" s="162">
        <f>K10+L10</f>
        <v>13369.394749999999</v>
      </c>
      <c r="N10" s="88">
        <v>58</v>
      </c>
      <c r="O10" s="88">
        <v>54</v>
      </c>
      <c r="P10" s="88">
        <v>53</v>
      </c>
    </row>
    <row r="11" spans="1:27" x14ac:dyDescent="0.3">
      <c r="B11" s="28" t="s">
        <v>28</v>
      </c>
      <c r="C11" s="17">
        <v>675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/>
      <c r="B12" s="16" t="s">
        <v>30</v>
      </c>
      <c r="C12" s="17">
        <v>2484</v>
      </c>
      <c r="E12" s="161" t="s">
        <v>35</v>
      </c>
      <c r="F12" s="119">
        <v>17105</v>
      </c>
      <c r="G12" s="117">
        <v>10987.656166666669</v>
      </c>
      <c r="H12" s="117">
        <v>20974.192716469999</v>
      </c>
      <c r="I12" s="152">
        <f>G12+H12</f>
        <v>31961.84888313667</v>
      </c>
      <c r="J12" s="119">
        <v>17154</v>
      </c>
      <c r="K12" s="117">
        <v>14066.42291666667</v>
      </c>
      <c r="L12" s="117">
        <v>0</v>
      </c>
      <c r="M12" s="162">
        <f>K12+L12</f>
        <v>14066.42291666667</v>
      </c>
      <c r="N12" s="88">
        <v>52</v>
      </c>
      <c r="O12" s="88">
        <v>55</v>
      </c>
      <c r="P12" s="88">
        <v>48</v>
      </c>
    </row>
    <row r="13" spans="1:27" x14ac:dyDescent="0.3">
      <c r="B13" s="16" t="s">
        <v>38</v>
      </c>
      <c r="C13" s="17">
        <v>11299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1346</v>
      </c>
      <c r="E14" s="161" t="s">
        <v>39</v>
      </c>
      <c r="F14" s="119">
        <v>28496</v>
      </c>
      <c r="G14" s="117">
        <v>21292.075000000001</v>
      </c>
      <c r="H14" s="117">
        <v>34637.776014679999</v>
      </c>
      <c r="I14" s="152">
        <f>G14+H14</f>
        <v>55929.851014679996</v>
      </c>
      <c r="J14" s="119">
        <v>28220</v>
      </c>
      <c r="K14" s="117">
        <v>23253.436750000001</v>
      </c>
      <c r="L14" s="117">
        <v>0</v>
      </c>
      <c r="M14" s="162">
        <f>K14+L14</f>
        <v>23253.436750000001</v>
      </c>
      <c r="N14" s="88">
        <v>81</v>
      </c>
      <c r="O14" s="88">
        <v>83</v>
      </c>
      <c r="P14" s="88">
        <v>74</v>
      </c>
    </row>
    <row r="15" spans="1:27" x14ac:dyDescent="0.3">
      <c r="B15" s="28" t="s">
        <v>42</v>
      </c>
      <c r="C15" s="17">
        <f>39258-5320</f>
        <v>33938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3">
      <c r="B16" s="43" t="s">
        <v>47</v>
      </c>
      <c r="C16" s="17">
        <v>1082</v>
      </c>
      <c r="E16" s="161" t="s">
        <v>79</v>
      </c>
      <c r="F16" s="119">
        <v>0</v>
      </c>
      <c r="G16" s="117">
        <v>0</v>
      </c>
      <c r="H16" s="117">
        <v>5559.3043310600005</v>
      </c>
      <c r="I16" s="152">
        <f>G16+H16</f>
        <v>5559.3043310600005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13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144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10906</v>
      </c>
      <c r="E18" s="84"/>
      <c r="F18" s="148">
        <f t="shared" ref="F18:M18" si="0">SUM(F6:F17)</f>
        <v>89727</v>
      </c>
      <c r="G18" s="149">
        <f t="shared" si="0"/>
        <v>57018.536533333332</v>
      </c>
      <c r="H18" s="149">
        <f t="shared" si="0"/>
        <v>70751.812159110006</v>
      </c>
      <c r="I18" s="150">
        <f t="shared" si="0"/>
        <v>127770.34869244334</v>
      </c>
      <c r="J18" s="149">
        <f t="shared" si="0"/>
        <v>91359</v>
      </c>
      <c r="K18" s="149">
        <f t="shared" si="0"/>
        <v>64714.202533333329</v>
      </c>
      <c r="L18" s="149">
        <f t="shared" si="0"/>
        <v>0</v>
      </c>
      <c r="M18" s="157">
        <f t="shared" si="0"/>
        <v>64714.202533333329</v>
      </c>
      <c r="N18" s="149">
        <f>SUM(N16,N14,N12,N10,N8,N6)</f>
        <v>302</v>
      </c>
      <c r="O18" s="149">
        <f>SUM(O16,O14,O12,O10,O8,O6)</f>
        <v>300</v>
      </c>
      <c r="P18" s="158">
        <f>SUM(P16,P14,P12,P10,P8,P6)</f>
        <v>277</v>
      </c>
    </row>
    <row r="19" spans="2:28" ht="15" customHeight="1" thickBot="1" x14ac:dyDescent="0.35">
      <c r="B19" s="16" t="s">
        <v>51</v>
      </c>
      <c r="C19" s="17">
        <v>987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35">
      <c r="B20" s="57" t="s">
        <v>52</v>
      </c>
      <c r="C20" s="58">
        <v>5550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7.6666666666666661E-2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10326</v>
      </c>
      <c r="D25" s="76">
        <f>C13</f>
        <v>11299</v>
      </c>
      <c r="E25" s="77">
        <f t="shared" ref="E25:E32" si="1">D25-C25</f>
        <v>973</v>
      </c>
    </row>
    <row r="26" spans="2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40000</v>
      </c>
      <c r="D28" s="76">
        <f>C9+C14+C15+C16+C17</f>
        <v>39258</v>
      </c>
      <c r="E28" s="77">
        <f t="shared" si="1"/>
        <v>-742</v>
      </c>
      <c r="F28" s="1" t="s">
        <v>75</v>
      </c>
      <c r="P28" s="4"/>
    </row>
    <row r="29" spans="2:28" x14ac:dyDescent="0.3">
      <c r="B29" s="74" t="s">
        <v>21</v>
      </c>
      <c r="C29" s="122">
        <v>115</v>
      </c>
      <c r="D29" s="76">
        <f>C6</f>
        <v>115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2484</v>
      </c>
      <c r="D30" s="76">
        <f>C12</f>
        <v>2484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17085</v>
      </c>
      <c r="D31" s="76">
        <f>C18+C19+C20</f>
        <v>17443</v>
      </c>
      <c r="E31" s="77">
        <f t="shared" si="1"/>
        <v>358</v>
      </c>
      <c r="K31" s="53"/>
      <c r="P31" s="4"/>
    </row>
    <row r="32" spans="2:28" ht="15" customHeight="1" thickBot="1" x14ac:dyDescent="0.35">
      <c r="B32" s="78" t="s">
        <v>60</v>
      </c>
      <c r="C32" s="121">
        <v>1550</v>
      </c>
      <c r="D32" s="80">
        <f>C10+C11</f>
        <v>1550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theme="1"/>
    <pageSetUpPr fitToPage="1"/>
  </sheetPr>
  <dimension ref="A1:AB32"/>
  <sheetViews>
    <sheetView zoomScale="85" zoomScaleNormal="85" zoomScaleSheetLayoutView="70" workbookViewId="0">
      <selection activeCell="R18" sqref="R1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44741</v>
      </c>
    </row>
    <row r="3" spans="1:27" ht="18.75" customHeight="1" thickBot="1" x14ac:dyDescent="0.35">
      <c r="B3" t="s">
        <v>1</v>
      </c>
      <c r="C3" s="3">
        <f>C2+1</f>
        <v>44742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0.35416666666666669</v>
      </c>
    </row>
    <row r="6" spans="1:27" x14ac:dyDescent="0.3">
      <c r="A6" s="166" t="s">
        <v>125</v>
      </c>
      <c r="B6" s="16" t="s">
        <v>21</v>
      </c>
      <c r="C6" s="17">
        <v>70</v>
      </c>
      <c r="E6" s="161" t="s">
        <v>22</v>
      </c>
      <c r="F6" s="119">
        <v>25292</v>
      </c>
      <c r="G6" s="117">
        <v>12176.882500000011</v>
      </c>
      <c r="H6" s="117">
        <v>4520.0222392799988</v>
      </c>
      <c r="I6" s="152">
        <f>G6+H6</f>
        <v>16696.904739280009</v>
      </c>
      <c r="J6" s="119">
        <v>25769</v>
      </c>
      <c r="K6" s="117">
        <v>14173.427750000001</v>
      </c>
      <c r="L6" s="117">
        <v>0</v>
      </c>
      <c r="M6" s="162">
        <f>K6+L6</f>
        <v>14173.427750000001</v>
      </c>
      <c r="N6" s="87">
        <v>86</v>
      </c>
      <c r="O6" s="87">
        <v>81</v>
      </c>
      <c r="P6" s="87">
        <v>71</v>
      </c>
    </row>
    <row r="7" spans="1:27" x14ac:dyDescent="0.3">
      <c r="A7" s="166"/>
      <c r="B7" s="16" t="s">
        <v>43</v>
      </c>
      <c r="C7" s="17">
        <v>27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4456.2448882399995</v>
      </c>
      <c r="I8" s="152">
        <f>G8+H8</f>
        <v>4456.2448882399995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5</v>
      </c>
      <c r="O8" s="87">
        <v>5</v>
      </c>
      <c r="P8" s="87">
        <v>5</v>
      </c>
    </row>
    <row r="9" spans="1:27" x14ac:dyDescent="0.3">
      <c r="B9" s="16" t="s">
        <v>23</v>
      </c>
      <c r="C9" s="17">
        <v>1227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15379</v>
      </c>
      <c r="G10" s="117">
        <v>11252.276</v>
      </c>
      <c r="H10" s="117">
        <v>873.05275499999993</v>
      </c>
      <c r="I10" s="152">
        <f>G10+H10</f>
        <v>12125.328755</v>
      </c>
      <c r="J10" s="119">
        <v>15269</v>
      </c>
      <c r="K10" s="117">
        <v>12140.610500000001</v>
      </c>
      <c r="L10" s="117">
        <v>0</v>
      </c>
      <c r="M10" s="162">
        <f>K10+L10</f>
        <v>12140.610500000001</v>
      </c>
      <c r="N10" s="88">
        <v>59</v>
      </c>
      <c r="O10" s="88">
        <v>57</v>
      </c>
      <c r="P10" s="88">
        <v>54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3773</v>
      </c>
      <c r="E12" s="161" t="s">
        <v>35</v>
      </c>
      <c r="F12" s="119">
        <v>16953</v>
      </c>
      <c r="G12" s="117">
        <v>14093.7925</v>
      </c>
      <c r="H12" s="117">
        <v>21272.380318449999</v>
      </c>
      <c r="I12" s="152">
        <f>G12+H12</f>
        <v>35366.172818449995</v>
      </c>
      <c r="J12" s="119">
        <v>16463</v>
      </c>
      <c r="K12" s="117">
        <v>17305.099999999999</v>
      </c>
      <c r="L12" s="117">
        <v>0</v>
      </c>
      <c r="M12" s="162">
        <f>K12+L12</f>
        <v>17305.099999999999</v>
      </c>
      <c r="N12" s="88">
        <v>54</v>
      </c>
      <c r="O12" s="88">
        <v>52</v>
      </c>
      <c r="P12" s="88">
        <v>46</v>
      </c>
    </row>
    <row r="13" spans="1:27" x14ac:dyDescent="0.3">
      <c r="B13" s="16" t="s">
        <v>38</v>
      </c>
      <c r="C13" s="17">
        <v>11228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3">
      <c r="B14" s="16" t="s">
        <v>40</v>
      </c>
      <c r="C14" s="17">
        <v>1453</v>
      </c>
      <c r="E14" s="161" t="s">
        <v>39</v>
      </c>
      <c r="F14" s="119">
        <v>28509</v>
      </c>
      <c r="G14" s="117">
        <v>22701.564999999999</v>
      </c>
      <c r="H14" s="117">
        <v>36015.690703400003</v>
      </c>
      <c r="I14" s="152">
        <f>G14+H14</f>
        <v>58717.255703400006</v>
      </c>
      <c r="J14" s="119">
        <v>26385</v>
      </c>
      <c r="K14" s="117">
        <v>24015.59375</v>
      </c>
      <c r="L14" s="117">
        <v>0</v>
      </c>
      <c r="M14" s="162">
        <f>K14+L14</f>
        <v>24015.59375</v>
      </c>
      <c r="N14" s="88">
        <v>80</v>
      </c>
      <c r="O14" s="88">
        <v>81</v>
      </c>
      <c r="P14" s="88">
        <v>71</v>
      </c>
    </row>
    <row r="15" spans="1:27" x14ac:dyDescent="0.3">
      <c r="B15" s="28" t="s">
        <v>42</v>
      </c>
      <c r="C15" s="17">
        <f>39421-4262</f>
        <v>35159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3">
      <c r="B16" s="43" t="s">
        <v>47</v>
      </c>
      <c r="C16" s="17">
        <v>1238</v>
      </c>
      <c r="E16" s="161" t="s">
        <v>79</v>
      </c>
      <c r="F16" s="119">
        <v>0</v>
      </c>
      <c r="G16" s="117">
        <v>0</v>
      </c>
      <c r="H16" s="117">
        <v>6403.9057580600002</v>
      </c>
      <c r="I16" s="152">
        <f>G16+H16</f>
        <v>6403.9057580600002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10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344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9789</v>
      </c>
      <c r="E18" s="84"/>
      <c r="F18" s="148">
        <f t="shared" ref="F18:M18" si="0">SUM(F6:F17)</f>
        <v>86133</v>
      </c>
      <c r="G18" s="149">
        <f t="shared" si="0"/>
        <v>60224.516000000018</v>
      </c>
      <c r="H18" s="149">
        <f t="shared" si="0"/>
        <v>73541.296662430002</v>
      </c>
      <c r="I18" s="150">
        <f t="shared" si="0"/>
        <v>133765.81266242999</v>
      </c>
      <c r="J18" s="149">
        <f t="shared" si="0"/>
        <v>83886</v>
      </c>
      <c r="K18" s="149">
        <f t="shared" si="0"/>
        <v>67634.732000000004</v>
      </c>
      <c r="L18" s="149">
        <f t="shared" si="0"/>
        <v>0</v>
      </c>
      <c r="M18" s="157">
        <f t="shared" si="0"/>
        <v>67634.732000000004</v>
      </c>
      <c r="N18" s="149">
        <f>SUM(N16,N14,N12,N10,N8,N6)</f>
        <v>295</v>
      </c>
      <c r="O18" s="149">
        <f>SUM(O16,O14,O12,O10,O8,O6)</f>
        <v>286</v>
      </c>
      <c r="P18" s="158">
        <f>SUM(P16,P14,P12,P10,P8,P6)</f>
        <v>259</v>
      </c>
    </row>
    <row r="19" spans="2:28" ht="15" customHeight="1" thickBot="1" x14ac:dyDescent="0.35">
      <c r="B19" s="16" t="s">
        <v>51</v>
      </c>
      <c r="C19" s="17">
        <v>1753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35">
      <c r="B20" s="57" t="s">
        <v>52</v>
      </c>
      <c r="C20" s="58">
        <v>5567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9.4405594405594401E-2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11101</v>
      </c>
      <c r="D25" s="76">
        <f>C13</f>
        <v>11228</v>
      </c>
      <c r="E25" s="77">
        <f t="shared" ref="E25:E32" si="1">D25-C25</f>
        <v>127</v>
      </c>
    </row>
    <row r="26" spans="2:28" x14ac:dyDescent="0.3">
      <c r="B26" s="74" t="s">
        <v>58</v>
      </c>
      <c r="C26" s="122">
        <v>0</v>
      </c>
      <c r="D26" s="76">
        <f>C7</f>
        <v>27</v>
      </c>
      <c r="E26" s="77">
        <f t="shared" si="1"/>
        <v>27</v>
      </c>
      <c r="J26" s="123"/>
      <c r="M26" s="53"/>
      <c r="P26" s="4"/>
    </row>
    <row r="27" spans="2:28" x14ac:dyDescent="0.3">
      <c r="B27" s="74" t="s">
        <v>103</v>
      </c>
      <c r="C27" s="122">
        <v>27</v>
      </c>
      <c r="D27" s="76">
        <f>C8</f>
        <v>0</v>
      </c>
      <c r="E27" s="77">
        <f t="shared" si="1"/>
        <v>-27</v>
      </c>
      <c r="G27" s="53"/>
      <c r="M27" s="53"/>
      <c r="P27" s="4"/>
    </row>
    <row r="28" spans="2:28" x14ac:dyDescent="0.3">
      <c r="B28" s="74" t="s">
        <v>56</v>
      </c>
      <c r="C28" s="122">
        <v>42142</v>
      </c>
      <c r="D28" s="76">
        <f>C9+C14+C15+C16+C17</f>
        <v>39421</v>
      </c>
      <c r="E28" s="77">
        <f t="shared" si="1"/>
        <v>-2721</v>
      </c>
      <c r="F28" s="1" t="s">
        <v>75</v>
      </c>
      <c r="P28" s="4"/>
    </row>
    <row r="29" spans="2:28" x14ac:dyDescent="0.3">
      <c r="B29" s="74" t="s">
        <v>21</v>
      </c>
      <c r="C29" s="122">
        <v>70</v>
      </c>
      <c r="D29" s="76">
        <f>C6</f>
        <v>70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3773</v>
      </c>
      <c r="D30" s="76">
        <f>C12</f>
        <v>3773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16590</v>
      </c>
      <c r="D31" s="76">
        <f>C18+C19+C20</f>
        <v>17109</v>
      </c>
      <c r="E31" s="77">
        <f t="shared" si="1"/>
        <v>519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theme="1"/>
    <pageSetUpPr fitToPage="1"/>
  </sheetPr>
  <dimension ref="A1:AB32"/>
  <sheetViews>
    <sheetView zoomScale="85" zoomScaleNormal="85" zoomScaleSheetLayoutView="70" workbookViewId="0">
      <selection activeCell="Q19" sqref="Q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44742</v>
      </c>
    </row>
    <row r="3" spans="1:27" ht="18.75" customHeight="1" thickBot="1" x14ac:dyDescent="0.35">
      <c r="B3" t="s">
        <v>1</v>
      </c>
      <c r="C3" s="3">
        <f>C2+1</f>
        <v>44743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0.3527777777777778</v>
      </c>
    </row>
    <row r="6" spans="1:27" x14ac:dyDescent="0.3">
      <c r="A6" s="166"/>
      <c r="B6" s="16" t="s">
        <v>21</v>
      </c>
      <c r="C6" s="17">
        <v>115</v>
      </c>
      <c r="E6" s="161" t="s">
        <v>22</v>
      </c>
      <c r="F6" s="119">
        <v>25705</v>
      </c>
      <c r="G6" s="117">
        <v>13698.795400000001</v>
      </c>
      <c r="H6" s="117">
        <v>9634.8288951599952</v>
      </c>
      <c r="I6" s="152">
        <f>G6+H6</f>
        <v>23333.624295159996</v>
      </c>
      <c r="J6" s="119">
        <v>26426</v>
      </c>
      <c r="K6" s="117">
        <v>14792.9699</v>
      </c>
      <c r="L6" s="117">
        <v>0</v>
      </c>
      <c r="M6" s="162">
        <f>K6+L6</f>
        <v>14792.9699</v>
      </c>
      <c r="N6" s="87">
        <v>86</v>
      </c>
      <c r="O6" s="87">
        <v>83</v>
      </c>
      <c r="P6" s="87">
        <v>73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3978.790563900001</v>
      </c>
      <c r="I8" s="152">
        <f>G8+H8</f>
        <v>3978.790563900001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8</v>
      </c>
      <c r="P8" s="87">
        <v>7</v>
      </c>
    </row>
    <row r="9" spans="1:27" x14ac:dyDescent="0.3">
      <c r="B9" s="16" t="s">
        <v>23</v>
      </c>
      <c r="C9" s="17">
        <v>2678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1035</v>
      </c>
      <c r="E10" s="161" t="s">
        <v>31</v>
      </c>
      <c r="F10" s="119">
        <v>19609</v>
      </c>
      <c r="G10" s="117">
        <v>11829.223249999999</v>
      </c>
      <c r="H10" s="117">
        <v>1237.0623607</v>
      </c>
      <c r="I10" s="152">
        <f>G10+H10</f>
        <v>13066.285610699999</v>
      </c>
      <c r="J10" s="119">
        <v>19735</v>
      </c>
      <c r="K10" s="117">
        <v>13923.055249999999</v>
      </c>
      <c r="L10" s="117">
        <v>0</v>
      </c>
      <c r="M10" s="162">
        <f>K10+L10</f>
        <v>13923.055249999999</v>
      </c>
      <c r="N10" s="88">
        <v>60</v>
      </c>
      <c r="O10" s="88">
        <v>59</v>
      </c>
      <c r="P10" s="88">
        <v>55</v>
      </c>
    </row>
    <row r="11" spans="1:27" x14ac:dyDescent="0.3">
      <c r="B11" s="28" t="s">
        <v>28</v>
      </c>
      <c r="C11" s="17">
        <v>535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2219</v>
      </c>
      <c r="E12" s="161" t="s">
        <v>35</v>
      </c>
      <c r="F12" s="119">
        <v>20674</v>
      </c>
      <c r="G12" s="117">
        <v>16874.027666666669</v>
      </c>
      <c r="H12" s="117">
        <v>26005.525226020021</v>
      </c>
      <c r="I12" s="152">
        <f>G12+H12</f>
        <v>42879.55289268669</v>
      </c>
      <c r="J12" s="119">
        <v>20053</v>
      </c>
      <c r="K12" s="117">
        <v>18162.729916666671</v>
      </c>
      <c r="L12" s="117">
        <v>0</v>
      </c>
      <c r="M12" s="162">
        <f>K12+L12</f>
        <v>18162.729916666671</v>
      </c>
      <c r="N12" s="88">
        <v>58</v>
      </c>
      <c r="O12" s="88">
        <v>57</v>
      </c>
      <c r="P12" s="88">
        <v>49</v>
      </c>
    </row>
    <row r="13" spans="1:27" x14ac:dyDescent="0.3">
      <c r="B13" s="16" t="s">
        <v>38</v>
      </c>
      <c r="C13" s="17">
        <v>11197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1:27" x14ac:dyDescent="0.3">
      <c r="B14" s="16" t="s">
        <v>40</v>
      </c>
      <c r="C14" s="17">
        <v>1389</v>
      </c>
      <c r="E14" s="161" t="s">
        <v>39</v>
      </c>
      <c r="F14" s="119">
        <v>32595</v>
      </c>
      <c r="G14" s="117">
        <v>23512.651249999999</v>
      </c>
      <c r="H14" s="117">
        <v>42784.633380240048</v>
      </c>
      <c r="I14" s="152">
        <f>G14+H14</f>
        <v>66297.284630240043</v>
      </c>
      <c r="J14" s="119">
        <v>30291</v>
      </c>
      <c r="K14" s="117">
        <v>30198.48875</v>
      </c>
      <c r="L14" s="117">
        <v>0</v>
      </c>
      <c r="M14" s="162">
        <f>K14+L14</f>
        <v>30198.48875</v>
      </c>
      <c r="N14" s="88">
        <v>83</v>
      </c>
      <c r="O14" s="88">
        <v>84</v>
      </c>
      <c r="P14" s="88">
        <v>70</v>
      </c>
    </row>
    <row r="15" spans="1:27" x14ac:dyDescent="0.3">
      <c r="B15" s="28" t="s">
        <v>42</v>
      </c>
      <c r="C15" s="17">
        <f>48641-5468</f>
        <v>43173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1:27" x14ac:dyDescent="0.3">
      <c r="B16" s="43" t="s">
        <v>47</v>
      </c>
      <c r="C16" s="17">
        <v>1238</v>
      </c>
      <c r="E16" s="161" t="s">
        <v>79</v>
      </c>
      <c r="F16" s="119">
        <v>0</v>
      </c>
      <c r="G16" s="117">
        <v>0</v>
      </c>
      <c r="H16" s="117">
        <v>6332.7300483799991</v>
      </c>
      <c r="I16" s="152">
        <f>G16+H16</f>
        <v>6332.7300483799991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9</v>
      </c>
      <c r="O16" s="88">
        <v>11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163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9461</v>
      </c>
      <c r="E18" s="84"/>
      <c r="F18" s="148">
        <f t="shared" ref="F18:M18" si="0">SUM(F6:F17)</f>
        <v>98583</v>
      </c>
      <c r="G18" s="149">
        <f t="shared" si="0"/>
        <v>65914.697566666669</v>
      </c>
      <c r="H18" s="149">
        <f t="shared" si="0"/>
        <v>89973.570474400069</v>
      </c>
      <c r="I18" s="150">
        <f t="shared" si="0"/>
        <v>155888.26804106674</v>
      </c>
      <c r="J18" s="149">
        <f t="shared" si="0"/>
        <v>96505</v>
      </c>
      <c r="K18" s="149">
        <f t="shared" si="0"/>
        <v>77077.243816666669</v>
      </c>
      <c r="L18" s="149">
        <f t="shared" si="0"/>
        <v>0</v>
      </c>
      <c r="M18" s="157">
        <f t="shared" si="0"/>
        <v>77077.243816666669</v>
      </c>
      <c r="N18" s="149">
        <f>SUM(N16,N14,N12,N10,N8,N6)</f>
        <v>304</v>
      </c>
      <c r="O18" s="149">
        <f>SUM(O16,O14,O12,O10,O8,O6)</f>
        <v>302</v>
      </c>
      <c r="P18" s="158">
        <f>SUM(P16,P14,P12,P10,P8,P6)</f>
        <v>263</v>
      </c>
    </row>
    <row r="19" spans="2:28" ht="15" customHeight="1" thickBot="1" x14ac:dyDescent="0.35">
      <c r="B19" s="16" t="s">
        <v>51</v>
      </c>
      <c r="C19" s="17">
        <v>2039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35">
      <c r="B20" s="57" t="s">
        <v>52</v>
      </c>
      <c r="C20" s="58">
        <v>5115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0.12913907284768211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11339</v>
      </c>
      <c r="D25" s="76">
        <f>C13</f>
        <v>11197</v>
      </c>
      <c r="E25" s="77">
        <f t="shared" ref="E25:E32" si="1">D25-C25</f>
        <v>-142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50423</v>
      </c>
      <c r="D28" s="76">
        <f>C9+C14+C15+C16+C17</f>
        <v>48641</v>
      </c>
      <c r="E28" s="77">
        <f t="shared" si="1"/>
        <v>-1782</v>
      </c>
      <c r="F28" s="1" t="s">
        <v>75</v>
      </c>
      <c r="P28" s="4"/>
    </row>
    <row r="29" spans="2:28" x14ac:dyDescent="0.3">
      <c r="B29" s="74" t="s">
        <v>21</v>
      </c>
      <c r="C29" s="122">
        <v>115</v>
      </c>
      <c r="D29" s="76">
        <f>C6</f>
        <v>115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2219</v>
      </c>
      <c r="D30" s="76">
        <f>C12</f>
        <v>2219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15700</v>
      </c>
      <c r="D31" s="76">
        <f>C18+C19+C20</f>
        <v>16615</v>
      </c>
      <c r="E31" s="77">
        <f t="shared" si="1"/>
        <v>915</v>
      </c>
      <c r="K31" s="53"/>
      <c r="P31" s="4"/>
    </row>
    <row r="32" spans="2:28" ht="15" customHeight="1" thickBot="1" x14ac:dyDescent="0.35">
      <c r="B32" s="78" t="s">
        <v>60</v>
      </c>
      <c r="C32" s="121">
        <v>1570</v>
      </c>
      <c r="D32" s="80">
        <f>C10+C11</f>
        <v>1570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theme="1"/>
    <pageSetUpPr fitToPage="1"/>
  </sheetPr>
  <dimension ref="A1:AB32"/>
  <sheetViews>
    <sheetView zoomScale="85" zoomScaleNormal="85" zoomScaleSheetLayoutView="70" workbookViewId="0">
      <selection activeCell="U19" sqref="U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44743</v>
      </c>
    </row>
    <row r="3" spans="1:27" ht="18.75" customHeight="1" thickBot="1" x14ac:dyDescent="0.35">
      <c r="B3" t="s">
        <v>1</v>
      </c>
      <c r="C3" s="3">
        <f>C2+1</f>
        <v>44744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0.35069444444444442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20968</v>
      </c>
      <c r="G6" s="117">
        <v>12836.64</v>
      </c>
      <c r="H6" s="117">
        <v>3433.6104173200029</v>
      </c>
      <c r="I6" s="152">
        <f>G6+H6</f>
        <v>16270.250417320003</v>
      </c>
      <c r="J6" s="119">
        <v>21069</v>
      </c>
      <c r="K6" s="117">
        <v>13258.699500000001</v>
      </c>
      <c r="L6" s="117">
        <v>0</v>
      </c>
      <c r="M6" s="162">
        <f>K6+L6</f>
        <v>13258.699500000001</v>
      </c>
      <c r="N6" s="87">
        <v>87</v>
      </c>
      <c r="O6" s="87">
        <v>86</v>
      </c>
      <c r="P6" s="87">
        <v>70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3969.9539426800011</v>
      </c>
      <c r="I8" s="152">
        <f>G8+H8</f>
        <v>3969.9539426800011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6</v>
      </c>
    </row>
    <row r="9" spans="1:27" x14ac:dyDescent="0.3">
      <c r="B9" s="16" t="s">
        <v>23</v>
      </c>
      <c r="C9" s="17">
        <v>2070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15891</v>
      </c>
      <c r="G10" s="117">
        <v>12415.762500000001</v>
      </c>
      <c r="H10" s="117">
        <v>723.35724599999992</v>
      </c>
      <c r="I10" s="152">
        <f>G10+H10</f>
        <v>13139.119746</v>
      </c>
      <c r="J10" s="119">
        <v>15610</v>
      </c>
      <c r="K10" s="117">
        <v>12425.528</v>
      </c>
      <c r="L10" s="117">
        <v>0</v>
      </c>
      <c r="M10" s="162">
        <f>K10+L10</f>
        <v>12425.528</v>
      </c>
      <c r="N10" s="88">
        <v>55</v>
      </c>
      <c r="O10" s="88">
        <v>55</v>
      </c>
      <c r="P10" s="88">
        <v>51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 t="s">
        <v>129</v>
      </c>
      <c r="B12" s="16" t="s">
        <v>30</v>
      </c>
      <c r="C12" s="17">
        <v>4705</v>
      </c>
      <c r="E12" s="161" t="s">
        <v>35</v>
      </c>
      <c r="F12" s="119">
        <v>16550</v>
      </c>
      <c r="G12" s="117">
        <v>15709.956</v>
      </c>
      <c r="H12" s="117">
        <v>21389.249973720001</v>
      </c>
      <c r="I12" s="152">
        <f>G12+H12</f>
        <v>37099.205973720003</v>
      </c>
      <c r="J12" s="119">
        <v>18305</v>
      </c>
      <c r="K12" s="117">
        <v>19089.55875</v>
      </c>
      <c r="L12" s="117">
        <v>0</v>
      </c>
      <c r="M12" s="162">
        <f>K12+L12</f>
        <v>19089.55875</v>
      </c>
      <c r="N12" s="88">
        <v>59</v>
      </c>
      <c r="O12" s="88">
        <v>59</v>
      </c>
      <c r="P12" s="88">
        <v>54</v>
      </c>
    </row>
    <row r="13" spans="1:27" x14ac:dyDescent="0.3">
      <c r="B13" s="16" t="s">
        <v>38</v>
      </c>
      <c r="C13" s="17">
        <v>8566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1848</v>
      </c>
      <c r="E14" s="161" t="s">
        <v>39</v>
      </c>
      <c r="F14" s="119">
        <v>38764</v>
      </c>
      <c r="G14" s="117">
        <v>35131.985000000001</v>
      </c>
      <c r="H14" s="117">
        <v>48317.680707779997</v>
      </c>
      <c r="I14" s="152">
        <f>G14+H14</f>
        <v>83449.66570777999</v>
      </c>
      <c r="J14" s="119">
        <v>37976</v>
      </c>
      <c r="K14" s="117">
        <v>37431.67325</v>
      </c>
      <c r="L14" s="117">
        <v>0</v>
      </c>
      <c r="M14" s="162">
        <f>K14+L14</f>
        <v>37431.67325</v>
      </c>
      <c r="N14" s="88">
        <v>79</v>
      </c>
      <c r="O14" s="88">
        <v>79</v>
      </c>
      <c r="P14" s="88">
        <v>66</v>
      </c>
    </row>
    <row r="15" spans="1:27" x14ac:dyDescent="0.3">
      <c r="B15" s="28" t="s">
        <v>42</v>
      </c>
      <c r="C15" s="17">
        <f>52220-6034</f>
        <v>46186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1725</v>
      </c>
      <c r="E16" s="161" t="s">
        <v>79</v>
      </c>
      <c r="F16" s="119">
        <v>0</v>
      </c>
      <c r="G16" s="117">
        <v>0</v>
      </c>
      <c r="H16" s="117">
        <v>9380.8516330399998</v>
      </c>
      <c r="I16" s="152">
        <f>G16+H16</f>
        <v>9380.8516330399998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391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8629</v>
      </c>
      <c r="E18" s="84"/>
      <c r="F18" s="148">
        <f t="shared" ref="F18:M18" si="0">SUM(F6:F17)</f>
        <v>92173</v>
      </c>
      <c r="G18" s="149">
        <f t="shared" si="0"/>
        <v>76094.343500000003</v>
      </c>
      <c r="H18" s="149">
        <f t="shared" si="0"/>
        <v>87214.703920540007</v>
      </c>
      <c r="I18" s="150">
        <f t="shared" si="0"/>
        <v>163309.04742054001</v>
      </c>
      <c r="J18" s="149">
        <f t="shared" si="0"/>
        <v>92960</v>
      </c>
      <c r="K18" s="149">
        <f t="shared" si="0"/>
        <v>82205.459499999997</v>
      </c>
      <c r="L18" s="149">
        <f t="shared" si="0"/>
        <v>0</v>
      </c>
      <c r="M18" s="157">
        <f t="shared" si="0"/>
        <v>82205.459499999997</v>
      </c>
      <c r="N18" s="149">
        <f>SUM(N16,N14,N12,N10,N8,N6)</f>
        <v>302</v>
      </c>
      <c r="O18" s="149">
        <f>SUM(O16,O14,O12,O10,O8,O6)</f>
        <v>300</v>
      </c>
      <c r="P18" s="158">
        <f>SUM(P16,P14,P12,P10,P8,P6)</f>
        <v>260</v>
      </c>
    </row>
    <row r="19" spans="2:28" ht="15" customHeight="1" thickBot="1" x14ac:dyDescent="0.35">
      <c r="B19" s="16" t="s">
        <v>51</v>
      </c>
      <c r="C19" s="17">
        <v>626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</row>
    <row r="20" spans="2:28" ht="15" customHeight="1" thickBot="1" x14ac:dyDescent="0.35">
      <c r="B20" s="57" t="s">
        <v>52</v>
      </c>
      <c r="C20" s="58">
        <v>5160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0.13333333333333333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8461</v>
      </c>
      <c r="D25" s="76">
        <f>C13</f>
        <v>8566</v>
      </c>
      <c r="E25" s="77">
        <f t="shared" ref="E25:E32" si="1">D25-C25</f>
        <v>105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51148</v>
      </c>
      <c r="D28" s="76">
        <f>C9+C14+C15+C16+C17</f>
        <v>52220</v>
      </c>
      <c r="E28" s="77">
        <f t="shared" si="1"/>
        <v>1072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4705</v>
      </c>
      <c r="D30" s="76">
        <f>C12</f>
        <v>4705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14800</v>
      </c>
      <c r="D31" s="76">
        <f>C18+C19+C20</f>
        <v>14415</v>
      </c>
      <c r="E31" s="77">
        <f t="shared" si="1"/>
        <v>-385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44744</v>
      </c>
    </row>
    <row r="3" spans="1:27" ht="18.75" customHeight="1" thickBot="1" x14ac:dyDescent="0.35">
      <c r="B3" t="s">
        <v>1</v>
      </c>
      <c r="C3" s="3">
        <f>C2+1</f>
        <v>44745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75</v>
      </c>
      <c r="E6" s="161" t="s">
        <v>22</v>
      </c>
      <c r="F6" s="119">
        <v>24736</v>
      </c>
      <c r="G6" s="117">
        <v>12616.562250000001</v>
      </c>
      <c r="H6" s="117">
        <v>5606.2118039399993</v>
      </c>
      <c r="I6" s="152">
        <f>G6+H6</f>
        <v>18222.77405394</v>
      </c>
      <c r="J6" s="119">
        <v>27020</v>
      </c>
      <c r="K6" s="117">
        <v>15793.653916666661</v>
      </c>
      <c r="L6" s="117">
        <v>0</v>
      </c>
      <c r="M6" s="162">
        <f>K6+L6</f>
        <v>15793.653916666661</v>
      </c>
      <c r="N6" s="87">
        <v>91</v>
      </c>
      <c r="O6" s="87">
        <v>89</v>
      </c>
      <c r="P6" s="87">
        <v>74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4015.0571895600001</v>
      </c>
      <c r="I8" s="152">
        <f>G8+H8</f>
        <v>4015.0571895600001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8</v>
      </c>
    </row>
    <row r="9" spans="1:27" x14ac:dyDescent="0.3">
      <c r="B9" s="16" t="s">
        <v>23</v>
      </c>
      <c r="C9" s="17">
        <v>1721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1:27" x14ac:dyDescent="0.3">
      <c r="B10" s="28" t="s">
        <v>26</v>
      </c>
      <c r="C10" s="17">
        <v>725</v>
      </c>
      <c r="E10" s="161" t="s">
        <v>31</v>
      </c>
      <c r="F10" s="119">
        <v>16352</v>
      </c>
      <c r="G10" s="117">
        <v>11523.8135</v>
      </c>
      <c r="H10" s="117">
        <v>1187.61058114</v>
      </c>
      <c r="I10" s="152">
        <f>G10+H10</f>
        <v>12711.42408114</v>
      </c>
      <c r="J10" s="119">
        <v>17020</v>
      </c>
      <c r="K10" s="117">
        <v>12655.014499999999</v>
      </c>
      <c r="L10" s="117">
        <v>0</v>
      </c>
      <c r="M10" s="162">
        <f>K10+L10</f>
        <v>12655.014499999999</v>
      </c>
      <c r="N10" s="88">
        <v>54</v>
      </c>
      <c r="O10" s="88">
        <v>54</v>
      </c>
      <c r="P10" s="88">
        <v>53</v>
      </c>
    </row>
    <row r="11" spans="1:27" x14ac:dyDescent="0.3">
      <c r="B11" s="28" t="s">
        <v>28</v>
      </c>
      <c r="C11" s="17">
        <v>515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/>
      <c r="B12" s="16" t="s">
        <v>30</v>
      </c>
      <c r="C12" s="17">
        <v>2320</v>
      </c>
      <c r="E12" s="161" t="s">
        <v>35</v>
      </c>
      <c r="F12" s="119">
        <v>18783</v>
      </c>
      <c r="G12" s="117">
        <v>15024.660416666669</v>
      </c>
      <c r="H12" s="117">
        <v>22765.223029569999</v>
      </c>
      <c r="I12" s="152">
        <f>G12+H12</f>
        <v>37789.883446236665</v>
      </c>
      <c r="J12" s="119">
        <v>19308</v>
      </c>
      <c r="K12" s="117">
        <v>17766.818916666671</v>
      </c>
      <c r="L12" s="117">
        <v>0</v>
      </c>
      <c r="M12" s="162">
        <f>K12+L12</f>
        <v>17766.818916666671</v>
      </c>
      <c r="N12" s="88">
        <v>55</v>
      </c>
      <c r="O12" s="88">
        <v>55</v>
      </c>
      <c r="P12" s="88">
        <v>48</v>
      </c>
    </row>
    <row r="13" spans="1:27" x14ac:dyDescent="0.3">
      <c r="B13" s="16" t="s">
        <v>38</v>
      </c>
      <c r="C13" s="17">
        <v>11965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1038</v>
      </c>
      <c r="E14" s="161" t="s">
        <v>39</v>
      </c>
      <c r="F14" s="119">
        <v>22656</v>
      </c>
      <c r="G14" s="117">
        <v>30093.102749999998</v>
      </c>
      <c r="H14" s="117">
        <v>25460.410193660009</v>
      </c>
      <c r="I14" s="152">
        <f>G14+H14</f>
        <v>55553.512943660011</v>
      </c>
      <c r="J14" s="119">
        <v>16892</v>
      </c>
      <c r="K14" s="117">
        <v>11520.454</v>
      </c>
      <c r="L14" s="117">
        <v>0</v>
      </c>
      <c r="M14" s="162">
        <f>K14+L14</f>
        <v>11520.454</v>
      </c>
      <c r="N14" s="88">
        <v>78</v>
      </c>
      <c r="O14" s="88">
        <v>76</v>
      </c>
      <c r="P14" s="88">
        <v>64</v>
      </c>
    </row>
    <row r="15" spans="1:27" x14ac:dyDescent="0.3">
      <c r="B15" s="28" t="s">
        <v>42</v>
      </c>
      <c r="C15" s="17">
        <f>33042-3711</f>
        <v>29331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808</v>
      </c>
      <c r="E16" s="161" t="s">
        <v>79</v>
      </c>
      <c r="F16" s="119">
        <v>0</v>
      </c>
      <c r="G16" s="117">
        <v>0</v>
      </c>
      <c r="H16" s="117">
        <v>5378.4302631</v>
      </c>
      <c r="I16" s="152">
        <f>G16+H16</f>
        <v>5378.4302631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10148</v>
      </c>
      <c r="E18" s="84"/>
      <c r="F18" s="148">
        <f t="shared" ref="F18:M18" si="0">SUM(F6:F17)</f>
        <v>82527</v>
      </c>
      <c r="G18" s="149">
        <f t="shared" si="0"/>
        <v>69258.138916666678</v>
      </c>
      <c r="H18" s="149">
        <f t="shared" si="0"/>
        <v>64412.943060970007</v>
      </c>
      <c r="I18" s="150">
        <f t="shared" si="0"/>
        <v>133671.08197763667</v>
      </c>
      <c r="J18" s="149">
        <f t="shared" si="0"/>
        <v>80240</v>
      </c>
      <c r="K18" s="149">
        <f t="shared" si="0"/>
        <v>57735.941333333329</v>
      </c>
      <c r="L18" s="149">
        <f t="shared" si="0"/>
        <v>0</v>
      </c>
      <c r="M18" s="157">
        <f t="shared" si="0"/>
        <v>57735.941333333329</v>
      </c>
      <c r="N18" s="149">
        <f>SUM(N16,N14,N12,N10,N8,N6)</f>
        <v>298</v>
      </c>
      <c r="O18" s="149">
        <f>SUM(O16,O14,O12,O10,O8,O6)</f>
        <v>293</v>
      </c>
      <c r="P18" s="158">
        <f>SUM(P16,P14,P12,P10,P8,P6)</f>
        <v>258</v>
      </c>
    </row>
    <row r="19" spans="2:28" ht="15" customHeight="1" thickBot="1" x14ac:dyDescent="0.35">
      <c r="B19" s="16" t="s">
        <v>51</v>
      </c>
      <c r="C19" s="17">
        <v>1692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35">
      <c r="B20" s="57" t="s">
        <v>52</v>
      </c>
      <c r="C20" s="58">
        <v>5173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0.11945392491467577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12180</v>
      </c>
      <c r="D25" s="76">
        <f>C13</f>
        <v>11965</v>
      </c>
      <c r="E25" s="77">
        <f t="shared" ref="E25:E32" si="1">D25-C25</f>
        <v>-215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37830</v>
      </c>
      <c r="D28" s="76">
        <f>C9+C14+C15+C16+C17</f>
        <v>33042</v>
      </c>
      <c r="E28" s="77">
        <f t="shared" si="1"/>
        <v>-4788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75</v>
      </c>
      <c r="E29" s="77">
        <f t="shared" si="1"/>
        <v>75</v>
      </c>
      <c r="F29" s="1" t="s">
        <v>75</v>
      </c>
      <c r="P29" s="4"/>
    </row>
    <row r="30" spans="2:28" x14ac:dyDescent="0.3">
      <c r="B30" s="74" t="s">
        <v>57</v>
      </c>
      <c r="C30" s="122">
        <v>2291</v>
      </c>
      <c r="D30" s="76">
        <f>C12</f>
        <v>2320</v>
      </c>
      <c r="E30" s="77">
        <f t="shared" si="1"/>
        <v>29</v>
      </c>
      <c r="J30" s="53"/>
      <c r="K30" s="53"/>
      <c r="P30" s="4"/>
    </row>
    <row r="31" spans="2:28" x14ac:dyDescent="0.3">
      <c r="B31" s="74" t="s">
        <v>59</v>
      </c>
      <c r="C31" s="122">
        <v>16690</v>
      </c>
      <c r="D31" s="76">
        <f>C18+C19+C20</f>
        <v>17013</v>
      </c>
      <c r="E31" s="77">
        <f t="shared" si="1"/>
        <v>323</v>
      </c>
      <c r="K31" s="53"/>
      <c r="P31" s="4"/>
    </row>
    <row r="32" spans="2:28" ht="15" customHeight="1" thickBot="1" x14ac:dyDescent="0.35">
      <c r="B32" s="78" t="s">
        <v>60</v>
      </c>
      <c r="C32" s="121">
        <v>1240</v>
      </c>
      <c r="D32" s="80">
        <f>C10+C11</f>
        <v>1240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theme="1"/>
    <pageSetUpPr fitToPage="1"/>
  </sheetPr>
  <dimension ref="A1:AB32"/>
  <sheetViews>
    <sheetView zoomScale="85" zoomScaleNormal="85" zoomScaleSheetLayoutView="70" workbookViewId="0">
      <selection activeCell="L24" sqref="L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44745</v>
      </c>
    </row>
    <row r="3" spans="1:27" ht="18.75" customHeight="1" thickBot="1" x14ac:dyDescent="0.35">
      <c r="B3" t="s">
        <v>1</v>
      </c>
      <c r="C3" s="3">
        <f>C2+1</f>
        <v>44746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10405</v>
      </c>
      <c r="G6" s="117">
        <v>3520</v>
      </c>
      <c r="H6" s="117">
        <v>827</v>
      </c>
      <c r="I6" s="152">
        <f>G6+H6</f>
        <v>4347</v>
      </c>
      <c r="J6" s="119">
        <v>11301</v>
      </c>
      <c r="K6" s="117">
        <v>3807</v>
      </c>
      <c r="L6" s="117">
        <v>878</v>
      </c>
      <c r="M6" s="162">
        <f>K6+L6</f>
        <v>4685</v>
      </c>
      <c r="N6" s="87">
        <v>53</v>
      </c>
      <c r="O6" s="87">
        <v>51</v>
      </c>
      <c r="P6" s="87">
        <v>40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0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5500</v>
      </c>
      <c r="G10" s="117">
        <v>2841</v>
      </c>
      <c r="H10" s="117">
        <v>814</v>
      </c>
      <c r="I10" s="152">
        <f>G10+H10</f>
        <v>3655</v>
      </c>
      <c r="J10" s="119">
        <v>5398</v>
      </c>
      <c r="K10" s="117">
        <v>2783</v>
      </c>
      <c r="L10" s="117">
        <v>786</v>
      </c>
      <c r="M10" s="162">
        <f>K10+L10</f>
        <v>3569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9</v>
      </c>
      <c r="O14" s="88">
        <v>9</v>
      </c>
      <c r="P14" s="88">
        <v>8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9884</v>
      </c>
      <c r="E18" s="84"/>
      <c r="F18" s="148">
        <f t="shared" ref="F18:M18" si="0">SUM(F6:F17)</f>
        <v>15905</v>
      </c>
      <c r="G18" s="149">
        <f t="shared" si="0"/>
        <v>6361</v>
      </c>
      <c r="H18" s="149">
        <f t="shared" si="0"/>
        <v>1641</v>
      </c>
      <c r="I18" s="150">
        <f t="shared" si="0"/>
        <v>8002</v>
      </c>
      <c r="J18" s="149">
        <f t="shared" si="0"/>
        <v>16699</v>
      </c>
      <c r="K18" s="149">
        <f t="shared" si="0"/>
        <v>6590</v>
      </c>
      <c r="L18" s="149">
        <f t="shared" si="0"/>
        <v>1664</v>
      </c>
      <c r="M18" s="157">
        <f t="shared" si="0"/>
        <v>8254</v>
      </c>
      <c r="N18" s="149">
        <f>SUM(N16,N14,N12,N10,N8,N6)</f>
        <v>63</v>
      </c>
      <c r="O18" s="149">
        <f>SUM(O16,O14,O12,O10,O8,O6)</f>
        <v>61</v>
      </c>
      <c r="P18" s="158">
        <f>SUM(P16,P14,P12,P10,P8,P6)</f>
        <v>48</v>
      </c>
    </row>
    <row r="19" spans="2:28" ht="15" customHeight="1" thickBot="1" x14ac:dyDescent="0.35">
      <c r="B19" s="16" t="s">
        <v>51</v>
      </c>
      <c r="C19" s="17">
        <v>1222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2:28" ht="15" customHeight="1" thickBot="1" x14ac:dyDescent="0.35">
      <c r="B20" s="57" t="s">
        <v>52</v>
      </c>
      <c r="C20" s="58">
        <v>5593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0.21311475409836064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15905</v>
      </c>
      <c r="D31" s="76">
        <f>C18+C19+C20</f>
        <v>16699</v>
      </c>
      <c r="E31" s="77">
        <f t="shared" si="1"/>
        <v>794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theme="1"/>
    <pageSetUpPr fitToPage="1"/>
  </sheetPr>
  <dimension ref="A1:AB32"/>
  <sheetViews>
    <sheetView zoomScale="85" zoomScaleNormal="85" zoomScaleSheetLayoutView="70" workbookViewId="0">
      <selection activeCell="L28" sqref="L2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44746</v>
      </c>
    </row>
    <row r="3" spans="1:27" ht="18.75" customHeight="1" thickBot="1" x14ac:dyDescent="0.35">
      <c r="B3" t="s">
        <v>1</v>
      </c>
      <c r="C3" s="3">
        <f>C2+1</f>
        <v>44747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72</v>
      </c>
      <c r="E6" s="161" t="s">
        <v>22</v>
      </c>
      <c r="F6" s="119">
        <v>21609</v>
      </c>
      <c r="G6" s="117">
        <v>11930.06283333333</v>
      </c>
      <c r="H6" s="117">
        <v>4263.6025032599982</v>
      </c>
      <c r="I6" s="152">
        <f>G6+H6</f>
        <v>16193.665336593327</v>
      </c>
      <c r="J6" s="119">
        <v>22770</v>
      </c>
      <c r="K6" s="117">
        <v>12247.96883333334</v>
      </c>
      <c r="L6" s="117">
        <v>0</v>
      </c>
      <c r="M6" s="162">
        <f>K6+L6</f>
        <v>12247.96883333334</v>
      </c>
      <c r="N6" s="87">
        <v>85</v>
      </c>
      <c r="O6" s="87">
        <v>86</v>
      </c>
      <c r="P6" s="87">
        <v>79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3340.0196446999998</v>
      </c>
      <c r="I8" s="152">
        <f>G8+H8</f>
        <v>3340.0196446999998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7</v>
      </c>
    </row>
    <row r="9" spans="1:27" x14ac:dyDescent="0.3">
      <c r="B9" s="16" t="s">
        <v>23</v>
      </c>
      <c r="C9" s="17">
        <v>1638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425</v>
      </c>
      <c r="E10" s="161" t="s">
        <v>31</v>
      </c>
      <c r="F10" s="119">
        <v>16766</v>
      </c>
      <c r="G10" s="117">
        <v>12236.460999999999</v>
      </c>
      <c r="H10" s="117">
        <v>863.75303399999996</v>
      </c>
      <c r="I10" s="152">
        <f>G10+H10</f>
        <v>13100.214033999999</v>
      </c>
      <c r="J10" s="119">
        <v>16806</v>
      </c>
      <c r="K10" s="117">
        <v>11857.8565</v>
      </c>
      <c r="L10" s="117">
        <v>0</v>
      </c>
      <c r="M10" s="162">
        <f>K10+L10</f>
        <v>11857.8565</v>
      </c>
      <c r="N10" s="88">
        <v>52</v>
      </c>
      <c r="O10" s="88">
        <v>52</v>
      </c>
      <c r="P10" s="88">
        <v>48</v>
      </c>
    </row>
    <row r="11" spans="1:27" x14ac:dyDescent="0.3">
      <c r="B11" s="28" t="s">
        <v>28</v>
      </c>
      <c r="C11" s="17">
        <v>230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1501</v>
      </c>
      <c r="E12" s="161" t="s">
        <v>35</v>
      </c>
      <c r="F12" s="119">
        <v>14985</v>
      </c>
      <c r="G12" s="117">
        <v>12295.028666666671</v>
      </c>
      <c r="H12" s="117">
        <v>18116.959469400001</v>
      </c>
      <c r="I12" s="152">
        <f>G12+H12</f>
        <v>30411.98813606667</v>
      </c>
      <c r="J12" s="119">
        <v>14225</v>
      </c>
      <c r="K12" s="117">
        <v>13460.89016666667</v>
      </c>
      <c r="L12" s="117">
        <v>0</v>
      </c>
      <c r="M12" s="162">
        <f>K12+L12</f>
        <v>13460.89016666667</v>
      </c>
      <c r="N12" s="88">
        <v>54</v>
      </c>
      <c r="O12" s="88">
        <v>54</v>
      </c>
      <c r="P12" s="88">
        <v>46</v>
      </c>
    </row>
    <row r="13" spans="1:27" x14ac:dyDescent="0.3">
      <c r="B13" s="16" t="s">
        <v>38</v>
      </c>
      <c r="C13" s="17">
        <v>7290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1:27" x14ac:dyDescent="0.3">
      <c r="B14" s="16" t="s">
        <v>40</v>
      </c>
      <c r="C14" s="17">
        <v>1826</v>
      </c>
      <c r="E14" s="161" t="s">
        <v>39</v>
      </c>
      <c r="F14" s="119">
        <v>21553</v>
      </c>
      <c r="G14" s="117">
        <v>19039.125</v>
      </c>
      <c r="H14" s="117">
        <v>27292.441643959999</v>
      </c>
      <c r="I14" s="152">
        <f>G14+H14</f>
        <v>46331.566643960003</v>
      </c>
      <c r="J14" s="119">
        <v>19856</v>
      </c>
      <c r="K14" s="117">
        <v>19515.232250000001</v>
      </c>
      <c r="L14" s="117">
        <v>0</v>
      </c>
      <c r="M14" s="162">
        <f>K14+L14</f>
        <v>19515.232250000001</v>
      </c>
      <c r="N14" s="88">
        <v>78</v>
      </c>
      <c r="O14" s="88">
        <v>79</v>
      </c>
      <c r="P14" s="88">
        <v>68</v>
      </c>
    </row>
    <row r="15" spans="1:27" x14ac:dyDescent="0.3">
      <c r="B15" s="28" t="s">
        <v>42</v>
      </c>
      <c r="C15" s="17">
        <v>30606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47</v>
      </c>
      <c r="C16" s="17">
        <v>1711</v>
      </c>
      <c r="E16" s="161" t="s">
        <v>79</v>
      </c>
      <c r="F16" s="119">
        <v>0</v>
      </c>
      <c r="G16" s="117">
        <v>0</v>
      </c>
      <c r="H16" s="117">
        <v>8092.6966990399997</v>
      </c>
      <c r="I16" s="152">
        <f>G16+H16</f>
        <v>8092.6966990399997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11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397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10604</v>
      </c>
      <c r="E18" s="84"/>
      <c r="F18" s="148">
        <f t="shared" ref="F18:M18" si="0">SUM(F6:F17)</f>
        <v>74913</v>
      </c>
      <c r="G18" s="149">
        <f t="shared" si="0"/>
        <v>55500.677499999998</v>
      </c>
      <c r="H18" s="149">
        <f t="shared" si="0"/>
        <v>61969.472994359996</v>
      </c>
      <c r="I18" s="150">
        <f t="shared" si="0"/>
        <v>117470.15049436</v>
      </c>
      <c r="J18" s="149">
        <f t="shared" si="0"/>
        <v>73657</v>
      </c>
      <c r="K18" s="149">
        <f t="shared" si="0"/>
        <v>57081.947750000014</v>
      </c>
      <c r="L18" s="149">
        <f t="shared" si="0"/>
        <v>0</v>
      </c>
      <c r="M18" s="157">
        <f t="shared" si="0"/>
        <v>57081.947750000014</v>
      </c>
      <c r="N18" s="149">
        <f>SUM(N16,N14,N12,N10,N8,N6)</f>
        <v>288</v>
      </c>
      <c r="O18" s="149">
        <f>SUM(O16,O14,O12,O10,O8,O6)</f>
        <v>289</v>
      </c>
      <c r="P18" s="158">
        <f>SUM(P16,P14,P12,P10,P8,P6)</f>
        <v>257</v>
      </c>
    </row>
    <row r="19" spans="2:28" ht="15" customHeight="1" thickBot="1" x14ac:dyDescent="0.35">
      <c r="B19" s="16" t="s">
        <v>51</v>
      </c>
      <c r="C19" s="17">
        <v>1610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35">
      <c r="B20" s="57" t="s">
        <v>52</v>
      </c>
      <c r="C20" s="58">
        <v>5292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0.11072664359861592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7500</v>
      </c>
      <c r="D25" s="76">
        <f>C13</f>
        <v>7290</v>
      </c>
      <c r="E25" s="77">
        <f t="shared" ref="E25:E32" si="1">D25-C25</f>
        <v>-210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38682</v>
      </c>
      <c r="D28" s="76">
        <f>C9+C14+C15+C16+C17</f>
        <v>36178</v>
      </c>
      <c r="E28" s="77">
        <f t="shared" si="1"/>
        <v>-2504</v>
      </c>
      <c r="F28" s="1" t="s">
        <v>75</v>
      </c>
      <c r="P28" s="4"/>
    </row>
    <row r="29" spans="2:28" x14ac:dyDescent="0.3">
      <c r="B29" s="74" t="s">
        <v>21</v>
      </c>
      <c r="C29" s="122">
        <v>72</v>
      </c>
      <c r="D29" s="76">
        <f>C6</f>
        <v>72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1501</v>
      </c>
      <c r="D30" s="76">
        <f>C12</f>
        <v>1501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16220</v>
      </c>
      <c r="D31" s="76">
        <f>C18+C19+C20</f>
        <v>17506</v>
      </c>
      <c r="E31" s="77">
        <f t="shared" si="1"/>
        <v>1286</v>
      </c>
      <c r="K31" s="53"/>
      <c r="P31" s="4"/>
    </row>
    <row r="32" spans="2:28" ht="15" customHeight="1" thickBot="1" x14ac:dyDescent="0.35">
      <c r="B32" s="78" t="s">
        <v>60</v>
      </c>
      <c r="C32" s="121">
        <v>655</v>
      </c>
      <c r="D32" s="80">
        <f>C10+C11</f>
        <v>655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44747</v>
      </c>
    </row>
    <row r="3" spans="1:27" ht="18.75" customHeight="1" thickBot="1" x14ac:dyDescent="0.35">
      <c r="B3" t="s">
        <v>1</v>
      </c>
      <c r="C3" s="3">
        <f>C2+1</f>
        <v>44748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148</v>
      </c>
      <c r="E6" s="161" t="s">
        <v>22</v>
      </c>
      <c r="F6" s="119">
        <v>25903</v>
      </c>
      <c r="G6" s="117">
        <v>11486.91693333333</v>
      </c>
      <c r="H6" s="117">
        <v>5610.0743494000017</v>
      </c>
      <c r="I6" s="152">
        <f>G6+H6</f>
        <v>17096.991282733332</v>
      </c>
      <c r="J6" s="119">
        <v>25143</v>
      </c>
      <c r="K6" s="117">
        <v>12491.89693333333</v>
      </c>
      <c r="L6" s="117">
        <v>0</v>
      </c>
      <c r="M6" s="162">
        <f>K6+L6</f>
        <v>12491.89693333333</v>
      </c>
      <c r="N6" s="87">
        <v>90</v>
      </c>
      <c r="O6" s="87">
        <v>86</v>
      </c>
      <c r="P6" s="87">
        <v>83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3380.97136348</v>
      </c>
      <c r="I8" s="152">
        <f>G8+H8</f>
        <v>3380.97136348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7</v>
      </c>
    </row>
    <row r="9" spans="1:27" x14ac:dyDescent="0.3">
      <c r="B9" s="16" t="s">
        <v>23</v>
      </c>
      <c r="C9" s="17">
        <v>2462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740</v>
      </c>
      <c r="E10" s="161" t="s">
        <v>31</v>
      </c>
      <c r="F10" s="119">
        <v>18159</v>
      </c>
      <c r="G10" s="117">
        <v>11877.31675</v>
      </c>
      <c r="H10" s="117">
        <v>1297.7479085</v>
      </c>
      <c r="I10" s="152">
        <f>G10+H10</f>
        <v>13175.064658499999</v>
      </c>
      <c r="J10" s="119">
        <v>18108</v>
      </c>
      <c r="K10" s="117">
        <v>12257.52975</v>
      </c>
      <c r="L10" s="117">
        <v>0</v>
      </c>
      <c r="M10" s="162">
        <f>K10+L10</f>
        <v>12257.52975</v>
      </c>
      <c r="N10" s="88">
        <v>53</v>
      </c>
      <c r="O10" s="88">
        <v>54</v>
      </c>
      <c r="P10" s="88">
        <v>45</v>
      </c>
    </row>
    <row r="11" spans="1:27" x14ac:dyDescent="0.3">
      <c r="B11" s="28" t="s">
        <v>28</v>
      </c>
      <c r="C11" s="17">
        <v>475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9</v>
      </c>
    </row>
    <row r="12" spans="1:27" x14ac:dyDescent="0.3">
      <c r="A12" s="166"/>
      <c r="B12" s="16" t="s">
        <v>30</v>
      </c>
      <c r="C12" s="17">
        <v>2442</v>
      </c>
      <c r="E12" s="161" t="s">
        <v>35</v>
      </c>
      <c r="F12" s="119">
        <v>15055</v>
      </c>
      <c r="G12" s="117">
        <v>11870.50591666666</v>
      </c>
      <c r="H12" s="117">
        <v>18477.567587120011</v>
      </c>
      <c r="I12" s="152">
        <f>G12+H12</f>
        <v>30348.073503786669</v>
      </c>
      <c r="J12" s="119">
        <v>15111</v>
      </c>
      <c r="K12" s="117">
        <v>13660.33141666667</v>
      </c>
      <c r="L12" s="117">
        <v>0</v>
      </c>
      <c r="M12" s="162">
        <f>K12+L12</f>
        <v>13660.33141666667</v>
      </c>
      <c r="N12" s="88">
        <v>57</v>
      </c>
      <c r="O12" s="88">
        <v>57</v>
      </c>
      <c r="P12" s="88">
        <v>51</v>
      </c>
    </row>
    <row r="13" spans="1:27" x14ac:dyDescent="0.3">
      <c r="B13" s="16" t="s">
        <v>38</v>
      </c>
      <c r="C13" s="17">
        <v>9829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3">
      <c r="B14" s="16" t="s">
        <v>40</v>
      </c>
      <c r="C14" s="17">
        <v>1113</v>
      </c>
      <c r="E14" s="161" t="s">
        <v>39</v>
      </c>
      <c r="F14" s="119">
        <v>26172</v>
      </c>
      <c r="G14" s="117">
        <v>20177.165000000001</v>
      </c>
      <c r="H14" s="117">
        <v>32237.454145839991</v>
      </c>
      <c r="I14" s="152">
        <f>G14+H14</f>
        <v>52414.619145839992</v>
      </c>
      <c r="J14" s="119">
        <v>26756</v>
      </c>
      <c r="K14" s="117">
        <v>22834.51325</v>
      </c>
      <c r="L14" s="117">
        <v>0</v>
      </c>
      <c r="M14" s="162">
        <f>K14+L14</f>
        <v>22834.51325</v>
      </c>
      <c r="N14" s="88">
        <v>79</v>
      </c>
      <c r="O14" s="88">
        <v>81</v>
      </c>
      <c r="P14" s="88">
        <v>70</v>
      </c>
    </row>
    <row r="15" spans="1:27" x14ac:dyDescent="0.3">
      <c r="B15" s="28" t="s">
        <v>42</v>
      </c>
      <c r="C15" s="17">
        <f>36599-4580</f>
        <v>32019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47</v>
      </c>
      <c r="C16" s="17">
        <v>858</v>
      </c>
      <c r="E16" s="161" t="s">
        <v>79</v>
      </c>
      <c r="F16" s="119">
        <v>0</v>
      </c>
      <c r="G16" s="117">
        <v>0</v>
      </c>
      <c r="H16" s="117">
        <v>4669.8328526400001</v>
      </c>
      <c r="I16" s="152">
        <f>G16+H16</f>
        <v>4669.8328526400001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13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9783</v>
      </c>
      <c r="E18" s="84"/>
      <c r="F18" s="148">
        <f t="shared" ref="F18:M18" si="0">SUM(F6:F17)</f>
        <v>85289</v>
      </c>
      <c r="G18" s="149">
        <f t="shared" si="0"/>
        <v>55411.904599999994</v>
      </c>
      <c r="H18" s="149">
        <f t="shared" si="0"/>
        <v>65673.648206979997</v>
      </c>
      <c r="I18" s="150">
        <f t="shared" si="0"/>
        <v>121085.55280697999</v>
      </c>
      <c r="J18" s="149">
        <f t="shared" si="0"/>
        <v>85118</v>
      </c>
      <c r="K18" s="149">
        <f t="shared" si="0"/>
        <v>61244.271349999995</v>
      </c>
      <c r="L18" s="149">
        <f t="shared" si="0"/>
        <v>0</v>
      </c>
      <c r="M18" s="157">
        <f t="shared" si="0"/>
        <v>61244.271349999995</v>
      </c>
      <c r="N18" s="149">
        <f>SUM(N16,N14,N12,N10,N8,N6)</f>
        <v>299</v>
      </c>
      <c r="O18" s="149">
        <f>SUM(O16,O14,O12,O10,O8,O6)</f>
        <v>298</v>
      </c>
      <c r="P18" s="158">
        <f>SUM(P16,P14,P12,P10,P8,P6)</f>
        <v>267</v>
      </c>
    </row>
    <row r="19" spans="2:28" ht="15" customHeight="1" thickBot="1" x14ac:dyDescent="0.35">
      <c r="B19" s="16" t="s">
        <v>51</v>
      </c>
      <c r="C19" s="17">
        <v>1185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ht="15" customHeight="1" thickBot="1" x14ac:dyDescent="0.35">
      <c r="B20" s="57" t="s">
        <v>52</v>
      </c>
      <c r="C20" s="58">
        <v>5455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0.1040268456375839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11106</v>
      </c>
      <c r="D25" s="76">
        <f>C13</f>
        <v>9829</v>
      </c>
      <c r="E25" s="77">
        <f t="shared" ref="E25:E32" si="1">D25-C25</f>
        <v>-1277</v>
      </c>
    </row>
    <row r="26" spans="2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36165</v>
      </c>
      <c r="D28" s="76">
        <f>C9+C14+C15+C16+C17</f>
        <v>36599</v>
      </c>
      <c r="E28" s="77">
        <f t="shared" si="1"/>
        <v>434</v>
      </c>
      <c r="F28" s="1" t="s">
        <v>75</v>
      </c>
      <c r="P28" s="4"/>
    </row>
    <row r="29" spans="2:28" x14ac:dyDescent="0.3">
      <c r="B29" s="74" t="s">
        <v>21</v>
      </c>
      <c r="C29" s="122">
        <v>148</v>
      </c>
      <c r="D29" s="76">
        <f>C6</f>
        <v>148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2442</v>
      </c>
      <c r="D30" s="76">
        <f>C12</f>
        <v>2442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16795</v>
      </c>
      <c r="D31" s="76">
        <f>C18+C19+C20</f>
        <v>16423</v>
      </c>
      <c r="E31" s="77">
        <f t="shared" si="1"/>
        <v>-372</v>
      </c>
      <c r="K31" s="53"/>
      <c r="P31" s="4"/>
    </row>
    <row r="32" spans="2:28" ht="15" customHeight="1" thickBot="1" x14ac:dyDescent="0.35">
      <c r="B32" s="78" t="s">
        <v>60</v>
      </c>
      <c r="C32" s="121">
        <v>1215</v>
      </c>
      <c r="D32" s="80">
        <f>C10+C11</f>
        <v>1215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theme="1"/>
    <pageSetUpPr fitToPage="1"/>
  </sheetPr>
  <dimension ref="A1:AB32"/>
  <sheetViews>
    <sheetView zoomScale="85" zoomScaleNormal="85" zoomScaleSheetLayoutView="70" workbookViewId="0">
      <selection activeCell="R19" sqref="R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44748</v>
      </c>
    </row>
    <row r="3" spans="1:27" ht="18.75" customHeight="1" thickBot="1" x14ac:dyDescent="0.35">
      <c r="B3" t="s">
        <v>1</v>
      </c>
      <c r="C3" s="3">
        <f>C2+1</f>
        <v>44749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 t="s">
        <v>131</v>
      </c>
      <c r="B6" s="16" t="s">
        <v>21</v>
      </c>
      <c r="C6" s="17">
        <v>46</v>
      </c>
      <c r="E6" s="161" t="s">
        <v>22</v>
      </c>
      <c r="F6" s="119">
        <v>24796</v>
      </c>
      <c r="G6" s="117">
        <v>12875.972</v>
      </c>
      <c r="H6" s="117">
        <v>5061.0237259600017</v>
      </c>
      <c r="I6" s="152">
        <f>G6+H6</f>
        <v>17936.995725960001</v>
      </c>
      <c r="J6" s="119">
        <v>24810</v>
      </c>
      <c r="K6" s="117">
        <v>14175.221</v>
      </c>
      <c r="L6" s="117">
        <v>0</v>
      </c>
      <c r="M6" s="162">
        <f>K6+L6</f>
        <v>14175.221</v>
      </c>
      <c r="N6" s="87">
        <v>79</v>
      </c>
      <c r="O6" s="87">
        <v>77</v>
      </c>
      <c r="P6" s="87">
        <v>73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3885.7023506400001</v>
      </c>
      <c r="I8" s="152">
        <f>G8+H8</f>
        <v>3885.7023506400001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5</v>
      </c>
      <c r="O8" s="87">
        <v>4</v>
      </c>
      <c r="P8" s="87">
        <v>4</v>
      </c>
    </row>
    <row r="9" spans="1:27" x14ac:dyDescent="0.3">
      <c r="B9" s="16" t="s">
        <v>23</v>
      </c>
      <c r="C9" s="17">
        <v>1579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16455</v>
      </c>
      <c r="G10" s="117">
        <v>12204.126</v>
      </c>
      <c r="H10" s="117">
        <v>863.27410099999986</v>
      </c>
      <c r="I10" s="152">
        <f>G10+H10</f>
        <v>13067.400100999999</v>
      </c>
      <c r="J10" s="119">
        <v>15849</v>
      </c>
      <c r="K10" s="117">
        <v>12055.7575</v>
      </c>
      <c r="L10" s="117">
        <v>0</v>
      </c>
      <c r="M10" s="162">
        <f>K10+L10</f>
        <v>12055.7575</v>
      </c>
      <c r="N10" s="88">
        <v>54</v>
      </c>
      <c r="O10" s="88">
        <v>54</v>
      </c>
      <c r="P10" s="88">
        <v>48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2235</v>
      </c>
      <c r="E12" s="161" t="s">
        <v>35</v>
      </c>
      <c r="F12" s="119">
        <v>14420</v>
      </c>
      <c r="G12" s="117">
        <v>12373.22725</v>
      </c>
      <c r="H12" s="117">
        <v>18227.588592070009</v>
      </c>
      <c r="I12" s="152">
        <f>G12+H12</f>
        <v>30600.815842070009</v>
      </c>
      <c r="J12" s="119">
        <v>14145</v>
      </c>
      <c r="K12" s="117">
        <v>14455.3925</v>
      </c>
      <c r="L12" s="117">
        <v>0</v>
      </c>
      <c r="M12" s="162">
        <f>K12+L12</f>
        <v>14455.3925</v>
      </c>
      <c r="N12" s="88">
        <v>54</v>
      </c>
      <c r="O12" s="88">
        <v>52</v>
      </c>
      <c r="P12" s="88">
        <v>49</v>
      </c>
    </row>
    <row r="13" spans="1:27" x14ac:dyDescent="0.3">
      <c r="B13" s="16" t="s">
        <v>38</v>
      </c>
      <c r="C13" s="17">
        <v>9592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3">
      <c r="B14" s="16" t="s">
        <v>40</v>
      </c>
      <c r="C14" s="17">
        <v>1682</v>
      </c>
      <c r="E14" s="161" t="s">
        <v>39</v>
      </c>
      <c r="F14" s="119">
        <v>20305</v>
      </c>
      <c r="G14" s="117">
        <v>17822.328750000001</v>
      </c>
      <c r="H14" s="117">
        <v>26503.03146860002</v>
      </c>
      <c r="I14" s="152">
        <f>G14+H14</f>
        <v>44325.360218600021</v>
      </c>
      <c r="J14" s="119">
        <v>20640</v>
      </c>
      <c r="K14" s="117">
        <v>21047.748250000001</v>
      </c>
      <c r="L14" s="117">
        <v>0</v>
      </c>
      <c r="M14" s="162">
        <f>K14+L14</f>
        <v>21047.748250000001</v>
      </c>
      <c r="N14" s="88">
        <v>78</v>
      </c>
      <c r="O14" s="88">
        <v>80</v>
      </c>
      <c r="P14" s="88">
        <v>67</v>
      </c>
    </row>
    <row r="15" spans="1:27" x14ac:dyDescent="0.3">
      <c r="B15" s="28" t="s">
        <v>42</v>
      </c>
      <c r="C15" s="17">
        <f>37998-5229</f>
        <v>32769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1571</v>
      </c>
      <c r="E16" s="161" t="s">
        <v>79</v>
      </c>
      <c r="F16" s="119">
        <v>0</v>
      </c>
      <c r="G16" s="117">
        <v>0</v>
      </c>
      <c r="H16" s="117">
        <v>8826.6022038400006</v>
      </c>
      <c r="I16" s="152">
        <f>G16+H16</f>
        <v>8826.6022038400006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7</v>
      </c>
      <c r="O16" s="88">
        <v>10</v>
      </c>
      <c r="P16" s="88">
        <v>7</v>
      </c>
    </row>
    <row r="17" spans="2:28" s="4" customFormat="1" ht="15" customHeight="1" thickBot="1" x14ac:dyDescent="0.35">
      <c r="B17" s="43" t="s">
        <v>48</v>
      </c>
      <c r="C17" s="50">
        <v>397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10264</v>
      </c>
      <c r="E18" s="84"/>
      <c r="F18" s="148">
        <f t="shared" ref="F18:M18" si="0">SUM(F6:F17)</f>
        <v>75976</v>
      </c>
      <c r="G18" s="149">
        <f t="shared" si="0"/>
        <v>55275.653999999995</v>
      </c>
      <c r="H18" s="149">
        <f t="shared" si="0"/>
        <v>63367.222442110025</v>
      </c>
      <c r="I18" s="150">
        <f t="shared" si="0"/>
        <v>118642.87644211002</v>
      </c>
      <c r="J18" s="149">
        <f t="shared" si="0"/>
        <v>75444</v>
      </c>
      <c r="K18" s="149">
        <f t="shared" si="0"/>
        <v>61734.119250000003</v>
      </c>
      <c r="L18" s="149">
        <f t="shared" si="0"/>
        <v>0</v>
      </c>
      <c r="M18" s="157">
        <f t="shared" si="0"/>
        <v>61734.119250000003</v>
      </c>
      <c r="N18" s="149">
        <f>SUM(N16,N14,N12,N10,N8,N6)</f>
        <v>277</v>
      </c>
      <c r="O18" s="149">
        <f>SUM(O16,O14,O12,O10,O8,O6)</f>
        <v>277</v>
      </c>
      <c r="P18" s="158">
        <f>SUM(P16,P14,P12,P10,P8,P6)</f>
        <v>248</v>
      </c>
    </row>
    <row r="19" spans="2:28" ht="15" customHeight="1" thickBot="1" x14ac:dyDescent="0.35">
      <c r="B19" s="16" t="s">
        <v>51</v>
      </c>
      <c r="C19" s="17">
        <v>1716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29</v>
      </c>
    </row>
    <row r="20" spans="2:28" ht="15" customHeight="1" thickBot="1" x14ac:dyDescent="0.35">
      <c r="B20" s="57" t="s">
        <v>52</v>
      </c>
      <c r="C20" s="58">
        <v>5600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0.10469314079422383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10941</v>
      </c>
      <c r="D25" s="76">
        <f>C13</f>
        <v>9592</v>
      </c>
      <c r="E25" s="77">
        <f t="shared" ref="E25:E32" si="1">D25-C25</f>
        <v>-1349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37724</v>
      </c>
      <c r="D28" s="76">
        <f>C9+C14+C15+C16+C17</f>
        <v>37998</v>
      </c>
      <c r="E28" s="77">
        <f t="shared" si="1"/>
        <v>274</v>
      </c>
      <c r="F28" s="1" t="s">
        <v>75</v>
      </c>
      <c r="P28" s="4"/>
    </row>
    <row r="29" spans="2:28" x14ac:dyDescent="0.3">
      <c r="B29" s="74" t="s">
        <v>21</v>
      </c>
      <c r="C29" s="122">
        <v>46</v>
      </c>
      <c r="D29" s="76">
        <f>C6</f>
        <v>46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2235</v>
      </c>
      <c r="D30" s="76">
        <f>C12</f>
        <v>2235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17015</v>
      </c>
      <c r="D31" s="76">
        <f>C18+C19+C20</f>
        <v>17580</v>
      </c>
      <c r="E31" s="77">
        <f t="shared" si="1"/>
        <v>565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44749</v>
      </c>
    </row>
    <row r="3" spans="1:27" ht="18.75" customHeight="1" thickBot="1" x14ac:dyDescent="0.35">
      <c r="B3" t="s">
        <v>1</v>
      </c>
      <c r="C3" s="3">
        <f>C2+1</f>
        <v>44750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95</v>
      </c>
      <c r="E6" s="161" t="s">
        <v>22</v>
      </c>
      <c r="F6" s="119">
        <v>27017</v>
      </c>
      <c r="G6" s="117">
        <v>12683.233183333339</v>
      </c>
      <c r="H6" s="117">
        <v>6037.9046688600019</v>
      </c>
      <c r="I6" s="152">
        <f>G6+H6</f>
        <v>18721.13785219334</v>
      </c>
      <c r="J6" s="119">
        <v>27002</v>
      </c>
      <c r="K6" s="117">
        <v>15631.503683333331</v>
      </c>
      <c r="L6" s="117">
        <v>0</v>
      </c>
      <c r="M6" s="162">
        <f>K6+L6</f>
        <v>15631.503683333331</v>
      </c>
      <c r="N6" s="87">
        <v>81</v>
      </c>
      <c r="O6" s="87">
        <v>79</v>
      </c>
      <c r="P6" s="87">
        <v>73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3488.023334</v>
      </c>
      <c r="I8" s="152">
        <f>G8+H8</f>
        <v>3488.023334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6</v>
      </c>
    </row>
    <row r="9" spans="1:27" x14ac:dyDescent="0.3">
      <c r="B9" s="16" t="s">
        <v>23</v>
      </c>
      <c r="C9" s="17">
        <v>2241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495</v>
      </c>
      <c r="E10" s="161" t="s">
        <v>31</v>
      </c>
      <c r="F10" s="119">
        <v>17221</v>
      </c>
      <c r="G10" s="117">
        <v>11695.831249999999</v>
      </c>
      <c r="H10" s="117">
        <v>1238.0097006999999</v>
      </c>
      <c r="I10" s="152">
        <f>G10+H10</f>
        <v>12933.8409507</v>
      </c>
      <c r="J10" s="119">
        <v>16813</v>
      </c>
      <c r="K10" s="117">
        <v>11726.20875</v>
      </c>
      <c r="L10" s="117">
        <v>0</v>
      </c>
      <c r="M10" s="162">
        <f>K10+L10</f>
        <v>11726.20875</v>
      </c>
      <c r="N10" s="88">
        <v>56</v>
      </c>
      <c r="O10" s="88">
        <v>56</v>
      </c>
      <c r="P10" s="88">
        <v>50</v>
      </c>
    </row>
    <row r="11" spans="1:27" x14ac:dyDescent="0.3">
      <c r="B11" s="28" t="s">
        <v>28</v>
      </c>
      <c r="C11" s="17">
        <v>465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3745</v>
      </c>
      <c r="E12" s="161" t="s">
        <v>35</v>
      </c>
      <c r="F12" s="119">
        <v>16953</v>
      </c>
      <c r="G12" s="117">
        <v>11798.02925</v>
      </c>
      <c r="H12" s="117">
        <v>19519.037142019999</v>
      </c>
      <c r="I12" s="152">
        <f>G12+H12</f>
        <v>31317.066392019999</v>
      </c>
      <c r="J12" s="119">
        <v>16726</v>
      </c>
      <c r="K12" s="117">
        <v>14773.455250000001</v>
      </c>
      <c r="L12" s="117">
        <v>0</v>
      </c>
      <c r="M12" s="162">
        <f>K12+L12</f>
        <v>14773.455250000001</v>
      </c>
      <c r="N12" s="88">
        <v>57</v>
      </c>
      <c r="O12" s="88">
        <v>57</v>
      </c>
      <c r="P12" s="88">
        <v>52</v>
      </c>
    </row>
    <row r="13" spans="1:27" x14ac:dyDescent="0.3">
      <c r="B13" s="16" t="s">
        <v>38</v>
      </c>
      <c r="C13" s="17">
        <v>10271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1069</v>
      </c>
      <c r="E14" s="161" t="s">
        <v>39</v>
      </c>
      <c r="F14" s="119">
        <v>30337</v>
      </c>
      <c r="G14" s="117">
        <v>21384.147499999999</v>
      </c>
      <c r="H14" s="117">
        <v>38034.128219539998</v>
      </c>
      <c r="I14" s="152">
        <f>G14+H14</f>
        <v>59418.275719539997</v>
      </c>
      <c r="J14" s="119">
        <v>30337</v>
      </c>
      <c r="K14" s="117">
        <v>25598.19425</v>
      </c>
      <c r="L14" s="117">
        <v>0</v>
      </c>
      <c r="M14" s="162">
        <f>K14+L14</f>
        <v>25598.19425</v>
      </c>
      <c r="N14" s="88">
        <v>80</v>
      </c>
      <c r="O14" s="88">
        <v>82</v>
      </c>
      <c r="P14" s="88">
        <v>72</v>
      </c>
    </row>
    <row r="15" spans="1:27" x14ac:dyDescent="0.3">
      <c r="B15" s="28" t="s">
        <v>42</v>
      </c>
      <c r="C15" s="17">
        <f>42216-4295</f>
        <v>37921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3">
      <c r="B16" s="43" t="s">
        <v>47</v>
      </c>
      <c r="C16" s="17">
        <v>841</v>
      </c>
      <c r="E16" s="161" t="s">
        <v>79</v>
      </c>
      <c r="F16" s="119">
        <v>0</v>
      </c>
      <c r="G16" s="117">
        <v>0</v>
      </c>
      <c r="H16" s="117">
        <v>4810.5391212200002</v>
      </c>
      <c r="I16" s="152">
        <f>G16+H16</f>
        <v>4810.5391212200002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8663</v>
      </c>
      <c r="E18" s="84"/>
      <c r="F18" s="148">
        <f t="shared" ref="F18:M18" si="0">SUM(F6:F17)</f>
        <v>91528</v>
      </c>
      <c r="G18" s="149">
        <f t="shared" si="0"/>
        <v>57561.241183333339</v>
      </c>
      <c r="H18" s="149">
        <f t="shared" si="0"/>
        <v>73127.642186340003</v>
      </c>
      <c r="I18" s="150">
        <f t="shared" si="0"/>
        <v>130688.88336967333</v>
      </c>
      <c r="J18" s="149">
        <f t="shared" si="0"/>
        <v>90878</v>
      </c>
      <c r="K18" s="149">
        <f t="shared" si="0"/>
        <v>67729.361933333334</v>
      </c>
      <c r="L18" s="149">
        <f t="shared" si="0"/>
        <v>0</v>
      </c>
      <c r="M18" s="157">
        <f t="shared" si="0"/>
        <v>67729.361933333334</v>
      </c>
      <c r="N18" s="149">
        <f>SUM(N16,N14,N12,N10,N8,N6)</f>
        <v>294</v>
      </c>
      <c r="O18" s="149">
        <f>SUM(O16,O14,O12,O10,O8,O6)</f>
        <v>293</v>
      </c>
      <c r="P18" s="158">
        <f>SUM(P16,P14,P12,P10,P8,P6)</f>
        <v>264</v>
      </c>
    </row>
    <row r="19" spans="2:28" ht="15" customHeight="1" thickBot="1" x14ac:dyDescent="0.35">
      <c r="B19" s="16" t="s">
        <v>51</v>
      </c>
      <c r="C19" s="17">
        <v>2234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29</v>
      </c>
    </row>
    <row r="20" spans="2:28" ht="15" customHeight="1" thickBot="1" x14ac:dyDescent="0.35">
      <c r="B20" s="57" t="s">
        <v>52</v>
      </c>
      <c r="C20" s="58">
        <v>4898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9.8976109215017066E-2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10973</v>
      </c>
      <c r="D25" s="76">
        <f>C13</f>
        <v>10271</v>
      </c>
      <c r="E25" s="77">
        <f t="shared" ref="E25:E32" si="1">D25-C25</f>
        <v>-702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42216</v>
      </c>
      <c r="D28" s="76">
        <f>C9+C14+C15+C16+C17</f>
        <v>42216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95</v>
      </c>
      <c r="D29" s="76">
        <f>C6</f>
        <v>95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3745</v>
      </c>
      <c r="D30" s="76">
        <f>C12</f>
        <v>3745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15670</v>
      </c>
      <c r="D31" s="76">
        <f>C18+C19+C20</f>
        <v>15795</v>
      </c>
      <c r="E31" s="77">
        <f t="shared" si="1"/>
        <v>125</v>
      </c>
      <c r="K31" s="53"/>
      <c r="P31" s="4"/>
    </row>
    <row r="32" spans="2:28" ht="15" customHeight="1" thickBot="1" x14ac:dyDescent="0.35">
      <c r="B32" s="78" t="s">
        <v>60</v>
      </c>
      <c r="C32" s="121">
        <v>960</v>
      </c>
      <c r="D32" s="80">
        <f>C10+C11</f>
        <v>960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theme="1"/>
    <pageSetUpPr fitToPage="1"/>
  </sheetPr>
  <dimension ref="A1:AB32"/>
  <sheetViews>
    <sheetView zoomScale="85" zoomScaleNormal="85" zoomScaleSheetLayoutView="70" workbookViewId="0">
      <selection activeCell="I33" sqref="I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44750</v>
      </c>
    </row>
    <row r="3" spans="1:27" ht="18.75" customHeight="1" thickBot="1" x14ac:dyDescent="0.35">
      <c r="B3" t="s">
        <v>1</v>
      </c>
      <c r="C3" s="3">
        <f>C2+1</f>
        <v>44751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19987</v>
      </c>
      <c r="G6" s="117">
        <v>11898.333000000001</v>
      </c>
      <c r="H6" s="117">
        <v>4005.9799913799998</v>
      </c>
      <c r="I6" s="152">
        <f>G6+H6</f>
        <v>15904.31299138</v>
      </c>
      <c r="J6" s="119">
        <v>19742</v>
      </c>
      <c r="K6" s="117">
        <v>10672.0105</v>
      </c>
      <c r="L6" s="117">
        <v>0</v>
      </c>
      <c r="M6" s="162">
        <f>K6+L6</f>
        <v>10672.0105</v>
      </c>
      <c r="N6" s="87">
        <v>85</v>
      </c>
      <c r="O6" s="87">
        <v>82</v>
      </c>
      <c r="P6" s="87">
        <v>77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3309.8075794400002</v>
      </c>
      <c r="I8" s="152">
        <f>G8+H8</f>
        <v>3309.8075794400002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7</v>
      </c>
    </row>
    <row r="9" spans="1:27" x14ac:dyDescent="0.3">
      <c r="B9" s="16" t="s">
        <v>23</v>
      </c>
      <c r="C9" s="17">
        <v>2067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15958</v>
      </c>
      <c r="G10" s="117">
        <v>12474.8745</v>
      </c>
      <c r="H10" s="117">
        <v>692.20818049999991</v>
      </c>
      <c r="I10" s="152">
        <f>G10+H10</f>
        <v>13167.0826805</v>
      </c>
      <c r="J10" s="119">
        <v>15958</v>
      </c>
      <c r="K10" s="117">
        <v>12459.8055</v>
      </c>
      <c r="L10" s="117">
        <v>0</v>
      </c>
      <c r="M10" s="162">
        <f>K10+L10</f>
        <v>12459.8055</v>
      </c>
      <c r="N10" s="88">
        <v>52</v>
      </c>
      <c r="O10" s="88">
        <v>52</v>
      </c>
      <c r="P10" s="88">
        <v>44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1:27" x14ac:dyDescent="0.3">
      <c r="A12" s="166"/>
      <c r="B12" s="16" t="s">
        <v>30</v>
      </c>
      <c r="C12" s="17">
        <v>4560</v>
      </c>
      <c r="E12" s="161" t="s">
        <v>35</v>
      </c>
      <c r="F12" s="119">
        <v>11058</v>
      </c>
      <c r="G12" s="117">
        <v>11000.55775</v>
      </c>
      <c r="H12" s="117">
        <v>14661.51655713</v>
      </c>
      <c r="I12" s="152">
        <f>G12+H12</f>
        <v>25662.074307130002</v>
      </c>
      <c r="J12" s="119">
        <v>10912</v>
      </c>
      <c r="K12" s="117">
        <v>11263.39</v>
      </c>
      <c r="L12" s="117">
        <v>0</v>
      </c>
      <c r="M12" s="162">
        <f>K12+L12</f>
        <v>11263.39</v>
      </c>
      <c r="N12" s="88">
        <v>59</v>
      </c>
      <c r="O12" s="88">
        <v>58</v>
      </c>
      <c r="P12" s="88">
        <v>53</v>
      </c>
    </row>
    <row r="13" spans="1:27" x14ac:dyDescent="0.3">
      <c r="B13" s="16" t="s">
        <v>38</v>
      </c>
      <c r="C13" s="17">
        <v>8084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2083</v>
      </c>
      <c r="E14" s="161" t="s">
        <v>39</v>
      </c>
      <c r="F14" s="119">
        <v>29318</v>
      </c>
      <c r="G14" s="117">
        <v>22698.563750000001</v>
      </c>
      <c r="H14" s="117">
        <v>36179.655887479988</v>
      </c>
      <c r="I14" s="152">
        <f>G14+H14</f>
        <v>58878.21963747999</v>
      </c>
      <c r="J14" s="119">
        <v>29150</v>
      </c>
      <c r="K14" s="117">
        <v>25057.748250000001</v>
      </c>
      <c r="L14" s="117">
        <v>0</v>
      </c>
      <c r="M14" s="162">
        <f>K14+L14</f>
        <v>25057.748250000001</v>
      </c>
      <c r="N14" s="88">
        <v>78</v>
      </c>
      <c r="O14" s="88">
        <v>77</v>
      </c>
      <c r="P14" s="88">
        <v>68</v>
      </c>
    </row>
    <row r="15" spans="1:27" x14ac:dyDescent="0.3">
      <c r="B15" s="28" t="s">
        <v>42</v>
      </c>
      <c r="C15" s="17">
        <f>36126-6497</f>
        <v>29629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3">
      <c r="B16" s="43" t="s">
        <v>47</v>
      </c>
      <c r="C16" s="17">
        <v>1922</v>
      </c>
      <c r="E16" s="161" t="s">
        <v>79</v>
      </c>
      <c r="F16" s="119">
        <v>0</v>
      </c>
      <c r="G16" s="117">
        <v>0</v>
      </c>
      <c r="H16" s="117">
        <v>8857.5254983199993</v>
      </c>
      <c r="I16" s="152">
        <f>G16+H16</f>
        <v>8857.5254983199993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425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9173</v>
      </c>
      <c r="E18" s="84"/>
      <c r="F18" s="148">
        <f t="shared" ref="F18:M18" si="0">SUM(F6:F17)</f>
        <v>76321</v>
      </c>
      <c r="G18" s="149">
        <f t="shared" si="0"/>
        <v>58072.328999999998</v>
      </c>
      <c r="H18" s="149">
        <f t="shared" si="0"/>
        <v>67706.693694249989</v>
      </c>
      <c r="I18" s="150">
        <f t="shared" si="0"/>
        <v>125779.02269424999</v>
      </c>
      <c r="J18" s="149">
        <f t="shared" si="0"/>
        <v>75762</v>
      </c>
      <c r="K18" s="149">
        <f t="shared" si="0"/>
        <v>59452.954249999995</v>
      </c>
      <c r="L18" s="149">
        <f t="shared" si="0"/>
        <v>0</v>
      </c>
      <c r="M18" s="157">
        <f t="shared" si="0"/>
        <v>59452.954249999995</v>
      </c>
      <c r="N18" s="149">
        <f>SUM(N16,N14,N12,N10,N8,N6)</f>
        <v>295</v>
      </c>
      <c r="O18" s="149">
        <f>SUM(O16,O14,O12,O10,O8,O6)</f>
        <v>290</v>
      </c>
      <c r="P18" s="158">
        <f>SUM(P16,P14,P12,P10,P8,P6)</f>
        <v>262</v>
      </c>
    </row>
    <row r="19" spans="2:28" ht="15" customHeight="1" thickBot="1" x14ac:dyDescent="0.35">
      <c r="B19" s="16" t="s">
        <v>51</v>
      </c>
      <c r="C19" s="17">
        <v>411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35">
      <c r="B20" s="57" t="s">
        <v>52</v>
      </c>
      <c r="C20" s="58">
        <v>4927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9.6551724137931033E-2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8533</v>
      </c>
      <c r="D25" s="76">
        <f>C13</f>
        <v>8084</v>
      </c>
      <c r="E25" s="77">
        <f t="shared" ref="E25:E32" si="1">D25-C25</f>
        <v>-449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36289</v>
      </c>
      <c r="D28" s="76">
        <f>C9+C14+C15+C16+C17</f>
        <v>36126</v>
      </c>
      <c r="E28" s="77">
        <f t="shared" si="1"/>
        <v>-163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4560</v>
      </c>
      <c r="D30" s="76">
        <f>C12</f>
        <v>4560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14435</v>
      </c>
      <c r="D31" s="76">
        <f>C18+C19+C20</f>
        <v>14511</v>
      </c>
      <c r="E31" s="77">
        <f t="shared" si="1"/>
        <v>76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44751</v>
      </c>
    </row>
    <row r="3" spans="1:27" ht="18.75" customHeight="1" thickBot="1" x14ac:dyDescent="0.35">
      <c r="B3" t="s">
        <v>1</v>
      </c>
      <c r="C3" s="3">
        <f>C2+1</f>
        <v>44752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88</v>
      </c>
      <c r="E6" s="161" t="s">
        <v>22</v>
      </c>
      <c r="F6" s="119">
        <v>25299</v>
      </c>
      <c r="G6" s="117">
        <v>11881.084000000001</v>
      </c>
      <c r="H6" s="117">
        <v>5836.252973220001</v>
      </c>
      <c r="I6" s="152">
        <f>G6+H6</f>
        <v>17717.336973220001</v>
      </c>
      <c r="J6" s="119">
        <v>28369</v>
      </c>
      <c r="K6" s="117">
        <v>15657.680933333329</v>
      </c>
      <c r="L6" s="117">
        <v>0</v>
      </c>
      <c r="M6" s="162">
        <f>K6+L6</f>
        <v>15657.680933333329</v>
      </c>
      <c r="N6" s="87">
        <v>89</v>
      </c>
      <c r="O6" s="87">
        <v>86</v>
      </c>
      <c r="P6" s="87">
        <v>75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3713.3850371799999</v>
      </c>
      <c r="I8" s="152">
        <f>G8+H8</f>
        <v>3713.3850371799999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7</v>
      </c>
    </row>
    <row r="9" spans="1:27" x14ac:dyDescent="0.3">
      <c r="B9" s="16" t="s">
        <v>23</v>
      </c>
      <c r="C9" s="17">
        <v>1776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770</v>
      </c>
      <c r="E10" s="161" t="s">
        <v>31</v>
      </c>
      <c r="F10" s="119">
        <v>16188</v>
      </c>
      <c r="G10" s="117">
        <v>11053.887000000001</v>
      </c>
      <c r="H10" s="117">
        <v>1174.8504376400001</v>
      </c>
      <c r="I10" s="152">
        <f>G10+H10</f>
        <v>12228.73743764</v>
      </c>
      <c r="J10" s="119">
        <v>16981</v>
      </c>
      <c r="K10" s="117">
        <v>12722.68325</v>
      </c>
      <c r="L10" s="117">
        <v>0</v>
      </c>
      <c r="M10" s="162">
        <f>K10+L10</f>
        <v>12722.68325</v>
      </c>
      <c r="N10" s="88">
        <v>53</v>
      </c>
      <c r="O10" s="88">
        <v>52</v>
      </c>
      <c r="P10" s="88">
        <v>46</v>
      </c>
    </row>
    <row r="11" spans="1:27" x14ac:dyDescent="0.3">
      <c r="B11" s="28" t="s">
        <v>28</v>
      </c>
      <c r="C11" s="17">
        <v>480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2143</v>
      </c>
      <c r="E12" s="161" t="s">
        <v>35</v>
      </c>
      <c r="F12" s="119">
        <v>16509</v>
      </c>
      <c r="G12" s="117">
        <v>11191.06341666667</v>
      </c>
      <c r="H12" s="117">
        <v>20473.315153539999</v>
      </c>
      <c r="I12" s="152">
        <f>G12+H12</f>
        <v>31664.378570206667</v>
      </c>
      <c r="J12" s="119">
        <v>16199</v>
      </c>
      <c r="K12" s="117">
        <v>13482.951166666669</v>
      </c>
      <c r="L12" s="117">
        <v>0</v>
      </c>
      <c r="M12" s="162">
        <f>K12+L12</f>
        <v>13482.951166666669</v>
      </c>
      <c r="N12" s="88">
        <v>55</v>
      </c>
      <c r="O12" s="88">
        <v>55</v>
      </c>
      <c r="P12" s="88">
        <v>45</v>
      </c>
    </row>
    <row r="13" spans="1:27" x14ac:dyDescent="0.3">
      <c r="B13" s="16" t="s">
        <v>38</v>
      </c>
      <c r="C13" s="17">
        <v>12646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3">
      <c r="B14" s="16" t="s">
        <v>40</v>
      </c>
      <c r="C14" s="17">
        <v>1082</v>
      </c>
      <c r="E14" s="161" t="s">
        <v>39</v>
      </c>
      <c r="F14" s="119">
        <v>21445</v>
      </c>
      <c r="G14" s="117">
        <v>22006.047500000001</v>
      </c>
      <c r="H14" s="117">
        <v>25136.379978420009</v>
      </c>
      <c r="I14" s="152">
        <f>G14+H14</f>
        <v>47142.42747842001</v>
      </c>
      <c r="J14" s="119">
        <v>20178</v>
      </c>
      <c r="K14" s="117">
        <v>15943.21125</v>
      </c>
      <c r="L14" s="117">
        <v>0</v>
      </c>
      <c r="M14" s="162">
        <f>K14+L14</f>
        <v>15943.21125</v>
      </c>
      <c r="N14" s="88">
        <v>75</v>
      </c>
      <c r="O14" s="88">
        <v>74</v>
      </c>
      <c r="P14" s="88">
        <v>57</v>
      </c>
    </row>
    <row r="15" spans="1:27" x14ac:dyDescent="0.3">
      <c r="B15" s="28" t="s">
        <v>42</v>
      </c>
      <c r="C15" s="17">
        <f>33731-3855</f>
        <v>29876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1:27" x14ac:dyDescent="0.3">
      <c r="B16" s="43" t="s">
        <v>47</v>
      </c>
      <c r="C16" s="17">
        <v>847</v>
      </c>
      <c r="E16" s="161" t="s">
        <v>79</v>
      </c>
      <c r="F16" s="119">
        <v>0</v>
      </c>
      <c r="G16" s="117">
        <v>0</v>
      </c>
      <c r="H16" s="117">
        <v>5010.3273828000001</v>
      </c>
      <c r="I16" s="152">
        <f>G16+H16</f>
        <v>5010.3273828000001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35">
      <c r="B17" s="43" t="s">
        <v>48</v>
      </c>
      <c r="C17" s="50">
        <v>150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9776</v>
      </c>
      <c r="E18" s="84"/>
      <c r="F18" s="148">
        <f t="shared" ref="F18:M18" si="0">SUM(F6:F17)</f>
        <v>79441</v>
      </c>
      <c r="G18" s="149">
        <f t="shared" si="0"/>
        <v>56132.08191666667</v>
      </c>
      <c r="H18" s="149">
        <f t="shared" si="0"/>
        <v>61344.510962800014</v>
      </c>
      <c r="I18" s="150">
        <f t="shared" si="0"/>
        <v>117476.59287946667</v>
      </c>
      <c r="J18" s="149">
        <f t="shared" si="0"/>
        <v>81727</v>
      </c>
      <c r="K18" s="149">
        <f t="shared" si="0"/>
        <v>57806.526600000005</v>
      </c>
      <c r="L18" s="149">
        <f t="shared" si="0"/>
        <v>0</v>
      </c>
      <c r="M18" s="157">
        <f t="shared" si="0"/>
        <v>57806.526600000005</v>
      </c>
      <c r="N18" s="149">
        <f>SUM(N16,N14,N12,N10,N8,N6)</f>
        <v>291</v>
      </c>
      <c r="O18" s="149">
        <f>SUM(O16,O14,O12,O10,O8,O6)</f>
        <v>286</v>
      </c>
      <c r="P18" s="158">
        <f>SUM(P16,P14,P12,P10,P8,P6)</f>
        <v>241</v>
      </c>
    </row>
    <row r="19" spans="2:28" ht="15" customHeight="1" thickBot="1" x14ac:dyDescent="0.35">
      <c r="B19" s="16" t="s">
        <v>51</v>
      </c>
      <c r="C19" s="17">
        <v>1703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</row>
    <row r="20" spans="2:28" ht="15" customHeight="1" thickBot="1" x14ac:dyDescent="0.35">
      <c r="B20" s="57" t="s">
        <v>52</v>
      </c>
      <c r="C20" s="58">
        <v>5269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0.15734265734265734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12234</v>
      </c>
      <c r="D25" s="76">
        <f>C13</f>
        <v>12646</v>
      </c>
      <c r="E25" s="77">
        <f t="shared" ref="E25:E32" si="1">D25-C25</f>
        <v>412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36501</v>
      </c>
      <c r="D28" s="76">
        <f>C9+C14+C15+C16+C17</f>
        <v>33731</v>
      </c>
      <c r="E28" s="77">
        <f t="shared" si="1"/>
        <v>-2770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88</v>
      </c>
      <c r="E29" s="77">
        <f t="shared" si="1"/>
        <v>88</v>
      </c>
      <c r="F29" s="1" t="s">
        <v>75</v>
      </c>
      <c r="P29" s="4"/>
    </row>
    <row r="30" spans="2:28" x14ac:dyDescent="0.3">
      <c r="B30" s="74" t="s">
        <v>57</v>
      </c>
      <c r="C30" s="122">
        <v>2198</v>
      </c>
      <c r="D30" s="76">
        <f>C12</f>
        <v>2143</v>
      </c>
      <c r="E30" s="77">
        <f t="shared" si="1"/>
        <v>-55</v>
      </c>
      <c r="J30" s="53"/>
      <c r="K30" s="53"/>
      <c r="P30" s="4"/>
    </row>
    <row r="31" spans="2:28" x14ac:dyDescent="0.3">
      <c r="B31" s="74" t="s">
        <v>59</v>
      </c>
      <c r="C31" s="122">
        <v>16420</v>
      </c>
      <c r="D31" s="76">
        <f>C18+C19+C20</f>
        <v>16748</v>
      </c>
      <c r="E31" s="77">
        <f t="shared" si="1"/>
        <v>328</v>
      </c>
      <c r="K31" s="53"/>
      <c r="P31" s="4"/>
    </row>
    <row r="32" spans="2:28" ht="15" customHeight="1" thickBot="1" x14ac:dyDescent="0.35">
      <c r="B32" s="78" t="s">
        <v>60</v>
      </c>
      <c r="C32" s="121">
        <v>1250</v>
      </c>
      <c r="D32" s="80">
        <f>C10+C11</f>
        <v>1250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44752</v>
      </c>
    </row>
    <row r="3" spans="1:27" ht="18.75" customHeight="1" thickBot="1" x14ac:dyDescent="0.35">
      <c r="B3" t="s">
        <v>1</v>
      </c>
      <c r="C3" s="3">
        <f>C2+1</f>
        <v>44753</v>
      </c>
    </row>
    <row r="4" spans="1:27" ht="15.75" customHeight="1" thickBot="1" x14ac:dyDescent="0.3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10530</v>
      </c>
      <c r="G6" s="117">
        <v>3559</v>
      </c>
      <c r="H6" s="117">
        <v>2709</v>
      </c>
      <c r="I6" s="152">
        <f>G6+H6</f>
        <v>6268</v>
      </c>
      <c r="J6" s="119">
        <v>11215</v>
      </c>
      <c r="K6" s="117">
        <v>4658.0154333333339</v>
      </c>
      <c r="L6" s="117">
        <v>0</v>
      </c>
      <c r="M6" s="162">
        <f>K6+L6</f>
        <v>4658.0154333333339</v>
      </c>
      <c r="N6" s="87">
        <v>45</v>
      </c>
      <c r="O6" s="87">
        <v>46</v>
      </c>
      <c r="P6" s="87">
        <v>37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1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5365</v>
      </c>
      <c r="G10" s="117">
        <v>2744</v>
      </c>
      <c r="H10" s="117">
        <v>796</v>
      </c>
      <c r="I10" s="152">
        <f>G10+H10</f>
        <v>3540</v>
      </c>
      <c r="J10" s="119">
        <v>5571</v>
      </c>
      <c r="K10" s="117">
        <v>3204.74775</v>
      </c>
      <c r="L10" s="117">
        <v>0</v>
      </c>
      <c r="M10" s="162">
        <f>K10+L10</f>
        <v>3204.74775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9</v>
      </c>
      <c r="O14" s="88">
        <v>7</v>
      </c>
      <c r="P14" s="88">
        <v>5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10224</v>
      </c>
      <c r="E18" s="84"/>
      <c r="F18" s="148">
        <f t="shared" ref="F18:M18" si="0">SUM(F6:F17)</f>
        <v>15895</v>
      </c>
      <c r="G18" s="149">
        <f t="shared" si="0"/>
        <v>6303</v>
      </c>
      <c r="H18" s="149">
        <f t="shared" si="0"/>
        <v>3505</v>
      </c>
      <c r="I18" s="150">
        <f t="shared" si="0"/>
        <v>9808</v>
      </c>
      <c r="J18" s="149">
        <f t="shared" si="0"/>
        <v>16786</v>
      </c>
      <c r="K18" s="149">
        <f t="shared" si="0"/>
        <v>7862.7631833333344</v>
      </c>
      <c r="L18" s="149">
        <f t="shared" si="0"/>
        <v>0</v>
      </c>
      <c r="M18" s="157">
        <f t="shared" si="0"/>
        <v>7862.7631833333344</v>
      </c>
      <c r="N18" s="149">
        <f>SUM(N16,N14,N12,N10,N8,N6)</f>
        <v>55</v>
      </c>
      <c r="O18" s="149">
        <f>SUM(O16,O14,O12,O10,O8,O6)</f>
        <v>54</v>
      </c>
      <c r="P18" s="158">
        <f>SUM(P16,P14,P12,P10,P8,P6)</f>
        <v>43</v>
      </c>
    </row>
    <row r="19" spans="2:28" ht="15" customHeight="1" thickBot="1" x14ac:dyDescent="0.35">
      <c r="B19" s="16" t="s">
        <v>51</v>
      </c>
      <c r="C19" s="17">
        <v>1217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35">
      <c r="B20" s="57" t="s">
        <v>52</v>
      </c>
      <c r="C20" s="58">
        <v>5345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0.20370370370370369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15895</v>
      </c>
      <c r="D31" s="76">
        <f>C18+C19+C20</f>
        <v>16786</v>
      </c>
      <c r="E31" s="77">
        <f t="shared" si="1"/>
        <v>891</v>
      </c>
      <c r="K31" s="53"/>
      <c r="P31" s="4"/>
    </row>
    <row r="32" spans="2:28" ht="15" customHeight="1" thickBot="1" x14ac:dyDescent="0.3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theme="1"/>
    <pageSetUpPr fitToPage="1"/>
  </sheetPr>
  <dimension ref="A1:AB33"/>
  <sheetViews>
    <sheetView zoomScale="85" zoomScaleNormal="85" zoomScaleSheetLayoutView="70" workbookViewId="0">
      <selection activeCell="D32" sqref="D3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44753</v>
      </c>
    </row>
    <row r="3" spans="1:27" ht="18.75" customHeight="1" thickBot="1" x14ac:dyDescent="0.35">
      <c r="B3" t="s">
        <v>1</v>
      </c>
      <c r="C3" s="3">
        <f>C2+1</f>
        <v>44754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68</v>
      </c>
      <c r="E6" s="161" t="s">
        <v>22</v>
      </c>
      <c r="F6" s="119">
        <v>23298</v>
      </c>
      <c r="G6" s="117">
        <v>11604.555766666659</v>
      </c>
      <c r="H6" s="117">
        <v>4685.1963205400034</v>
      </c>
      <c r="I6" s="152">
        <f>G6+H6</f>
        <v>16289.752087206663</v>
      </c>
      <c r="J6" s="119">
        <v>23938</v>
      </c>
      <c r="K6" s="117">
        <v>10120.507766666669</v>
      </c>
      <c r="L6" s="117">
        <v>105.0504</v>
      </c>
      <c r="M6" s="162">
        <f>K6+L6</f>
        <v>10225.558166666669</v>
      </c>
      <c r="N6" s="87">
        <v>84</v>
      </c>
      <c r="O6" s="87">
        <v>82</v>
      </c>
      <c r="P6" s="87">
        <v>72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3523.0686096600002</v>
      </c>
      <c r="I8" s="152">
        <f>G8+H8</f>
        <v>3523.0686096600002</v>
      </c>
      <c r="J8" s="119">
        <v>0</v>
      </c>
      <c r="K8" s="117">
        <v>0</v>
      </c>
      <c r="L8" s="117">
        <v>649.98050000000001</v>
      </c>
      <c r="M8" s="162">
        <f>K8+L8</f>
        <v>649.98050000000001</v>
      </c>
      <c r="N8" s="87">
        <v>7</v>
      </c>
      <c r="O8" s="87">
        <v>7</v>
      </c>
      <c r="P8" s="87">
        <v>5</v>
      </c>
    </row>
    <row r="9" spans="1:27" x14ac:dyDescent="0.3">
      <c r="B9" s="16" t="s">
        <v>23</v>
      </c>
      <c r="C9" s="17">
        <v>1635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495</v>
      </c>
      <c r="E10" s="161" t="s">
        <v>31</v>
      </c>
      <c r="F10" s="119">
        <v>17269</v>
      </c>
      <c r="G10" s="117">
        <v>12155.504916666659</v>
      </c>
      <c r="H10" s="117">
        <v>866.595054</v>
      </c>
      <c r="I10" s="152">
        <f>G10+H10</f>
        <v>13022.099970666659</v>
      </c>
      <c r="J10" s="119">
        <v>17480</v>
      </c>
      <c r="K10" s="117">
        <v>12106.36241666666</v>
      </c>
      <c r="L10" s="117">
        <v>0</v>
      </c>
      <c r="M10" s="162">
        <f>K10+L10</f>
        <v>12106.36241666666</v>
      </c>
      <c r="N10" s="88">
        <v>50</v>
      </c>
      <c r="O10" s="88">
        <v>50</v>
      </c>
      <c r="P10" s="88">
        <v>45</v>
      </c>
    </row>
    <row r="11" spans="1:27" x14ac:dyDescent="0.3">
      <c r="B11" s="28" t="s">
        <v>28</v>
      </c>
      <c r="C11" s="17">
        <v>270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1:27" x14ac:dyDescent="0.3">
      <c r="A12" s="166"/>
      <c r="B12" s="16" t="s">
        <v>30</v>
      </c>
      <c r="C12" s="17">
        <v>2230</v>
      </c>
      <c r="E12" s="161" t="s">
        <v>35</v>
      </c>
      <c r="F12" s="119">
        <v>11579</v>
      </c>
      <c r="G12" s="117">
        <v>10311.44616666667</v>
      </c>
      <c r="H12" s="117">
        <v>14250.499901819991</v>
      </c>
      <c r="I12" s="152">
        <f>G12+H12</f>
        <v>24561.946068486661</v>
      </c>
      <c r="J12" s="119">
        <v>11297</v>
      </c>
      <c r="K12" s="117">
        <v>9430.8059166666699</v>
      </c>
      <c r="L12" s="117">
        <v>13.13416176</v>
      </c>
      <c r="M12" s="162">
        <f>K12+L12</f>
        <v>9443.9400784266691</v>
      </c>
      <c r="N12" s="88">
        <v>54</v>
      </c>
      <c r="O12" s="88">
        <v>55</v>
      </c>
      <c r="P12" s="88">
        <v>46</v>
      </c>
    </row>
    <row r="13" spans="1:27" x14ac:dyDescent="0.3">
      <c r="B13" s="16" t="s">
        <v>38</v>
      </c>
      <c r="C13" s="17">
        <v>7922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1:27" x14ac:dyDescent="0.3">
      <c r="B14" s="16" t="s">
        <v>40</v>
      </c>
      <c r="C14" s="17">
        <v>1827</v>
      </c>
      <c r="E14" s="161" t="s">
        <v>39</v>
      </c>
      <c r="F14" s="119">
        <v>24625</v>
      </c>
      <c r="G14" s="117">
        <v>20222.75</v>
      </c>
      <c r="H14" s="117">
        <v>29072.695083959981</v>
      </c>
      <c r="I14" s="152">
        <f>G14+H14</f>
        <v>49295.445083959981</v>
      </c>
      <c r="J14" s="119">
        <v>25169</v>
      </c>
      <c r="K14" s="117">
        <v>23396.26225</v>
      </c>
      <c r="L14" s="117">
        <v>124.234075</v>
      </c>
      <c r="M14" s="162">
        <f>K14+L14</f>
        <v>23520.496325</v>
      </c>
      <c r="N14" s="88">
        <v>75</v>
      </c>
      <c r="O14" s="88">
        <v>76</v>
      </c>
      <c r="P14" s="88">
        <v>67</v>
      </c>
    </row>
    <row r="15" spans="1:27" x14ac:dyDescent="0.3">
      <c r="B15" s="28" t="s">
        <v>42</v>
      </c>
      <c r="C15" s="17">
        <v>27758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3">
      <c r="B16" s="43" t="s">
        <v>47</v>
      </c>
      <c r="C16" s="17">
        <v>1710</v>
      </c>
      <c r="E16" s="161" t="s">
        <v>79</v>
      </c>
      <c r="F16" s="119">
        <v>0</v>
      </c>
      <c r="G16" s="117">
        <v>0</v>
      </c>
      <c r="H16" s="117">
        <v>7875.4118861200004</v>
      </c>
      <c r="I16" s="152">
        <f>G16+H16</f>
        <v>7875.4118861200004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399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9927</v>
      </c>
      <c r="E18" s="84"/>
      <c r="F18" s="148">
        <f t="shared" ref="F18:M18" si="0">SUM(F6:F17)</f>
        <v>76771</v>
      </c>
      <c r="G18" s="149">
        <f t="shared" si="0"/>
        <v>54294.256849999991</v>
      </c>
      <c r="H18" s="149">
        <f t="shared" si="0"/>
        <v>60273.466856099971</v>
      </c>
      <c r="I18" s="150">
        <f t="shared" si="0"/>
        <v>114567.72370609998</v>
      </c>
      <c r="J18" s="149">
        <f t="shared" si="0"/>
        <v>77884</v>
      </c>
      <c r="K18" s="149">
        <f t="shared" si="0"/>
        <v>55053.938349999997</v>
      </c>
      <c r="L18" s="149">
        <f t="shared" si="0"/>
        <v>892.39913675999992</v>
      </c>
      <c r="M18" s="157">
        <f t="shared" si="0"/>
        <v>55946.33748676</v>
      </c>
      <c r="N18" s="149">
        <f>SUM(N16,N14,N12,N10,N8,N6)</f>
        <v>281</v>
      </c>
      <c r="O18" s="149">
        <f>SUM(O16,O14,O12,O10,O8,O6)</f>
        <v>280</v>
      </c>
      <c r="P18" s="158">
        <f>SUM(P16,P14,P12,P10,P8,P6)</f>
        <v>245</v>
      </c>
    </row>
    <row r="19" spans="2:28" ht="15" customHeight="1" thickBot="1" x14ac:dyDescent="0.35">
      <c r="B19" s="16" t="s">
        <v>51</v>
      </c>
      <c r="C19" s="17">
        <v>1809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x14ac:dyDescent="0.3">
      <c r="B20" s="16" t="s">
        <v>52</v>
      </c>
      <c r="C20" s="17">
        <v>5223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0.125</v>
      </c>
    </row>
    <row r="21" spans="2:28" ht="15" customHeight="1" thickBot="1" x14ac:dyDescent="0.35">
      <c r="B21" s="57" t="s">
        <v>132</v>
      </c>
      <c r="C21" s="58">
        <v>4412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7900</v>
      </c>
      <c r="D25" s="76">
        <f>C13</f>
        <v>7922</v>
      </c>
      <c r="E25" s="77">
        <f t="shared" ref="E25:E33" si="1">D25-C25</f>
        <v>22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33089</v>
      </c>
      <c r="D28" s="76">
        <f>C9+C14+C15+C16+C17</f>
        <v>33329</v>
      </c>
      <c r="E28" s="77">
        <f t="shared" si="1"/>
        <v>240</v>
      </c>
      <c r="F28" s="1" t="s">
        <v>75</v>
      </c>
      <c r="P28" s="4"/>
    </row>
    <row r="29" spans="2:28" x14ac:dyDescent="0.3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2230</v>
      </c>
      <c r="D30" s="76">
        <f>C12</f>
        <v>2230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16270</v>
      </c>
      <c r="D31" s="76">
        <f>C18+C19+C20</f>
        <v>16959</v>
      </c>
      <c r="E31" s="77">
        <f t="shared" si="1"/>
        <v>689</v>
      </c>
      <c r="K31" s="53"/>
      <c r="P31" s="4"/>
    </row>
    <row r="32" spans="2:28" x14ac:dyDescent="0.3">
      <c r="B32" s="74" t="s">
        <v>60</v>
      </c>
      <c r="C32" s="122">
        <v>765</v>
      </c>
      <c r="D32" s="76">
        <f>C10+C11</f>
        <v>765</v>
      </c>
      <c r="E32" s="77">
        <f t="shared" si="1"/>
        <v>0</v>
      </c>
    </row>
    <row r="33" spans="2:5" ht="15" customHeight="1" thickBot="1" x14ac:dyDescent="0.35">
      <c r="B33" s="78" t="s">
        <v>132</v>
      </c>
      <c r="C33" s="121">
        <v>4412</v>
      </c>
      <c r="D33" s="80">
        <v>4412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theme="1"/>
    <pageSetUpPr fitToPage="1"/>
  </sheetPr>
  <dimension ref="A1:AB33"/>
  <sheetViews>
    <sheetView zoomScale="85" zoomScaleNormal="85" zoomScaleSheetLayoutView="70" workbookViewId="0">
      <selection activeCell="G30" sqref="G3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44754</v>
      </c>
    </row>
    <row r="3" spans="1:27" ht="18.75" customHeight="1" thickBot="1" x14ac:dyDescent="0.35">
      <c r="B3" t="s">
        <v>1</v>
      </c>
      <c r="C3" s="3">
        <f>C2+1</f>
        <v>44755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0.35069444444444442</v>
      </c>
    </row>
    <row r="6" spans="1:27" x14ac:dyDescent="0.3">
      <c r="A6" s="166"/>
      <c r="B6" s="16" t="s">
        <v>21</v>
      </c>
      <c r="C6" s="17">
        <v>122</v>
      </c>
      <c r="E6" s="161" t="s">
        <v>22</v>
      </c>
      <c r="F6" s="119">
        <v>29833</v>
      </c>
      <c r="G6" s="117">
        <v>12819.669883333339</v>
      </c>
      <c r="H6" s="117">
        <v>6409.4696210600023</v>
      </c>
      <c r="I6" s="152">
        <f>G6+H6</f>
        <v>19229.139504393341</v>
      </c>
      <c r="J6" s="119">
        <v>30462</v>
      </c>
      <c r="K6" s="117">
        <v>14235.99388333334</v>
      </c>
      <c r="L6" s="117">
        <v>105.0504</v>
      </c>
      <c r="M6" s="162">
        <f>K6+L6</f>
        <v>14341.04428333334</v>
      </c>
      <c r="N6" s="87">
        <v>87</v>
      </c>
      <c r="O6" s="87">
        <v>82</v>
      </c>
      <c r="P6" s="87">
        <v>81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4027.64094432</v>
      </c>
      <c r="I8" s="152">
        <f>G8+H8</f>
        <v>4027.64094432</v>
      </c>
      <c r="J8" s="119">
        <v>0</v>
      </c>
      <c r="K8" s="117">
        <v>0</v>
      </c>
      <c r="L8" s="117">
        <v>753.13529999999992</v>
      </c>
      <c r="M8" s="162">
        <f>K8+L8</f>
        <v>753.13529999999992</v>
      </c>
      <c r="N8" s="87">
        <v>7</v>
      </c>
      <c r="O8" s="87">
        <v>7</v>
      </c>
      <c r="P8" s="87">
        <v>6</v>
      </c>
    </row>
    <row r="9" spans="1:27" x14ac:dyDescent="0.3">
      <c r="B9" s="16" t="s">
        <v>23</v>
      </c>
      <c r="C9" s="17">
        <v>3151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800</v>
      </c>
      <c r="E10" s="161" t="s">
        <v>31</v>
      </c>
      <c r="F10" s="119">
        <v>20490</v>
      </c>
      <c r="G10" s="117">
        <v>11804.643</v>
      </c>
      <c r="H10" s="117">
        <v>1267.3304000000001</v>
      </c>
      <c r="I10" s="152">
        <f>G10+H10</f>
        <v>13071.973400000001</v>
      </c>
      <c r="J10" s="119">
        <v>20664</v>
      </c>
      <c r="K10" s="117">
        <v>13275.436</v>
      </c>
      <c r="L10" s="117">
        <v>0</v>
      </c>
      <c r="M10" s="162">
        <f>K10+L10</f>
        <v>13275.436</v>
      </c>
      <c r="N10" s="88">
        <v>53</v>
      </c>
      <c r="O10" s="88">
        <v>50</v>
      </c>
      <c r="P10" s="88">
        <v>50</v>
      </c>
    </row>
    <row r="11" spans="1:27" x14ac:dyDescent="0.3">
      <c r="B11" s="28" t="s">
        <v>28</v>
      </c>
      <c r="C11" s="17">
        <v>485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2447</v>
      </c>
      <c r="E12" s="161" t="s">
        <v>35</v>
      </c>
      <c r="F12" s="119">
        <v>15991</v>
      </c>
      <c r="G12" s="117">
        <v>10444.47483333333</v>
      </c>
      <c r="H12" s="117">
        <v>17680.274421229999</v>
      </c>
      <c r="I12" s="152">
        <f>G12+H12</f>
        <v>28124.749254563329</v>
      </c>
      <c r="J12" s="119">
        <v>16422</v>
      </c>
      <c r="K12" s="117">
        <v>13591.04483333333</v>
      </c>
      <c r="L12" s="117">
        <v>13.13416176</v>
      </c>
      <c r="M12" s="162">
        <f>K12+L12</f>
        <v>13604.178995093329</v>
      </c>
      <c r="N12" s="88">
        <v>55</v>
      </c>
      <c r="O12" s="88">
        <v>53</v>
      </c>
      <c r="P12" s="88">
        <v>48</v>
      </c>
    </row>
    <row r="13" spans="1:27" x14ac:dyDescent="0.3">
      <c r="B13" s="16" t="s">
        <v>38</v>
      </c>
      <c r="C13" s="17">
        <v>9963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2003</v>
      </c>
      <c r="E14" s="161" t="s">
        <v>39</v>
      </c>
      <c r="F14" s="119">
        <v>26573</v>
      </c>
      <c r="G14" s="117">
        <v>20040.915000000001</v>
      </c>
      <c r="H14" s="117">
        <v>32407.240263960019</v>
      </c>
      <c r="I14" s="152">
        <f>G14+H14</f>
        <v>52448.15526396002</v>
      </c>
      <c r="J14" s="119">
        <v>27240</v>
      </c>
      <c r="K14" s="117">
        <v>23129.411499999998</v>
      </c>
      <c r="L14" s="117">
        <v>130.04974999999999</v>
      </c>
      <c r="M14" s="162">
        <f>K14+L14</f>
        <v>23259.461249999997</v>
      </c>
      <c r="N14" s="88">
        <v>79</v>
      </c>
      <c r="O14" s="88">
        <v>80</v>
      </c>
      <c r="P14" s="88">
        <v>57</v>
      </c>
    </row>
    <row r="15" spans="1:27" x14ac:dyDescent="0.3">
      <c r="B15" s="28" t="s">
        <v>42</v>
      </c>
      <c r="C15" s="17">
        <f>40308-6880</f>
        <v>33428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23</v>
      </c>
    </row>
    <row r="16" spans="1:27" x14ac:dyDescent="0.3">
      <c r="B16" s="43" t="s">
        <v>47</v>
      </c>
      <c r="C16" s="17">
        <v>1580</v>
      </c>
      <c r="E16" s="161" t="s">
        <v>79</v>
      </c>
      <c r="F16" s="119">
        <v>0</v>
      </c>
      <c r="G16" s="117">
        <v>0</v>
      </c>
      <c r="H16" s="117">
        <v>4442.5279493799999</v>
      </c>
      <c r="I16" s="152">
        <f>G16+H16</f>
        <v>4442.5279493799999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12</v>
      </c>
      <c r="P16" s="88">
        <v>12</v>
      </c>
    </row>
    <row r="17" spans="2:28" s="4" customFormat="1" ht="15" customHeight="1" thickBot="1" x14ac:dyDescent="0.35">
      <c r="B17" s="43" t="s">
        <v>48</v>
      </c>
      <c r="C17" s="50">
        <v>146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/>
      <c r="E18" s="84"/>
      <c r="F18" s="148">
        <f t="shared" ref="F18:M18" si="0">SUM(F6:F17)</f>
        <v>92887</v>
      </c>
      <c r="G18" s="149">
        <f t="shared" si="0"/>
        <v>55109.702716666674</v>
      </c>
      <c r="H18" s="149">
        <f t="shared" si="0"/>
        <v>66234.483599950021</v>
      </c>
      <c r="I18" s="150">
        <f t="shared" si="0"/>
        <v>121344.1863166167</v>
      </c>
      <c r="J18" s="149">
        <f t="shared" si="0"/>
        <v>94788</v>
      </c>
      <c r="K18" s="149">
        <f t="shared" si="0"/>
        <v>64231.886216666666</v>
      </c>
      <c r="L18" s="149">
        <f t="shared" si="0"/>
        <v>1001.3696117599999</v>
      </c>
      <c r="M18" s="157">
        <f t="shared" si="0"/>
        <v>65233.255828426671</v>
      </c>
      <c r="N18" s="149">
        <f>SUM(N16,N14,N12,N10,N8,N6)</f>
        <v>294</v>
      </c>
      <c r="O18" s="149">
        <f>SUM(O16,O14,O12,O10,O8,O6)</f>
        <v>284</v>
      </c>
      <c r="P18" s="158">
        <f>SUM(P16,P14,P12,P10,P8,P6)</f>
        <v>254</v>
      </c>
    </row>
    <row r="19" spans="2:28" ht="15" customHeight="1" thickBot="1" x14ac:dyDescent="0.35">
      <c r="B19" s="16" t="s">
        <v>51</v>
      </c>
      <c r="C19" s="17"/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x14ac:dyDescent="0.3">
      <c r="B20" s="16" t="s">
        <v>52</v>
      </c>
      <c r="C20" s="17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0.10563380281690141</v>
      </c>
    </row>
    <row r="21" spans="2:28" ht="15" customHeight="1" thickBot="1" x14ac:dyDescent="0.35">
      <c r="B21" s="168" t="s">
        <v>132</v>
      </c>
      <c r="C21" s="169">
        <v>734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10802</v>
      </c>
      <c r="D25" s="76">
        <f>C13</f>
        <v>9963</v>
      </c>
      <c r="E25" s="77">
        <f t="shared" ref="E25:E33" si="1">D25-C25</f>
        <v>-839</v>
      </c>
    </row>
    <row r="26" spans="2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H26" s="1" t="s">
        <v>133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H27" s="1" t="s">
        <v>134</v>
      </c>
      <c r="M27" s="53"/>
      <c r="P27" s="4"/>
    </row>
    <row r="28" spans="2:28" x14ac:dyDescent="0.3">
      <c r="B28" s="74" t="s">
        <v>56</v>
      </c>
      <c r="C28" s="122">
        <v>35905</v>
      </c>
      <c r="D28" s="76">
        <f>C9+C14+C15+C16+C17</f>
        <v>40308</v>
      </c>
      <c r="E28" s="77">
        <f t="shared" si="1"/>
        <v>4403</v>
      </c>
      <c r="F28" s="1" t="s">
        <v>75</v>
      </c>
      <c r="P28" s="4"/>
    </row>
    <row r="29" spans="2:28" x14ac:dyDescent="0.3">
      <c r="B29" s="74" t="s">
        <v>21</v>
      </c>
      <c r="C29" s="122">
        <v>122</v>
      </c>
      <c r="D29" s="76">
        <f>C6</f>
        <v>122</v>
      </c>
      <c r="E29" s="77">
        <f t="shared" si="1"/>
        <v>0</v>
      </c>
      <c r="F29" s="1" t="s">
        <v>75</v>
      </c>
      <c r="P29" s="4"/>
    </row>
    <row r="30" spans="2:28" x14ac:dyDescent="0.3">
      <c r="B30" s="74" t="s">
        <v>57</v>
      </c>
      <c r="C30" s="122">
        <v>2447</v>
      </c>
      <c r="D30" s="76">
        <f>C12</f>
        <v>2447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16525</v>
      </c>
      <c r="D31" s="76">
        <f>C18+C19+C20</f>
        <v>0</v>
      </c>
      <c r="E31" s="77">
        <f t="shared" si="1"/>
        <v>-16525</v>
      </c>
      <c r="K31" s="53"/>
      <c r="P31" s="4"/>
    </row>
    <row r="32" spans="2:28" x14ac:dyDescent="0.3">
      <c r="B32" s="74" t="s">
        <v>60</v>
      </c>
      <c r="C32" s="122">
        <v>1285</v>
      </c>
      <c r="D32" s="76">
        <f>C10+C11</f>
        <v>1285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734</v>
      </c>
      <c r="D33" s="80">
        <f>C21</f>
        <v>734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44755</v>
      </c>
    </row>
    <row r="3" spans="1:27" ht="18.75" customHeight="1" thickBot="1" x14ac:dyDescent="0.35">
      <c r="B3" t="s">
        <v>1</v>
      </c>
      <c r="C3" s="3">
        <f>C2+1</f>
        <v>44756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0.35416666666666669</v>
      </c>
    </row>
    <row r="6" spans="1:27" x14ac:dyDescent="0.3">
      <c r="A6" s="166" t="s">
        <v>135</v>
      </c>
      <c r="B6" s="16" t="s">
        <v>21</v>
      </c>
      <c r="C6" s="17">
        <v>58</v>
      </c>
      <c r="E6" s="161" t="s">
        <v>22</v>
      </c>
      <c r="F6" s="119">
        <v>25727</v>
      </c>
      <c r="G6" s="117">
        <v>12350.66625</v>
      </c>
      <c r="H6" s="117">
        <v>6530.7618001000019</v>
      </c>
      <c r="I6" s="152">
        <f>G6+H6</f>
        <v>18881.428050100003</v>
      </c>
      <c r="J6" s="119">
        <v>26305</v>
      </c>
      <c r="K6" s="117">
        <v>13989.56374999999</v>
      </c>
      <c r="L6" s="117"/>
      <c r="M6" s="162">
        <f>K6+L6</f>
        <v>13989.56374999999</v>
      </c>
      <c r="N6" s="87">
        <v>79</v>
      </c>
      <c r="O6" s="87">
        <v>74</v>
      </c>
      <c r="P6" s="87">
        <v>73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3958.133688079999</v>
      </c>
      <c r="I8" s="152">
        <f>G8+H8</f>
        <v>3958.133688079999</v>
      </c>
      <c r="J8" s="119">
        <v>0</v>
      </c>
      <c r="K8" s="117">
        <v>0</v>
      </c>
      <c r="L8" s="117"/>
      <c r="M8" s="162">
        <f>K8+L8</f>
        <v>0</v>
      </c>
      <c r="N8" s="87">
        <v>4</v>
      </c>
      <c r="O8" s="87">
        <v>4</v>
      </c>
      <c r="P8" s="87">
        <v>4</v>
      </c>
    </row>
    <row r="9" spans="1:27" x14ac:dyDescent="0.3">
      <c r="B9" s="16" t="s">
        <v>23</v>
      </c>
      <c r="C9" s="17">
        <v>1558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17792</v>
      </c>
      <c r="G10" s="117">
        <v>13189.7335</v>
      </c>
      <c r="H10" s="117">
        <v>862.91884849999985</v>
      </c>
      <c r="I10" s="152">
        <f>G10+H10</f>
        <v>14052.6523485</v>
      </c>
      <c r="J10" s="119">
        <v>16270</v>
      </c>
      <c r="K10" s="117">
        <v>12628.7965</v>
      </c>
      <c r="L10" s="117"/>
      <c r="M10" s="162">
        <f>K10+L10</f>
        <v>12628.7965</v>
      </c>
      <c r="N10" s="88">
        <v>51</v>
      </c>
      <c r="O10" s="88">
        <v>49</v>
      </c>
      <c r="P10" s="88">
        <v>46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2394</v>
      </c>
      <c r="E12" s="161" t="s">
        <v>35</v>
      </c>
      <c r="F12" s="119">
        <v>12626</v>
      </c>
      <c r="G12" s="117">
        <v>11351.72075</v>
      </c>
      <c r="H12" s="117">
        <v>17439.793900029999</v>
      </c>
      <c r="I12" s="152">
        <f>G12+H12</f>
        <v>28791.51465003</v>
      </c>
      <c r="J12" s="119">
        <v>12226</v>
      </c>
      <c r="K12" s="117">
        <v>11743.50974999999</v>
      </c>
      <c r="L12" s="117"/>
      <c r="M12" s="162">
        <f>K12+L12</f>
        <v>11743.50974999999</v>
      </c>
      <c r="N12" s="88">
        <v>53</v>
      </c>
      <c r="O12" s="88">
        <v>51</v>
      </c>
      <c r="P12" s="88">
        <v>47</v>
      </c>
    </row>
    <row r="13" spans="1:27" x14ac:dyDescent="0.3">
      <c r="B13" s="16" t="s">
        <v>38</v>
      </c>
      <c r="C13" s="17">
        <v>10953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3">
      <c r="B14" s="16" t="s">
        <v>40</v>
      </c>
      <c r="C14" s="17">
        <v>1655</v>
      </c>
      <c r="E14" s="161" t="s">
        <v>39</v>
      </c>
      <c r="F14" s="119">
        <v>20640</v>
      </c>
      <c r="G14" s="117">
        <v>18319.138749999998</v>
      </c>
      <c r="H14" s="117">
        <v>27664.214577240022</v>
      </c>
      <c r="I14" s="152">
        <f>G14+H14</f>
        <v>45983.353327240024</v>
      </c>
      <c r="J14" s="119">
        <v>20811</v>
      </c>
      <c r="K14" s="117">
        <v>21702.883000000002</v>
      </c>
      <c r="L14" s="117"/>
      <c r="M14" s="162">
        <f>K14+L14</f>
        <v>21702.883000000002</v>
      </c>
      <c r="N14" s="88">
        <v>76</v>
      </c>
      <c r="O14" s="88">
        <v>78</v>
      </c>
      <c r="P14" s="88">
        <v>60</v>
      </c>
    </row>
    <row r="15" spans="1:27" x14ac:dyDescent="0.3">
      <c r="B15" s="28" t="s">
        <v>42</v>
      </c>
      <c r="C15" s="17">
        <f>35705-5179</f>
        <v>30526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3">
      <c r="B16" s="43" t="s">
        <v>47</v>
      </c>
      <c r="C16" s="17">
        <v>1569</v>
      </c>
      <c r="E16" s="161" t="s">
        <v>79</v>
      </c>
      <c r="F16" s="119">
        <v>0</v>
      </c>
      <c r="G16" s="117">
        <v>0</v>
      </c>
      <c r="H16" s="117">
        <v>8221.4805633799988</v>
      </c>
      <c r="I16" s="152">
        <f>G16+H16</f>
        <v>8221.4805633799988</v>
      </c>
      <c r="J16" s="119">
        <v>0</v>
      </c>
      <c r="K16" s="117">
        <v>0</v>
      </c>
      <c r="L16" s="117"/>
      <c r="M16" s="162">
        <f>K16+L16</f>
        <v>0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35">
      <c r="B17" s="43" t="s">
        <v>48</v>
      </c>
      <c r="C17" s="50">
        <v>397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10040</v>
      </c>
      <c r="E18" s="84"/>
      <c r="F18" s="148">
        <f t="shared" ref="F18:M18" si="0">SUM(F6:F17)</f>
        <v>76785</v>
      </c>
      <c r="G18" s="149">
        <f t="shared" si="0"/>
        <v>55211.259250000003</v>
      </c>
      <c r="H18" s="149">
        <f t="shared" si="0"/>
        <v>64677.303377330027</v>
      </c>
      <c r="I18" s="150">
        <f t="shared" si="0"/>
        <v>119888.56262733003</v>
      </c>
      <c r="J18" s="149">
        <f t="shared" si="0"/>
        <v>75612</v>
      </c>
      <c r="K18" s="149">
        <f t="shared" si="0"/>
        <v>60064.752999999982</v>
      </c>
      <c r="L18" s="149">
        <f t="shared" si="0"/>
        <v>0</v>
      </c>
      <c r="M18" s="157">
        <f t="shared" si="0"/>
        <v>60064.752999999982</v>
      </c>
      <c r="N18" s="149">
        <f>SUM(N16,N14,N12,N10,N8,N6)</f>
        <v>273</v>
      </c>
      <c r="O18" s="149">
        <f>SUM(O16,O14,O12,O10,O8,O6)</f>
        <v>266</v>
      </c>
      <c r="P18" s="158">
        <f>SUM(P16,P14,P12,P10,P8,P6)</f>
        <v>240</v>
      </c>
    </row>
    <row r="19" spans="2:28" ht="15" customHeight="1" thickBot="1" x14ac:dyDescent="0.35">
      <c r="B19" s="16" t="s">
        <v>51</v>
      </c>
      <c r="C19" s="17">
        <v>2209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x14ac:dyDescent="0.3">
      <c r="B20" s="16" t="s">
        <v>52</v>
      </c>
      <c r="C20" s="17">
        <v>5617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9.7744360902255634E-2</v>
      </c>
    </row>
    <row r="21" spans="2:28" ht="15" customHeight="1" thickBot="1" x14ac:dyDescent="0.35">
      <c r="B21" s="168" t="s">
        <v>132</v>
      </c>
      <c r="C21" s="169">
        <v>0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11353</v>
      </c>
      <c r="D25" s="76">
        <f>C13</f>
        <v>10953</v>
      </c>
      <c r="E25" s="77">
        <f t="shared" ref="E25:E33" si="1">D25-C25</f>
        <v>-400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39717</v>
      </c>
      <c r="D28" s="76">
        <f>C9+C14+C15+C16+C17</f>
        <v>35705</v>
      </c>
      <c r="E28" s="77">
        <f t="shared" si="1"/>
        <v>-4012</v>
      </c>
      <c r="P28" s="4"/>
    </row>
    <row r="29" spans="2:28" x14ac:dyDescent="0.3">
      <c r="B29" s="74" t="s">
        <v>21</v>
      </c>
      <c r="C29" s="122">
        <v>58</v>
      </c>
      <c r="D29" s="76">
        <f>C6</f>
        <v>58</v>
      </c>
      <c r="E29" s="77">
        <f t="shared" si="1"/>
        <v>0</v>
      </c>
      <c r="P29" s="4"/>
    </row>
    <row r="30" spans="2:28" x14ac:dyDescent="0.3">
      <c r="B30" s="74" t="s">
        <v>57</v>
      </c>
      <c r="C30" s="122">
        <v>2394</v>
      </c>
      <c r="D30" s="76">
        <f>C12</f>
        <v>2394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17015</v>
      </c>
      <c r="D31" s="76">
        <f>C18+C19+C20</f>
        <v>17866</v>
      </c>
      <c r="E31" s="77">
        <f t="shared" si="1"/>
        <v>851</v>
      </c>
      <c r="K31" s="53"/>
      <c r="P31" s="4"/>
    </row>
    <row r="32" spans="2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44756</v>
      </c>
    </row>
    <row r="3" spans="1:27" ht="18.75" customHeight="1" thickBot="1" x14ac:dyDescent="0.35">
      <c r="B3" t="s">
        <v>1</v>
      </c>
      <c r="C3" s="3">
        <f>C2+1</f>
        <v>44757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 t="s">
        <v>136</v>
      </c>
      <c r="B6" s="16" t="s">
        <v>21</v>
      </c>
      <c r="C6" s="17">
        <v>113</v>
      </c>
      <c r="E6" s="161" t="s">
        <v>22</v>
      </c>
      <c r="F6" s="119">
        <v>25509</v>
      </c>
      <c r="G6" s="117">
        <v>12439.769733333331</v>
      </c>
      <c r="H6" s="117">
        <v>6203.549623220003</v>
      </c>
      <c r="I6" s="152">
        <f>G6+H6</f>
        <v>18643.319356553333</v>
      </c>
      <c r="J6" s="119">
        <v>26942</v>
      </c>
      <c r="K6" s="117">
        <v>14389.966233333331</v>
      </c>
      <c r="L6" s="117">
        <v>0</v>
      </c>
      <c r="M6" s="162">
        <f>K6+L6</f>
        <v>14389.966233333331</v>
      </c>
      <c r="N6" s="87">
        <v>76</v>
      </c>
      <c r="O6" s="87">
        <v>70</v>
      </c>
      <c r="P6" s="87">
        <v>68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3432.7901127000009</v>
      </c>
      <c r="I8" s="152">
        <f>G8+H8</f>
        <v>3432.7901127000009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5</v>
      </c>
    </row>
    <row r="9" spans="1:27" x14ac:dyDescent="0.3">
      <c r="B9" s="16" t="s">
        <v>23</v>
      </c>
      <c r="C9" s="17">
        <v>2999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890</v>
      </c>
      <c r="E10" s="161" t="s">
        <v>31</v>
      </c>
      <c r="F10" s="119">
        <v>19028</v>
      </c>
      <c r="G10" s="117">
        <v>12476.97075</v>
      </c>
      <c r="H10" s="117">
        <v>1580.72194534</v>
      </c>
      <c r="I10" s="152">
        <f>G10+H10</f>
        <v>14057.69269534</v>
      </c>
      <c r="J10" s="119">
        <v>19250</v>
      </c>
      <c r="K10" s="117">
        <v>13011.99325</v>
      </c>
      <c r="L10" s="117">
        <v>0</v>
      </c>
      <c r="M10" s="162">
        <f>K10+L10</f>
        <v>13011.99325</v>
      </c>
      <c r="N10" s="88">
        <v>54</v>
      </c>
      <c r="O10" s="88">
        <v>51</v>
      </c>
      <c r="P10" s="88">
        <v>50</v>
      </c>
    </row>
    <row r="11" spans="1:27" x14ac:dyDescent="0.3">
      <c r="B11" s="28" t="s">
        <v>28</v>
      </c>
      <c r="C11" s="17">
        <v>565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/>
      <c r="B12" s="16" t="s">
        <v>30</v>
      </c>
      <c r="C12" s="17">
        <v>2456</v>
      </c>
      <c r="E12" s="161" t="s">
        <v>35</v>
      </c>
      <c r="F12" s="119">
        <v>16985</v>
      </c>
      <c r="G12" s="117">
        <v>12860.714</v>
      </c>
      <c r="H12" s="117">
        <v>20051.238502539989</v>
      </c>
      <c r="I12" s="152">
        <f>G12+H12</f>
        <v>32911.952502539993</v>
      </c>
      <c r="J12" s="119">
        <v>16806</v>
      </c>
      <c r="K12" s="117">
        <v>14309.88675</v>
      </c>
      <c r="L12" s="117">
        <v>0</v>
      </c>
      <c r="M12" s="162">
        <f>K12+L12</f>
        <v>14309.88675</v>
      </c>
      <c r="N12" s="88">
        <v>56</v>
      </c>
      <c r="O12" s="88">
        <v>55</v>
      </c>
      <c r="P12" s="88">
        <v>53</v>
      </c>
    </row>
    <row r="13" spans="1:27" x14ac:dyDescent="0.3">
      <c r="B13" s="16" t="s">
        <v>38</v>
      </c>
      <c r="C13" s="17">
        <v>10941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1941</v>
      </c>
      <c r="E14" s="161" t="s">
        <v>39</v>
      </c>
      <c r="F14" s="119">
        <v>27403</v>
      </c>
      <c r="G14" s="117">
        <v>19874.4725</v>
      </c>
      <c r="H14" s="117">
        <v>33110.843053800003</v>
      </c>
      <c r="I14" s="152">
        <f>G14+H14</f>
        <v>52985.315553799999</v>
      </c>
      <c r="J14" s="119">
        <v>27448</v>
      </c>
      <c r="K14" s="117">
        <v>23007.556250000001</v>
      </c>
      <c r="L14" s="117">
        <v>0</v>
      </c>
      <c r="M14" s="162">
        <f>K14+L14</f>
        <v>23007.556250000001</v>
      </c>
      <c r="N14" s="88">
        <v>77</v>
      </c>
      <c r="O14" s="88">
        <v>80</v>
      </c>
      <c r="P14" s="88">
        <v>62</v>
      </c>
    </row>
    <row r="15" spans="1:27" x14ac:dyDescent="0.3">
      <c r="B15" s="28" t="s">
        <v>42</v>
      </c>
      <c r="C15" s="17">
        <f>41070-6644</f>
        <v>34426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3">
      <c r="B16" s="43" t="s">
        <v>47</v>
      </c>
      <c r="C16" s="17">
        <v>1562</v>
      </c>
      <c r="E16" s="161" t="s">
        <v>79</v>
      </c>
      <c r="F16" s="119">
        <v>0</v>
      </c>
      <c r="G16" s="117">
        <v>0</v>
      </c>
      <c r="H16" s="117">
        <v>4794.2668573400006</v>
      </c>
      <c r="I16" s="152">
        <f>G16+H16</f>
        <v>4794.2668573400006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10</v>
      </c>
      <c r="O16" s="88">
        <v>9</v>
      </c>
      <c r="P16" s="88">
        <v>9</v>
      </c>
    </row>
    <row r="17" spans="2:28" s="4" customFormat="1" ht="15" customHeight="1" thickBot="1" x14ac:dyDescent="0.35">
      <c r="B17" s="43" t="s">
        <v>48</v>
      </c>
      <c r="C17" s="50">
        <v>142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9665</v>
      </c>
      <c r="E18" s="84"/>
      <c r="F18" s="148">
        <f t="shared" ref="F18:M18" si="0">SUM(F6:F17)</f>
        <v>88925</v>
      </c>
      <c r="G18" s="149">
        <f t="shared" si="0"/>
        <v>57651.926983333338</v>
      </c>
      <c r="H18" s="149">
        <f t="shared" si="0"/>
        <v>69173.410094939987</v>
      </c>
      <c r="I18" s="150">
        <f t="shared" si="0"/>
        <v>126825.33707827333</v>
      </c>
      <c r="J18" s="149">
        <f t="shared" si="0"/>
        <v>90446</v>
      </c>
      <c r="K18" s="149">
        <f t="shared" si="0"/>
        <v>64719.402483333331</v>
      </c>
      <c r="L18" s="149">
        <f t="shared" si="0"/>
        <v>0</v>
      </c>
      <c r="M18" s="157">
        <f t="shared" si="0"/>
        <v>64719.402483333331</v>
      </c>
      <c r="N18" s="149">
        <f>SUM(N16,N14,N12,N10,N8,N6)</f>
        <v>280</v>
      </c>
      <c r="O18" s="149">
        <f>SUM(O16,O14,O12,O10,O8,O6)</f>
        <v>272</v>
      </c>
      <c r="P18" s="158">
        <f>SUM(P16,P14,P12,P10,P8,P6)</f>
        <v>247</v>
      </c>
    </row>
    <row r="19" spans="2:28" ht="15" customHeight="1" thickBot="1" x14ac:dyDescent="0.35">
      <c r="B19" s="16" t="s">
        <v>51</v>
      </c>
      <c r="C19" s="17">
        <v>2308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x14ac:dyDescent="0.3">
      <c r="B20" s="16" t="s">
        <v>52</v>
      </c>
      <c r="C20" s="17">
        <v>5028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9.1911764705882359E-2</v>
      </c>
    </row>
    <row r="21" spans="2:28" ht="15" customHeight="1" thickBot="1" x14ac:dyDescent="0.35">
      <c r="B21" s="168" t="s">
        <v>132</v>
      </c>
      <c r="C21" s="169">
        <v>0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10714</v>
      </c>
      <c r="D25" s="76">
        <f>C13</f>
        <v>10941</v>
      </c>
      <c r="E25" s="77">
        <f t="shared" ref="E25:E33" si="1">D25-C25</f>
        <v>227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41138</v>
      </c>
      <c r="D28" s="76">
        <f>C9+C14+C15+C16+C17</f>
        <v>41070</v>
      </c>
      <c r="E28" s="77">
        <f t="shared" si="1"/>
        <v>-68</v>
      </c>
      <c r="P28" s="4"/>
    </row>
    <row r="29" spans="2:28" x14ac:dyDescent="0.3">
      <c r="B29" s="74" t="s">
        <v>21</v>
      </c>
      <c r="C29" s="122">
        <v>113</v>
      </c>
      <c r="D29" s="76">
        <f>C6</f>
        <v>113</v>
      </c>
      <c r="E29" s="77">
        <f t="shared" si="1"/>
        <v>0</v>
      </c>
      <c r="P29" s="4"/>
    </row>
    <row r="30" spans="2:28" x14ac:dyDescent="0.3">
      <c r="B30" s="74" t="s">
        <v>57</v>
      </c>
      <c r="C30" s="122">
        <v>2456</v>
      </c>
      <c r="D30" s="76">
        <f>C12</f>
        <v>2456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15750</v>
      </c>
      <c r="D31" s="76">
        <f>C18+C19+C20</f>
        <v>17001</v>
      </c>
      <c r="E31" s="77">
        <f t="shared" si="1"/>
        <v>1251</v>
      </c>
      <c r="K31" s="53"/>
      <c r="P31" s="4"/>
    </row>
    <row r="32" spans="2:28" x14ac:dyDescent="0.3">
      <c r="B32" s="74" t="s">
        <v>60</v>
      </c>
      <c r="C32" s="122">
        <v>1455</v>
      </c>
      <c r="D32" s="76">
        <f>C10+C11</f>
        <v>1455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tabColor theme="1"/>
    <pageSetUpPr fitToPage="1"/>
  </sheetPr>
  <dimension ref="A1:AB33"/>
  <sheetViews>
    <sheetView zoomScale="85" zoomScaleNormal="85" zoomScaleSheetLayoutView="70" workbookViewId="0">
      <selection activeCell="M36" sqref="M3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44757</v>
      </c>
    </row>
    <row r="3" spans="1:27" ht="18.75" customHeight="1" thickBot="1" x14ac:dyDescent="0.35">
      <c r="B3" t="s">
        <v>1</v>
      </c>
      <c r="C3" s="3">
        <f>C2+1</f>
        <v>44758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27572</v>
      </c>
      <c r="G6" s="117">
        <v>15211.564</v>
      </c>
      <c r="H6" s="117">
        <v>7089.8157995400024</v>
      </c>
      <c r="I6" s="152">
        <f>G6+H6</f>
        <v>22301.379799540002</v>
      </c>
      <c r="J6" s="119">
        <v>28085</v>
      </c>
      <c r="K6" s="117">
        <v>16234.155000000001</v>
      </c>
      <c r="L6" s="117">
        <v>206.06039999999999</v>
      </c>
      <c r="M6" s="162">
        <f>K6+L6</f>
        <v>16440.215400000001</v>
      </c>
      <c r="N6" s="87">
        <v>77</v>
      </c>
      <c r="O6" s="87">
        <v>74</v>
      </c>
      <c r="P6" s="87">
        <v>70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4431.4604142400003</v>
      </c>
      <c r="I8" s="152">
        <f>G8+H8</f>
        <v>4431.4604142400003</v>
      </c>
      <c r="J8" s="119">
        <v>0</v>
      </c>
      <c r="K8" s="117">
        <v>0</v>
      </c>
      <c r="L8" s="117">
        <v>777.08195000000001</v>
      </c>
      <c r="M8" s="162">
        <f>K8+L8</f>
        <v>777.08195000000001</v>
      </c>
      <c r="N8" s="87">
        <v>7</v>
      </c>
      <c r="O8" s="87">
        <v>7</v>
      </c>
      <c r="P8" s="87">
        <v>6</v>
      </c>
    </row>
    <row r="9" spans="1:27" x14ac:dyDescent="0.3">
      <c r="B9" s="16" t="s">
        <v>23</v>
      </c>
      <c r="C9" s="17">
        <v>2032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17249</v>
      </c>
      <c r="G10" s="117">
        <v>12449.1355</v>
      </c>
      <c r="H10" s="117">
        <v>682.01111800000001</v>
      </c>
      <c r="I10" s="152">
        <f>G10+H10</f>
        <v>13131.146618000001</v>
      </c>
      <c r="J10" s="119">
        <v>17596</v>
      </c>
      <c r="K10" s="117">
        <v>12956.567999999999</v>
      </c>
      <c r="L10" s="117">
        <v>0</v>
      </c>
      <c r="M10" s="162">
        <f>K10+L10</f>
        <v>12956.567999999999</v>
      </c>
      <c r="N10" s="88">
        <v>50</v>
      </c>
      <c r="O10" s="88">
        <v>48</v>
      </c>
      <c r="P10" s="88">
        <v>47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/>
      <c r="B12" s="16" t="s">
        <v>30</v>
      </c>
      <c r="C12" s="17">
        <v>4844</v>
      </c>
      <c r="E12" s="161" t="s">
        <v>35</v>
      </c>
      <c r="F12" s="119">
        <v>15993</v>
      </c>
      <c r="G12" s="117">
        <v>13273.35325</v>
      </c>
      <c r="H12" s="117">
        <v>19522.40666506</v>
      </c>
      <c r="I12" s="152">
        <f>G12+H12</f>
        <v>32795.75991506</v>
      </c>
      <c r="J12" s="119">
        <v>16324</v>
      </c>
      <c r="K12" s="117">
        <v>15477.098</v>
      </c>
      <c r="L12" s="117">
        <v>23.070855760000001</v>
      </c>
      <c r="M12" s="162">
        <f>K12+L12</f>
        <v>15500.168855759999</v>
      </c>
      <c r="N12" s="88">
        <v>58</v>
      </c>
      <c r="O12" s="88">
        <v>54</v>
      </c>
      <c r="P12" s="88">
        <v>52</v>
      </c>
    </row>
    <row r="13" spans="1:27" x14ac:dyDescent="0.3">
      <c r="B13" s="16" t="s">
        <v>38</v>
      </c>
      <c r="C13" s="17">
        <v>9548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2048</v>
      </c>
      <c r="E14" s="161" t="s">
        <v>39</v>
      </c>
      <c r="F14" s="119">
        <v>30943</v>
      </c>
      <c r="G14" s="117">
        <v>23115.813750000001</v>
      </c>
      <c r="H14" s="117">
        <v>38006.849297020002</v>
      </c>
      <c r="I14" s="152">
        <f>G14+H14</f>
        <v>61122.663047020003</v>
      </c>
      <c r="J14" s="119">
        <v>31020</v>
      </c>
      <c r="K14" s="117">
        <v>26481.203000000001</v>
      </c>
      <c r="L14" s="117">
        <v>239.70522500000001</v>
      </c>
      <c r="M14" s="162">
        <f>K14+L14</f>
        <v>26720.908225000003</v>
      </c>
      <c r="N14" s="88">
        <v>75</v>
      </c>
      <c r="O14" s="88">
        <v>75</v>
      </c>
      <c r="P14" s="88">
        <v>63</v>
      </c>
    </row>
    <row r="15" spans="1:27" x14ac:dyDescent="0.3">
      <c r="B15" s="28" t="s">
        <v>42</v>
      </c>
      <c r="C15" s="17">
        <f>43822-6406</f>
        <v>37416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1905</v>
      </c>
      <c r="E16" s="161" t="s">
        <v>79</v>
      </c>
      <c r="F16" s="119">
        <v>0</v>
      </c>
      <c r="G16" s="117">
        <v>0</v>
      </c>
      <c r="H16" s="117">
        <v>9106.1689272599997</v>
      </c>
      <c r="I16" s="152">
        <f>G16+H16</f>
        <v>9106.1689272599997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13</v>
      </c>
      <c r="P16" s="88">
        <v>13</v>
      </c>
    </row>
    <row r="17" spans="2:28" s="4" customFormat="1" ht="15" customHeight="1" thickBot="1" x14ac:dyDescent="0.35">
      <c r="B17" s="43" t="s">
        <v>48</v>
      </c>
      <c r="C17" s="50">
        <v>421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35">
      <c r="B18" s="16" t="s">
        <v>50</v>
      </c>
      <c r="C18" s="17">
        <v>9030</v>
      </c>
      <c r="E18" s="84"/>
      <c r="F18" s="148">
        <f t="shared" ref="F18:M18" si="0">SUM(F6:F17)</f>
        <v>91757</v>
      </c>
      <c r="G18" s="149">
        <f t="shared" si="0"/>
        <v>64049.866500000004</v>
      </c>
      <c r="H18" s="149">
        <f t="shared" si="0"/>
        <v>78838.712221120019</v>
      </c>
      <c r="I18" s="150">
        <f t="shared" si="0"/>
        <v>142888.57872111999</v>
      </c>
      <c r="J18" s="149">
        <f t="shared" si="0"/>
        <v>93025</v>
      </c>
      <c r="K18" s="149">
        <f t="shared" si="0"/>
        <v>71149.024000000005</v>
      </c>
      <c r="L18" s="149">
        <f t="shared" si="0"/>
        <v>1245.9184307599999</v>
      </c>
      <c r="M18" s="157">
        <f t="shared" si="0"/>
        <v>72394.942430759998</v>
      </c>
      <c r="N18" s="149">
        <f>SUM(N16,N14,N12,N10,N8,N6)</f>
        <v>281</v>
      </c>
      <c r="O18" s="149">
        <f>SUM(O16,O14,O12,O10,O8,O6)</f>
        <v>271</v>
      </c>
      <c r="P18" s="158">
        <f>SUM(P16,P14,P12,P10,P8,P6)</f>
        <v>251</v>
      </c>
    </row>
    <row r="19" spans="2:28" ht="15" customHeight="1" thickBot="1" x14ac:dyDescent="0.35">
      <c r="B19" s="16" t="s">
        <v>51</v>
      </c>
      <c r="C19" s="17">
        <v>567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</row>
    <row r="20" spans="2:28" x14ac:dyDescent="0.3">
      <c r="B20" s="16" t="s">
        <v>52</v>
      </c>
      <c r="C20" s="17">
        <v>5274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7.3800738007380073E-2</v>
      </c>
    </row>
    <row r="21" spans="2:28" ht="15" customHeight="1" thickBot="1" x14ac:dyDescent="0.35">
      <c r="B21" s="168" t="s">
        <v>132</v>
      </c>
      <c r="C21" s="169">
        <v>1080</v>
      </c>
    </row>
    <row r="22" spans="2:28" ht="15" customHeight="1" thickBot="1" x14ac:dyDescent="0.35"/>
    <row r="23" spans="2:28" ht="15" customHeight="1" thickBot="1" x14ac:dyDescent="0.35">
      <c r="C23" s="68" t="s">
        <v>2</v>
      </c>
      <c r="D23" s="209" t="s">
        <v>3</v>
      </c>
      <c r="E23" s="210"/>
      <c r="H23" s="53"/>
    </row>
    <row r="24" spans="2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3">
      <c r="B25" s="74" t="s">
        <v>55</v>
      </c>
      <c r="C25" s="122">
        <v>9406</v>
      </c>
      <c r="D25" s="76">
        <f>C13</f>
        <v>9548</v>
      </c>
      <c r="E25" s="77">
        <f t="shared" ref="E25:E33" si="1">D25-C25</f>
        <v>142</v>
      </c>
    </row>
    <row r="26" spans="2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3">
      <c r="B28" s="74" t="s">
        <v>56</v>
      </c>
      <c r="C28" s="122">
        <v>43359</v>
      </c>
      <c r="D28" s="76">
        <f>C9+C14+C15+C16+C17</f>
        <v>43822</v>
      </c>
      <c r="E28" s="77">
        <f t="shared" si="1"/>
        <v>463</v>
      </c>
      <c r="P28" s="4"/>
    </row>
    <row r="29" spans="2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2:28" x14ac:dyDescent="0.3">
      <c r="B30" s="74" t="s">
        <v>57</v>
      </c>
      <c r="C30" s="122">
        <v>4844</v>
      </c>
      <c r="D30" s="76">
        <f>C12</f>
        <v>4844</v>
      </c>
      <c r="E30" s="77">
        <f t="shared" si="1"/>
        <v>0</v>
      </c>
      <c r="J30" s="53"/>
      <c r="K30" s="53"/>
      <c r="P30" s="4"/>
    </row>
    <row r="31" spans="2:28" x14ac:dyDescent="0.3">
      <c r="B31" s="74" t="s">
        <v>59</v>
      </c>
      <c r="C31" s="122">
        <v>14260</v>
      </c>
      <c r="D31" s="76">
        <f>C18+C19+C20</f>
        <v>14871</v>
      </c>
      <c r="E31" s="77">
        <f t="shared" si="1"/>
        <v>611</v>
      </c>
      <c r="K31" s="53"/>
      <c r="P31" s="4"/>
    </row>
    <row r="32" spans="2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1080</v>
      </c>
      <c r="D33" s="80">
        <f>C21</f>
        <v>1080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tabColor theme="1"/>
    <pageSetUpPr fitToPage="1"/>
  </sheetPr>
  <dimension ref="A1:AB36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44758</v>
      </c>
    </row>
    <row r="3" spans="1:27" ht="18.75" customHeight="1" thickBot="1" x14ac:dyDescent="0.35">
      <c r="B3" t="s">
        <v>1</v>
      </c>
      <c r="C3" s="3">
        <f>C2+1</f>
        <v>44759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65</v>
      </c>
      <c r="E6" s="161" t="s">
        <v>22</v>
      </c>
      <c r="F6" s="119">
        <v>27732</v>
      </c>
      <c r="G6" s="117">
        <v>12022.171633333341</v>
      </c>
      <c r="H6" s="117">
        <v>6768.246348000006</v>
      </c>
      <c r="I6" s="152">
        <f>G6+H6</f>
        <v>18790.417981333347</v>
      </c>
      <c r="J6" s="119">
        <v>28497</v>
      </c>
      <c r="K6" s="117">
        <v>13731.41888333333</v>
      </c>
      <c r="L6" s="117">
        <v>0</v>
      </c>
      <c r="M6" s="162">
        <f>K6+L6</f>
        <v>13731.41888333333</v>
      </c>
      <c r="N6" s="87">
        <v>79</v>
      </c>
      <c r="O6" s="87">
        <v>76</v>
      </c>
      <c r="P6" s="87">
        <v>74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4239.5820750399998</v>
      </c>
      <c r="I8" s="152">
        <f>G8+H8</f>
        <v>4239.5820750399998</v>
      </c>
      <c r="J8" s="119">
        <v>0</v>
      </c>
      <c r="K8" s="117">
        <v>0</v>
      </c>
      <c r="L8" s="117">
        <v>736.81999999999994</v>
      </c>
      <c r="M8" s="162">
        <f>K8+L8</f>
        <v>736.81999999999994</v>
      </c>
      <c r="N8" s="87">
        <v>7</v>
      </c>
      <c r="O8" s="87">
        <v>7</v>
      </c>
      <c r="P8" s="87">
        <v>3</v>
      </c>
    </row>
    <row r="9" spans="1:27" x14ac:dyDescent="0.3">
      <c r="B9" s="16" t="s">
        <v>23</v>
      </c>
      <c r="C9" s="17">
        <v>2237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4</v>
      </c>
    </row>
    <row r="10" spans="1:27" x14ac:dyDescent="0.3">
      <c r="B10" s="28" t="s">
        <v>26</v>
      </c>
      <c r="C10" s="17">
        <v>720</v>
      </c>
      <c r="E10" s="161" t="s">
        <v>31</v>
      </c>
      <c r="F10" s="119">
        <v>17869</v>
      </c>
      <c r="G10" s="117">
        <v>11827.0695</v>
      </c>
      <c r="H10" s="117">
        <v>1427.0493977599999</v>
      </c>
      <c r="I10" s="152">
        <f>G10+H10</f>
        <v>13254.11889776</v>
      </c>
      <c r="J10" s="119">
        <v>17982</v>
      </c>
      <c r="K10" s="117">
        <v>12769.951499999999</v>
      </c>
      <c r="L10" s="117">
        <v>0</v>
      </c>
      <c r="M10" s="162">
        <f>K10+L10</f>
        <v>12769.951499999999</v>
      </c>
      <c r="N10" s="88">
        <v>50</v>
      </c>
      <c r="O10" s="88">
        <v>48</v>
      </c>
      <c r="P10" s="88">
        <v>45</v>
      </c>
    </row>
    <row r="11" spans="1:27" x14ac:dyDescent="0.3">
      <c r="B11" s="28" t="s">
        <v>28</v>
      </c>
      <c r="C11" s="17">
        <v>455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2091</v>
      </c>
      <c r="E12" s="161" t="s">
        <v>35</v>
      </c>
      <c r="F12" s="119">
        <v>18264</v>
      </c>
      <c r="G12" s="117">
        <v>12588.405083333329</v>
      </c>
      <c r="H12" s="117">
        <v>21624.82931524</v>
      </c>
      <c r="I12" s="152">
        <f>G12+H12</f>
        <v>34213.234398573331</v>
      </c>
      <c r="J12" s="119">
        <v>18239</v>
      </c>
      <c r="K12" s="117">
        <v>15513.86041666667</v>
      </c>
      <c r="L12" s="117">
        <v>0</v>
      </c>
      <c r="M12" s="162">
        <f>K12+L12</f>
        <v>15513.86041666667</v>
      </c>
      <c r="N12" s="88">
        <v>53</v>
      </c>
      <c r="O12" s="88">
        <v>48</v>
      </c>
      <c r="P12" s="88">
        <v>47</v>
      </c>
    </row>
    <row r="13" spans="1:27" x14ac:dyDescent="0.3">
      <c r="B13" s="16" t="s">
        <v>38</v>
      </c>
      <c r="C13" s="17">
        <v>11144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1:27" x14ac:dyDescent="0.3">
      <c r="B14" s="16" t="s">
        <v>40</v>
      </c>
      <c r="C14" s="17">
        <v>1662</v>
      </c>
      <c r="E14" s="161" t="s">
        <v>39</v>
      </c>
      <c r="F14" s="119">
        <v>20858</v>
      </c>
      <c r="G14" s="117">
        <v>21252.228749999998</v>
      </c>
      <c r="H14" s="117">
        <v>24665.571942359991</v>
      </c>
      <c r="I14" s="152">
        <f>G14+H14</f>
        <v>45917.80069235999</v>
      </c>
      <c r="J14" s="119">
        <v>20907</v>
      </c>
      <c r="K14" s="117">
        <v>16997.172999999999</v>
      </c>
      <c r="L14" s="117">
        <v>0</v>
      </c>
      <c r="M14" s="162">
        <f>K14+L14</f>
        <v>16997.172999999999</v>
      </c>
      <c r="N14" s="88">
        <v>67</v>
      </c>
      <c r="O14" s="88">
        <v>67</v>
      </c>
      <c r="P14" s="88">
        <v>56</v>
      </c>
    </row>
    <row r="15" spans="1:27" x14ac:dyDescent="0.3">
      <c r="B15" s="28" t="s">
        <v>42</v>
      </c>
      <c r="C15" s="17">
        <f>36787-5375</f>
        <v>31412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47</v>
      </c>
      <c r="C16" s="17">
        <v>1328</v>
      </c>
      <c r="E16" s="161" t="s">
        <v>79</v>
      </c>
      <c r="F16" s="119">
        <v>0</v>
      </c>
      <c r="G16" s="117">
        <v>0</v>
      </c>
      <c r="H16" s="117">
        <v>4910.6630726599997</v>
      </c>
      <c r="I16" s="152">
        <f>G16+H16</f>
        <v>4910.6630726599997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11</v>
      </c>
      <c r="P16" s="88">
        <v>11</v>
      </c>
    </row>
    <row r="17" spans="1:28" s="4" customFormat="1" ht="15" customHeight="1" thickBot="1" x14ac:dyDescent="0.3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10701</v>
      </c>
      <c r="E18" s="84"/>
      <c r="F18" s="148">
        <f t="shared" ref="F18:M18" si="0">SUM(F6:F17)</f>
        <v>84723</v>
      </c>
      <c r="G18" s="149">
        <f t="shared" si="0"/>
        <v>57689.87496666667</v>
      </c>
      <c r="H18" s="149">
        <f t="shared" si="0"/>
        <v>63635.942151059993</v>
      </c>
      <c r="I18" s="150">
        <f t="shared" si="0"/>
        <v>121325.81711772666</v>
      </c>
      <c r="J18" s="149">
        <f t="shared" si="0"/>
        <v>85625</v>
      </c>
      <c r="K18" s="149">
        <f t="shared" si="0"/>
        <v>59012.4038</v>
      </c>
      <c r="L18" s="149">
        <f t="shared" si="0"/>
        <v>736.81999999999994</v>
      </c>
      <c r="M18" s="157">
        <f t="shared" si="0"/>
        <v>59749.223799999992</v>
      </c>
      <c r="N18" s="149">
        <f>SUM(N16,N14,N12,N10,N8,N6)</f>
        <v>268</v>
      </c>
      <c r="O18" s="149">
        <f>SUM(O16,O14,O12,O10,O8,O6)</f>
        <v>257</v>
      </c>
      <c r="P18" s="158">
        <f>SUM(P16,P14,P12,P10,P8,P6)</f>
        <v>236</v>
      </c>
    </row>
    <row r="19" spans="1:28" ht="15" customHeight="1" thickBot="1" x14ac:dyDescent="0.35">
      <c r="B19" s="16" t="s">
        <v>51</v>
      </c>
      <c r="C19" s="17">
        <v>1723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1:28" x14ac:dyDescent="0.3">
      <c r="B20" s="16" t="s">
        <v>52</v>
      </c>
      <c r="C20" s="17">
        <v>5368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8.171206225680934E-2</v>
      </c>
    </row>
    <row r="21" spans="1:28" ht="15" customHeight="1" thickBot="1" x14ac:dyDescent="0.35">
      <c r="A21" s="123"/>
      <c r="B21" s="168" t="s">
        <v>132</v>
      </c>
      <c r="C21" s="169">
        <v>350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11833</v>
      </c>
      <c r="D25" s="76">
        <f>C13</f>
        <v>11144</v>
      </c>
      <c r="E25" s="77">
        <f t="shared" ref="E25:E33" si="1">D25-C25</f>
        <v>-689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36807</v>
      </c>
      <c r="D28" s="76">
        <f>C9+C14+C15+C16+C17</f>
        <v>36787</v>
      </c>
      <c r="E28" s="77">
        <f t="shared" si="1"/>
        <v>-20</v>
      </c>
      <c r="P28" s="4"/>
    </row>
    <row r="29" spans="1:28" x14ac:dyDescent="0.3">
      <c r="B29" s="74" t="s">
        <v>21</v>
      </c>
      <c r="C29" s="122">
        <v>65</v>
      </c>
      <c r="D29" s="76">
        <f>C6</f>
        <v>65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2091</v>
      </c>
      <c r="D30" s="76">
        <f>C12</f>
        <v>2091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16355</v>
      </c>
      <c r="D31" s="76">
        <f>C18+C19+C20</f>
        <v>17792</v>
      </c>
      <c r="E31" s="77">
        <f t="shared" si="1"/>
        <v>1437</v>
      </c>
      <c r="K31" s="53"/>
      <c r="P31" s="4"/>
    </row>
    <row r="32" spans="1:28" x14ac:dyDescent="0.3">
      <c r="B32" s="74" t="s">
        <v>60</v>
      </c>
      <c r="C32" s="122">
        <v>1175</v>
      </c>
      <c r="D32" s="76">
        <f>C10+C11</f>
        <v>1175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350</v>
      </c>
      <c r="D33" s="80">
        <f>C21</f>
        <v>350</v>
      </c>
      <c r="E33" s="172">
        <f t="shared" si="1"/>
        <v>0</v>
      </c>
    </row>
    <row r="34" spans="2:5" x14ac:dyDescent="0.3">
      <c r="B34" s="173" t="s">
        <v>137</v>
      </c>
    </row>
    <row r="35" spans="2:5" x14ac:dyDescent="0.3">
      <c r="B35" s="173">
        <v>102588</v>
      </c>
    </row>
    <row r="36" spans="2:5" x14ac:dyDescent="0.3">
      <c r="B36" s="173">
        <v>102589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tabColor theme="1"/>
    <pageSetUpPr fitToPage="1"/>
  </sheetPr>
  <dimension ref="A1:AB33"/>
  <sheetViews>
    <sheetView zoomScale="85" zoomScaleNormal="85" zoomScaleSheetLayoutView="70" workbookViewId="0">
      <selection activeCell="H22" sqref="H2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44759</v>
      </c>
    </row>
    <row r="3" spans="1:27" ht="18.75" customHeight="1" thickBot="1" x14ac:dyDescent="0.35">
      <c r="B3" t="s">
        <v>1</v>
      </c>
      <c r="C3" s="3">
        <f>C2+1</f>
        <v>44760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10695</v>
      </c>
      <c r="G6" s="117">
        <v>3610</v>
      </c>
      <c r="H6" s="117">
        <v>2770</v>
      </c>
      <c r="I6" s="152">
        <f>G6+H6</f>
        <v>6380</v>
      </c>
      <c r="J6" s="119">
        <v>10637</v>
      </c>
      <c r="K6" s="117">
        <v>3585</v>
      </c>
      <c r="L6" s="117">
        <v>0</v>
      </c>
      <c r="M6" s="162">
        <f>K6+L6</f>
        <v>3585</v>
      </c>
      <c r="N6" s="87">
        <v>43</v>
      </c>
      <c r="O6" s="87">
        <v>41</v>
      </c>
      <c r="P6" s="87">
        <v>38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1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5365</v>
      </c>
      <c r="G10" s="117">
        <v>2774</v>
      </c>
      <c r="H10" s="117">
        <v>797</v>
      </c>
      <c r="I10" s="152">
        <f>G10+H10</f>
        <v>3571</v>
      </c>
      <c r="J10" s="119">
        <v>5298</v>
      </c>
      <c r="K10" s="117">
        <v>2737</v>
      </c>
      <c r="L10" s="117">
        <v>0</v>
      </c>
      <c r="M10" s="162">
        <f>K10+L10</f>
        <v>2737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6</v>
      </c>
      <c r="O14" s="88">
        <v>6</v>
      </c>
      <c r="P14" s="88">
        <v>5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9592</v>
      </c>
      <c r="E18" s="84"/>
      <c r="F18" s="148">
        <f t="shared" ref="F18:M18" si="0">SUM(F6:F17)</f>
        <v>16060</v>
      </c>
      <c r="G18" s="149">
        <f t="shared" si="0"/>
        <v>6384</v>
      </c>
      <c r="H18" s="149">
        <f t="shared" si="0"/>
        <v>3567</v>
      </c>
      <c r="I18" s="150">
        <f t="shared" si="0"/>
        <v>9951</v>
      </c>
      <c r="J18" s="149">
        <f t="shared" si="0"/>
        <v>15935</v>
      </c>
      <c r="K18" s="149">
        <f t="shared" si="0"/>
        <v>6322</v>
      </c>
      <c r="L18" s="149">
        <f t="shared" si="0"/>
        <v>0</v>
      </c>
      <c r="M18" s="157">
        <f t="shared" si="0"/>
        <v>6322</v>
      </c>
      <c r="N18" s="149">
        <f>SUM(N16,N14,N12,N10,N8,N6)</f>
        <v>50</v>
      </c>
      <c r="O18" s="149">
        <f>SUM(O16,O14,O12,O10,O8,O6)</f>
        <v>48</v>
      </c>
      <c r="P18" s="158">
        <f>SUM(P16,P14,P12,P10,P8,P6)</f>
        <v>44</v>
      </c>
    </row>
    <row r="19" spans="1:28" ht="15" customHeight="1" thickBot="1" x14ac:dyDescent="0.35">
      <c r="B19" s="16" t="s">
        <v>51</v>
      </c>
      <c r="C19" s="17">
        <v>1007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</row>
    <row r="20" spans="1:28" x14ac:dyDescent="0.3">
      <c r="B20" s="16" t="s">
        <v>52</v>
      </c>
      <c r="C20" s="17">
        <v>5336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8.3333333333333329E-2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16060</v>
      </c>
      <c r="D31" s="76">
        <f>C18+C19+C20</f>
        <v>15935</v>
      </c>
      <c r="E31" s="77">
        <f t="shared" si="1"/>
        <v>-125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tabColor theme="1"/>
    <pageSetUpPr fitToPage="1"/>
  </sheetPr>
  <dimension ref="A1:AB33"/>
  <sheetViews>
    <sheetView zoomScale="85" zoomScaleNormal="85" zoomScaleSheetLayoutView="70" workbookViewId="0">
      <selection activeCell="H27" sqref="H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44760</v>
      </c>
    </row>
    <row r="3" spans="1:27" ht="18.75" customHeight="1" thickBot="1" x14ac:dyDescent="0.35">
      <c r="B3" t="s">
        <v>1</v>
      </c>
      <c r="C3" s="3">
        <f>C2+1</f>
        <v>44761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64</v>
      </c>
      <c r="E6" s="161" t="s">
        <v>22</v>
      </c>
      <c r="F6" s="119">
        <v>26470</v>
      </c>
      <c r="G6" s="117">
        <v>13712.105466666661</v>
      </c>
      <c r="H6" s="117">
        <v>6786.6883733400009</v>
      </c>
      <c r="I6" s="152">
        <f>G6+H6</f>
        <v>20498.793840006663</v>
      </c>
      <c r="J6" s="119">
        <v>26290</v>
      </c>
      <c r="K6" s="117">
        <v>13884.67196666666</v>
      </c>
      <c r="L6" s="117">
        <v>105.0504</v>
      </c>
      <c r="M6" s="162">
        <f>K6+L6</f>
        <v>13989.72236666666</v>
      </c>
      <c r="N6" s="87">
        <v>72</v>
      </c>
      <c r="O6" s="87">
        <v>71</v>
      </c>
      <c r="P6" s="87">
        <v>64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3992.5128413600009</v>
      </c>
      <c r="I8" s="152">
        <f>G8+H8</f>
        <v>3992.5128413600009</v>
      </c>
      <c r="J8" s="119">
        <v>0</v>
      </c>
      <c r="K8" s="117">
        <v>0</v>
      </c>
      <c r="L8" s="117">
        <v>649.98050000000001</v>
      </c>
      <c r="M8" s="162">
        <f>K8+L8</f>
        <v>649.98050000000001</v>
      </c>
      <c r="N8" s="87">
        <v>7</v>
      </c>
      <c r="O8" s="87">
        <v>7</v>
      </c>
      <c r="P8" s="87">
        <v>4</v>
      </c>
    </row>
    <row r="9" spans="1:27" x14ac:dyDescent="0.3">
      <c r="B9" s="16" t="s">
        <v>23</v>
      </c>
      <c r="C9" s="17">
        <v>1624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1:27" x14ac:dyDescent="0.3">
      <c r="B10" s="28" t="s">
        <v>26</v>
      </c>
      <c r="C10" s="17">
        <v>380</v>
      </c>
      <c r="E10" s="161" t="s">
        <v>31</v>
      </c>
      <c r="F10" s="119">
        <v>17517</v>
      </c>
      <c r="G10" s="117">
        <v>12122.144666666671</v>
      </c>
      <c r="H10" s="117">
        <v>874.2816654999998</v>
      </c>
      <c r="I10" s="152">
        <f>G10+H10</f>
        <v>12996.426332166671</v>
      </c>
      <c r="J10" s="119">
        <v>18794</v>
      </c>
      <c r="K10" s="117">
        <v>13206.23416666666</v>
      </c>
      <c r="L10" s="117">
        <v>0</v>
      </c>
      <c r="M10" s="162">
        <f>K10+L10</f>
        <v>13206.23416666666</v>
      </c>
      <c r="N10" s="88">
        <v>48</v>
      </c>
      <c r="O10" s="88">
        <v>47</v>
      </c>
      <c r="P10" s="88">
        <v>43</v>
      </c>
    </row>
    <row r="11" spans="1:27" x14ac:dyDescent="0.3">
      <c r="B11" s="28" t="s">
        <v>28</v>
      </c>
      <c r="C11" s="17">
        <v>250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2326</v>
      </c>
      <c r="E12" s="161" t="s">
        <v>35</v>
      </c>
      <c r="F12" s="119">
        <v>12694</v>
      </c>
      <c r="G12" s="117">
        <v>10936.436416666669</v>
      </c>
      <c r="H12" s="117">
        <v>15576.34813226</v>
      </c>
      <c r="I12" s="152">
        <f>G12+H12</f>
        <v>26512.784548926669</v>
      </c>
      <c r="J12" s="119">
        <v>12577</v>
      </c>
      <c r="K12" s="117">
        <v>10991.71891666667</v>
      </c>
      <c r="L12" s="117">
        <v>13.13416176</v>
      </c>
      <c r="M12" s="162">
        <f>K12+L12</f>
        <v>11004.85307842667</v>
      </c>
      <c r="N12" s="88">
        <v>50</v>
      </c>
      <c r="O12" s="88">
        <v>48</v>
      </c>
      <c r="P12" s="88">
        <v>47</v>
      </c>
    </row>
    <row r="13" spans="1:27" x14ac:dyDescent="0.3">
      <c r="B13" s="16" t="s">
        <v>38</v>
      </c>
      <c r="C13" s="17">
        <v>8274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1:27" x14ac:dyDescent="0.3">
      <c r="B14" s="16" t="s">
        <v>40</v>
      </c>
      <c r="C14" s="17">
        <v>1806</v>
      </c>
      <c r="E14" s="161" t="s">
        <v>39</v>
      </c>
      <c r="F14" s="119">
        <v>23500</v>
      </c>
      <c r="G14" s="117">
        <v>20721.877499999999</v>
      </c>
      <c r="H14" s="117">
        <v>30422.700256020009</v>
      </c>
      <c r="I14" s="152">
        <f>G14+H14</f>
        <v>51144.577756020008</v>
      </c>
      <c r="J14" s="119">
        <v>23212</v>
      </c>
      <c r="K14" s="117">
        <v>22191.6855</v>
      </c>
      <c r="L14" s="117">
        <v>124.234075</v>
      </c>
      <c r="M14" s="162">
        <f>K14+L14</f>
        <v>22315.919575</v>
      </c>
      <c r="N14" s="88">
        <v>71</v>
      </c>
      <c r="O14" s="88">
        <v>71</v>
      </c>
      <c r="P14" s="88">
        <v>60</v>
      </c>
    </row>
    <row r="15" spans="1:27" x14ac:dyDescent="0.3">
      <c r="B15" s="28" t="s">
        <v>42</v>
      </c>
      <c r="C15" s="17">
        <v>31206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47</v>
      </c>
      <c r="C16" s="17">
        <v>1713</v>
      </c>
      <c r="E16" s="161" t="s">
        <v>79</v>
      </c>
      <c r="F16" s="119">
        <v>0</v>
      </c>
      <c r="G16" s="117">
        <v>0</v>
      </c>
      <c r="H16" s="117">
        <v>8107.7573033999997</v>
      </c>
      <c r="I16" s="152">
        <f>G16+H16</f>
        <v>8107.7573033999997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10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402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10759</v>
      </c>
      <c r="E18" s="84"/>
      <c r="F18" s="148">
        <f t="shared" ref="F18:M18" si="0">SUM(F6:F17)</f>
        <v>80181</v>
      </c>
      <c r="G18" s="149">
        <f t="shared" si="0"/>
        <v>57492.564050000001</v>
      </c>
      <c r="H18" s="149">
        <f t="shared" si="0"/>
        <v>65760.28857188001</v>
      </c>
      <c r="I18" s="150">
        <f t="shared" si="0"/>
        <v>123252.85262188001</v>
      </c>
      <c r="J18" s="149">
        <f t="shared" si="0"/>
        <v>80873</v>
      </c>
      <c r="K18" s="149">
        <f t="shared" si="0"/>
        <v>60274.310549999987</v>
      </c>
      <c r="L18" s="149">
        <f t="shared" si="0"/>
        <v>892.39913675999992</v>
      </c>
      <c r="M18" s="157">
        <f t="shared" si="0"/>
        <v>61166.70968675999</v>
      </c>
      <c r="N18" s="149">
        <f>SUM(N16,N14,N12,N10,N8,N6)</f>
        <v>259</v>
      </c>
      <c r="O18" s="149">
        <f>SUM(O16,O14,O12,O10,O8,O6)</f>
        <v>254</v>
      </c>
      <c r="P18" s="158">
        <f>SUM(P16,P14,P12,P10,P8,P6)</f>
        <v>228</v>
      </c>
    </row>
    <row r="19" spans="1:28" ht="15" customHeight="1" thickBot="1" x14ac:dyDescent="0.35">
      <c r="B19" s="16" t="s">
        <v>51</v>
      </c>
      <c r="C19" s="17">
        <v>1382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x14ac:dyDescent="0.3">
      <c r="B20" s="16" t="s">
        <v>52</v>
      </c>
      <c r="C20" s="17">
        <v>5132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0.10236220472440945</v>
      </c>
    </row>
    <row r="21" spans="1:28" ht="15" customHeight="1" thickBot="1" x14ac:dyDescent="0.35">
      <c r="A21" s="123"/>
      <c r="B21" s="168" t="s">
        <v>132</v>
      </c>
      <c r="C21" s="169">
        <v>673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8845</v>
      </c>
      <c r="D25" s="76">
        <f>C13</f>
        <v>8274</v>
      </c>
      <c r="E25" s="77">
        <f t="shared" ref="E25:E33" si="1">D25-C25</f>
        <v>-571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35757</v>
      </c>
      <c r="D28" s="76">
        <f>C9+C14+C15+C16+C17</f>
        <v>36751</v>
      </c>
      <c r="E28" s="77">
        <f t="shared" si="1"/>
        <v>994</v>
      </c>
      <c r="P28" s="4"/>
    </row>
    <row r="29" spans="1:28" x14ac:dyDescent="0.3">
      <c r="B29" s="74" t="s">
        <v>21</v>
      </c>
      <c r="C29" s="122">
        <v>64</v>
      </c>
      <c r="D29" s="76">
        <f>C6</f>
        <v>64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2326</v>
      </c>
      <c r="D30" s="76">
        <f>C12</f>
        <v>2326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16580</v>
      </c>
      <c r="D31" s="76">
        <f>C18+C19+C20</f>
        <v>17273</v>
      </c>
      <c r="E31" s="77">
        <f t="shared" si="1"/>
        <v>693</v>
      </c>
      <c r="K31" s="53"/>
      <c r="P31" s="4"/>
    </row>
    <row r="32" spans="1:28" x14ac:dyDescent="0.3">
      <c r="B32" s="74" t="s">
        <v>60</v>
      </c>
      <c r="C32" s="122">
        <v>630</v>
      </c>
      <c r="D32" s="76">
        <f>C10+C11</f>
        <v>630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673</v>
      </c>
      <c r="D33" s="80">
        <f>C21</f>
        <v>673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tabColor theme="1"/>
    <pageSetUpPr fitToPage="1"/>
  </sheetPr>
  <dimension ref="A1:AB33"/>
  <sheetViews>
    <sheetView zoomScale="85" zoomScaleNormal="85" zoomScaleSheetLayoutView="70" workbookViewId="0">
      <selection activeCell="L40" sqref="L4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44761</v>
      </c>
    </row>
    <row r="3" spans="1:27" ht="18.75" customHeight="1" thickBot="1" x14ac:dyDescent="0.35">
      <c r="B3" t="s">
        <v>1</v>
      </c>
      <c r="C3" s="3">
        <f>C2+1</f>
        <v>44762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135</v>
      </c>
      <c r="E6" s="161" t="s">
        <v>22</v>
      </c>
      <c r="F6" s="119">
        <v>28020</v>
      </c>
      <c r="G6" s="117">
        <v>11408.011425000001</v>
      </c>
      <c r="H6" s="117">
        <v>6455.7327434600011</v>
      </c>
      <c r="I6" s="152">
        <f>G6+H6</f>
        <v>17863.744168460002</v>
      </c>
      <c r="J6" s="119">
        <v>28186</v>
      </c>
      <c r="K6" s="117">
        <v>12370.341425000001</v>
      </c>
      <c r="L6" s="117">
        <v>107.0706</v>
      </c>
      <c r="M6" s="162">
        <f>K6+L6</f>
        <v>12477.412025</v>
      </c>
      <c r="N6" s="87">
        <v>79</v>
      </c>
      <c r="O6" s="87">
        <v>75</v>
      </c>
      <c r="P6" s="87">
        <v>73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3269.2143377000002</v>
      </c>
      <c r="I8" s="152">
        <f>G8+H8</f>
        <v>3269.2143377000002</v>
      </c>
      <c r="J8" s="119">
        <v>0</v>
      </c>
      <c r="K8" s="117">
        <v>0</v>
      </c>
      <c r="L8" s="117">
        <v>555.64122499999996</v>
      </c>
      <c r="M8" s="162">
        <f>K8+L8</f>
        <v>555.64122499999996</v>
      </c>
      <c r="N8" s="87">
        <v>7</v>
      </c>
      <c r="O8" s="87">
        <v>5</v>
      </c>
      <c r="P8" s="87">
        <v>4</v>
      </c>
    </row>
    <row r="9" spans="1:27" x14ac:dyDescent="0.3">
      <c r="B9" s="16" t="s">
        <v>23</v>
      </c>
      <c r="C9" s="17">
        <v>2775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795</v>
      </c>
      <c r="E10" s="161" t="s">
        <v>31</v>
      </c>
      <c r="F10" s="119">
        <v>17040</v>
      </c>
      <c r="G10" s="117">
        <v>9219.7278333333306</v>
      </c>
      <c r="H10" s="117">
        <v>1426.27531572</v>
      </c>
      <c r="I10" s="152">
        <f>G10+H10</f>
        <v>10646.003149053331</v>
      </c>
      <c r="J10" s="119">
        <v>19389</v>
      </c>
      <c r="K10" s="117">
        <v>12097.462833333329</v>
      </c>
      <c r="L10" s="117">
        <v>0</v>
      </c>
      <c r="M10" s="162">
        <f>K10+L10</f>
        <v>12097.462833333329</v>
      </c>
      <c r="N10" s="88">
        <v>52</v>
      </c>
      <c r="O10" s="88">
        <v>52</v>
      </c>
      <c r="P10" s="88">
        <v>49</v>
      </c>
    </row>
    <row r="11" spans="1:27" x14ac:dyDescent="0.3">
      <c r="B11" s="28" t="s">
        <v>28</v>
      </c>
      <c r="C11" s="17">
        <v>520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2500</v>
      </c>
      <c r="E12" s="161" t="s">
        <v>35</v>
      </c>
      <c r="F12" s="119">
        <v>14565</v>
      </c>
      <c r="G12" s="117">
        <v>10136.441500000001</v>
      </c>
      <c r="H12" s="117">
        <v>16912.896449889999</v>
      </c>
      <c r="I12" s="152">
        <f>G12+H12</f>
        <v>27049.337949889999</v>
      </c>
      <c r="J12" s="119">
        <v>14533</v>
      </c>
      <c r="K12" s="117">
        <v>11502.224249999999</v>
      </c>
      <c r="L12" s="117">
        <v>13.232895640000001</v>
      </c>
      <c r="M12" s="162">
        <f>K12+L12</f>
        <v>11515.457145639999</v>
      </c>
      <c r="N12" s="88">
        <v>51</v>
      </c>
      <c r="O12" s="88">
        <v>50</v>
      </c>
      <c r="P12" s="88">
        <v>48</v>
      </c>
    </row>
    <row r="13" spans="1:27" x14ac:dyDescent="0.3">
      <c r="B13" s="16" t="s">
        <v>38</v>
      </c>
      <c r="C13" s="17">
        <v>9199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1658</v>
      </c>
      <c r="E14" s="161" t="s">
        <v>39</v>
      </c>
      <c r="F14" s="119">
        <v>26352</v>
      </c>
      <c r="G14" s="117">
        <v>20314.359</v>
      </c>
      <c r="H14" s="117">
        <v>32330.778661960001</v>
      </c>
      <c r="I14" s="152">
        <f>G14+H14</f>
        <v>52645.137661960005</v>
      </c>
      <c r="J14" s="119">
        <v>25739</v>
      </c>
      <c r="K14" s="117">
        <v>21634.672750000002</v>
      </c>
      <c r="L14" s="117">
        <v>132.76022499999999</v>
      </c>
      <c r="M14" s="162">
        <f>K14+L14</f>
        <v>21767.432975000003</v>
      </c>
      <c r="N14" s="88">
        <v>74</v>
      </c>
      <c r="O14" s="88">
        <v>74</v>
      </c>
      <c r="P14" s="88">
        <v>63</v>
      </c>
    </row>
    <row r="15" spans="1:27" x14ac:dyDescent="0.3">
      <c r="B15" s="28" t="s">
        <v>42</v>
      </c>
      <c r="C15" s="17">
        <f>35322-5782</f>
        <v>29540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3">
      <c r="B16" s="43" t="s">
        <v>47</v>
      </c>
      <c r="C16" s="17">
        <v>1282</v>
      </c>
      <c r="E16" s="161" t="s">
        <v>79</v>
      </c>
      <c r="F16" s="119">
        <v>0</v>
      </c>
      <c r="G16" s="117">
        <v>0</v>
      </c>
      <c r="H16" s="117">
        <v>3938.85407958</v>
      </c>
      <c r="I16" s="152">
        <f>G16+H16</f>
        <v>3938.85407958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12</v>
      </c>
      <c r="P16" s="88">
        <v>9</v>
      </c>
    </row>
    <row r="17" spans="1:28" s="4" customFormat="1" ht="15" customHeight="1" thickBot="1" x14ac:dyDescent="0.35">
      <c r="B17" s="43" t="s">
        <v>48</v>
      </c>
      <c r="C17" s="50">
        <v>67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10227</v>
      </c>
      <c r="E18" s="84"/>
      <c r="F18" s="148">
        <f t="shared" ref="F18:M18" si="0">SUM(F6:F17)</f>
        <v>85977</v>
      </c>
      <c r="G18" s="149">
        <f t="shared" si="0"/>
        <v>51078.539758333332</v>
      </c>
      <c r="H18" s="149">
        <f t="shared" si="0"/>
        <v>64333.751588309999</v>
      </c>
      <c r="I18" s="150">
        <f t="shared" si="0"/>
        <v>115412.29134664332</v>
      </c>
      <c r="J18" s="149">
        <f t="shared" si="0"/>
        <v>87847</v>
      </c>
      <c r="K18" s="149">
        <f t="shared" si="0"/>
        <v>57604.701258333327</v>
      </c>
      <c r="L18" s="149">
        <f t="shared" si="0"/>
        <v>808.70494564000001</v>
      </c>
      <c r="M18" s="157">
        <f t="shared" si="0"/>
        <v>58413.406203973333</v>
      </c>
      <c r="N18" s="149">
        <f>SUM(N16,N14,N12,N10,N8,N6)</f>
        <v>274</v>
      </c>
      <c r="O18" s="149">
        <f>SUM(O16,O14,O12,O10,O8,O6)</f>
        <v>268</v>
      </c>
      <c r="P18" s="158">
        <f>SUM(P16,P14,P12,P10,P8,P6)</f>
        <v>246</v>
      </c>
    </row>
    <row r="19" spans="1:28" ht="15" customHeight="1" thickBot="1" x14ac:dyDescent="0.35">
      <c r="B19" s="16" t="s">
        <v>51</v>
      </c>
      <c r="C19" s="17">
        <v>1142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</row>
    <row r="20" spans="1:28" x14ac:dyDescent="0.3">
      <c r="B20" s="16" t="s">
        <v>52</v>
      </c>
      <c r="C20" s="17">
        <v>5529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8.2089552238805971E-2</v>
      </c>
    </row>
    <row r="21" spans="1:28" ht="15" customHeight="1" thickBot="1" x14ac:dyDescent="0.35">
      <c r="A21" s="123"/>
      <c r="B21" s="168" t="s">
        <v>132</v>
      </c>
      <c r="C21" s="169">
        <v>647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9277</v>
      </c>
      <c r="D25" s="76">
        <f>C13</f>
        <v>9199</v>
      </c>
      <c r="E25" s="77">
        <f t="shared" ref="E25:E33" si="1">D25-C25</f>
        <v>-78</v>
      </c>
    </row>
    <row r="26" spans="1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33251</v>
      </c>
      <c r="D28" s="76">
        <f>C9+C14+C15+C16+C17</f>
        <v>35322</v>
      </c>
      <c r="E28" s="77">
        <f t="shared" si="1"/>
        <v>2071</v>
      </c>
      <c r="P28" s="4"/>
    </row>
    <row r="29" spans="1:28" x14ac:dyDescent="0.3">
      <c r="B29" s="74" t="s">
        <v>21</v>
      </c>
      <c r="C29" s="122">
        <v>135</v>
      </c>
      <c r="D29" s="76">
        <f>C6</f>
        <v>135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2500</v>
      </c>
      <c r="D30" s="76">
        <f>C12</f>
        <v>2500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16525</v>
      </c>
      <c r="D31" s="76">
        <f>C18+C19+C20</f>
        <v>16898</v>
      </c>
      <c r="E31" s="77">
        <f t="shared" si="1"/>
        <v>373</v>
      </c>
      <c r="K31" s="53"/>
      <c r="P31" s="4"/>
    </row>
    <row r="32" spans="1:28" x14ac:dyDescent="0.3">
      <c r="B32" s="74" t="s">
        <v>60</v>
      </c>
      <c r="C32" s="122">
        <v>1315</v>
      </c>
      <c r="D32" s="76">
        <f>C10+C11</f>
        <v>1315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647</v>
      </c>
      <c r="D33" s="80">
        <f>C21</f>
        <v>647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theme="1"/>
    <pageSetUpPr fitToPage="1"/>
  </sheetPr>
  <dimension ref="A1:AB33"/>
  <sheetViews>
    <sheetView zoomScale="85" zoomScaleNormal="85" zoomScaleSheetLayoutView="70" workbookViewId="0">
      <selection activeCell="K35" sqref="K3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44762</v>
      </c>
    </row>
    <row r="3" spans="1:27" ht="18.75" customHeight="1" thickBot="1" x14ac:dyDescent="0.35">
      <c r="B3" t="s">
        <v>1</v>
      </c>
      <c r="C3" s="3">
        <f>C2+1</f>
        <v>44763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53</v>
      </c>
      <c r="E6" s="161" t="s">
        <v>22</v>
      </c>
      <c r="F6" s="119">
        <v>26430</v>
      </c>
      <c r="G6" s="117">
        <v>13010.69437500001</v>
      </c>
      <c r="H6" s="117">
        <v>6749.1852742599976</v>
      </c>
      <c r="I6" s="152">
        <f>G6+H6</f>
        <v>19759.879649260009</v>
      </c>
      <c r="J6" s="119">
        <v>26756</v>
      </c>
      <c r="K6" s="117">
        <v>14211.090125000001</v>
      </c>
      <c r="L6" s="117">
        <v>6521.2425037999983</v>
      </c>
      <c r="M6" s="162">
        <f>K6+L6</f>
        <v>20732.332628799999</v>
      </c>
      <c r="N6" s="87">
        <v>72</v>
      </c>
      <c r="O6" s="87">
        <v>66</v>
      </c>
      <c r="P6" s="87">
        <v>70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3940.771127380001</v>
      </c>
      <c r="I8" s="152">
        <f>G8+H8</f>
        <v>3940.771127380001</v>
      </c>
      <c r="J8" s="119">
        <v>0</v>
      </c>
      <c r="K8" s="117">
        <v>0</v>
      </c>
      <c r="L8" s="117">
        <v>3992.2464867399999</v>
      </c>
      <c r="M8" s="162">
        <f>K8+L8</f>
        <v>3992.2464867399999</v>
      </c>
      <c r="N8" s="87">
        <v>4</v>
      </c>
      <c r="O8" s="87">
        <v>4</v>
      </c>
      <c r="P8" s="87">
        <v>4</v>
      </c>
    </row>
    <row r="9" spans="1:27" x14ac:dyDescent="0.3">
      <c r="B9" s="16" t="s">
        <v>23</v>
      </c>
      <c r="C9" s="17">
        <v>1716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17263</v>
      </c>
      <c r="G10" s="117">
        <v>13143.123</v>
      </c>
      <c r="H10" s="117">
        <v>861.69362209999986</v>
      </c>
      <c r="I10" s="152">
        <f>G10+H10</f>
        <v>14004.816622099999</v>
      </c>
      <c r="J10" s="119">
        <v>17107</v>
      </c>
      <c r="K10" s="117">
        <v>13288.995999999999</v>
      </c>
      <c r="L10" s="117">
        <v>874.23229856000012</v>
      </c>
      <c r="M10" s="162">
        <f>K10+L10</f>
        <v>14163.22829856</v>
      </c>
      <c r="N10" s="88">
        <v>52</v>
      </c>
      <c r="O10" s="88">
        <v>50</v>
      </c>
      <c r="P10" s="88">
        <v>47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2454</v>
      </c>
      <c r="E12" s="161" t="s">
        <v>35</v>
      </c>
      <c r="F12" s="119">
        <v>13203</v>
      </c>
      <c r="G12" s="117">
        <v>9930.9090000000015</v>
      </c>
      <c r="H12" s="117">
        <v>15730.3744594</v>
      </c>
      <c r="I12" s="152">
        <f>G12+H12</f>
        <v>25661.283459400001</v>
      </c>
      <c r="J12" s="119">
        <v>12955</v>
      </c>
      <c r="K12" s="117">
        <v>11882.3485</v>
      </c>
      <c r="L12" s="117">
        <v>15607.53174733</v>
      </c>
      <c r="M12" s="162">
        <f>K12+L12</f>
        <v>27489.880247330002</v>
      </c>
      <c r="N12" s="88">
        <v>50</v>
      </c>
      <c r="O12" s="88">
        <v>49</v>
      </c>
      <c r="P12" s="88">
        <v>47</v>
      </c>
    </row>
    <row r="13" spans="1:27" x14ac:dyDescent="0.3">
      <c r="B13" s="16" t="s">
        <v>38</v>
      </c>
      <c r="C13" s="17">
        <v>9005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2020</v>
      </c>
      <c r="E14" s="161" t="s">
        <v>39</v>
      </c>
      <c r="F14" s="119">
        <v>20900</v>
      </c>
      <c r="G14" s="117">
        <v>18251.82375</v>
      </c>
      <c r="H14" s="117">
        <v>26998.73833466</v>
      </c>
      <c r="I14" s="152">
        <f>G14+H14</f>
        <v>45250.56208466</v>
      </c>
      <c r="J14" s="119">
        <v>21435</v>
      </c>
      <c r="K14" s="117">
        <v>21566.215749999999</v>
      </c>
      <c r="L14" s="117">
        <v>27665.13132016001</v>
      </c>
      <c r="M14" s="162">
        <f>K14+L14</f>
        <v>49231.347070160009</v>
      </c>
      <c r="N14" s="88">
        <v>69</v>
      </c>
      <c r="O14" s="88">
        <v>67</v>
      </c>
      <c r="P14" s="88">
        <v>60</v>
      </c>
    </row>
    <row r="15" spans="1:27" x14ac:dyDescent="0.3">
      <c r="B15" s="28" t="s">
        <v>42</v>
      </c>
      <c r="C15" s="17">
        <v>32235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1:27" x14ac:dyDescent="0.3">
      <c r="B16" s="43" t="s">
        <v>47</v>
      </c>
      <c r="C16" s="17">
        <v>1892</v>
      </c>
      <c r="E16" s="161" t="s">
        <v>79</v>
      </c>
      <c r="F16" s="119">
        <v>0</v>
      </c>
      <c r="G16" s="117">
        <v>0</v>
      </c>
      <c r="H16" s="117">
        <v>8009.5587745799976</v>
      </c>
      <c r="I16" s="152">
        <f>G16+H16</f>
        <v>8009.5587745799976</v>
      </c>
      <c r="J16" s="119">
        <v>0</v>
      </c>
      <c r="K16" s="117">
        <v>0</v>
      </c>
      <c r="L16" s="117">
        <v>7825.8584371800007</v>
      </c>
      <c r="M16" s="162">
        <f>K16+L16</f>
        <v>7825.8584371800007</v>
      </c>
      <c r="N16" s="88">
        <v>10</v>
      </c>
      <c r="O16" s="88">
        <v>10</v>
      </c>
      <c r="P16" s="88">
        <v>9</v>
      </c>
    </row>
    <row r="17" spans="1:28" s="4" customFormat="1" ht="15" customHeight="1" thickBot="1" x14ac:dyDescent="0.35">
      <c r="B17" s="43" t="s">
        <v>48</v>
      </c>
      <c r="C17" s="50">
        <v>380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10562</v>
      </c>
      <c r="E18" s="84"/>
      <c r="F18" s="148">
        <f t="shared" ref="F18:M18" si="0">SUM(F6:F17)</f>
        <v>77796</v>
      </c>
      <c r="G18" s="149">
        <f t="shared" si="0"/>
        <v>54336.550125000009</v>
      </c>
      <c r="H18" s="149">
        <f t="shared" si="0"/>
        <v>62290.321592380002</v>
      </c>
      <c r="I18" s="150">
        <f t="shared" si="0"/>
        <v>116626.87171738001</v>
      </c>
      <c r="J18" s="149">
        <f t="shared" si="0"/>
        <v>78253</v>
      </c>
      <c r="K18" s="149">
        <f t="shared" si="0"/>
        <v>60948.650374999997</v>
      </c>
      <c r="L18" s="149">
        <f t="shared" si="0"/>
        <v>62486.242793770005</v>
      </c>
      <c r="M18" s="157">
        <f t="shared" si="0"/>
        <v>123434.89316877001</v>
      </c>
      <c r="N18" s="149">
        <f>SUM(N16,N14,N12,N10,N8,N6)</f>
        <v>257</v>
      </c>
      <c r="O18" s="149">
        <f>SUM(O16,O14,O12,O10,O8,O6)</f>
        <v>246</v>
      </c>
      <c r="P18" s="158">
        <f>SUM(P16,P14,P12,P10,P8,P6)</f>
        <v>237</v>
      </c>
    </row>
    <row r="19" spans="1:28" ht="15" customHeight="1" thickBot="1" x14ac:dyDescent="0.35">
      <c r="B19" s="16" t="s">
        <v>51</v>
      </c>
      <c r="C19" s="17">
        <v>1783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</row>
    <row r="20" spans="1:28" x14ac:dyDescent="0.3">
      <c r="B20" s="16" t="s">
        <v>52</v>
      </c>
      <c r="C20" s="17">
        <v>5309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3.6585365853658534E-2</v>
      </c>
    </row>
    <row r="21" spans="1:28" ht="15" customHeight="1" thickBot="1" x14ac:dyDescent="0.35">
      <c r="A21" s="123"/>
      <c r="B21" s="168" t="s">
        <v>132</v>
      </c>
      <c r="C21" s="169">
        <v>90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10685</v>
      </c>
      <c r="D25" s="76">
        <f>C13</f>
        <v>9005</v>
      </c>
      <c r="E25" s="77">
        <f t="shared" ref="E25:E33" si="1">D25-C25</f>
        <v>-1680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37744</v>
      </c>
      <c r="D28" s="76">
        <f>C9+C14+C15+C16+C17</f>
        <v>38243</v>
      </c>
      <c r="E28" s="77">
        <f t="shared" si="1"/>
        <v>499</v>
      </c>
      <c r="P28" s="4"/>
    </row>
    <row r="29" spans="1:28" x14ac:dyDescent="0.3">
      <c r="B29" s="74" t="s">
        <v>21</v>
      </c>
      <c r="C29" s="122">
        <v>53</v>
      </c>
      <c r="D29" s="76">
        <f>C6</f>
        <v>53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2454</v>
      </c>
      <c r="D30" s="76">
        <f>C12</f>
        <v>2454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17385</v>
      </c>
      <c r="D31" s="76">
        <f>C18+C19+C20</f>
        <v>17654</v>
      </c>
      <c r="E31" s="77">
        <f t="shared" si="1"/>
        <v>269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90</v>
      </c>
      <c r="D33" s="80">
        <f>C21</f>
        <v>90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theme="1"/>
    <pageSetUpPr fitToPage="1"/>
  </sheetPr>
  <dimension ref="A1:AB33"/>
  <sheetViews>
    <sheetView zoomScale="85" zoomScaleNormal="85" zoomScaleSheetLayoutView="70" workbookViewId="0">
      <selection activeCell="Q31" sqref="Q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44763</v>
      </c>
    </row>
    <row r="3" spans="1:27" ht="18.75" customHeight="1" thickBot="1" x14ac:dyDescent="0.35">
      <c r="B3" t="s">
        <v>1</v>
      </c>
      <c r="C3" s="3">
        <f>C2+1</f>
        <v>44764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109</v>
      </c>
      <c r="E6" s="161" t="s">
        <v>22</v>
      </c>
      <c r="F6" s="119">
        <v>26465</v>
      </c>
      <c r="G6" s="117">
        <v>12209.93956666667</v>
      </c>
      <c r="H6" s="117">
        <v>7143.7890609400056</v>
      </c>
      <c r="I6" s="152">
        <f>G6+H6</f>
        <v>19353.728627606673</v>
      </c>
      <c r="J6" s="119">
        <v>26506</v>
      </c>
      <c r="K6" s="117">
        <v>13732.762441666669</v>
      </c>
      <c r="L6" s="117">
        <v>0</v>
      </c>
      <c r="M6" s="162">
        <f>K6+L6</f>
        <v>13732.762441666669</v>
      </c>
      <c r="N6" s="87">
        <v>72</v>
      </c>
      <c r="O6" s="87">
        <v>67</v>
      </c>
      <c r="P6" s="87">
        <v>67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3110.044394680001</v>
      </c>
      <c r="I8" s="152">
        <f>G8+H8</f>
        <v>3110.044394680001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5</v>
      </c>
      <c r="P8" s="87">
        <v>4</v>
      </c>
    </row>
    <row r="9" spans="1:27" x14ac:dyDescent="0.3">
      <c r="B9" s="16" t="s">
        <v>23</v>
      </c>
      <c r="C9" s="17">
        <v>3024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885</v>
      </c>
      <c r="E10" s="161" t="s">
        <v>31</v>
      </c>
      <c r="F10" s="119">
        <v>17370</v>
      </c>
      <c r="G10" s="117">
        <v>11008.3655</v>
      </c>
      <c r="H10" s="117">
        <v>1195.3881372799999</v>
      </c>
      <c r="I10" s="152">
        <f>G10+H10</f>
        <v>12203.75363728</v>
      </c>
      <c r="J10" s="119">
        <v>17112</v>
      </c>
      <c r="K10" s="117">
        <v>11207.7055</v>
      </c>
      <c r="L10" s="117">
        <v>0</v>
      </c>
      <c r="M10" s="162">
        <f>K10+L10</f>
        <v>11207.7055</v>
      </c>
      <c r="N10" s="88">
        <v>53</v>
      </c>
      <c r="O10" s="88">
        <v>52</v>
      </c>
      <c r="P10" s="88">
        <v>48</v>
      </c>
    </row>
    <row r="11" spans="1:27" x14ac:dyDescent="0.3">
      <c r="B11" s="28" t="s">
        <v>28</v>
      </c>
      <c r="C11" s="17">
        <v>605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2563</v>
      </c>
      <c r="E12" s="161" t="s">
        <v>35</v>
      </c>
      <c r="F12" s="119">
        <v>16607</v>
      </c>
      <c r="G12" s="117">
        <v>11880.55691666667</v>
      </c>
      <c r="H12" s="117">
        <v>19253.28652424</v>
      </c>
      <c r="I12" s="152">
        <f>G12+H12</f>
        <v>31133.843440906669</v>
      </c>
      <c r="J12" s="119">
        <v>16828</v>
      </c>
      <c r="K12" s="117">
        <v>13852.32941666666</v>
      </c>
      <c r="L12" s="117">
        <v>0</v>
      </c>
      <c r="M12" s="162">
        <f>K12+L12</f>
        <v>13852.32941666666</v>
      </c>
      <c r="N12" s="88">
        <v>52</v>
      </c>
      <c r="O12" s="88">
        <v>52</v>
      </c>
      <c r="P12" s="88">
        <v>51</v>
      </c>
    </row>
    <row r="13" spans="1:27" x14ac:dyDescent="0.3">
      <c r="B13" s="16" t="s">
        <v>38</v>
      </c>
      <c r="C13" s="17">
        <v>10905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1:27" x14ac:dyDescent="0.3">
      <c r="B14" s="16" t="s">
        <v>40</v>
      </c>
      <c r="C14" s="17">
        <v>1678</v>
      </c>
      <c r="E14" s="161" t="s">
        <v>39</v>
      </c>
      <c r="F14" s="119">
        <v>27207</v>
      </c>
      <c r="G14" s="117">
        <v>19697.64</v>
      </c>
      <c r="H14" s="117">
        <v>33165.812000260012</v>
      </c>
      <c r="I14" s="152">
        <f>G14+H14</f>
        <v>52863.452000260011</v>
      </c>
      <c r="J14" s="119">
        <v>27876</v>
      </c>
      <c r="K14" s="117">
        <v>24058.516500000002</v>
      </c>
      <c r="L14" s="117">
        <v>0</v>
      </c>
      <c r="M14" s="162">
        <f>K14+L14</f>
        <v>24058.516500000002</v>
      </c>
      <c r="N14" s="88">
        <v>67</v>
      </c>
      <c r="O14" s="88">
        <v>70</v>
      </c>
      <c r="P14" s="88">
        <v>64</v>
      </c>
    </row>
    <row r="15" spans="1:27" x14ac:dyDescent="0.3">
      <c r="B15" s="28" t="s">
        <v>42</v>
      </c>
      <c r="C15" s="17">
        <f>39611-6048</f>
        <v>33563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1:27" x14ac:dyDescent="0.3">
      <c r="B16" s="43" t="s">
        <v>47</v>
      </c>
      <c r="C16" s="17">
        <v>1292</v>
      </c>
      <c r="E16" s="161" t="s">
        <v>79</v>
      </c>
      <c r="F16" s="119">
        <v>0</v>
      </c>
      <c r="G16" s="117">
        <v>0</v>
      </c>
      <c r="H16" s="117">
        <v>4379.3989349200001</v>
      </c>
      <c r="I16" s="152">
        <f>G16+H16</f>
        <v>4379.3989349200001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11</v>
      </c>
      <c r="P16" s="88">
        <v>12</v>
      </c>
    </row>
    <row r="17" spans="1:28" s="4" customFormat="1" ht="15" customHeight="1" thickBot="1" x14ac:dyDescent="0.35">
      <c r="B17" s="43" t="s">
        <v>48</v>
      </c>
      <c r="C17" s="50">
        <v>54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8652</v>
      </c>
      <c r="E18" s="84"/>
      <c r="F18" s="148">
        <f t="shared" ref="F18:M18" si="0">SUM(F6:F17)</f>
        <v>87649</v>
      </c>
      <c r="G18" s="149">
        <f t="shared" si="0"/>
        <v>54796.501983333335</v>
      </c>
      <c r="H18" s="149">
        <f t="shared" si="0"/>
        <v>68247.719052320026</v>
      </c>
      <c r="I18" s="150">
        <f t="shared" si="0"/>
        <v>123044.22103565335</v>
      </c>
      <c r="J18" s="149">
        <f t="shared" si="0"/>
        <v>88322</v>
      </c>
      <c r="K18" s="149">
        <f t="shared" si="0"/>
        <v>62851.313858333335</v>
      </c>
      <c r="L18" s="149">
        <f t="shared" si="0"/>
        <v>0</v>
      </c>
      <c r="M18" s="157">
        <f t="shared" si="0"/>
        <v>62851.313858333335</v>
      </c>
      <c r="N18" s="149">
        <f>SUM(N16,N14,N12,N10,N8,N6)</f>
        <v>264</v>
      </c>
      <c r="O18" s="149">
        <f>SUM(O16,O14,O12,O10,O8,O6)</f>
        <v>257</v>
      </c>
      <c r="P18" s="158">
        <f>SUM(P16,P14,P12,P10,P8,P6)</f>
        <v>246</v>
      </c>
    </row>
    <row r="19" spans="1:28" ht="15" customHeight="1" thickBot="1" x14ac:dyDescent="0.35">
      <c r="B19" s="16" t="s">
        <v>51</v>
      </c>
      <c r="C19" s="17">
        <v>2288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1:28" x14ac:dyDescent="0.3">
      <c r="B20" s="16" t="s">
        <v>52</v>
      </c>
      <c r="C20" s="17">
        <v>4610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4.2801556420233464E-2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10970</v>
      </c>
      <c r="D25" s="76">
        <f>C13</f>
        <v>10905</v>
      </c>
      <c r="E25" s="77">
        <f t="shared" ref="E25:E33" si="1">D25-C25</f>
        <v>-65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38650</v>
      </c>
      <c r="D28" s="76">
        <f>C9+C14+C15+C16+C17</f>
        <v>39611</v>
      </c>
      <c r="E28" s="77">
        <f t="shared" si="1"/>
        <v>961</v>
      </c>
      <c r="P28" s="4"/>
    </row>
    <row r="29" spans="1:28" x14ac:dyDescent="0.3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2563</v>
      </c>
      <c r="D30" s="76">
        <f>C12</f>
        <v>2563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15775</v>
      </c>
      <c r="D31" s="76">
        <f>C18+C19+C20</f>
        <v>15550</v>
      </c>
      <c r="E31" s="77">
        <f t="shared" si="1"/>
        <v>-225</v>
      </c>
      <c r="K31" s="53"/>
      <c r="P31" s="4"/>
    </row>
    <row r="32" spans="1:28" x14ac:dyDescent="0.3">
      <c r="B32" s="74" t="s">
        <v>60</v>
      </c>
      <c r="C32" s="122">
        <v>1490</v>
      </c>
      <c r="D32" s="76">
        <f>C10+C11</f>
        <v>1490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44764</v>
      </c>
    </row>
    <row r="3" spans="1:27" ht="18.75" customHeight="1" thickBot="1" x14ac:dyDescent="0.35">
      <c r="B3" t="s">
        <v>1</v>
      </c>
      <c r="C3" s="3">
        <f>C2+1</f>
        <v>44765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29092</v>
      </c>
      <c r="G6" s="117">
        <v>13959.71416666667</v>
      </c>
      <c r="H6" s="117">
        <v>6998.3166203600022</v>
      </c>
      <c r="I6" s="152">
        <f>G6+H6</f>
        <v>20958.030787026673</v>
      </c>
      <c r="J6" s="119">
        <v>29353</v>
      </c>
      <c r="K6" s="117">
        <v>14927.221666666661</v>
      </c>
      <c r="L6" s="117">
        <v>6958.2061295800022</v>
      </c>
      <c r="M6" s="162">
        <f>K6+L6</f>
        <v>21885.427796246662</v>
      </c>
      <c r="N6" s="87">
        <v>73</v>
      </c>
      <c r="O6" s="87">
        <v>70</v>
      </c>
      <c r="P6" s="87">
        <v>70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4243.4445838000001</v>
      </c>
      <c r="I8" s="152">
        <f>G8+H8</f>
        <v>4243.4445838000001</v>
      </c>
      <c r="J8" s="119">
        <v>0</v>
      </c>
      <c r="K8" s="117">
        <v>0</v>
      </c>
      <c r="L8" s="117">
        <v>4273.6584141999992</v>
      </c>
      <c r="M8" s="162">
        <f>K8+L8</f>
        <v>4273.6584141999992</v>
      </c>
      <c r="N8" s="87">
        <v>7</v>
      </c>
      <c r="O8" s="87">
        <v>5</v>
      </c>
      <c r="P8" s="87">
        <v>4</v>
      </c>
    </row>
    <row r="9" spans="1:27" x14ac:dyDescent="0.3">
      <c r="B9" s="16" t="s">
        <v>23</v>
      </c>
      <c r="C9" s="17">
        <v>1967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16851</v>
      </c>
      <c r="G10" s="117">
        <v>12213.333166666671</v>
      </c>
      <c r="H10" s="117">
        <v>680.94536049999999</v>
      </c>
      <c r="I10" s="152">
        <f>G10+H10</f>
        <v>12894.278527166671</v>
      </c>
      <c r="J10" s="119">
        <v>16902</v>
      </c>
      <c r="K10" s="117">
        <v>12265.12466666667</v>
      </c>
      <c r="L10" s="117">
        <v>704.80769724000004</v>
      </c>
      <c r="M10" s="162">
        <f>K10+L10</f>
        <v>12969.93236390667</v>
      </c>
      <c r="N10" s="88">
        <v>50</v>
      </c>
      <c r="O10" s="88">
        <v>50</v>
      </c>
      <c r="P10" s="88">
        <v>47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4671</v>
      </c>
      <c r="E12" s="161" t="s">
        <v>35</v>
      </c>
      <c r="F12" s="119">
        <v>15476</v>
      </c>
      <c r="G12" s="117">
        <v>12165.87975</v>
      </c>
      <c r="H12" s="117">
        <v>17824.10606989999</v>
      </c>
      <c r="I12" s="152">
        <f>G12+H12</f>
        <v>29989.98581989999</v>
      </c>
      <c r="J12" s="119">
        <v>15994</v>
      </c>
      <c r="K12" s="117">
        <v>14395.5895</v>
      </c>
      <c r="L12" s="117">
        <v>18314.891657280001</v>
      </c>
      <c r="M12" s="162">
        <f>K12+L12</f>
        <v>32710.481157280003</v>
      </c>
      <c r="N12" s="88">
        <v>54</v>
      </c>
      <c r="O12" s="88">
        <v>52</v>
      </c>
      <c r="P12" s="88">
        <v>52</v>
      </c>
    </row>
    <row r="13" spans="1:27" x14ac:dyDescent="0.3">
      <c r="B13" s="16" t="s">
        <v>38</v>
      </c>
      <c r="C13" s="17">
        <v>9352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1975</v>
      </c>
      <c r="E14" s="161" t="s">
        <v>39</v>
      </c>
      <c r="F14" s="119">
        <v>28238</v>
      </c>
      <c r="G14" s="117">
        <v>22351.872500000001</v>
      </c>
      <c r="H14" s="117">
        <v>34684.975359920027</v>
      </c>
      <c r="I14" s="152">
        <f>G14+H14</f>
        <v>57036.847859920032</v>
      </c>
      <c r="J14" s="119">
        <v>28825</v>
      </c>
      <c r="K14" s="117">
        <v>26507.14</v>
      </c>
      <c r="L14" s="117">
        <v>35475.426097780022</v>
      </c>
      <c r="M14" s="162">
        <f>K14+L14</f>
        <v>61982.566097780022</v>
      </c>
      <c r="N14" s="88">
        <v>66</v>
      </c>
      <c r="O14" s="88">
        <v>67</v>
      </c>
      <c r="P14" s="88">
        <v>57</v>
      </c>
    </row>
    <row r="15" spans="1:27" x14ac:dyDescent="0.3">
      <c r="B15" s="28" t="s">
        <v>42</v>
      </c>
      <c r="C15" s="17">
        <f>42696-6158</f>
        <v>36538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3">
      <c r="B16" s="43" t="s">
        <v>47</v>
      </c>
      <c r="C16" s="17">
        <v>1856</v>
      </c>
      <c r="E16" s="161" t="s">
        <v>79</v>
      </c>
      <c r="F16" s="119">
        <v>0</v>
      </c>
      <c r="G16" s="117">
        <v>0</v>
      </c>
      <c r="H16" s="117">
        <v>7869.8085924000006</v>
      </c>
      <c r="I16" s="152">
        <f>G16+H16</f>
        <v>7869.8085924000006</v>
      </c>
      <c r="J16" s="119">
        <v>0</v>
      </c>
      <c r="K16" s="117">
        <v>0</v>
      </c>
      <c r="L16" s="117">
        <v>7737.2409957</v>
      </c>
      <c r="M16" s="162">
        <f>K16+L16</f>
        <v>7737.2409957</v>
      </c>
      <c r="N16" s="88">
        <v>14</v>
      </c>
      <c r="O16" s="88">
        <v>13</v>
      </c>
      <c r="P16" s="88">
        <v>13</v>
      </c>
    </row>
    <row r="17" spans="1:28" s="4" customFormat="1" ht="15" customHeight="1" thickBot="1" x14ac:dyDescent="0.35">
      <c r="B17" s="43" t="s">
        <v>48</v>
      </c>
      <c r="C17" s="50">
        <v>360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9397</v>
      </c>
      <c r="E18" s="84"/>
      <c r="F18" s="148">
        <f t="shared" ref="F18:M18" si="0">SUM(F6:F17)</f>
        <v>89657</v>
      </c>
      <c r="G18" s="149">
        <f t="shared" si="0"/>
        <v>60690.799583333341</v>
      </c>
      <c r="H18" s="149">
        <f t="shared" si="0"/>
        <v>72301.596586880027</v>
      </c>
      <c r="I18" s="150">
        <f t="shared" si="0"/>
        <v>132992.39617021335</v>
      </c>
      <c r="J18" s="149">
        <f t="shared" si="0"/>
        <v>91074</v>
      </c>
      <c r="K18" s="149">
        <f t="shared" si="0"/>
        <v>68095.075833333336</v>
      </c>
      <c r="L18" s="149">
        <f t="shared" si="0"/>
        <v>73464.23099178003</v>
      </c>
      <c r="M18" s="157">
        <f t="shared" si="0"/>
        <v>141559.30682511337</v>
      </c>
      <c r="N18" s="149">
        <f>SUM(N16,N14,N12,N10,N8,N6)</f>
        <v>264</v>
      </c>
      <c r="O18" s="149">
        <f>SUM(O16,O14,O12,O10,O8,O6)</f>
        <v>257</v>
      </c>
      <c r="P18" s="158">
        <f>SUM(P16,P14,P12,P10,P8,P6)</f>
        <v>243</v>
      </c>
    </row>
    <row r="19" spans="1:28" ht="15" customHeight="1" thickBot="1" x14ac:dyDescent="0.35">
      <c r="B19" s="16" t="s">
        <v>51</v>
      </c>
      <c r="C19" s="17">
        <v>421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14</v>
      </c>
    </row>
    <row r="20" spans="1:28" x14ac:dyDescent="0.3">
      <c r="B20" s="16" t="s">
        <v>52</v>
      </c>
      <c r="C20" s="17">
        <v>4850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5.4474708171206226E-2</v>
      </c>
    </row>
    <row r="21" spans="1:28" ht="15" customHeight="1" thickBot="1" x14ac:dyDescent="0.35">
      <c r="A21" s="123"/>
      <c r="B21" s="168" t="s">
        <v>132</v>
      </c>
      <c r="C21" s="169">
        <v>1095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9265</v>
      </c>
      <c r="D25" s="76">
        <f>C13</f>
        <v>9352</v>
      </c>
      <c r="E25" s="77">
        <f t="shared" ref="E25:E33" si="1">D25-C25</f>
        <v>87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42144</v>
      </c>
      <c r="D28" s="76">
        <f>C9+C14+C15+C16+C17</f>
        <v>42696</v>
      </c>
      <c r="E28" s="77">
        <f t="shared" si="1"/>
        <v>552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4671</v>
      </c>
      <c r="D30" s="76">
        <f>C12</f>
        <v>4671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14242</v>
      </c>
      <c r="D31" s="76">
        <f>C18+C19+C20</f>
        <v>14668</v>
      </c>
      <c r="E31" s="77">
        <f t="shared" si="1"/>
        <v>426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1095</v>
      </c>
      <c r="D33" s="80">
        <f>C21</f>
        <v>1095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tabColor theme="1"/>
    <pageSetUpPr fitToPage="1"/>
  </sheetPr>
  <dimension ref="A1:AB33"/>
  <sheetViews>
    <sheetView zoomScale="85" zoomScaleNormal="85" zoomScaleSheetLayoutView="70" workbookViewId="0">
      <selection activeCell="Q11" sqref="Q1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44765</v>
      </c>
    </row>
    <row r="3" spans="1:27" ht="18.75" customHeight="1" thickBot="1" x14ac:dyDescent="0.35">
      <c r="B3" t="s">
        <v>1</v>
      </c>
      <c r="C3" s="3">
        <f>C2+1</f>
        <v>44766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75</v>
      </c>
      <c r="E6" s="161" t="s">
        <v>22</v>
      </c>
      <c r="F6" s="119">
        <v>25615</v>
      </c>
      <c r="G6" s="117">
        <v>11175.974625000001</v>
      </c>
      <c r="H6" s="117">
        <v>6423.8916766800003</v>
      </c>
      <c r="I6" s="152">
        <f>G6+H6</f>
        <v>17599.866301680002</v>
      </c>
      <c r="J6" s="119">
        <v>26720</v>
      </c>
      <c r="K6" s="117">
        <v>12211.817116666671</v>
      </c>
      <c r="L6" s="117">
        <v>7211.3166723199993</v>
      </c>
      <c r="M6" s="162">
        <f>K6+L6</f>
        <v>19423.13378898667</v>
      </c>
      <c r="N6" s="87">
        <v>78</v>
      </c>
      <c r="O6" s="87">
        <v>74</v>
      </c>
      <c r="P6" s="87">
        <v>72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3441.9658139999992</v>
      </c>
      <c r="I8" s="152">
        <f>G8+H8</f>
        <v>3441.9658139999992</v>
      </c>
      <c r="J8" s="119">
        <v>0</v>
      </c>
      <c r="K8" s="117">
        <v>0</v>
      </c>
      <c r="L8" s="117">
        <v>3364.4790112999999</v>
      </c>
      <c r="M8" s="162">
        <f>K8+L8</f>
        <v>3364.4790112999999</v>
      </c>
      <c r="N8" s="87">
        <v>7</v>
      </c>
      <c r="O8" s="87">
        <v>5</v>
      </c>
      <c r="P8" s="87">
        <v>4</v>
      </c>
    </row>
    <row r="9" spans="1:27" x14ac:dyDescent="0.3">
      <c r="B9" s="16" t="s">
        <v>23</v>
      </c>
      <c r="C9" s="17">
        <v>2421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920</v>
      </c>
      <c r="E10" s="161" t="s">
        <v>31</v>
      </c>
      <c r="F10" s="119">
        <v>14584</v>
      </c>
      <c r="G10" s="117">
        <v>9772.1730000000007</v>
      </c>
      <c r="H10" s="117">
        <v>1179.9634421400001</v>
      </c>
      <c r="I10" s="152">
        <f>G10+H10</f>
        <v>10952.136442140001</v>
      </c>
      <c r="J10" s="119">
        <v>15271</v>
      </c>
      <c r="K10" s="117">
        <v>10853.6315</v>
      </c>
      <c r="L10" s="117">
        <v>1157.82610628</v>
      </c>
      <c r="M10" s="162">
        <f>K10+L10</f>
        <v>12011.457606279999</v>
      </c>
      <c r="N10" s="88">
        <v>49</v>
      </c>
      <c r="O10" s="88">
        <v>49</v>
      </c>
      <c r="P10" s="88">
        <v>45</v>
      </c>
    </row>
    <row r="11" spans="1:27" x14ac:dyDescent="0.3">
      <c r="B11" s="28" t="s">
        <v>28</v>
      </c>
      <c r="C11" s="17">
        <v>505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2033</v>
      </c>
      <c r="E12" s="161" t="s">
        <v>35</v>
      </c>
      <c r="F12" s="119">
        <v>17009</v>
      </c>
      <c r="G12" s="117">
        <v>12443.377083333329</v>
      </c>
      <c r="H12" s="117">
        <v>19830.09061852</v>
      </c>
      <c r="I12" s="152">
        <f>G12+H12</f>
        <v>32273.467701853329</v>
      </c>
      <c r="J12" s="119">
        <v>16938</v>
      </c>
      <c r="K12" s="117">
        <v>14248.89208333333</v>
      </c>
      <c r="L12" s="117">
        <v>19778.13872480001</v>
      </c>
      <c r="M12" s="162">
        <f>K12+L12</f>
        <v>34027.030808133342</v>
      </c>
      <c r="N12" s="88">
        <v>52</v>
      </c>
      <c r="O12" s="88">
        <v>52</v>
      </c>
      <c r="P12" s="88">
        <v>47</v>
      </c>
    </row>
    <row r="13" spans="1:27" x14ac:dyDescent="0.3">
      <c r="B13" s="16" t="s">
        <v>38</v>
      </c>
      <c r="C13" s="17">
        <v>9201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1432</v>
      </c>
      <c r="E14" s="161" t="s">
        <v>39</v>
      </c>
      <c r="F14" s="119">
        <v>21390</v>
      </c>
      <c r="G14" s="117">
        <v>21148.223750000001</v>
      </c>
      <c r="H14" s="117">
        <v>24994.777199059969</v>
      </c>
      <c r="I14" s="152">
        <f>G14+H14</f>
        <v>46143.00094905997</v>
      </c>
      <c r="J14" s="119">
        <v>21267</v>
      </c>
      <c r="K14" s="117">
        <v>16924.519250000001</v>
      </c>
      <c r="L14" s="117">
        <v>25434.544760339999</v>
      </c>
      <c r="M14" s="162">
        <f>K14+L14</f>
        <v>42359.06401034</v>
      </c>
      <c r="N14" s="88">
        <v>60</v>
      </c>
      <c r="O14" s="88">
        <v>61</v>
      </c>
      <c r="P14" s="88">
        <v>49</v>
      </c>
    </row>
    <row r="15" spans="1:27" x14ac:dyDescent="0.3">
      <c r="B15" s="28" t="s">
        <v>42</v>
      </c>
      <c r="C15" s="17">
        <f>33542-5050</f>
        <v>28492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1147</v>
      </c>
      <c r="E16" s="161" t="s">
        <v>79</v>
      </c>
      <c r="F16" s="119">
        <v>0</v>
      </c>
      <c r="G16" s="117">
        <v>0</v>
      </c>
      <c r="H16" s="117">
        <v>4329.9017722400004</v>
      </c>
      <c r="I16" s="152">
        <f>G16+H16</f>
        <v>4329.9017722400004</v>
      </c>
      <c r="J16" s="119">
        <v>0</v>
      </c>
      <c r="K16" s="117">
        <v>0</v>
      </c>
      <c r="L16" s="117">
        <v>4373.4107537600003</v>
      </c>
      <c r="M16" s="162">
        <f>K16+L16</f>
        <v>4373.4107537600003</v>
      </c>
      <c r="N16" s="88">
        <v>12</v>
      </c>
      <c r="O16" s="88">
        <v>10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9741</v>
      </c>
      <c r="E18" s="84"/>
      <c r="F18" s="148">
        <f t="shared" ref="F18:M18" si="0">SUM(F6:F17)</f>
        <v>78598</v>
      </c>
      <c r="G18" s="149">
        <f t="shared" si="0"/>
        <v>54539.748458333328</v>
      </c>
      <c r="H18" s="149">
        <f t="shared" si="0"/>
        <v>60200.59052263997</v>
      </c>
      <c r="I18" s="150">
        <f t="shared" si="0"/>
        <v>114740.33898097329</v>
      </c>
      <c r="J18" s="149">
        <f t="shared" si="0"/>
        <v>80196</v>
      </c>
      <c r="K18" s="149">
        <f t="shared" si="0"/>
        <v>54238.859949999998</v>
      </c>
      <c r="L18" s="149">
        <f t="shared" si="0"/>
        <v>61319.716028800009</v>
      </c>
      <c r="M18" s="157">
        <f t="shared" si="0"/>
        <v>115558.5759788</v>
      </c>
      <c r="N18" s="149">
        <f>SUM(N16,N14,N12,N10,N8,N6)</f>
        <v>258</v>
      </c>
      <c r="O18" s="149">
        <f>SUM(O16,O14,O12,O10,O8,O6)</f>
        <v>251</v>
      </c>
      <c r="P18" s="158">
        <f>SUM(P16,P14,P12,P10,P8,P6)</f>
        <v>227</v>
      </c>
    </row>
    <row r="19" spans="1:28" ht="15" customHeight="1" thickBot="1" x14ac:dyDescent="0.35">
      <c r="B19" s="16" t="s">
        <v>51</v>
      </c>
      <c r="C19" s="17">
        <v>1502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1:28" x14ac:dyDescent="0.3">
      <c r="B20" s="16" t="s">
        <v>52</v>
      </c>
      <c r="C20" s="17">
        <v>4980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9.5617529880478086E-2</v>
      </c>
    </row>
    <row r="21" spans="1:28" ht="15" customHeight="1" thickBot="1" x14ac:dyDescent="0.35">
      <c r="A21" s="123"/>
      <c r="B21" s="168" t="s">
        <v>132</v>
      </c>
      <c r="C21" s="169">
        <v>354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9542</v>
      </c>
      <c r="D25" s="76">
        <f>C13</f>
        <v>9201</v>
      </c>
      <c r="E25" s="77">
        <f t="shared" ref="E25:E33" si="1">D25-C25</f>
        <v>-341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33095</v>
      </c>
      <c r="D28" s="76">
        <f>C9+C14+C15+C16+C17</f>
        <v>33542</v>
      </c>
      <c r="E28" s="77">
        <f t="shared" si="1"/>
        <v>447</v>
      </c>
      <c r="P28" s="4"/>
    </row>
    <row r="29" spans="1:28" x14ac:dyDescent="0.3">
      <c r="B29" s="74" t="s">
        <v>21</v>
      </c>
      <c r="C29" s="122">
        <v>0</v>
      </c>
      <c r="D29" s="76">
        <f>C6</f>
        <v>75</v>
      </c>
      <c r="E29" s="77">
        <f t="shared" si="1"/>
        <v>75</v>
      </c>
      <c r="P29" s="4"/>
    </row>
    <row r="30" spans="1:28" x14ac:dyDescent="0.3">
      <c r="B30" s="74" t="s">
        <v>57</v>
      </c>
      <c r="C30" s="122">
        <v>2270</v>
      </c>
      <c r="D30" s="76">
        <f>C12</f>
        <v>2033</v>
      </c>
      <c r="E30" s="77">
        <f t="shared" si="1"/>
        <v>-237</v>
      </c>
      <c r="J30" s="53"/>
      <c r="K30" s="53"/>
      <c r="P30" s="4"/>
    </row>
    <row r="31" spans="1:28" x14ac:dyDescent="0.3">
      <c r="B31" s="74" t="s">
        <v>59</v>
      </c>
      <c r="C31" s="122">
        <v>16530</v>
      </c>
      <c r="D31" s="76">
        <f>C18+C19+C20</f>
        <v>16223</v>
      </c>
      <c r="E31" s="77">
        <f t="shared" si="1"/>
        <v>-307</v>
      </c>
      <c r="K31" s="53"/>
      <c r="P31" s="4"/>
    </row>
    <row r="32" spans="1:28" x14ac:dyDescent="0.3">
      <c r="B32" s="74" t="s">
        <v>60</v>
      </c>
      <c r="C32" s="122">
        <v>1425</v>
      </c>
      <c r="D32" s="76">
        <f>C10+C11</f>
        <v>1425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354</v>
      </c>
      <c r="D33" s="80">
        <f>C21</f>
        <v>354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44766</v>
      </c>
    </row>
    <row r="3" spans="1:27" ht="18.75" customHeight="1" thickBot="1" x14ac:dyDescent="0.35">
      <c r="B3" t="s">
        <v>1</v>
      </c>
      <c r="C3" s="3">
        <f>C2+1</f>
        <v>44767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10595</v>
      </c>
      <c r="G6" s="117">
        <v>3573</v>
      </c>
      <c r="H6" s="117">
        <v>1123</v>
      </c>
      <c r="I6" s="152">
        <f>G6+H6</f>
        <v>4696</v>
      </c>
      <c r="J6" s="119">
        <v>10867</v>
      </c>
      <c r="K6" s="117">
        <v>3662</v>
      </c>
      <c r="L6" s="117">
        <v>1226.5545999999999</v>
      </c>
      <c r="M6" s="162">
        <f>K6+L6</f>
        <v>4888.5545999999995</v>
      </c>
      <c r="N6" s="88">
        <v>40</v>
      </c>
      <c r="O6" s="88">
        <v>39</v>
      </c>
      <c r="P6" s="88">
        <v>33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8">
        <v>1</v>
      </c>
      <c r="O8" s="88">
        <v>1</v>
      </c>
      <c r="P8" s="88">
        <v>1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5275</v>
      </c>
      <c r="G10" s="117">
        <v>2731</v>
      </c>
      <c r="H10" s="117">
        <v>803</v>
      </c>
      <c r="I10" s="152">
        <f>G10+H10</f>
        <v>3534</v>
      </c>
      <c r="J10" s="119">
        <v>5525</v>
      </c>
      <c r="K10" s="117">
        <v>2857</v>
      </c>
      <c r="L10" s="117">
        <v>838.42695170000002</v>
      </c>
      <c r="M10" s="162">
        <f>K10+L10</f>
        <v>3695.4269517000002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7</v>
      </c>
      <c r="O14" s="88">
        <v>7</v>
      </c>
      <c r="P14" s="88">
        <v>6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10461</v>
      </c>
      <c r="E18" s="84"/>
      <c r="F18" s="148">
        <f t="shared" ref="F18:M18" si="0">SUM(F6:F17)</f>
        <v>15870</v>
      </c>
      <c r="G18" s="149">
        <f t="shared" si="0"/>
        <v>6304</v>
      </c>
      <c r="H18" s="149">
        <f t="shared" si="0"/>
        <v>1926</v>
      </c>
      <c r="I18" s="157">
        <f t="shared" si="0"/>
        <v>8230</v>
      </c>
      <c r="J18" s="149">
        <f t="shared" si="0"/>
        <v>16392</v>
      </c>
      <c r="K18" s="149">
        <f t="shared" si="0"/>
        <v>6519</v>
      </c>
      <c r="L18" s="149">
        <f t="shared" si="0"/>
        <v>2064.9815516999997</v>
      </c>
      <c r="M18" s="157">
        <f t="shared" si="0"/>
        <v>8583.9815516999988</v>
      </c>
      <c r="N18" s="149">
        <f>SUM(N16,N14,N12,N10,N8,N6)</f>
        <v>48</v>
      </c>
      <c r="O18" s="149">
        <f>SUM(O16,O14,O12,O10,O8,O6)</f>
        <v>47</v>
      </c>
      <c r="P18" s="158">
        <f>SUM(P16,P14,P12,P10,P8,P6)</f>
        <v>40</v>
      </c>
    </row>
    <row r="19" spans="1:28" ht="15" customHeight="1" thickBot="1" x14ac:dyDescent="0.35">
      <c r="B19" s="16" t="s">
        <v>51</v>
      </c>
      <c r="C19" s="17">
        <v>798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1:28" x14ac:dyDescent="0.3">
      <c r="B20" s="16" t="s">
        <v>52</v>
      </c>
      <c r="C20" s="17">
        <v>5133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0.14893617021276595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15870</v>
      </c>
      <c r="D31" s="76">
        <f>C18+C19+C20</f>
        <v>16392</v>
      </c>
      <c r="E31" s="77">
        <f t="shared" si="1"/>
        <v>522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theme="1"/>
    <pageSetUpPr fitToPage="1"/>
  </sheetPr>
  <dimension ref="A1:AB33"/>
  <sheetViews>
    <sheetView zoomScale="85" zoomScaleNormal="85" zoomScaleSheetLayoutView="70" workbookViewId="0">
      <selection activeCell="H31" sqref="H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44767</v>
      </c>
    </row>
    <row r="3" spans="1:27" ht="18.75" customHeight="1" thickBot="1" x14ac:dyDescent="0.35">
      <c r="B3" t="s">
        <v>1</v>
      </c>
      <c r="C3" s="3">
        <f>C2+1</f>
        <v>44768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68</v>
      </c>
      <c r="E6" s="161" t="s">
        <v>22</v>
      </c>
      <c r="F6" s="119">
        <v>25370</v>
      </c>
      <c r="G6" s="117">
        <v>12414.126974999999</v>
      </c>
      <c r="H6" s="117">
        <v>5825.5122755599987</v>
      </c>
      <c r="I6" s="152">
        <f>G6+H6</f>
        <v>18239.639250559998</v>
      </c>
      <c r="J6" s="119">
        <v>25456</v>
      </c>
      <c r="K6" s="117">
        <v>12425.093475</v>
      </c>
      <c r="L6" s="117">
        <v>5784.7085028599986</v>
      </c>
      <c r="M6" s="162">
        <f>K6+L6</f>
        <v>18209.801977859999</v>
      </c>
      <c r="N6" s="88">
        <v>75</v>
      </c>
      <c r="O6" s="88">
        <v>71</v>
      </c>
      <c r="P6" s="88">
        <v>66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3475.15673986</v>
      </c>
      <c r="I8" s="152">
        <f>G8+H8</f>
        <v>3475.15673986</v>
      </c>
      <c r="J8" s="119">
        <v>0</v>
      </c>
      <c r="K8" s="117">
        <v>0</v>
      </c>
      <c r="L8" s="117">
        <v>3547.4171719999999</v>
      </c>
      <c r="M8" s="162">
        <f>K8+L8</f>
        <v>3547.4171719999999</v>
      </c>
      <c r="N8" s="88">
        <v>7</v>
      </c>
      <c r="O8" s="88">
        <v>5</v>
      </c>
      <c r="P8" s="88">
        <v>3</v>
      </c>
    </row>
    <row r="9" spans="1:27" x14ac:dyDescent="0.3">
      <c r="B9" s="16" t="s">
        <v>23</v>
      </c>
      <c r="C9" s="17">
        <v>1669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335</v>
      </c>
      <c r="E10" s="161" t="s">
        <v>31</v>
      </c>
      <c r="F10" s="119">
        <v>17932</v>
      </c>
      <c r="G10" s="117">
        <v>12310.69366666667</v>
      </c>
      <c r="H10" s="117">
        <v>888.06546249999997</v>
      </c>
      <c r="I10" s="152">
        <f>G10+H10</f>
        <v>13198.75912916667</v>
      </c>
      <c r="J10" s="119">
        <v>17848</v>
      </c>
      <c r="K10" s="117">
        <v>12602.71066666666</v>
      </c>
      <c r="L10" s="117">
        <v>865.01552244000015</v>
      </c>
      <c r="M10" s="162">
        <f>K10+L10</f>
        <v>13467.726189106661</v>
      </c>
      <c r="N10" s="88">
        <v>46</v>
      </c>
      <c r="O10" s="88">
        <v>47</v>
      </c>
      <c r="P10" s="88">
        <v>45</v>
      </c>
    </row>
    <row r="11" spans="1:27" x14ac:dyDescent="0.3">
      <c r="B11" s="28" t="s">
        <v>28</v>
      </c>
      <c r="C11" s="17">
        <v>225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2099</v>
      </c>
      <c r="E12" s="161" t="s">
        <v>35</v>
      </c>
      <c r="F12" s="119">
        <v>12938</v>
      </c>
      <c r="G12" s="117">
        <v>11076.986500000001</v>
      </c>
      <c r="H12" s="117">
        <v>15884.39113036</v>
      </c>
      <c r="I12" s="152">
        <f>G12+H12</f>
        <v>26961.377630360003</v>
      </c>
      <c r="J12" s="119">
        <v>13044</v>
      </c>
      <c r="K12" s="117">
        <v>11326.981</v>
      </c>
      <c r="L12" s="117">
        <v>15872.08045478</v>
      </c>
      <c r="M12" s="162">
        <f>K12+L12</f>
        <v>27199.06145478</v>
      </c>
      <c r="N12" s="88">
        <v>48</v>
      </c>
      <c r="O12" s="88">
        <v>49</v>
      </c>
      <c r="P12" s="88">
        <v>42</v>
      </c>
    </row>
    <row r="13" spans="1:27" x14ac:dyDescent="0.3">
      <c r="B13" s="16" t="s">
        <v>38</v>
      </c>
      <c r="C13" s="17">
        <v>7485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1959</v>
      </c>
      <c r="E14" s="161" t="s">
        <v>39</v>
      </c>
      <c r="F14" s="119">
        <v>22853</v>
      </c>
      <c r="G14" s="117">
        <v>19417.658749999999</v>
      </c>
      <c r="H14" s="117">
        <v>27288.85932698</v>
      </c>
      <c r="I14" s="152">
        <f>G14+H14</f>
        <v>46706.518076979999</v>
      </c>
      <c r="J14" s="119">
        <v>23319</v>
      </c>
      <c r="K14" s="117">
        <v>22378.761999999999</v>
      </c>
      <c r="L14" s="117">
        <v>27934.117169220011</v>
      </c>
      <c r="M14" s="162">
        <f>K14+L14</f>
        <v>50312.87916922001</v>
      </c>
      <c r="N14" s="88">
        <v>66</v>
      </c>
      <c r="O14" s="88">
        <v>67</v>
      </c>
      <c r="P14" s="88">
        <v>60</v>
      </c>
    </row>
    <row r="15" spans="1:27" x14ac:dyDescent="0.3">
      <c r="B15" s="28" t="s">
        <v>42</v>
      </c>
      <c r="C15" s="17">
        <v>31272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1:27" x14ac:dyDescent="0.3">
      <c r="B16" s="43" t="s">
        <v>47</v>
      </c>
      <c r="C16" s="17">
        <v>1832</v>
      </c>
      <c r="E16" s="161" t="s">
        <v>79</v>
      </c>
      <c r="F16" s="119">
        <v>0</v>
      </c>
      <c r="G16" s="117">
        <v>0</v>
      </c>
      <c r="H16" s="117">
        <v>7621.9279044599998</v>
      </c>
      <c r="I16" s="152">
        <f>G16+H16</f>
        <v>7621.9279044599998</v>
      </c>
      <c r="J16" s="119">
        <v>0</v>
      </c>
      <c r="K16" s="117">
        <v>0</v>
      </c>
      <c r="L16" s="117">
        <v>7679.5504293000004</v>
      </c>
      <c r="M16" s="162">
        <f>K16+L16</f>
        <v>7679.5504293000004</v>
      </c>
      <c r="N16" s="88">
        <v>11</v>
      </c>
      <c r="O16" s="88">
        <v>10</v>
      </c>
      <c r="P16" s="88">
        <v>9</v>
      </c>
    </row>
    <row r="17" spans="1:28" s="4" customFormat="1" ht="15" customHeight="1" thickBot="1" x14ac:dyDescent="0.35">
      <c r="B17" s="43" t="s">
        <v>48</v>
      </c>
      <c r="C17" s="50">
        <v>342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9937</v>
      </c>
      <c r="E18" s="84"/>
      <c r="F18" s="148">
        <f t="shared" ref="F18:M18" si="0">SUM(F6:F17)</f>
        <v>79093</v>
      </c>
      <c r="G18" s="149">
        <f t="shared" si="0"/>
        <v>55219.465891666667</v>
      </c>
      <c r="H18" s="149">
        <f t="shared" si="0"/>
        <v>60983.912839719997</v>
      </c>
      <c r="I18" s="157">
        <f t="shared" si="0"/>
        <v>116203.37873138666</v>
      </c>
      <c r="J18" s="149">
        <f t="shared" si="0"/>
        <v>79667</v>
      </c>
      <c r="K18" s="149">
        <f t="shared" si="0"/>
        <v>58733.547141666655</v>
      </c>
      <c r="L18" s="149">
        <f t="shared" si="0"/>
        <v>61682.889250600012</v>
      </c>
      <c r="M18" s="157">
        <f t="shared" si="0"/>
        <v>120416.43639226667</v>
      </c>
      <c r="N18" s="149">
        <f>SUM(N16,N14,N12,N10,N8,N6)</f>
        <v>253</v>
      </c>
      <c r="O18" s="149">
        <f>SUM(O16,O14,O12,O10,O8,O6)</f>
        <v>249</v>
      </c>
      <c r="P18" s="158">
        <f>SUM(P16,P14,P12,P10,P8,P6)</f>
        <v>225</v>
      </c>
    </row>
    <row r="19" spans="1:28" ht="15" customHeight="1" thickBot="1" x14ac:dyDescent="0.35">
      <c r="B19" s="16" t="s">
        <v>51</v>
      </c>
      <c r="C19" s="17">
        <v>1421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1:28" x14ac:dyDescent="0.3">
      <c r="B20" s="16" t="s">
        <v>52</v>
      </c>
      <c r="C20" s="17">
        <v>5060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9.6385542168674704E-2</v>
      </c>
    </row>
    <row r="21" spans="1:28" ht="15" customHeight="1" thickBot="1" x14ac:dyDescent="0.35">
      <c r="A21" s="123"/>
      <c r="B21" s="168" t="s">
        <v>132</v>
      </c>
      <c r="C21" s="169">
        <v>711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6962</v>
      </c>
      <c r="D25" s="76">
        <f>C13</f>
        <v>7485</v>
      </c>
      <c r="E25" s="77">
        <f t="shared" ref="E25:E33" si="1">D25-C25</f>
        <v>523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36634</v>
      </c>
      <c r="D28" s="76">
        <f>C9+C14+C15+C16+C17</f>
        <v>37074</v>
      </c>
      <c r="E28" s="77">
        <f t="shared" si="1"/>
        <v>440</v>
      </c>
      <c r="P28" s="4"/>
    </row>
    <row r="29" spans="1:28" x14ac:dyDescent="0.3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2099</v>
      </c>
      <c r="D30" s="76">
        <f>C12</f>
        <v>2099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16770</v>
      </c>
      <c r="D31" s="76">
        <f>C18+C19+C20</f>
        <v>16418</v>
      </c>
      <c r="E31" s="77">
        <f t="shared" si="1"/>
        <v>-352</v>
      </c>
      <c r="K31" s="53"/>
      <c r="P31" s="4"/>
    </row>
    <row r="32" spans="1:28" x14ac:dyDescent="0.3">
      <c r="B32" s="74" t="s">
        <v>60</v>
      </c>
      <c r="C32" s="122">
        <v>560</v>
      </c>
      <c r="D32" s="76">
        <f>C10+C11</f>
        <v>560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711</v>
      </c>
      <c r="D33" s="80">
        <f>C21</f>
        <v>711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44768</v>
      </c>
    </row>
    <row r="3" spans="1:27" ht="18.75" customHeight="1" thickBot="1" x14ac:dyDescent="0.35">
      <c r="B3" t="s">
        <v>1</v>
      </c>
      <c r="C3" s="3">
        <f>C2+1</f>
        <v>44769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127</v>
      </c>
      <c r="E6" s="161" t="s">
        <v>22</v>
      </c>
      <c r="F6" s="119">
        <v>27586</v>
      </c>
      <c r="G6" s="117">
        <v>11322.72167500001</v>
      </c>
      <c r="H6" s="117">
        <v>6770.3801491199974</v>
      </c>
      <c r="I6" s="152">
        <f>G6+H6</f>
        <v>18093.101824120007</v>
      </c>
      <c r="J6" s="119">
        <v>27289</v>
      </c>
      <c r="K6" s="117">
        <v>12708.960175</v>
      </c>
      <c r="L6" s="117">
        <v>6608.8700323599978</v>
      </c>
      <c r="M6" s="162">
        <f>K6+L6</f>
        <v>19317.830207359999</v>
      </c>
      <c r="N6" s="88">
        <v>78</v>
      </c>
      <c r="O6" s="88">
        <v>75</v>
      </c>
      <c r="P6" s="88">
        <v>71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3223.7082509400011</v>
      </c>
      <c r="I8" s="152">
        <f>G8+H8</f>
        <v>3223.7082509400011</v>
      </c>
      <c r="J8" s="119">
        <v>0</v>
      </c>
      <c r="K8" s="117">
        <v>0</v>
      </c>
      <c r="L8" s="117">
        <v>3349.2497461799999</v>
      </c>
      <c r="M8" s="162">
        <f>K8+L8</f>
        <v>3349.2497461799999</v>
      </c>
      <c r="N8" s="88">
        <v>5</v>
      </c>
      <c r="O8" s="88">
        <v>5</v>
      </c>
      <c r="P8" s="88">
        <v>4</v>
      </c>
    </row>
    <row r="9" spans="1:27" x14ac:dyDescent="0.3">
      <c r="B9" s="16" t="s">
        <v>23</v>
      </c>
      <c r="C9" s="17">
        <v>3036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600</v>
      </c>
      <c r="E10" s="161" t="s">
        <v>31</v>
      </c>
      <c r="F10" s="119">
        <v>17852</v>
      </c>
      <c r="G10" s="117">
        <v>10853.172500000001</v>
      </c>
      <c r="H10" s="117">
        <v>1227.5848555600001</v>
      </c>
      <c r="I10" s="152">
        <f>G10+H10</f>
        <v>12080.757355560001</v>
      </c>
      <c r="J10" s="119">
        <v>18495</v>
      </c>
      <c r="K10" s="117">
        <v>11372.364</v>
      </c>
      <c r="L10" s="117">
        <v>1271.07207722</v>
      </c>
      <c r="M10" s="162">
        <f>K10+L10</f>
        <v>12643.43607722</v>
      </c>
      <c r="N10" s="88">
        <v>52</v>
      </c>
      <c r="O10" s="88">
        <v>52</v>
      </c>
      <c r="P10" s="88">
        <v>50</v>
      </c>
    </row>
    <row r="11" spans="1:27" x14ac:dyDescent="0.3">
      <c r="B11" s="28" t="s">
        <v>28</v>
      </c>
      <c r="C11" s="17">
        <v>485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2425</v>
      </c>
      <c r="E12" s="161" t="s">
        <v>35</v>
      </c>
      <c r="F12" s="119">
        <v>14644</v>
      </c>
      <c r="G12" s="117">
        <v>10929.77691666666</v>
      </c>
      <c r="H12" s="117">
        <v>17504.78907015</v>
      </c>
      <c r="I12" s="152">
        <f>G12+H12</f>
        <v>28434.565986816662</v>
      </c>
      <c r="J12" s="119">
        <v>15145</v>
      </c>
      <c r="K12" s="117">
        <v>12562.47216666667</v>
      </c>
      <c r="L12" s="117">
        <v>17770.331331509999</v>
      </c>
      <c r="M12" s="162">
        <f>K12+L12</f>
        <v>30332.803498176669</v>
      </c>
      <c r="N12" s="88">
        <v>50</v>
      </c>
      <c r="O12" s="88">
        <v>50</v>
      </c>
      <c r="P12" s="88">
        <v>48</v>
      </c>
    </row>
    <row r="13" spans="1:27" x14ac:dyDescent="0.3">
      <c r="B13" s="16" t="s">
        <v>38</v>
      </c>
      <c r="C13" s="17">
        <v>8218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1646</v>
      </c>
      <c r="E14" s="161" t="s">
        <v>39</v>
      </c>
      <c r="F14" s="119">
        <v>25515</v>
      </c>
      <c r="G14" s="117">
        <v>19708.857499999998</v>
      </c>
      <c r="H14" s="117">
        <v>31527.612803260021</v>
      </c>
      <c r="I14" s="152">
        <f>G14+H14</f>
        <v>51236.470303260023</v>
      </c>
      <c r="J14" s="119">
        <v>25925</v>
      </c>
      <c r="K14" s="117">
        <v>22642.075250000002</v>
      </c>
      <c r="L14" s="117">
        <v>31926.92297345999</v>
      </c>
      <c r="M14" s="162">
        <f>K14+L14</f>
        <v>54568.998223459988</v>
      </c>
      <c r="N14" s="88">
        <v>69</v>
      </c>
      <c r="O14" s="88">
        <v>71</v>
      </c>
      <c r="P14" s="88">
        <v>58</v>
      </c>
    </row>
    <row r="15" spans="1:27" x14ac:dyDescent="0.3">
      <c r="B15" s="28" t="s">
        <v>42</v>
      </c>
      <c r="C15" s="17">
        <f>36912-5994</f>
        <v>30918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1266</v>
      </c>
      <c r="E16" s="161" t="s">
        <v>79</v>
      </c>
      <c r="F16" s="119">
        <v>0</v>
      </c>
      <c r="G16" s="117">
        <v>0</v>
      </c>
      <c r="H16" s="117">
        <v>4250.2123409199994</v>
      </c>
      <c r="I16" s="152">
        <f>G16+H16</f>
        <v>4250.2123409199994</v>
      </c>
      <c r="J16" s="119">
        <v>0</v>
      </c>
      <c r="K16" s="117">
        <v>0</v>
      </c>
      <c r="L16" s="117">
        <v>4123.7157507399997</v>
      </c>
      <c r="M16" s="162">
        <f>K16+L16</f>
        <v>4123.7157507399997</v>
      </c>
      <c r="N16" s="88">
        <v>13</v>
      </c>
      <c r="O16" s="88">
        <v>10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10891</v>
      </c>
      <c r="E18" s="84"/>
      <c r="F18" s="148">
        <f t="shared" ref="F18:M18" si="0">SUM(F6:F17)</f>
        <v>85597</v>
      </c>
      <c r="G18" s="149">
        <f t="shared" si="0"/>
        <v>52814.528591666669</v>
      </c>
      <c r="H18" s="149">
        <f t="shared" si="0"/>
        <v>64504.287469950024</v>
      </c>
      <c r="I18" s="157">
        <f t="shared" si="0"/>
        <v>117318.8160616167</v>
      </c>
      <c r="J18" s="149">
        <f t="shared" si="0"/>
        <v>86854</v>
      </c>
      <c r="K18" s="149">
        <f t="shared" si="0"/>
        <v>59285.871591666677</v>
      </c>
      <c r="L18" s="149">
        <f t="shared" si="0"/>
        <v>65050.161911469986</v>
      </c>
      <c r="M18" s="157">
        <f t="shared" si="0"/>
        <v>124336.03350313666</v>
      </c>
      <c r="N18" s="149">
        <f>SUM(N16,N14,N12,N10,N8,N6)</f>
        <v>267</v>
      </c>
      <c r="O18" s="149">
        <f>SUM(O16,O14,O12,O10,O8,O6)</f>
        <v>263</v>
      </c>
      <c r="P18" s="158">
        <f>SUM(P16,P14,P12,P10,P8,P6)</f>
        <v>241</v>
      </c>
    </row>
    <row r="19" spans="1:28" ht="15" customHeight="1" thickBot="1" x14ac:dyDescent="0.35">
      <c r="B19" s="16" t="s">
        <v>51</v>
      </c>
      <c r="C19" s="17">
        <v>1094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</row>
    <row r="20" spans="1:28" x14ac:dyDescent="0.3">
      <c r="B20" s="16" t="s">
        <v>52</v>
      </c>
      <c r="C20" s="17">
        <v>5361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8.3650190114068435E-2</v>
      </c>
    </row>
    <row r="21" spans="1:28" ht="15" customHeight="1" thickBot="1" x14ac:dyDescent="0.35">
      <c r="A21" s="123"/>
      <c r="B21" s="168" t="s">
        <v>132</v>
      </c>
      <c r="C21" s="169">
        <v>734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8416</v>
      </c>
      <c r="D25" s="76">
        <f>C13</f>
        <v>8218</v>
      </c>
      <c r="E25" s="77">
        <f t="shared" ref="E25:E33" si="1">D25-C25</f>
        <v>-198</v>
      </c>
    </row>
    <row r="26" spans="1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35943</v>
      </c>
      <c r="D28" s="76">
        <f>C9+C14+C15+C16+C17</f>
        <v>36912</v>
      </c>
      <c r="E28" s="77">
        <f t="shared" si="1"/>
        <v>969</v>
      </c>
      <c r="P28" s="4"/>
    </row>
    <row r="29" spans="1:28" x14ac:dyDescent="0.3">
      <c r="B29" s="74" t="s">
        <v>21</v>
      </c>
      <c r="C29" s="122">
        <v>127</v>
      </c>
      <c r="D29" s="76">
        <f>C6</f>
        <v>127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2425</v>
      </c>
      <c r="D30" s="76">
        <f>C12</f>
        <v>2425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16430</v>
      </c>
      <c r="D31" s="76">
        <f>C18+C19+C20</f>
        <v>17346</v>
      </c>
      <c r="E31" s="77">
        <f t="shared" si="1"/>
        <v>916</v>
      </c>
      <c r="K31" s="53"/>
      <c r="P31" s="4"/>
    </row>
    <row r="32" spans="1:28" x14ac:dyDescent="0.3">
      <c r="B32" s="74" t="s">
        <v>60</v>
      </c>
      <c r="C32" s="122">
        <v>1085</v>
      </c>
      <c r="D32" s="76">
        <f>C10+C11</f>
        <v>1085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734</v>
      </c>
      <c r="D33" s="80">
        <f>C21</f>
        <v>734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44769</v>
      </c>
    </row>
    <row r="3" spans="1:27" ht="18.75" customHeight="1" thickBot="1" x14ac:dyDescent="0.35">
      <c r="B3" t="s">
        <v>1</v>
      </c>
      <c r="C3" s="3">
        <f>C2+1</f>
        <v>44770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66</v>
      </c>
      <c r="E6" s="161" t="s">
        <v>22</v>
      </c>
      <c r="F6" s="119">
        <v>25452</v>
      </c>
      <c r="G6" s="117">
        <v>12677.003875</v>
      </c>
      <c r="H6" s="117">
        <v>6617.2435067400011</v>
      </c>
      <c r="I6" s="152">
        <f>G6+H6</f>
        <v>19294.247381740002</v>
      </c>
      <c r="J6" s="119">
        <v>25042</v>
      </c>
      <c r="K6" s="117">
        <v>14067.716875</v>
      </c>
      <c r="L6" s="117">
        <v>6691.745501340004</v>
      </c>
      <c r="M6" s="162">
        <f>K6+L6</f>
        <v>20759.462376340005</v>
      </c>
      <c r="N6" s="88">
        <v>68</v>
      </c>
      <c r="O6" s="88">
        <v>65</v>
      </c>
      <c r="P6" s="88">
        <v>67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3464.3247901400009</v>
      </c>
      <c r="I8" s="152">
        <f>G8+H8</f>
        <v>3464.3247901400009</v>
      </c>
      <c r="J8" s="119">
        <v>0</v>
      </c>
      <c r="K8" s="117">
        <v>0</v>
      </c>
      <c r="L8" s="117">
        <v>3254.8059459199999</v>
      </c>
      <c r="M8" s="162">
        <f>K8+L8</f>
        <v>3254.8059459199999</v>
      </c>
      <c r="N8" s="88">
        <v>4</v>
      </c>
      <c r="O8" s="88">
        <v>4</v>
      </c>
      <c r="P8" s="88">
        <v>4</v>
      </c>
    </row>
    <row r="9" spans="1:27" x14ac:dyDescent="0.3">
      <c r="B9" s="16" t="s">
        <v>23</v>
      </c>
      <c r="C9" s="17">
        <v>1716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18562</v>
      </c>
      <c r="G10" s="117">
        <v>12599.2075</v>
      </c>
      <c r="H10" s="117">
        <v>850.43238099999985</v>
      </c>
      <c r="I10" s="152">
        <f>G10+H10</f>
        <v>13449.639881000001</v>
      </c>
      <c r="J10" s="119">
        <v>16974</v>
      </c>
      <c r="K10" s="117">
        <v>13029.78</v>
      </c>
      <c r="L10" s="117">
        <v>848.24613079999995</v>
      </c>
      <c r="M10" s="162">
        <f>K10+L10</f>
        <v>13878.026130800001</v>
      </c>
      <c r="N10" s="88">
        <v>50</v>
      </c>
      <c r="O10" s="88">
        <v>50</v>
      </c>
      <c r="P10" s="88">
        <v>47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2456</v>
      </c>
      <c r="E12" s="161" t="s">
        <v>35</v>
      </c>
      <c r="F12" s="119">
        <v>13098</v>
      </c>
      <c r="G12" s="117">
        <v>10170.47025</v>
      </c>
      <c r="H12" s="117">
        <v>16968.846866240001</v>
      </c>
      <c r="I12" s="152">
        <f>G12+H12</f>
        <v>27139.317116240003</v>
      </c>
      <c r="J12" s="119">
        <v>13248</v>
      </c>
      <c r="K12" s="117">
        <v>12392.464749999999</v>
      </c>
      <c r="L12" s="117">
        <v>17002.404943229991</v>
      </c>
      <c r="M12" s="162">
        <f>K12+L12</f>
        <v>29394.86969322999</v>
      </c>
      <c r="N12" s="88">
        <v>51</v>
      </c>
      <c r="O12" s="88">
        <v>49</v>
      </c>
      <c r="P12" s="88">
        <v>47</v>
      </c>
    </row>
    <row r="13" spans="1:27" x14ac:dyDescent="0.3">
      <c r="B13" s="16" t="s">
        <v>38</v>
      </c>
      <c r="C13" s="17">
        <v>9134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2020</v>
      </c>
      <c r="E14" s="161" t="s">
        <v>39</v>
      </c>
      <c r="F14" s="119">
        <v>21077</v>
      </c>
      <c r="G14" s="117">
        <v>18389.73</v>
      </c>
      <c r="H14" s="117">
        <v>27205.392084040021</v>
      </c>
      <c r="I14" s="152">
        <f>G14+H14</f>
        <v>45595.12208404002</v>
      </c>
      <c r="J14" s="119">
        <v>20703</v>
      </c>
      <c r="K14" s="117">
        <v>20782.92325</v>
      </c>
      <c r="L14" s="117">
        <v>26889.020102840001</v>
      </c>
      <c r="M14" s="162">
        <f>K14+L14</f>
        <v>47671.943352839997</v>
      </c>
      <c r="N14" s="88">
        <v>62</v>
      </c>
      <c r="O14" s="88">
        <v>65</v>
      </c>
      <c r="P14" s="88">
        <v>56</v>
      </c>
    </row>
    <row r="15" spans="1:27" x14ac:dyDescent="0.3">
      <c r="B15" s="28" t="s">
        <v>42</v>
      </c>
      <c r="C15" s="17">
        <v>31551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3">
      <c r="B16" s="43" t="s">
        <v>47</v>
      </c>
      <c r="C16" s="17">
        <v>1892</v>
      </c>
      <c r="E16" s="161" t="s">
        <v>79</v>
      </c>
      <c r="F16" s="119">
        <v>0</v>
      </c>
      <c r="G16" s="117">
        <v>0</v>
      </c>
      <c r="H16" s="117">
        <v>8797.1438328999993</v>
      </c>
      <c r="I16" s="152">
        <f>G16+H16</f>
        <v>8797.1438328999993</v>
      </c>
      <c r="J16" s="119">
        <v>0</v>
      </c>
      <c r="K16" s="117">
        <v>0</v>
      </c>
      <c r="L16" s="117">
        <v>8765.6608123799997</v>
      </c>
      <c r="M16" s="162">
        <f>K16+L16</f>
        <v>8765.6608123799997</v>
      </c>
      <c r="N16" s="88">
        <v>12</v>
      </c>
      <c r="O16" s="88">
        <v>12</v>
      </c>
      <c r="P16" s="88">
        <v>11</v>
      </c>
    </row>
    <row r="17" spans="1:28" s="4" customFormat="1" ht="15" customHeight="1" thickBot="1" x14ac:dyDescent="0.35">
      <c r="B17" s="43" t="s">
        <v>48</v>
      </c>
      <c r="C17" s="50">
        <v>380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9707</v>
      </c>
      <c r="E18" s="84"/>
      <c r="F18" s="148">
        <f t="shared" ref="F18:M18" si="0">SUM(F6:F17)</f>
        <v>78189</v>
      </c>
      <c r="G18" s="149">
        <f t="shared" si="0"/>
        <v>53836.411624999993</v>
      </c>
      <c r="H18" s="149">
        <f t="shared" si="0"/>
        <v>63903.383461060024</v>
      </c>
      <c r="I18" s="157">
        <f t="shared" si="0"/>
        <v>117739.79508606002</v>
      </c>
      <c r="J18" s="149">
        <f t="shared" si="0"/>
        <v>75967</v>
      </c>
      <c r="K18" s="149">
        <f t="shared" si="0"/>
        <v>60272.884874999996</v>
      </c>
      <c r="L18" s="149">
        <f t="shared" si="0"/>
        <v>63451.88343650999</v>
      </c>
      <c r="M18" s="157">
        <f t="shared" si="0"/>
        <v>123724.76831150999</v>
      </c>
      <c r="N18" s="149">
        <f>SUM(N16,N14,N12,N10,N8,N6)</f>
        <v>247</v>
      </c>
      <c r="O18" s="149">
        <f>SUM(O16,O14,O12,O10,O8,O6)</f>
        <v>245</v>
      </c>
      <c r="P18" s="158">
        <f>SUM(P16,P14,P12,P10,P8,P6)</f>
        <v>232</v>
      </c>
    </row>
    <row r="19" spans="1:28" ht="15" customHeight="1" thickBot="1" x14ac:dyDescent="0.35">
      <c r="B19" s="16" t="s">
        <v>51</v>
      </c>
      <c r="C19" s="17">
        <v>1797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1:28" x14ac:dyDescent="0.3">
      <c r="B20" s="16" t="s">
        <v>52</v>
      </c>
      <c r="C20" s="17">
        <v>5441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5.3061224489795916E-2</v>
      </c>
    </row>
    <row r="21" spans="1:28" ht="15" customHeight="1" thickBot="1" x14ac:dyDescent="0.35">
      <c r="A21" s="123"/>
      <c r="B21" s="168" t="s">
        <v>132</v>
      </c>
      <c r="C21" s="169">
        <v>87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8693</v>
      </c>
      <c r="D25" s="76">
        <f>C13</f>
        <v>9134</v>
      </c>
      <c r="E25" s="77">
        <f t="shared" ref="E25:E33" si="1">D25-C25</f>
        <v>441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38070</v>
      </c>
      <c r="D28" s="76">
        <f>C9+C14+C15+C16+C17</f>
        <v>37559</v>
      </c>
      <c r="E28" s="77">
        <f t="shared" si="1"/>
        <v>-511</v>
      </c>
      <c r="P28" s="4"/>
    </row>
    <row r="29" spans="1:28" x14ac:dyDescent="0.3">
      <c r="B29" s="74" t="s">
        <v>21</v>
      </c>
      <c r="C29" s="122">
        <v>66</v>
      </c>
      <c r="D29" s="76">
        <f>C6</f>
        <v>66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2456</v>
      </c>
      <c r="D30" s="76">
        <f>C12</f>
        <v>2456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17385</v>
      </c>
      <c r="D31" s="76">
        <f>C18+C19+C20</f>
        <v>16945</v>
      </c>
      <c r="E31" s="77">
        <f t="shared" si="1"/>
        <v>-440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87</v>
      </c>
      <c r="D33" s="80">
        <f>C21</f>
        <v>87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44770</v>
      </c>
    </row>
    <row r="3" spans="1:27" ht="18.75" customHeight="1" thickBot="1" x14ac:dyDescent="0.35">
      <c r="B3" t="s">
        <v>1</v>
      </c>
      <c r="C3" s="3">
        <f>C2+1</f>
        <v>44771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115</v>
      </c>
      <c r="E6" s="161" t="s">
        <v>22</v>
      </c>
      <c r="F6" s="119">
        <v>24186</v>
      </c>
      <c r="G6" s="117">
        <v>11424.933283333339</v>
      </c>
      <c r="H6" s="117">
        <v>7198.0341401400001</v>
      </c>
      <c r="I6" s="152">
        <f>G6+H6</f>
        <v>18622.967423473339</v>
      </c>
      <c r="J6" s="119">
        <v>24404</v>
      </c>
      <c r="K6" s="117">
        <v>12556.76528333333</v>
      </c>
      <c r="L6" s="117">
        <v>7525.8898771799977</v>
      </c>
      <c r="M6" s="162">
        <f>K6+L6</f>
        <v>20082.655160513328</v>
      </c>
      <c r="N6" s="88">
        <v>69</v>
      </c>
      <c r="O6" s="88">
        <v>63</v>
      </c>
      <c r="P6" s="88">
        <v>66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2643.6642664999999</v>
      </c>
      <c r="I8" s="152">
        <f>G8+H8</f>
        <v>2643.6642664999999</v>
      </c>
      <c r="J8" s="119">
        <v>0</v>
      </c>
      <c r="K8" s="117">
        <v>0</v>
      </c>
      <c r="L8" s="117">
        <v>2756.21894664</v>
      </c>
      <c r="M8" s="162">
        <f>K8+L8</f>
        <v>2756.21894664</v>
      </c>
      <c r="N8" s="88">
        <v>5</v>
      </c>
      <c r="O8" s="88">
        <v>5</v>
      </c>
      <c r="P8" s="88">
        <v>3</v>
      </c>
    </row>
    <row r="9" spans="1:27" x14ac:dyDescent="0.3">
      <c r="B9" s="16" t="s">
        <v>23</v>
      </c>
      <c r="C9" s="17">
        <v>2829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935</v>
      </c>
      <c r="E10" s="161" t="s">
        <v>31</v>
      </c>
      <c r="F10" s="119">
        <v>17144</v>
      </c>
      <c r="G10" s="117">
        <v>10564.057500000001</v>
      </c>
      <c r="H10" s="117">
        <v>1119.8670345600001</v>
      </c>
      <c r="I10" s="152">
        <f>G10+H10</f>
        <v>11683.924534560001</v>
      </c>
      <c r="J10" s="119">
        <v>17480</v>
      </c>
      <c r="K10" s="117">
        <v>11316.9085</v>
      </c>
      <c r="L10" s="117">
        <v>1182.0003283999999</v>
      </c>
      <c r="M10" s="162">
        <f>K10+L10</f>
        <v>12498.908828399999</v>
      </c>
      <c r="N10" s="88">
        <v>53</v>
      </c>
      <c r="O10" s="88">
        <v>52</v>
      </c>
      <c r="P10" s="88">
        <v>52</v>
      </c>
    </row>
    <row r="11" spans="1:27" x14ac:dyDescent="0.3">
      <c r="B11" s="28" t="s">
        <v>28</v>
      </c>
      <c r="C11" s="17">
        <v>575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2500</v>
      </c>
      <c r="E12" s="161" t="s">
        <v>35</v>
      </c>
      <c r="F12" s="119">
        <v>17283</v>
      </c>
      <c r="G12" s="117">
        <v>11476.081749999999</v>
      </c>
      <c r="H12" s="117">
        <v>19118.671326150001</v>
      </c>
      <c r="I12" s="152">
        <f>G12+H12</f>
        <v>30594.753076150002</v>
      </c>
      <c r="J12" s="119">
        <v>17544</v>
      </c>
      <c r="K12" s="117">
        <v>15601.07475</v>
      </c>
      <c r="L12" s="117">
        <v>19541.472309019999</v>
      </c>
      <c r="M12" s="162">
        <f>K12+L12</f>
        <v>35142.547059019998</v>
      </c>
      <c r="N12" s="88">
        <v>51</v>
      </c>
      <c r="O12" s="88">
        <v>51</v>
      </c>
      <c r="P12" s="88">
        <v>49</v>
      </c>
    </row>
    <row r="13" spans="1:27" x14ac:dyDescent="0.3">
      <c r="B13" s="16" t="s">
        <v>38</v>
      </c>
      <c r="C13" s="17">
        <v>9386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1837</v>
      </c>
      <c r="E14" s="161" t="s">
        <v>39</v>
      </c>
      <c r="F14" s="119">
        <v>27729</v>
      </c>
      <c r="G14" s="117">
        <v>20029.956249999999</v>
      </c>
      <c r="H14" s="117">
        <v>33336.86192939998</v>
      </c>
      <c r="I14" s="152">
        <f>G14+H14</f>
        <v>53366.818179399983</v>
      </c>
      <c r="J14" s="119">
        <v>27331</v>
      </c>
      <c r="K14" s="117">
        <v>22778.658500000001</v>
      </c>
      <c r="L14" s="117">
        <v>32905.996751519982</v>
      </c>
      <c r="M14" s="162">
        <f>K14+L14</f>
        <v>55684.655251519987</v>
      </c>
      <c r="N14" s="88">
        <v>65</v>
      </c>
      <c r="O14" s="88">
        <v>67</v>
      </c>
      <c r="P14" s="88">
        <v>59</v>
      </c>
    </row>
    <row r="15" spans="1:27" x14ac:dyDescent="0.3">
      <c r="B15" s="28" t="s">
        <v>42</v>
      </c>
      <c r="C15" s="17">
        <f>39102-6084</f>
        <v>33018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1:27" x14ac:dyDescent="0.3">
      <c r="B16" s="43" t="s">
        <v>47</v>
      </c>
      <c r="C16" s="17">
        <v>1364</v>
      </c>
      <c r="E16" s="161" t="s">
        <v>79</v>
      </c>
      <c r="F16" s="119">
        <v>0</v>
      </c>
      <c r="G16" s="117">
        <v>0</v>
      </c>
      <c r="H16" s="117">
        <v>4723.7852282000003</v>
      </c>
      <c r="I16" s="152">
        <f>G16+H16</f>
        <v>4723.7852282000003</v>
      </c>
      <c r="J16" s="119">
        <v>0</v>
      </c>
      <c r="K16" s="117">
        <v>0</v>
      </c>
      <c r="L16" s="117">
        <v>4776.5179112199994</v>
      </c>
      <c r="M16" s="162">
        <f>K16+L16</f>
        <v>4776.5179112199994</v>
      </c>
      <c r="N16" s="88">
        <v>13</v>
      </c>
      <c r="O16" s="88">
        <v>11</v>
      </c>
      <c r="P16" s="88">
        <v>11</v>
      </c>
    </row>
    <row r="17" spans="1:28" s="4" customFormat="1" ht="15" customHeight="1" thickBot="1" x14ac:dyDescent="0.35">
      <c r="B17" s="43" t="s">
        <v>48</v>
      </c>
      <c r="C17" s="50">
        <v>54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9390</v>
      </c>
      <c r="E18" s="84"/>
      <c r="F18" s="148">
        <f t="shared" ref="F18:M18" si="0">SUM(F6:F17)</f>
        <v>86342</v>
      </c>
      <c r="G18" s="149">
        <f t="shared" si="0"/>
        <v>53495.028783333342</v>
      </c>
      <c r="H18" s="149">
        <f t="shared" si="0"/>
        <v>68140.883924949972</v>
      </c>
      <c r="I18" s="157">
        <f t="shared" si="0"/>
        <v>121635.91270828331</v>
      </c>
      <c r="J18" s="149">
        <f t="shared" si="0"/>
        <v>86759</v>
      </c>
      <c r="K18" s="149">
        <f t="shared" si="0"/>
        <v>62253.407033333337</v>
      </c>
      <c r="L18" s="149">
        <f t="shared" si="0"/>
        <v>68688.09612397998</v>
      </c>
      <c r="M18" s="157">
        <f t="shared" si="0"/>
        <v>130941.50315731332</v>
      </c>
      <c r="N18" s="149">
        <f>SUM(N16,N14,N12,N10,N8,N6)</f>
        <v>256</v>
      </c>
      <c r="O18" s="149">
        <f>SUM(O16,O14,O12,O10,O8,O6)</f>
        <v>249</v>
      </c>
      <c r="P18" s="158">
        <f>SUM(P16,P14,P12,P10,P8,P6)</f>
        <v>240</v>
      </c>
    </row>
    <row r="19" spans="1:28" ht="15" customHeight="1" thickBot="1" x14ac:dyDescent="0.35">
      <c r="B19" s="16" t="s">
        <v>51</v>
      </c>
      <c r="C19" s="17">
        <v>2228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</row>
    <row r="20" spans="1:28" x14ac:dyDescent="0.3">
      <c r="B20" s="16" t="s">
        <v>52</v>
      </c>
      <c r="C20" s="17">
        <v>4542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3.614457831325301E-2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8971</v>
      </c>
      <c r="D25" s="76">
        <f>C13</f>
        <v>9386</v>
      </c>
      <c r="E25" s="77">
        <f t="shared" ref="E25:E33" si="1">D25-C25</f>
        <v>415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38338</v>
      </c>
      <c r="D28" s="76">
        <f>C9+C14+C15+C16+C17</f>
        <v>39102</v>
      </c>
      <c r="E28" s="77">
        <f t="shared" si="1"/>
        <v>764</v>
      </c>
      <c r="P28" s="4"/>
    </row>
    <row r="29" spans="1:28" x14ac:dyDescent="0.3">
      <c r="B29" s="74" t="s">
        <v>21</v>
      </c>
      <c r="C29" s="122">
        <v>115</v>
      </c>
      <c r="D29" s="76">
        <f>C6</f>
        <v>115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2500</v>
      </c>
      <c r="D30" s="76">
        <f>C12</f>
        <v>2500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15575</v>
      </c>
      <c r="D31" s="76">
        <f>C18+C19+C20</f>
        <v>16160</v>
      </c>
      <c r="E31" s="77">
        <f t="shared" si="1"/>
        <v>585</v>
      </c>
      <c r="K31" s="53"/>
      <c r="P31" s="4"/>
    </row>
    <row r="32" spans="1:28" x14ac:dyDescent="0.3">
      <c r="B32" s="74" t="s">
        <v>60</v>
      </c>
      <c r="C32" s="122">
        <v>1510</v>
      </c>
      <c r="D32" s="76">
        <f>C10+C11</f>
        <v>1510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44771</v>
      </c>
    </row>
    <row r="3" spans="1:27" ht="18.75" customHeight="1" thickBot="1" x14ac:dyDescent="0.35">
      <c r="B3" t="s">
        <v>1</v>
      </c>
      <c r="C3" s="3">
        <f>C2+1</f>
        <v>44772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26205</v>
      </c>
      <c r="G6" s="117">
        <v>12734.004999999999</v>
      </c>
      <c r="H6" s="117">
        <v>6736.4031349200022</v>
      </c>
      <c r="I6" s="152">
        <f>G6+H6</f>
        <v>19470.408134920002</v>
      </c>
      <c r="J6" s="119">
        <v>26408</v>
      </c>
      <c r="K6" s="117">
        <v>13611.603999999999</v>
      </c>
      <c r="L6" s="117">
        <v>6476.7720776200022</v>
      </c>
      <c r="M6" s="162">
        <f>K6+L6</f>
        <v>20088.37607762</v>
      </c>
      <c r="N6" s="88">
        <v>71</v>
      </c>
      <c r="O6" s="88">
        <v>67</v>
      </c>
      <c r="P6" s="88">
        <v>65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3724.5836152799989</v>
      </c>
      <c r="I8" s="152">
        <f>G8+H8</f>
        <v>3724.5836152799989</v>
      </c>
      <c r="J8" s="119">
        <v>0</v>
      </c>
      <c r="K8" s="117">
        <v>0</v>
      </c>
      <c r="L8" s="117">
        <v>3764.0708969400011</v>
      </c>
      <c r="M8" s="162">
        <f>K8+L8</f>
        <v>3764.0708969400011</v>
      </c>
      <c r="N8" s="88">
        <v>5</v>
      </c>
      <c r="O8" s="88">
        <v>5</v>
      </c>
      <c r="P8" s="88">
        <v>4</v>
      </c>
    </row>
    <row r="9" spans="1:27" x14ac:dyDescent="0.3">
      <c r="B9" s="16" t="s">
        <v>23</v>
      </c>
      <c r="C9" s="17">
        <v>2138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16848</v>
      </c>
      <c r="G10" s="117">
        <v>12129.066000000001</v>
      </c>
      <c r="H10" s="117">
        <v>679.7611854999999</v>
      </c>
      <c r="I10" s="152">
        <f>G10+H10</f>
        <v>12808.8271855</v>
      </c>
      <c r="J10" s="119">
        <v>16808</v>
      </c>
      <c r="K10" s="117">
        <v>12236.305</v>
      </c>
      <c r="L10" s="117">
        <v>688.37324292000005</v>
      </c>
      <c r="M10" s="162">
        <f>K10+L10</f>
        <v>12924.678242920001</v>
      </c>
      <c r="N10" s="88">
        <v>49</v>
      </c>
      <c r="O10" s="88">
        <v>49</v>
      </c>
      <c r="P10" s="88">
        <v>47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4404</v>
      </c>
      <c r="E12" s="161" t="s">
        <v>35</v>
      </c>
      <c r="F12" s="119">
        <v>16260</v>
      </c>
      <c r="G12" s="117">
        <v>14732.58675</v>
      </c>
      <c r="H12" s="117">
        <v>22458.55809023001</v>
      </c>
      <c r="I12" s="152">
        <f>G12+H12</f>
        <v>37191.144840230008</v>
      </c>
      <c r="J12" s="119">
        <v>15936</v>
      </c>
      <c r="K12" s="117">
        <v>16419.494750000002</v>
      </c>
      <c r="L12" s="117">
        <v>22208.15897460001</v>
      </c>
      <c r="M12" s="162">
        <f>K12+L12</f>
        <v>38627.653724600008</v>
      </c>
      <c r="N12" s="88">
        <v>55</v>
      </c>
      <c r="O12" s="88">
        <v>51</v>
      </c>
      <c r="P12" s="88">
        <v>52</v>
      </c>
    </row>
    <row r="13" spans="1:27" x14ac:dyDescent="0.3">
      <c r="B13" s="16" t="s">
        <v>38</v>
      </c>
      <c r="C13" s="17">
        <v>7555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-1</v>
      </c>
    </row>
    <row r="14" spans="1:27" x14ac:dyDescent="0.3">
      <c r="B14" s="16" t="s">
        <v>40</v>
      </c>
      <c r="C14" s="17">
        <v>1975</v>
      </c>
      <c r="E14" s="161" t="s">
        <v>39</v>
      </c>
      <c r="F14" s="119">
        <v>29209</v>
      </c>
      <c r="G14" s="117">
        <v>22655.52375</v>
      </c>
      <c r="H14" s="117">
        <v>36318.906260159987</v>
      </c>
      <c r="I14" s="152">
        <f>G14+H14</f>
        <v>58974.430010159987</v>
      </c>
      <c r="J14" s="119">
        <v>28758</v>
      </c>
      <c r="K14" s="117">
        <v>25442.696</v>
      </c>
      <c r="L14" s="117">
        <v>35858.345941599997</v>
      </c>
      <c r="M14" s="162">
        <f>K14+L14</f>
        <v>61301.041941599993</v>
      </c>
      <c r="N14" s="88">
        <v>67</v>
      </c>
      <c r="O14" s="88">
        <v>65</v>
      </c>
      <c r="P14" s="88">
        <v>60</v>
      </c>
    </row>
    <row r="15" spans="1:27" x14ac:dyDescent="0.3">
      <c r="B15" s="28" t="s">
        <v>42</v>
      </c>
      <c r="C15" s="17">
        <f>42777-6329</f>
        <v>36448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1:27" x14ac:dyDescent="0.3">
      <c r="B16" s="43" t="s">
        <v>47</v>
      </c>
      <c r="C16" s="17">
        <v>1856</v>
      </c>
      <c r="E16" s="161" t="s">
        <v>79</v>
      </c>
      <c r="F16" s="119">
        <v>0</v>
      </c>
      <c r="G16" s="117">
        <v>0</v>
      </c>
      <c r="H16" s="117">
        <v>9472.9244231400007</v>
      </c>
      <c r="I16" s="152">
        <f>G16+H16</f>
        <v>9472.9244231400007</v>
      </c>
      <c r="J16" s="119">
        <v>0</v>
      </c>
      <c r="K16" s="117">
        <v>0</v>
      </c>
      <c r="L16" s="117">
        <v>9419.4399785400001</v>
      </c>
      <c r="M16" s="162">
        <f>K16+L16</f>
        <v>9419.4399785400001</v>
      </c>
      <c r="N16" s="88">
        <v>14</v>
      </c>
      <c r="O16" s="88">
        <v>12</v>
      </c>
      <c r="P16" s="88">
        <v>11</v>
      </c>
    </row>
    <row r="17" spans="1:28" s="4" customFormat="1" ht="15" customHeight="1" thickBot="1" x14ac:dyDescent="0.35">
      <c r="B17" s="43" t="s">
        <v>48</v>
      </c>
      <c r="C17" s="50">
        <v>360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8687</v>
      </c>
      <c r="E18" s="84"/>
      <c r="F18" s="148">
        <f t="shared" ref="F18:M18" si="0">SUM(F6:F17)</f>
        <v>88522</v>
      </c>
      <c r="G18" s="149">
        <f t="shared" si="0"/>
        <v>62251.181499999999</v>
      </c>
      <c r="H18" s="149">
        <f t="shared" si="0"/>
        <v>79391.136709229992</v>
      </c>
      <c r="I18" s="157">
        <f t="shared" si="0"/>
        <v>141642.31820923</v>
      </c>
      <c r="J18" s="149">
        <f t="shared" si="0"/>
        <v>87910</v>
      </c>
      <c r="K18" s="149">
        <f t="shared" si="0"/>
        <v>67710.099749999994</v>
      </c>
      <c r="L18" s="149">
        <f t="shared" si="0"/>
        <v>78415.161112220012</v>
      </c>
      <c r="M18" s="157">
        <f t="shared" si="0"/>
        <v>146125.26086222002</v>
      </c>
      <c r="N18" s="149">
        <f>SUM(N16,N14,N12,N10,N8,N6)</f>
        <v>261</v>
      </c>
      <c r="O18" s="149">
        <f>SUM(O16,O14,O12,O10,O8,O6)</f>
        <v>249</v>
      </c>
      <c r="P18" s="158">
        <f>SUM(P16,P14,P12,P10,P8,P6)</f>
        <v>239</v>
      </c>
    </row>
    <row r="19" spans="1:28" ht="15" customHeight="1" thickBot="1" x14ac:dyDescent="0.35">
      <c r="B19" s="16" t="s">
        <v>51</v>
      </c>
      <c r="C19" s="17">
        <v>481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10</v>
      </c>
    </row>
    <row r="20" spans="1:28" x14ac:dyDescent="0.3">
      <c r="B20" s="16" t="s">
        <v>52</v>
      </c>
      <c r="C20" s="17">
        <v>4921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4.0160642570281124E-2</v>
      </c>
    </row>
    <row r="21" spans="1:28" ht="15" customHeight="1" thickBot="1" x14ac:dyDescent="0.35">
      <c r="A21" s="123"/>
      <c r="B21" s="168" t="s">
        <v>132</v>
      </c>
      <c r="C21" s="169">
        <v>1120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7558</v>
      </c>
      <c r="D25" s="76">
        <f>C13</f>
        <v>7555</v>
      </c>
      <c r="E25" s="77">
        <f t="shared" ref="E25:E33" si="1">D25-C25</f>
        <v>-3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43304</v>
      </c>
      <c r="D28" s="76">
        <f>C9+C14+C15+C16+C17</f>
        <v>42777</v>
      </c>
      <c r="E28" s="77">
        <f t="shared" si="1"/>
        <v>-527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4404</v>
      </c>
      <c r="D30" s="76">
        <f>C12</f>
        <v>4404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14235</v>
      </c>
      <c r="D31" s="76">
        <f>C18+C19+C20</f>
        <v>14089</v>
      </c>
      <c r="E31" s="77">
        <f t="shared" si="1"/>
        <v>-146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1120</v>
      </c>
      <c r="D33" s="80">
        <f>C21</f>
        <v>1120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44772</v>
      </c>
    </row>
    <row r="3" spans="1:27" ht="18.75" customHeight="1" thickBot="1" x14ac:dyDescent="0.35">
      <c r="B3" t="s">
        <v>1</v>
      </c>
      <c r="C3" s="3">
        <f>C2+1</f>
        <v>44773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76</v>
      </c>
      <c r="E6" s="161" t="s">
        <v>22</v>
      </c>
      <c r="F6" s="119">
        <v>26381</v>
      </c>
      <c r="G6" s="117">
        <v>10904.907375000001</v>
      </c>
      <c r="H6" s="117">
        <v>6486.7019550000041</v>
      </c>
      <c r="I6" s="152">
        <f>G6+H6</f>
        <v>17391.609330000007</v>
      </c>
      <c r="J6" s="119">
        <v>29138</v>
      </c>
      <c r="K6" s="117">
        <v>13273.157275</v>
      </c>
      <c r="L6" s="117">
        <v>6809.2278232600038</v>
      </c>
      <c r="M6" s="162">
        <f>K6+L6</f>
        <v>20082.385098260005</v>
      </c>
      <c r="N6" s="88">
        <v>77</v>
      </c>
      <c r="O6" s="88">
        <v>72</v>
      </c>
      <c r="P6" s="88">
        <v>71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3450.1744008199998</v>
      </c>
      <c r="I8" s="152">
        <f>G8+H8</f>
        <v>3450.1744008199998</v>
      </c>
      <c r="J8" s="119">
        <v>0</v>
      </c>
      <c r="K8" s="117">
        <v>0</v>
      </c>
      <c r="L8" s="117">
        <v>3476.2668664400012</v>
      </c>
      <c r="M8" s="162">
        <f>K8+L8</f>
        <v>3476.2668664400012</v>
      </c>
      <c r="N8" s="88">
        <v>5</v>
      </c>
      <c r="O8" s="88">
        <v>5</v>
      </c>
      <c r="P8" s="88">
        <v>4</v>
      </c>
    </row>
    <row r="9" spans="1:27" x14ac:dyDescent="0.3">
      <c r="B9" s="16" t="s">
        <v>23</v>
      </c>
      <c r="C9" s="17">
        <v>1748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740</v>
      </c>
      <c r="E10" s="161" t="s">
        <v>31</v>
      </c>
      <c r="F10" s="119">
        <v>14369</v>
      </c>
      <c r="G10" s="117">
        <v>9441.2579999999998</v>
      </c>
      <c r="H10" s="117">
        <v>1091.2715766599999</v>
      </c>
      <c r="I10" s="152">
        <f>G10+H10</f>
        <v>10532.529576659999</v>
      </c>
      <c r="J10" s="119">
        <v>15351</v>
      </c>
      <c r="K10" s="117">
        <v>10558.071749999999</v>
      </c>
      <c r="L10" s="117">
        <v>1176.1221889599999</v>
      </c>
      <c r="M10" s="162">
        <f>K10+L10</f>
        <v>11734.193938959999</v>
      </c>
      <c r="N10" s="88">
        <v>50</v>
      </c>
      <c r="O10" s="88">
        <v>48</v>
      </c>
      <c r="P10" s="88">
        <v>48</v>
      </c>
    </row>
    <row r="11" spans="1:27" x14ac:dyDescent="0.3">
      <c r="B11" s="28" t="s">
        <v>28</v>
      </c>
      <c r="C11" s="17">
        <v>470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2313</v>
      </c>
      <c r="E12" s="161" t="s">
        <v>35</v>
      </c>
      <c r="F12" s="119">
        <v>15521</v>
      </c>
      <c r="G12" s="117">
        <v>11871.83741666666</v>
      </c>
      <c r="H12" s="117">
        <v>18497.853482660001</v>
      </c>
      <c r="I12" s="152">
        <f>G12+H12</f>
        <v>30369.690899326662</v>
      </c>
      <c r="J12" s="119">
        <v>15673</v>
      </c>
      <c r="K12" s="117">
        <v>13084.04391666666</v>
      </c>
      <c r="L12" s="117">
        <v>18416.979207939999</v>
      </c>
      <c r="M12" s="162">
        <f>K12+L12</f>
        <v>31501.023124606661</v>
      </c>
      <c r="N12" s="88">
        <v>50</v>
      </c>
      <c r="O12" s="88">
        <v>52</v>
      </c>
      <c r="P12" s="88">
        <v>45</v>
      </c>
    </row>
    <row r="13" spans="1:27" x14ac:dyDescent="0.3">
      <c r="B13" s="16" t="s">
        <v>38</v>
      </c>
      <c r="C13" s="17">
        <v>10021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3">
      <c r="B14" s="16" t="s">
        <v>40</v>
      </c>
      <c r="C14" s="17">
        <v>1317</v>
      </c>
      <c r="E14" s="161" t="s">
        <v>39</v>
      </c>
      <c r="F14" s="119">
        <v>20845</v>
      </c>
      <c r="G14" s="117">
        <v>21725.286250000001</v>
      </c>
      <c r="H14" s="117">
        <v>24264.786300119991</v>
      </c>
      <c r="I14" s="152">
        <f>G14+H14</f>
        <v>45990.072550119992</v>
      </c>
      <c r="J14" s="119">
        <v>19957</v>
      </c>
      <c r="K14" s="117">
        <v>15123.502500000001</v>
      </c>
      <c r="L14" s="117">
        <v>23694.26998614</v>
      </c>
      <c r="M14" s="162">
        <f>K14+L14</f>
        <v>38817.772486139998</v>
      </c>
      <c r="N14" s="88">
        <v>63</v>
      </c>
      <c r="O14" s="88">
        <v>57</v>
      </c>
      <c r="P14" s="88">
        <v>54</v>
      </c>
    </row>
    <row r="15" spans="1:27" x14ac:dyDescent="0.3">
      <c r="B15" s="28" t="s">
        <v>42</v>
      </c>
      <c r="C15" s="17">
        <f>31311-4082</f>
        <v>27229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1:27" x14ac:dyDescent="0.3">
      <c r="B16" s="43" t="s">
        <v>47</v>
      </c>
      <c r="C16" s="17">
        <v>967</v>
      </c>
      <c r="E16" s="161" t="s">
        <v>79</v>
      </c>
      <c r="F16" s="119">
        <v>0</v>
      </c>
      <c r="G16" s="117">
        <v>0</v>
      </c>
      <c r="H16" s="117">
        <v>4355.9108762799997</v>
      </c>
      <c r="I16" s="152">
        <f>G16+H16</f>
        <v>4355.9108762799997</v>
      </c>
      <c r="J16" s="119">
        <v>0</v>
      </c>
      <c r="K16" s="117">
        <v>0</v>
      </c>
      <c r="L16" s="117">
        <v>4225.3850872200001</v>
      </c>
      <c r="M16" s="162">
        <f>K16+L16</f>
        <v>4225.3850872200001</v>
      </c>
      <c r="N16" s="88">
        <v>13</v>
      </c>
      <c r="O16" s="88">
        <v>10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10663</v>
      </c>
      <c r="E18" s="84"/>
      <c r="F18" s="148">
        <f t="shared" ref="F18:M18" si="0">SUM(F6:F17)</f>
        <v>77116</v>
      </c>
      <c r="G18" s="149">
        <f t="shared" si="0"/>
        <v>53943.289041666663</v>
      </c>
      <c r="H18" s="149">
        <f t="shared" si="0"/>
        <v>58146.69859154</v>
      </c>
      <c r="I18" s="157">
        <f t="shared" si="0"/>
        <v>112089.98763320666</v>
      </c>
      <c r="J18" s="149">
        <f t="shared" si="0"/>
        <v>80119</v>
      </c>
      <c r="K18" s="149">
        <f t="shared" si="0"/>
        <v>52038.775441666665</v>
      </c>
      <c r="L18" s="149">
        <f t="shared" si="0"/>
        <v>57798.251159959997</v>
      </c>
      <c r="M18" s="157">
        <f t="shared" si="0"/>
        <v>109837.02660162665</v>
      </c>
      <c r="N18" s="149">
        <f>SUM(N16,N14,N12,N10,N8,N6)</f>
        <v>258</v>
      </c>
      <c r="O18" s="149">
        <f>SUM(O16,O14,O12,O10,O8,O6)</f>
        <v>244</v>
      </c>
      <c r="P18" s="158">
        <f>SUM(P16,P14,P12,P10,P8,P6)</f>
        <v>232</v>
      </c>
    </row>
    <row r="19" spans="1:28" ht="15" customHeight="1" thickBot="1" x14ac:dyDescent="0.35">
      <c r="B19" s="16" t="s">
        <v>51</v>
      </c>
      <c r="C19" s="17">
        <v>1751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1:28" x14ac:dyDescent="0.3">
      <c r="B20" s="16" t="s">
        <v>52</v>
      </c>
      <c r="C20" s="17">
        <v>5045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4.9180327868852458E-2</v>
      </c>
    </row>
    <row r="21" spans="1:28" ht="15" customHeight="1" thickBot="1" x14ac:dyDescent="0.35">
      <c r="A21" s="123"/>
      <c r="B21" s="168" t="s">
        <v>132</v>
      </c>
      <c r="C21" s="169">
        <v>358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10517</v>
      </c>
      <c r="D25" s="76">
        <f>C13</f>
        <v>10021</v>
      </c>
      <c r="E25" s="77">
        <f t="shared" ref="E25:E33" si="1">D25-C25</f>
        <v>-496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31774</v>
      </c>
      <c r="D28" s="76">
        <f>C9+C14+C15+C16+C17</f>
        <v>31311</v>
      </c>
      <c r="E28" s="77">
        <f t="shared" si="1"/>
        <v>-463</v>
      </c>
      <c r="P28" s="4"/>
    </row>
    <row r="29" spans="1:28" x14ac:dyDescent="0.3">
      <c r="B29" s="74" t="s">
        <v>21</v>
      </c>
      <c r="C29" s="122">
        <v>0</v>
      </c>
      <c r="D29" s="76">
        <f>C6</f>
        <v>76</v>
      </c>
      <c r="E29" s="77">
        <f t="shared" si="1"/>
        <v>76</v>
      </c>
      <c r="P29" s="4"/>
    </row>
    <row r="30" spans="1:28" x14ac:dyDescent="0.3">
      <c r="B30" s="74" t="s">
        <v>57</v>
      </c>
      <c r="C30" s="122">
        <v>2372</v>
      </c>
      <c r="D30" s="76">
        <f>C12</f>
        <v>2313</v>
      </c>
      <c r="E30" s="77">
        <f t="shared" si="1"/>
        <v>-59</v>
      </c>
      <c r="J30" s="53"/>
      <c r="K30" s="53"/>
      <c r="P30" s="4"/>
    </row>
    <row r="31" spans="1:28" x14ac:dyDescent="0.3">
      <c r="B31" s="74" t="s">
        <v>59</v>
      </c>
      <c r="C31" s="122">
        <v>16110</v>
      </c>
      <c r="D31" s="76">
        <f>C18+C19+C20</f>
        <v>17459</v>
      </c>
      <c r="E31" s="77">
        <f t="shared" si="1"/>
        <v>1349</v>
      </c>
      <c r="K31" s="53"/>
      <c r="P31" s="4"/>
    </row>
    <row r="32" spans="1:28" x14ac:dyDescent="0.3">
      <c r="B32" s="74" t="s">
        <v>60</v>
      </c>
      <c r="C32" s="122">
        <v>1210</v>
      </c>
      <c r="D32" s="76">
        <f>C10+C11</f>
        <v>1210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358</v>
      </c>
      <c r="D33" s="80">
        <f>C21</f>
        <v>358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theme="1"/>
    <pageSetUpPr fitToPage="1"/>
  </sheetPr>
  <dimension ref="A1:AB33"/>
  <sheetViews>
    <sheetView zoomScale="85" zoomScaleNormal="85" zoomScaleSheetLayoutView="70" workbookViewId="0">
      <selection activeCell="G26" sqref="G2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44773</v>
      </c>
    </row>
    <row r="3" spans="1:27" ht="18.75" customHeight="1" thickBot="1" x14ac:dyDescent="0.35">
      <c r="B3" t="s">
        <v>1</v>
      </c>
      <c r="C3" s="3">
        <f>C2+1</f>
        <v>44774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10575</v>
      </c>
      <c r="G6" s="117">
        <v>3567</v>
      </c>
      <c r="H6" s="117">
        <v>1640.4707912399999</v>
      </c>
      <c r="I6" s="152">
        <f>G6+H6</f>
        <v>5207.4707912399999</v>
      </c>
      <c r="J6" s="119">
        <v>10242</v>
      </c>
      <c r="K6" s="117">
        <v>3451</v>
      </c>
      <c r="L6" s="117">
        <v>1073.3256850600001</v>
      </c>
      <c r="M6" s="162">
        <f>K6+L6</f>
        <v>4524.3256850600001</v>
      </c>
      <c r="N6" s="88">
        <v>38</v>
      </c>
      <c r="O6" s="88">
        <v>37</v>
      </c>
      <c r="P6" s="88">
        <v>34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8">
        <v>1</v>
      </c>
      <c r="O8" s="88">
        <v>1</v>
      </c>
      <c r="P8" s="88">
        <v>1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5250</v>
      </c>
      <c r="G10" s="117">
        <v>6460.6002500000004</v>
      </c>
      <c r="H10" s="117">
        <v>795.33666549999987</v>
      </c>
      <c r="I10" s="152">
        <f>G10+H10</f>
        <v>7255.9369155000004</v>
      </c>
      <c r="J10" s="119">
        <v>5181</v>
      </c>
      <c r="K10" s="117">
        <v>2685</v>
      </c>
      <c r="L10" s="117">
        <v>801.50616462000005</v>
      </c>
      <c r="M10" s="162">
        <f>K10+L10</f>
        <v>3486.5061646200002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10</v>
      </c>
      <c r="O14" s="88">
        <v>7</v>
      </c>
      <c r="P14" s="88">
        <v>7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9401</v>
      </c>
      <c r="E18" s="84"/>
      <c r="F18" s="148">
        <f t="shared" ref="F18:M18" si="0">SUM(F6:F17)</f>
        <v>15825</v>
      </c>
      <c r="G18" s="149">
        <f t="shared" si="0"/>
        <v>10027.60025</v>
      </c>
      <c r="H18" s="149">
        <f t="shared" si="0"/>
        <v>2435.8074567399999</v>
      </c>
      <c r="I18" s="157">
        <f t="shared" si="0"/>
        <v>12463.407706739999</v>
      </c>
      <c r="J18" s="149">
        <f t="shared" si="0"/>
        <v>15423</v>
      </c>
      <c r="K18" s="149">
        <f t="shared" si="0"/>
        <v>6136</v>
      </c>
      <c r="L18" s="149">
        <f t="shared" si="0"/>
        <v>1874.8318496800002</v>
      </c>
      <c r="M18" s="157">
        <f t="shared" si="0"/>
        <v>8010.8318496800002</v>
      </c>
      <c r="N18" s="149">
        <f>SUM(N16,N14,N12,N10,N8,N6)</f>
        <v>49</v>
      </c>
      <c r="O18" s="149">
        <f>SUM(O16,O14,O12,O10,O8,O6)</f>
        <v>45</v>
      </c>
      <c r="P18" s="158">
        <f>SUM(P16,P14,P12,P10,P8,P6)</f>
        <v>42</v>
      </c>
    </row>
    <row r="19" spans="1:28" ht="15" customHeight="1" thickBot="1" x14ac:dyDescent="0.35">
      <c r="B19" s="16" t="s">
        <v>51</v>
      </c>
      <c r="C19" s="17">
        <v>945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</v>
      </c>
    </row>
    <row r="20" spans="1:28" x14ac:dyDescent="0.3">
      <c r="B20" s="16" t="s">
        <v>52</v>
      </c>
      <c r="C20" s="17">
        <v>5077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6.6666666666666666E-2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15825</v>
      </c>
      <c r="D31" s="76">
        <f>C18+C19+C20</f>
        <v>15423</v>
      </c>
      <c r="E31" s="77">
        <f t="shared" si="1"/>
        <v>-402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theme="1"/>
    <pageSetUpPr fitToPage="1"/>
  </sheetPr>
  <dimension ref="A1:AB33"/>
  <sheetViews>
    <sheetView zoomScale="85" zoomScaleNormal="85" zoomScaleSheetLayoutView="70" workbookViewId="0">
      <selection activeCell="Q21" sqref="Q2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44774</v>
      </c>
    </row>
    <row r="3" spans="1:27" ht="18.75" customHeight="1" thickBot="1" x14ac:dyDescent="0.35">
      <c r="B3" t="s">
        <v>1</v>
      </c>
      <c r="C3" s="3">
        <f>C2+1</f>
        <v>44775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68</v>
      </c>
      <c r="E6" s="161" t="s">
        <v>22</v>
      </c>
      <c r="F6" s="119">
        <v>25882</v>
      </c>
      <c r="G6" s="117">
        <v>12223.74001666667</v>
      </c>
      <c r="H6" s="117">
        <v>5809.4154880599999</v>
      </c>
      <c r="I6" s="152">
        <f>G6+H6</f>
        <v>18033.15550472667</v>
      </c>
      <c r="J6" s="119">
        <v>25521</v>
      </c>
      <c r="K6" s="117">
        <v>11538.34751666667</v>
      </c>
      <c r="L6" s="117">
        <v>4982.9443600000022</v>
      </c>
      <c r="M6" s="162">
        <f>K6+L6</f>
        <v>16521.291876666673</v>
      </c>
      <c r="N6" s="88">
        <v>70</v>
      </c>
      <c r="O6" s="88">
        <v>68</v>
      </c>
      <c r="P6" s="88">
        <v>62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3389.8762561200001</v>
      </c>
      <c r="I8" s="152">
        <f>G8+H8</f>
        <v>3389.8762561200001</v>
      </c>
      <c r="J8" s="119">
        <v>0</v>
      </c>
      <c r="K8" s="117">
        <v>0</v>
      </c>
      <c r="L8" s="117">
        <v>3345.901229619999</v>
      </c>
      <c r="M8" s="162">
        <f>K8+L8</f>
        <v>3345.901229619999</v>
      </c>
      <c r="N8" s="88">
        <v>5</v>
      </c>
      <c r="O8" s="88">
        <v>5</v>
      </c>
      <c r="P8" s="88">
        <v>3</v>
      </c>
    </row>
    <row r="9" spans="1:27" x14ac:dyDescent="0.3">
      <c r="B9" s="16" t="s">
        <v>23</v>
      </c>
      <c r="C9" s="17">
        <v>1669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395</v>
      </c>
      <c r="E10" s="161" t="s">
        <v>31</v>
      </c>
      <c r="F10" s="119">
        <v>17349</v>
      </c>
      <c r="G10" s="117">
        <v>12431.316000000001</v>
      </c>
      <c r="H10" s="117">
        <v>877.59735549999982</v>
      </c>
      <c r="I10" s="152">
        <f>G10+H10</f>
        <v>13308.913355500001</v>
      </c>
      <c r="J10" s="119">
        <v>17233</v>
      </c>
      <c r="K10" s="117">
        <v>11858.183999999999</v>
      </c>
      <c r="L10" s="117">
        <v>939.80801544000008</v>
      </c>
      <c r="M10" s="162">
        <f>K10+L10</f>
        <v>12797.992015439999</v>
      </c>
      <c r="N10" s="88">
        <v>47</v>
      </c>
      <c r="O10" s="88">
        <v>51</v>
      </c>
      <c r="P10" s="88">
        <v>44</v>
      </c>
    </row>
    <row r="11" spans="1:27" x14ac:dyDescent="0.3">
      <c r="B11" s="28" t="s">
        <v>28</v>
      </c>
      <c r="C11" s="17">
        <v>300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1:27" x14ac:dyDescent="0.3">
      <c r="A12" s="166"/>
      <c r="B12" s="16" t="s">
        <v>30</v>
      </c>
      <c r="C12" s="17">
        <v>1934</v>
      </c>
      <c r="E12" s="161" t="s">
        <v>35</v>
      </c>
      <c r="F12" s="119">
        <v>14054</v>
      </c>
      <c r="G12" s="117">
        <v>12825.48741666667</v>
      </c>
      <c r="H12" s="117">
        <v>19856.13675364001</v>
      </c>
      <c r="I12" s="152">
        <f>G12+H12</f>
        <v>32681.624170306681</v>
      </c>
      <c r="J12" s="119">
        <v>14659</v>
      </c>
      <c r="K12" s="117">
        <v>13990.695916666669</v>
      </c>
      <c r="L12" s="117">
        <v>20157.112237490001</v>
      </c>
      <c r="M12" s="162">
        <f>K12+L12</f>
        <v>34147.808154156672</v>
      </c>
      <c r="N12" s="88">
        <v>48</v>
      </c>
      <c r="O12" s="88">
        <v>49</v>
      </c>
      <c r="P12" s="88">
        <v>35</v>
      </c>
    </row>
    <row r="13" spans="1:27" x14ac:dyDescent="0.3">
      <c r="B13" s="16" t="s">
        <v>38</v>
      </c>
      <c r="C13" s="17">
        <v>5361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14</v>
      </c>
    </row>
    <row r="14" spans="1:27" x14ac:dyDescent="0.3">
      <c r="B14" s="16" t="s">
        <v>40</v>
      </c>
      <c r="C14" s="17">
        <v>1959</v>
      </c>
      <c r="E14" s="161" t="s">
        <v>39</v>
      </c>
      <c r="F14" s="119">
        <v>22652</v>
      </c>
      <c r="G14" s="117">
        <v>19470.932499999999</v>
      </c>
      <c r="H14" s="117">
        <v>27610.471163879989</v>
      </c>
      <c r="I14" s="152">
        <f>G14+H14</f>
        <v>47081.403663879988</v>
      </c>
      <c r="J14" s="119">
        <v>23000</v>
      </c>
      <c r="K14" s="117">
        <v>22074.155999999999</v>
      </c>
      <c r="L14" s="117">
        <v>27966.944141439999</v>
      </c>
      <c r="M14" s="162">
        <f>K14+L14</f>
        <v>50041.100141439994</v>
      </c>
      <c r="N14" s="88">
        <v>63</v>
      </c>
      <c r="O14" s="88">
        <v>64</v>
      </c>
      <c r="P14" s="88">
        <v>52</v>
      </c>
    </row>
    <row r="15" spans="1:27" x14ac:dyDescent="0.3">
      <c r="B15" s="28" t="s">
        <v>42</v>
      </c>
      <c r="C15" s="17">
        <v>33505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1832</v>
      </c>
      <c r="E16" s="161" t="s">
        <v>79</v>
      </c>
      <c r="F16" s="119">
        <v>0</v>
      </c>
      <c r="G16" s="117">
        <v>0</v>
      </c>
      <c r="H16" s="117">
        <v>8331.7077145599997</v>
      </c>
      <c r="I16" s="152">
        <f>G16+H16</f>
        <v>8331.7077145599997</v>
      </c>
      <c r="J16" s="119">
        <v>0</v>
      </c>
      <c r="K16" s="117">
        <v>0</v>
      </c>
      <c r="L16" s="117">
        <v>8209.3824122999995</v>
      </c>
      <c r="M16" s="162">
        <f>K16+L16</f>
        <v>8209.3824122999995</v>
      </c>
      <c r="N16" s="88">
        <v>11</v>
      </c>
      <c r="O16" s="88">
        <v>9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342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10662</v>
      </c>
      <c r="E18" s="84"/>
      <c r="F18" s="148">
        <f t="shared" ref="F18:M18" si="0">SUM(F6:F17)</f>
        <v>79937</v>
      </c>
      <c r="G18" s="149">
        <f t="shared" si="0"/>
        <v>56951.475933333335</v>
      </c>
      <c r="H18" s="149">
        <f t="shared" si="0"/>
        <v>65875.204731760008</v>
      </c>
      <c r="I18" s="157">
        <f t="shared" si="0"/>
        <v>122826.68066509334</v>
      </c>
      <c r="J18" s="149">
        <f t="shared" si="0"/>
        <v>80413</v>
      </c>
      <c r="K18" s="149">
        <f t="shared" si="0"/>
        <v>59461.383433333336</v>
      </c>
      <c r="L18" s="149">
        <f t="shared" si="0"/>
        <v>65602.092396289998</v>
      </c>
      <c r="M18" s="157">
        <f t="shared" si="0"/>
        <v>125063.47582962333</v>
      </c>
      <c r="N18" s="149">
        <f>SUM(N16,N14,N12,N10,N8,N6)</f>
        <v>244</v>
      </c>
      <c r="O18" s="149">
        <f>SUM(O16,O14,O12,O10,O8,O6)</f>
        <v>246</v>
      </c>
      <c r="P18" s="158">
        <f>SUM(P16,P14,P12,P10,P8,P6)</f>
        <v>206</v>
      </c>
    </row>
    <row r="19" spans="1:28" ht="15" customHeight="1" thickBot="1" x14ac:dyDescent="0.35">
      <c r="B19" s="16" t="s">
        <v>51</v>
      </c>
      <c r="C19" s="17">
        <v>1316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</row>
    <row r="20" spans="1:28" x14ac:dyDescent="0.3">
      <c r="B20" s="16" t="s">
        <v>52</v>
      </c>
      <c r="C20" s="17">
        <v>4903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0.16260162601626016</v>
      </c>
    </row>
    <row r="21" spans="1:28" ht="15" customHeight="1" thickBot="1" x14ac:dyDescent="0.35">
      <c r="A21" s="123"/>
      <c r="B21" s="168" t="s">
        <v>132</v>
      </c>
      <c r="C21" s="169">
        <v>726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6302</v>
      </c>
      <c r="D25" s="76">
        <f>C13</f>
        <v>5361</v>
      </c>
      <c r="E25" s="77">
        <f t="shared" ref="E25:E33" si="1">D25-C25</f>
        <v>-941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38306</v>
      </c>
      <c r="D28" s="76">
        <f>C9+C14+C15+C16+C17</f>
        <v>39307</v>
      </c>
      <c r="E28" s="77">
        <f t="shared" si="1"/>
        <v>1001</v>
      </c>
      <c r="P28" s="4"/>
    </row>
    <row r="29" spans="1:28" x14ac:dyDescent="0.3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1934</v>
      </c>
      <c r="D30" s="76">
        <f>C12</f>
        <v>1934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16405</v>
      </c>
      <c r="D31" s="76">
        <f>C18+C19+C20</f>
        <v>16881</v>
      </c>
      <c r="E31" s="77">
        <f t="shared" si="1"/>
        <v>476</v>
      </c>
      <c r="K31" s="53"/>
      <c r="P31" s="4"/>
    </row>
    <row r="32" spans="1:28" x14ac:dyDescent="0.3">
      <c r="B32" s="74" t="s">
        <v>60</v>
      </c>
      <c r="C32" s="122">
        <v>695</v>
      </c>
      <c r="D32" s="76">
        <f>C10+C11</f>
        <v>695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726</v>
      </c>
      <c r="D33" s="80">
        <f>C21</f>
        <v>726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theme="1"/>
    <pageSetUpPr fitToPage="1"/>
  </sheetPr>
  <dimension ref="A1:AB33"/>
  <sheetViews>
    <sheetView zoomScale="85" zoomScaleNormal="85" zoomScaleSheetLayoutView="70" workbookViewId="0">
      <selection activeCell="I23" sqref="I2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44775</v>
      </c>
    </row>
    <row r="3" spans="1:27" ht="18.75" customHeight="1" thickBot="1" x14ac:dyDescent="0.35">
      <c r="B3" t="s">
        <v>1</v>
      </c>
      <c r="C3" s="3">
        <f>C2+1</f>
        <v>44776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91</v>
      </c>
      <c r="E6" s="161" t="s">
        <v>22</v>
      </c>
      <c r="F6" s="119">
        <v>28039</v>
      </c>
      <c r="G6" s="117">
        <v>11517.111816666669</v>
      </c>
      <c r="H6" s="117">
        <v>6622.9304726000037</v>
      </c>
      <c r="I6" s="152">
        <f>G6+H6</f>
        <v>18140.042289266672</v>
      </c>
      <c r="J6" s="119">
        <v>28249</v>
      </c>
      <c r="K6" s="117">
        <v>12862.967816666671</v>
      </c>
      <c r="L6" s="117">
        <v>6992.3166980800024</v>
      </c>
      <c r="M6" s="162">
        <f>K6+L6</f>
        <v>19855.284514746672</v>
      </c>
      <c r="N6" s="88">
        <v>77</v>
      </c>
      <c r="O6" s="88">
        <v>73</v>
      </c>
      <c r="P6" s="88">
        <v>71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3299.32440916</v>
      </c>
      <c r="I8" s="152">
        <f>G8+H8</f>
        <v>3299.32440916</v>
      </c>
      <c r="J8" s="119">
        <v>0</v>
      </c>
      <c r="K8" s="117">
        <v>0</v>
      </c>
      <c r="L8" s="117">
        <v>3317.7433897400001</v>
      </c>
      <c r="M8" s="162">
        <f>K8+L8</f>
        <v>3317.7433897400001</v>
      </c>
      <c r="N8" s="88">
        <v>5</v>
      </c>
      <c r="O8" s="88">
        <v>5</v>
      </c>
      <c r="P8" s="88">
        <v>4</v>
      </c>
    </row>
    <row r="9" spans="1:27" x14ac:dyDescent="0.3">
      <c r="B9" s="16" t="s">
        <v>23</v>
      </c>
      <c r="C9" s="17">
        <v>2485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585</v>
      </c>
      <c r="E10" s="161" t="s">
        <v>31</v>
      </c>
      <c r="F10" s="119">
        <v>17228</v>
      </c>
      <c r="G10" s="117">
        <v>10431.16558333333</v>
      </c>
      <c r="H10" s="117">
        <v>1178.7793724000001</v>
      </c>
      <c r="I10" s="152">
        <f>G10+H10</f>
        <v>11609.94495573333</v>
      </c>
      <c r="J10" s="119">
        <v>17603</v>
      </c>
      <c r="K10" s="117">
        <v>10942.147583333341</v>
      </c>
      <c r="L10" s="117">
        <v>1159.7942577599999</v>
      </c>
      <c r="M10" s="162">
        <f>K10+L10</f>
        <v>12101.941841093341</v>
      </c>
      <c r="N10" s="88">
        <v>50</v>
      </c>
      <c r="O10" s="88">
        <v>51</v>
      </c>
      <c r="P10" s="88">
        <v>48</v>
      </c>
    </row>
    <row r="11" spans="1:27" x14ac:dyDescent="0.3">
      <c r="B11" s="28" t="s">
        <v>28</v>
      </c>
      <c r="C11" s="17">
        <v>415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2458</v>
      </c>
      <c r="E12" s="161" t="s">
        <v>35</v>
      </c>
      <c r="F12" s="119">
        <v>15017</v>
      </c>
      <c r="G12" s="117">
        <v>11331.36583333333</v>
      </c>
      <c r="H12" s="117">
        <v>18039.395411220012</v>
      </c>
      <c r="I12" s="152">
        <f>G12+H12</f>
        <v>29370.761244553341</v>
      </c>
      <c r="J12" s="119">
        <v>14944</v>
      </c>
      <c r="K12" s="117">
        <v>12476.63733333333</v>
      </c>
      <c r="L12" s="117">
        <v>18151.539087839999</v>
      </c>
      <c r="M12" s="162">
        <f>K12+L12</f>
        <v>30628.176421173332</v>
      </c>
      <c r="N12" s="88">
        <v>50</v>
      </c>
      <c r="O12" s="88">
        <v>50</v>
      </c>
      <c r="P12" s="88">
        <v>45</v>
      </c>
    </row>
    <row r="13" spans="1:27" x14ac:dyDescent="0.3">
      <c r="B13" s="16" t="s">
        <v>38</v>
      </c>
      <c r="C13" s="17">
        <v>9227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3">
      <c r="B14" s="16" t="s">
        <v>40</v>
      </c>
      <c r="C14" s="17">
        <v>1768</v>
      </c>
      <c r="E14" s="161" t="s">
        <v>39</v>
      </c>
      <c r="F14" s="119">
        <v>24945</v>
      </c>
      <c r="G14" s="117">
        <v>19223.721249999999</v>
      </c>
      <c r="H14" s="117">
        <v>30458.536700259971</v>
      </c>
      <c r="I14" s="152">
        <f>G14+H14</f>
        <v>49682.257950259969</v>
      </c>
      <c r="J14" s="119">
        <v>25192</v>
      </c>
      <c r="K14" s="117">
        <v>22009.295249999999</v>
      </c>
      <c r="L14" s="117">
        <v>30865.103103960009</v>
      </c>
      <c r="M14" s="162">
        <f>K14+L14</f>
        <v>52874.398353960009</v>
      </c>
      <c r="N14" s="88">
        <v>63</v>
      </c>
      <c r="O14" s="88">
        <v>67</v>
      </c>
      <c r="P14" s="88">
        <v>54</v>
      </c>
    </row>
    <row r="15" spans="1:27" x14ac:dyDescent="0.3">
      <c r="B15" s="28" t="s">
        <v>42</v>
      </c>
      <c r="C15" s="17">
        <f>37114-6068</f>
        <v>31046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3">
      <c r="B16" s="43" t="s">
        <v>47</v>
      </c>
      <c r="C16" s="17">
        <v>1301</v>
      </c>
      <c r="E16" s="161" t="s">
        <v>79</v>
      </c>
      <c r="F16" s="119">
        <v>0</v>
      </c>
      <c r="G16" s="117">
        <v>0</v>
      </c>
      <c r="H16" s="117">
        <v>4264.8842174199999</v>
      </c>
      <c r="I16" s="152">
        <f>G16+H16</f>
        <v>4264.8842174199999</v>
      </c>
      <c r="J16" s="119">
        <v>0</v>
      </c>
      <c r="K16" s="117">
        <v>0</v>
      </c>
      <c r="L16" s="117">
        <v>4410.7535125200002</v>
      </c>
      <c r="M16" s="162">
        <f>K16+L16</f>
        <v>4410.7535125200002</v>
      </c>
      <c r="N16" s="88">
        <v>13</v>
      </c>
      <c r="O16" s="88">
        <v>12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9646</v>
      </c>
      <c r="E18" s="84"/>
      <c r="F18" s="148">
        <f t="shared" ref="F18:M18" si="0">SUM(F6:F17)</f>
        <v>85229</v>
      </c>
      <c r="G18" s="149">
        <f t="shared" si="0"/>
        <v>52503.364483333324</v>
      </c>
      <c r="H18" s="149">
        <f t="shared" si="0"/>
        <v>63863.85058305999</v>
      </c>
      <c r="I18" s="157">
        <f t="shared" si="0"/>
        <v>116367.21506639331</v>
      </c>
      <c r="J18" s="149">
        <f t="shared" si="0"/>
        <v>85988</v>
      </c>
      <c r="K18" s="149">
        <f t="shared" si="0"/>
        <v>58291.047983333337</v>
      </c>
      <c r="L18" s="149">
        <f t="shared" si="0"/>
        <v>64897.250049900009</v>
      </c>
      <c r="M18" s="157">
        <f t="shared" si="0"/>
        <v>123188.29803323335</v>
      </c>
      <c r="N18" s="149">
        <f>SUM(N16,N14,N12,N10,N8,N6)</f>
        <v>258</v>
      </c>
      <c r="O18" s="149">
        <f>SUM(O16,O14,O12,O10,O8,O6)</f>
        <v>258</v>
      </c>
      <c r="P18" s="158">
        <f>SUM(P16,P14,P12,P10,P8,P6)</f>
        <v>232</v>
      </c>
    </row>
    <row r="19" spans="1:28" ht="15" customHeight="1" thickBot="1" x14ac:dyDescent="0.35">
      <c r="B19" s="16" t="s">
        <v>51</v>
      </c>
      <c r="C19" s="17">
        <v>1268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x14ac:dyDescent="0.3">
      <c r="B20" s="16" t="s">
        <v>52</v>
      </c>
      <c r="C20" s="17">
        <v>5129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0.10077519379844961</v>
      </c>
    </row>
    <row r="21" spans="1:28" ht="15" customHeight="1" thickBot="1" x14ac:dyDescent="0.35">
      <c r="A21" s="123"/>
      <c r="B21" s="168" t="s">
        <v>132</v>
      </c>
      <c r="C21" s="169">
        <v>696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8762</v>
      </c>
      <c r="D25" s="76">
        <f>C13</f>
        <v>9227</v>
      </c>
      <c r="E25" s="77">
        <f t="shared" ref="E25:E33" si="1">D25-C25</f>
        <v>465</v>
      </c>
    </row>
    <row r="26" spans="1:28" x14ac:dyDescent="0.3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36892</v>
      </c>
      <c r="D28" s="76">
        <f>C9+C14+C15+C16+C17</f>
        <v>36646</v>
      </c>
      <c r="E28" s="77">
        <f t="shared" si="1"/>
        <v>-246</v>
      </c>
      <c r="P28" s="4"/>
    </row>
    <row r="29" spans="1:28" x14ac:dyDescent="0.3">
      <c r="B29" s="74" t="s">
        <v>21</v>
      </c>
      <c r="C29" s="122">
        <v>91</v>
      </c>
      <c r="D29" s="76">
        <f>C6</f>
        <v>91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2458</v>
      </c>
      <c r="D30" s="76">
        <f>C12</f>
        <v>2458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16485</v>
      </c>
      <c r="D31" s="76">
        <f>C18+C19+C20</f>
        <v>16043</v>
      </c>
      <c r="E31" s="77">
        <f t="shared" si="1"/>
        <v>-442</v>
      </c>
      <c r="K31" s="53"/>
      <c r="P31" s="4"/>
    </row>
    <row r="32" spans="1:28" x14ac:dyDescent="0.3">
      <c r="B32" s="74" t="s">
        <v>60</v>
      </c>
      <c r="C32" s="122">
        <v>1000</v>
      </c>
      <c r="D32" s="76">
        <f>C10+C11</f>
        <v>1000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696</v>
      </c>
      <c r="D33" s="80">
        <f>C21</f>
        <v>696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theme="1"/>
    <pageSetUpPr fitToPage="1"/>
  </sheetPr>
  <dimension ref="A1:AB33"/>
  <sheetViews>
    <sheetView zoomScale="85" zoomScaleNormal="85" zoomScaleSheetLayoutView="70" workbookViewId="0">
      <selection activeCell="M38" sqref="M3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44776</v>
      </c>
    </row>
    <row r="3" spans="1:27" ht="18.75" customHeight="1" thickBot="1" x14ac:dyDescent="0.35">
      <c r="B3" t="s">
        <v>1</v>
      </c>
      <c r="C3" s="3">
        <f>C2+1</f>
        <v>44777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15</v>
      </c>
      <c r="E6" s="161" t="s">
        <v>22</v>
      </c>
      <c r="F6" s="119">
        <v>25621</v>
      </c>
      <c r="G6" s="117">
        <v>11850.706875</v>
      </c>
      <c r="H6" s="117">
        <v>6077.1577108599986</v>
      </c>
      <c r="I6" s="152">
        <f>G6+H6</f>
        <v>17927.864585859999</v>
      </c>
      <c r="J6" s="119">
        <v>26562</v>
      </c>
      <c r="K6" s="117">
        <v>13955.563875</v>
      </c>
      <c r="L6" s="117">
        <v>6354.2060198000008</v>
      </c>
      <c r="M6" s="162">
        <f>K6+L6</f>
        <v>20309.7698948</v>
      </c>
      <c r="N6" s="88">
        <v>68</v>
      </c>
      <c r="O6" s="88">
        <v>65</v>
      </c>
      <c r="P6" s="88">
        <v>61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3726.0399567399991</v>
      </c>
      <c r="I8" s="152">
        <f>G8+H8</f>
        <v>3726.0399567399991</v>
      </c>
      <c r="J8" s="119">
        <v>0</v>
      </c>
      <c r="K8" s="117">
        <v>0</v>
      </c>
      <c r="L8" s="117">
        <v>3735.1890201599999</v>
      </c>
      <c r="M8" s="162">
        <f>K8+L8</f>
        <v>3735.1890201599999</v>
      </c>
      <c r="N8" s="88">
        <v>4</v>
      </c>
      <c r="O8" s="88">
        <v>4</v>
      </c>
      <c r="P8" s="88">
        <v>4</v>
      </c>
    </row>
    <row r="9" spans="1:27" x14ac:dyDescent="0.3">
      <c r="B9" s="16" t="s">
        <v>23</v>
      </c>
      <c r="C9" s="17">
        <v>1690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17078</v>
      </c>
      <c r="G10" s="117">
        <v>12884.3115</v>
      </c>
      <c r="H10" s="117">
        <v>850.85394730000007</v>
      </c>
      <c r="I10" s="152">
        <f>G10+H10</f>
        <v>13735.1654473</v>
      </c>
      <c r="J10" s="119">
        <v>17339</v>
      </c>
      <c r="K10" s="117">
        <v>13651.504999999999</v>
      </c>
      <c r="L10" s="117">
        <v>907.89128875999995</v>
      </c>
      <c r="M10" s="162">
        <f>K10+L10</f>
        <v>14559.396288759999</v>
      </c>
      <c r="N10" s="88">
        <v>49</v>
      </c>
      <c r="O10" s="88">
        <v>49</v>
      </c>
      <c r="P10" s="88">
        <v>46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2495</v>
      </c>
      <c r="E12" s="161" t="s">
        <v>35</v>
      </c>
      <c r="F12" s="119">
        <v>13355</v>
      </c>
      <c r="G12" s="117">
        <v>11487.68225</v>
      </c>
      <c r="H12" s="117">
        <v>18133.242646920011</v>
      </c>
      <c r="I12" s="152">
        <f>G12+H12</f>
        <v>29620.924896920013</v>
      </c>
      <c r="J12" s="119">
        <v>13998</v>
      </c>
      <c r="K12" s="117">
        <v>13901.483249999999</v>
      </c>
      <c r="L12" s="117">
        <v>18664.401524500001</v>
      </c>
      <c r="M12" s="162">
        <f>K12+L12</f>
        <v>32565.884774500002</v>
      </c>
      <c r="N12" s="88">
        <v>49</v>
      </c>
      <c r="O12" s="88">
        <v>49</v>
      </c>
      <c r="P12" s="88">
        <v>45</v>
      </c>
    </row>
    <row r="13" spans="1:27" x14ac:dyDescent="0.3">
      <c r="B13" s="16" t="s">
        <v>38</v>
      </c>
      <c r="C13" s="17">
        <v>10070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3">
      <c r="B14" s="16" t="s">
        <v>40</v>
      </c>
      <c r="C14" s="17">
        <v>2005</v>
      </c>
      <c r="E14" s="161" t="s">
        <v>39</v>
      </c>
      <c r="F14" s="119">
        <v>21082</v>
      </c>
      <c r="G14" s="117">
        <v>18431.2925</v>
      </c>
      <c r="H14" s="117">
        <v>26850.01939756002</v>
      </c>
      <c r="I14" s="152">
        <f>G14+H14</f>
        <v>45281.311897560023</v>
      </c>
      <c r="J14" s="119">
        <v>21848</v>
      </c>
      <c r="K14" s="117">
        <v>21906.652750000001</v>
      </c>
      <c r="L14" s="117">
        <v>27923.78459628002</v>
      </c>
      <c r="M14" s="162">
        <f>K14+L14</f>
        <v>49830.437346280021</v>
      </c>
      <c r="N14" s="88">
        <v>63</v>
      </c>
      <c r="O14" s="88">
        <v>64</v>
      </c>
      <c r="P14" s="88">
        <v>56</v>
      </c>
    </row>
    <row r="15" spans="1:27" x14ac:dyDescent="0.3">
      <c r="B15" s="28" t="s">
        <v>42</v>
      </c>
      <c r="C15" s="17">
        <f>40177-5959</f>
        <v>34218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1:27" x14ac:dyDescent="0.3">
      <c r="B16" s="43" t="s">
        <v>47</v>
      </c>
      <c r="C16" s="17">
        <v>1894</v>
      </c>
      <c r="E16" s="161" t="s">
        <v>79</v>
      </c>
      <c r="F16" s="119">
        <v>0</v>
      </c>
      <c r="G16" s="117">
        <v>0</v>
      </c>
      <c r="H16" s="117">
        <v>8699.3954509600007</v>
      </c>
      <c r="I16" s="152">
        <f>G16+H16</f>
        <v>8699.3954509600007</v>
      </c>
      <c r="J16" s="119">
        <v>0</v>
      </c>
      <c r="K16" s="117">
        <v>0</v>
      </c>
      <c r="L16" s="117">
        <v>8775.4125787199991</v>
      </c>
      <c r="M16" s="162">
        <f>K16+L16</f>
        <v>8775.4125787199991</v>
      </c>
      <c r="N16" s="88">
        <v>10</v>
      </c>
      <c r="O16" s="88">
        <v>11</v>
      </c>
      <c r="P16" s="88">
        <v>9</v>
      </c>
    </row>
    <row r="17" spans="1:28" s="4" customFormat="1" ht="15" customHeight="1" thickBot="1" x14ac:dyDescent="0.35">
      <c r="B17" s="43" t="s">
        <v>48</v>
      </c>
      <c r="C17" s="50">
        <v>370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10672</v>
      </c>
      <c r="E18" s="84"/>
      <c r="F18" s="148">
        <f t="shared" ref="F18:M18" si="0">SUM(F6:F17)</f>
        <v>77136</v>
      </c>
      <c r="G18" s="149">
        <f t="shared" si="0"/>
        <v>54653.993124999994</v>
      </c>
      <c r="H18" s="149">
        <f t="shared" si="0"/>
        <v>64336.709110340031</v>
      </c>
      <c r="I18" s="157">
        <f t="shared" si="0"/>
        <v>118990.70223534002</v>
      </c>
      <c r="J18" s="149">
        <f t="shared" si="0"/>
        <v>79747</v>
      </c>
      <c r="K18" s="149">
        <f t="shared" si="0"/>
        <v>63415.204874999996</v>
      </c>
      <c r="L18" s="149">
        <f t="shared" si="0"/>
        <v>66360.885028220015</v>
      </c>
      <c r="M18" s="157">
        <f t="shared" si="0"/>
        <v>129776.08990322003</v>
      </c>
      <c r="N18" s="149">
        <f>SUM(N16,N14,N12,N10,N8,N6)</f>
        <v>243</v>
      </c>
      <c r="O18" s="149">
        <f>SUM(O16,O14,O12,O10,O8,O6)</f>
        <v>242</v>
      </c>
      <c r="P18" s="158">
        <f>SUM(P16,P14,P12,P10,P8,P6)</f>
        <v>221</v>
      </c>
    </row>
    <row r="19" spans="1:28" ht="15" customHeight="1" thickBot="1" x14ac:dyDescent="0.35">
      <c r="B19" s="16" t="s">
        <v>51</v>
      </c>
      <c r="C19" s="17">
        <v>1571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1:28" x14ac:dyDescent="0.3">
      <c r="B20" s="16" t="s">
        <v>52</v>
      </c>
      <c r="C20" s="17">
        <v>5358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8.6776859504132234E-2</v>
      </c>
    </row>
    <row r="21" spans="1:28" ht="15" customHeight="1" thickBot="1" x14ac:dyDescent="0.35">
      <c r="A21" s="123"/>
      <c r="B21" s="168" t="s">
        <v>132</v>
      </c>
      <c r="C21" s="169">
        <v>190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9513</v>
      </c>
      <c r="D25" s="76">
        <f>C13</f>
        <v>10070</v>
      </c>
      <c r="E25" s="77">
        <f t="shared" ref="E25:E33" si="1">D25-C25</f>
        <v>557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38767</v>
      </c>
      <c r="D28" s="76">
        <f>C9+C14+C15+C16+C17</f>
        <v>40177</v>
      </c>
      <c r="E28" s="77">
        <f t="shared" si="1"/>
        <v>1410</v>
      </c>
      <c r="P28" s="4"/>
    </row>
    <row r="29" spans="1:28" x14ac:dyDescent="0.3">
      <c r="B29" s="74" t="s">
        <v>21</v>
      </c>
      <c r="C29" s="122">
        <v>15</v>
      </c>
      <c r="D29" s="76">
        <f>C6</f>
        <v>15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2495</v>
      </c>
      <c r="D30" s="76">
        <f>C12</f>
        <v>2495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16965</v>
      </c>
      <c r="D31" s="76">
        <f>C18+C19+C20</f>
        <v>17601</v>
      </c>
      <c r="E31" s="77">
        <f t="shared" si="1"/>
        <v>636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190</v>
      </c>
      <c r="D33" s="80">
        <f>C21</f>
        <v>190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theme="1"/>
    <pageSetUpPr fitToPage="1"/>
  </sheetPr>
  <dimension ref="A1:AB33"/>
  <sheetViews>
    <sheetView zoomScale="85" zoomScaleNormal="85" zoomScaleSheetLayoutView="70" workbookViewId="0">
      <selection activeCell="N27" sqref="N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44777</v>
      </c>
    </row>
    <row r="3" spans="1:27" ht="18.75" customHeight="1" thickBot="1" x14ac:dyDescent="0.35">
      <c r="B3" t="s">
        <v>1</v>
      </c>
      <c r="C3" s="3">
        <f>C2+1</f>
        <v>44778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165</v>
      </c>
      <c r="E6" s="161" t="s">
        <v>22</v>
      </c>
      <c r="F6" s="119">
        <v>27532</v>
      </c>
      <c r="G6" s="117">
        <v>11901.846033333341</v>
      </c>
      <c r="H6" s="117">
        <v>6597.61082248</v>
      </c>
      <c r="I6" s="152">
        <f>G6+H6</f>
        <v>18499.45685581334</v>
      </c>
      <c r="J6" s="119">
        <v>25890</v>
      </c>
      <c r="K6" s="117">
        <v>12175.586533333329</v>
      </c>
      <c r="L6" s="117">
        <v>6693.7316274800014</v>
      </c>
      <c r="M6" s="162">
        <f>K6+L6</f>
        <v>18869.318160813331</v>
      </c>
      <c r="N6" s="88">
        <v>68</v>
      </c>
      <c r="O6" s="88">
        <v>66</v>
      </c>
      <c r="P6" s="88">
        <v>60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2913.9188817600002</v>
      </c>
      <c r="I8" s="152">
        <f>G8+H8</f>
        <v>2913.9188817600002</v>
      </c>
      <c r="J8" s="119">
        <v>0</v>
      </c>
      <c r="K8" s="117">
        <v>0</v>
      </c>
      <c r="L8" s="117">
        <v>2610.466977699999</v>
      </c>
      <c r="M8" s="162">
        <f>K8+L8</f>
        <v>2610.466977699999</v>
      </c>
      <c r="N8" s="88">
        <v>5</v>
      </c>
      <c r="O8" s="88">
        <v>5</v>
      </c>
      <c r="P8" s="88">
        <v>5</v>
      </c>
    </row>
    <row r="9" spans="1:27" x14ac:dyDescent="0.3">
      <c r="B9" s="16" t="s">
        <v>23</v>
      </c>
      <c r="C9" s="17">
        <v>2753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985</v>
      </c>
      <c r="E10" s="161" t="s">
        <v>31</v>
      </c>
      <c r="F10" s="119">
        <v>16809</v>
      </c>
      <c r="G10" s="117">
        <v>10565.213250000001</v>
      </c>
      <c r="H10" s="117">
        <v>1116.00188736</v>
      </c>
      <c r="I10" s="152">
        <f>G10+H10</f>
        <v>11681.215137360001</v>
      </c>
      <c r="J10" s="119">
        <v>16687</v>
      </c>
      <c r="K10" s="117">
        <v>11031.66525</v>
      </c>
      <c r="L10" s="117">
        <v>1129.4692728</v>
      </c>
      <c r="M10" s="162">
        <f>K10+L10</f>
        <v>12161.134522799999</v>
      </c>
      <c r="N10" s="88">
        <v>53</v>
      </c>
      <c r="O10" s="88">
        <v>52</v>
      </c>
      <c r="P10" s="88">
        <v>49</v>
      </c>
    </row>
    <row r="11" spans="1:27" x14ac:dyDescent="0.3">
      <c r="B11" s="28" t="s">
        <v>28</v>
      </c>
      <c r="C11" s="17">
        <v>575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3">
      <c r="A12" s="166"/>
      <c r="B12" s="16" t="s">
        <v>30</v>
      </c>
      <c r="C12" s="17">
        <v>2266</v>
      </c>
      <c r="E12" s="161" t="s">
        <v>35</v>
      </c>
      <c r="F12" s="119">
        <v>16424</v>
      </c>
      <c r="G12" s="117">
        <v>11464.981416666669</v>
      </c>
      <c r="H12" s="117">
        <v>19287.290403800009</v>
      </c>
      <c r="I12" s="152">
        <f>G12+H12</f>
        <v>30752.271820466678</v>
      </c>
      <c r="J12" s="119">
        <v>16833</v>
      </c>
      <c r="K12" s="117">
        <v>14063.71866666666</v>
      </c>
      <c r="L12" s="117">
        <v>19935.27683526</v>
      </c>
      <c r="M12" s="162">
        <f>K12+L12</f>
        <v>33998.995501926664</v>
      </c>
      <c r="N12" s="88">
        <v>51</v>
      </c>
      <c r="O12" s="88">
        <v>48</v>
      </c>
      <c r="P12" s="88">
        <v>45</v>
      </c>
    </row>
    <row r="13" spans="1:27" x14ac:dyDescent="0.3">
      <c r="B13" s="16" t="s">
        <v>38</v>
      </c>
      <c r="C13" s="17">
        <v>9569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3">
      <c r="B14" s="16" t="s">
        <v>40</v>
      </c>
      <c r="C14" s="17">
        <v>1838</v>
      </c>
      <c r="E14" s="161" t="s">
        <v>39</v>
      </c>
      <c r="F14" s="119">
        <v>26620</v>
      </c>
      <c r="G14" s="117">
        <v>19546.990000000002</v>
      </c>
      <c r="H14" s="117">
        <v>33140.061550820043</v>
      </c>
      <c r="I14" s="152">
        <f>G14+H14</f>
        <v>52687.051550820048</v>
      </c>
      <c r="J14" s="119">
        <v>27452</v>
      </c>
      <c r="K14" s="117">
        <v>23900.594249999998</v>
      </c>
      <c r="L14" s="117">
        <v>34206.564291100018</v>
      </c>
      <c r="M14" s="162">
        <f>K14+L14</f>
        <v>58107.158541100012</v>
      </c>
      <c r="N14" s="88">
        <v>66</v>
      </c>
      <c r="O14" s="88">
        <v>64</v>
      </c>
      <c r="P14" s="88">
        <v>60</v>
      </c>
    </row>
    <row r="15" spans="1:27" x14ac:dyDescent="0.3">
      <c r="B15" s="28" t="s">
        <v>42</v>
      </c>
      <c r="C15" s="17">
        <f>40279-6012</f>
        <v>34267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1:27" x14ac:dyDescent="0.3">
      <c r="B16" s="43" t="s">
        <v>47</v>
      </c>
      <c r="C16" s="17">
        <v>1368</v>
      </c>
      <c r="E16" s="161" t="s">
        <v>79</v>
      </c>
      <c r="F16" s="119">
        <v>0</v>
      </c>
      <c r="G16" s="117">
        <v>0</v>
      </c>
      <c r="H16" s="117">
        <v>4670.9305718999994</v>
      </c>
      <c r="I16" s="152">
        <f>G16+H16</f>
        <v>4670.9305718999994</v>
      </c>
      <c r="J16" s="119">
        <v>0</v>
      </c>
      <c r="K16" s="117">
        <v>0</v>
      </c>
      <c r="L16" s="117">
        <v>4620.9681588799986</v>
      </c>
      <c r="M16" s="162">
        <f>K16+L16</f>
        <v>4620.9681588799986</v>
      </c>
      <c r="N16" s="88">
        <v>11</v>
      </c>
      <c r="O16" s="88">
        <v>9</v>
      </c>
      <c r="P16" s="88">
        <v>9</v>
      </c>
    </row>
    <row r="17" spans="1:28" s="4" customFormat="1" ht="15" customHeight="1" thickBot="1" x14ac:dyDescent="0.35">
      <c r="B17" s="43" t="s">
        <v>48</v>
      </c>
      <c r="C17" s="50">
        <v>53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8057</v>
      </c>
      <c r="E18" s="84"/>
      <c r="F18" s="148">
        <f t="shared" ref="F18:M18" si="0">SUM(F6:F17)</f>
        <v>87385</v>
      </c>
      <c r="G18" s="149">
        <f t="shared" si="0"/>
        <v>53479.030700000018</v>
      </c>
      <c r="H18" s="149">
        <f t="shared" si="0"/>
        <v>67725.814118120048</v>
      </c>
      <c r="I18" s="157">
        <f t="shared" si="0"/>
        <v>121204.84481812007</v>
      </c>
      <c r="J18" s="149">
        <f t="shared" si="0"/>
        <v>86862</v>
      </c>
      <c r="K18" s="149">
        <f t="shared" si="0"/>
        <v>61171.564699999988</v>
      </c>
      <c r="L18" s="149">
        <f t="shared" si="0"/>
        <v>69196.477163220014</v>
      </c>
      <c r="M18" s="157">
        <f t="shared" si="0"/>
        <v>130368.04186322</v>
      </c>
      <c r="N18" s="149">
        <f>SUM(N16,N14,N12,N10,N8,N6)</f>
        <v>254</v>
      </c>
      <c r="O18" s="149">
        <f>SUM(O16,O14,O12,O10,O8,O6)</f>
        <v>244</v>
      </c>
      <c r="P18" s="158">
        <f>SUM(P16,P14,P12,P10,P8,P6)</f>
        <v>228</v>
      </c>
    </row>
    <row r="19" spans="1:28" ht="15" customHeight="1" thickBot="1" x14ac:dyDescent="0.35">
      <c r="B19" s="16" t="s">
        <v>51</v>
      </c>
      <c r="C19" s="17">
        <v>2082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</row>
    <row r="20" spans="1:28" x14ac:dyDescent="0.3">
      <c r="B20" s="16" t="s">
        <v>52</v>
      </c>
      <c r="C20" s="17">
        <v>4113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6.5573770491803282E-2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10025</v>
      </c>
      <c r="D25" s="76">
        <f>C13</f>
        <v>9569</v>
      </c>
      <c r="E25" s="77">
        <f t="shared" ref="E25:E33" si="1">D25-C25</f>
        <v>-456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39034</v>
      </c>
      <c r="D28" s="76">
        <f>C9+C14+C15+C16+C17</f>
        <v>40279</v>
      </c>
      <c r="E28" s="77">
        <f t="shared" si="1"/>
        <v>1245</v>
      </c>
      <c r="P28" s="4"/>
    </row>
    <row r="29" spans="1:28" x14ac:dyDescent="0.3">
      <c r="B29" s="74" t="s">
        <v>21</v>
      </c>
      <c r="C29" s="122">
        <v>165</v>
      </c>
      <c r="D29" s="76">
        <f>C6</f>
        <v>165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2266</v>
      </c>
      <c r="D30" s="76">
        <f>C12</f>
        <v>2266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15565</v>
      </c>
      <c r="D31" s="76">
        <f>C18+C19+C20</f>
        <v>14252</v>
      </c>
      <c r="E31" s="77">
        <f t="shared" si="1"/>
        <v>-1313</v>
      </c>
      <c r="K31" s="53"/>
      <c r="P31" s="4"/>
    </row>
    <row r="32" spans="1:28" x14ac:dyDescent="0.3">
      <c r="B32" s="74" t="s">
        <v>60</v>
      </c>
      <c r="C32" s="122">
        <v>1560</v>
      </c>
      <c r="D32" s="76">
        <f>C10+C11</f>
        <v>1560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tabColor theme="1"/>
    <pageSetUpPr fitToPage="1"/>
  </sheetPr>
  <dimension ref="A1:AB33"/>
  <sheetViews>
    <sheetView zoomScale="85" zoomScaleNormal="85" zoomScaleSheetLayoutView="70" workbookViewId="0">
      <selection activeCell="O17" sqref="O1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44778</v>
      </c>
    </row>
    <row r="3" spans="1:27" ht="18.75" customHeight="1" thickBot="1" x14ac:dyDescent="0.35">
      <c r="B3" t="s">
        <v>1</v>
      </c>
      <c r="C3" s="3">
        <f>C2+1</f>
        <v>44779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28104</v>
      </c>
      <c r="G6" s="117">
        <v>13361</v>
      </c>
      <c r="H6" s="117">
        <v>6241</v>
      </c>
      <c r="I6" s="152">
        <f>G6+H6</f>
        <v>19602</v>
      </c>
      <c r="J6" s="119">
        <v>27516</v>
      </c>
      <c r="K6" s="117">
        <v>13604.0785</v>
      </c>
      <c r="L6" s="117">
        <v>6378.3072449000056</v>
      </c>
      <c r="M6" s="162">
        <f>K6+L6</f>
        <v>19982.385744900006</v>
      </c>
      <c r="N6" s="88">
        <v>70</v>
      </c>
      <c r="O6" s="88">
        <v>68</v>
      </c>
      <c r="P6" s="88">
        <v>66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3807</v>
      </c>
      <c r="I8" s="152">
        <f>G8+H8</f>
        <v>3807</v>
      </c>
      <c r="J8" s="119">
        <v>0</v>
      </c>
      <c r="K8" s="117">
        <v>0</v>
      </c>
      <c r="L8" s="117">
        <v>3743.0295809200002</v>
      </c>
      <c r="M8" s="162">
        <f>K8+L8</f>
        <v>3743.0295809200002</v>
      </c>
      <c r="N8" s="88">
        <v>5</v>
      </c>
      <c r="O8" s="88">
        <v>5</v>
      </c>
      <c r="P8" s="88">
        <v>5</v>
      </c>
    </row>
    <row r="9" spans="1:27" x14ac:dyDescent="0.3">
      <c r="B9" s="16" t="s">
        <v>23</v>
      </c>
      <c r="C9" s="17">
        <v>1937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16707</v>
      </c>
      <c r="G10" s="117">
        <v>11889</v>
      </c>
      <c r="H10" s="117">
        <v>677</v>
      </c>
      <c r="I10" s="152">
        <f>G10+H10</f>
        <v>12566</v>
      </c>
      <c r="J10" s="119">
        <v>16909</v>
      </c>
      <c r="K10" s="117">
        <v>12144.170333333341</v>
      </c>
      <c r="L10" s="117">
        <v>732.8928546599999</v>
      </c>
      <c r="M10" s="162">
        <f>K10+L10</f>
        <v>12877.063187993341</v>
      </c>
      <c r="N10" s="88">
        <v>46</v>
      </c>
      <c r="O10" s="88">
        <v>48</v>
      </c>
      <c r="P10" s="88">
        <v>46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4959</v>
      </c>
      <c r="E12" s="161" t="s">
        <v>35</v>
      </c>
      <c r="F12" s="119">
        <v>15071</v>
      </c>
      <c r="G12" s="117">
        <v>13762</v>
      </c>
      <c r="H12" s="117">
        <v>21850</v>
      </c>
      <c r="I12" s="152">
        <f>G12+H12</f>
        <v>35612</v>
      </c>
      <c r="J12" s="119">
        <v>16316</v>
      </c>
      <c r="K12" s="117">
        <v>16139.21025</v>
      </c>
      <c r="L12" s="117">
        <v>21830.593615720001</v>
      </c>
      <c r="M12" s="162">
        <f>K12+L12</f>
        <v>37969.803865720001</v>
      </c>
      <c r="N12" s="88">
        <v>48</v>
      </c>
      <c r="O12" s="88">
        <v>48</v>
      </c>
      <c r="P12" s="88">
        <v>48</v>
      </c>
    </row>
    <row r="13" spans="1:27" x14ac:dyDescent="0.3">
      <c r="B13" s="16" t="s">
        <v>38</v>
      </c>
      <c r="C13" s="17">
        <v>9130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1960</v>
      </c>
      <c r="E14" s="161" t="s">
        <v>39</v>
      </c>
      <c r="F14" s="119">
        <v>30303</v>
      </c>
      <c r="G14" s="117">
        <v>22779</v>
      </c>
      <c r="H14" s="117">
        <v>37540</v>
      </c>
      <c r="I14" s="152">
        <f>G14+H14</f>
        <v>60319</v>
      </c>
      <c r="J14" s="119">
        <v>30576</v>
      </c>
      <c r="K14" s="117">
        <v>26271.009249999999</v>
      </c>
      <c r="L14" s="117">
        <v>37852.326719739976</v>
      </c>
      <c r="M14" s="162">
        <f>K14+L14</f>
        <v>64123.335969739972</v>
      </c>
      <c r="N14" s="88">
        <v>63</v>
      </c>
      <c r="O14" s="88">
        <v>63</v>
      </c>
      <c r="P14" s="88">
        <v>60</v>
      </c>
    </row>
    <row r="15" spans="1:27" x14ac:dyDescent="0.3">
      <c r="B15" s="28" t="s">
        <v>42</v>
      </c>
      <c r="C15" s="17">
        <f>41987-6104</f>
        <v>35883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1:27" x14ac:dyDescent="0.3">
      <c r="B16" s="43" t="s">
        <v>47</v>
      </c>
      <c r="C16" s="17">
        <v>1855</v>
      </c>
      <c r="E16" s="161" t="s">
        <v>79</v>
      </c>
      <c r="F16" s="119">
        <v>0</v>
      </c>
      <c r="G16" s="117">
        <v>0</v>
      </c>
      <c r="H16" s="117">
        <v>9415</v>
      </c>
      <c r="I16" s="152">
        <f>G16+H16</f>
        <v>9415</v>
      </c>
      <c r="J16" s="119">
        <v>0</v>
      </c>
      <c r="K16" s="117">
        <v>0</v>
      </c>
      <c r="L16" s="117">
        <v>9537.90519408</v>
      </c>
      <c r="M16" s="162">
        <f>K16+L16</f>
        <v>9537.90519408</v>
      </c>
      <c r="N16" s="88">
        <v>14</v>
      </c>
      <c r="O16" s="88">
        <v>12</v>
      </c>
      <c r="P16" s="88">
        <v>12</v>
      </c>
    </row>
    <row r="17" spans="1:28" s="4" customFormat="1" ht="15" customHeight="1" thickBot="1" x14ac:dyDescent="0.35">
      <c r="B17" s="43" t="s">
        <v>48</v>
      </c>
      <c r="C17" s="50">
        <v>352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9538</v>
      </c>
      <c r="E18" s="84"/>
      <c r="F18" s="148">
        <f t="shared" ref="F18:M18" si="0">SUM(F6:F17)</f>
        <v>90185</v>
      </c>
      <c r="G18" s="149">
        <f t="shared" si="0"/>
        <v>61791</v>
      </c>
      <c r="H18" s="149">
        <f t="shared" si="0"/>
        <v>79530</v>
      </c>
      <c r="I18" s="157">
        <f t="shared" si="0"/>
        <v>141321</v>
      </c>
      <c r="J18" s="149">
        <f t="shared" si="0"/>
        <v>91317</v>
      </c>
      <c r="K18" s="149">
        <f t="shared" si="0"/>
        <v>68158.468333333338</v>
      </c>
      <c r="L18" s="149">
        <f t="shared" si="0"/>
        <v>80075.055210019986</v>
      </c>
      <c r="M18" s="157">
        <f t="shared" si="0"/>
        <v>148233.52354335331</v>
      </c>
      <c r="N18" s="149">
        <f>SUM(N16,N14,N12,N10,N8,N6)</f>
        <v>246</v>
      </c>
      <c r="O18" s="149">
        <f>SUM(O16,O14,O12,O10,O8,O6)</f>
        <v>244</v>
      </c>
      <c r="P18" s="158">
        <f>SUM(P16,P14,P12,P10,P8,P6)</f>
        <v>237</v>
      </c>
    </row>
    <row r="19" spans="1:28" ht="15" customHeight="1" thickBot="1" x14ac:dyDescent="0.35">
      <c r="B19" s="16" t="s">
        <v>51</v>
      </c>
      <c r="C19" s="17">
        <v>598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1:28" x14ac:dyDescent="0.3">
      <c r="B20" s="16" t="s">
        <v>52</v>
      </c>
      <c r="C20" s="17">
        <v>4927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2.8688524590163935E-2</v>
      </c>
    </row>
    <row r="21" spans="1:28" ht="15" customHeight="1" thickBot="1" x14ac:dyDescent="0.35">
      <c r="A21" s="123"/>
      <c r="B21" s="168" t="s">
        <v>132</v>
      </c>
      <c r="C21" s="169">
        <v>1238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7978</v>
      </c>
      <c r="D25" s="76">
        <f>C13</f>
        <v>9130</v>
      </c>
      <c r="E25" s="77">
        <f t="shared" ref="E25:E33" si="1">D25-C25</f>
        <v>1152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41917</v>
      </c>
      <c r="D28" s="76">
        <f>C9+C14+C15+C16+C17</f>
        <v>41987</v>
      </c>
      <c r="E28" s="77">
        <f t="shared" si="1"/>
        <v>70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4959</v>
      </c>
      <c r="D30" s="76">
        <f>C12</f>
        <v>4959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13950</v>
      </c>
      <c r="D31" s="76">
        <f>C18+C19+C20</f>
        <v>15063</v>
      </c>
      <c r="E31" s="77">
        <f t="shared" si="1"/>
        <v>1113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1238</v>
      </c>
      <c r="D33" s="80">
        <f>C21</f>
        <v>1238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44779</v>
      </c>
    </row>
    <row r="3" spans="1:27" ht="18.75" customHeight="1" thickBot="1" x14ac:dyDescent="0.35">
      <c r="B3" t="s">
        <v>1</v>
      </c>
      <c r="C3" s="3">
        <f>C2+1</f>
        <v>44780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67</v>
      </c>
      <c r="E6" s="161" t="s">
        <v>22</v>
      </c>
      <c r="F6" s="119">
        <v>27875</v>
      </c>
      <c r="G6" s="117">
        <v>10782.11799166667</v>
      </c>
      <c r="H6" s="117">
        <v>6412.5477946600031</v>
      </c>
      <c r="I6" s="152">
        <f>G6+H6</f>
        <v>17194.665786326674</v>
      </c>
      <c r="J6" s="119">
        <v>26735</v>
      </c>
      <c r="K6" s="117">
        <v>11934.999491666669</v>
      </c>
      <c r="L6" s="117">
        <v>6575.3351065800034</v>
      </c>
      <c r="M6" s="162">
        <f>K6+L6</f>
        <v>18510.334598246671</v>
      </c>
      <c r="N6" s="88">
        <v>75</v>
      </c>
      <c r="O6" s="88">
        <v>73</v>
      </c>
      <c r="P6" s="88">
        <v>69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3474.5645176200001</v>
      </c>
      <c r="I8" s="152">
        <f>G8+H8</f>
        <v>3474.5645176200001</v>
      </c>
      <c r="J8" s="119">
        <v>0</v>
      </c>
      <c r="K8" s="117">
        <v>0</v>
      </c>
      <c r="L8" s="117">
        <v>3277.22645216</v>
      </c>
      <c r="M8" s="162">
        <f>K8+L8</f>
        <v>3277.22645216</v>
      </c>
      <c r="N8" s="88">
        <v>5</v>
      </c>
      <c r="O8" s="88">
        <v>5</v>
      </c>
      <c r="P8" s="88">
        <v>5</v>
      </c>
    </row>
    <row r="9" spans="1:27" x14ac:dyDescent="0.3">
      <c r="B9" s="16" t="s">
        <v>23</v>
      </c>
      <c r="C9" s="17">
        <v>1748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785</v>
      </c>
      <c r="E10" s="161" t="s">
        <v>31</v>
      </c>
      <c r="F10" s="119">
        <v>15044</v>
      </c>
      <c r="G10" s="117">
        <v>9291.2187500000036</v>
      </c>
      <c r="H10" s="117">
        <v>1090.9057981599999</v>
      </c>
      <c r="I10" s="152">
        <f>G10+H10</f>
        <v>10382.124548160004</v>
      </c>
      <c r="J10" s="119">
        <v>15160</v>
      </c>
      <c r="K10" s="117">
        <v>10366.90675</v>
      </c>
      <c r="L10" s="117">
        <v>1125.00477516</v>
      </c>
      <c r="M10" s="162">
        <f>K10+L10</f>
        <v>11491.91152516</v>
      </c>
      <c r="N10" s="88">
        <v>45</v>
      </c>
      <c r="O10" s="88">
        <v>46</v>
      </c>
      <c r="P10" s="88">
        <v>44</v>
      </c>
    </row>
    <row r="11" spans="1:27" x14ac:dyDescent="0.3">
      <c r="B11" s="28" t="s">
        <v>28</v>
      </c>
      <c r="C11" s="17">
        <v>460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3">
      <c r="A12" s="166"/>
      <c r="B12" s="16" t="s">
        <v>30</v>
      </c>
      <c r="C12" s="17">
        <v>2527</v>
      </c>
      <c r="E12" s="161" t="s">
        <v>35</v>
      </c>
      <c r="F12" s="119">
        <v>16222</v>
      </c>
      <c r="G12" s="117">
        <v>11640.081416666661</v>
      </c>
      <c r="H12" s="117">
        <v>17948.21144608</v>
      </c>
      <c r="I12" s="152">
        <f>G12+H12</f>
        <v>29588.292862746661</v>
      </c>
      <c r="J12" s="119">
        <v>16321</v>
      </c>
      <c r="K12" s="117">
        <v>13296.06091666666</v>
      </c>
      <c r="L12" s="117">
        <v>17818.55745324001</v>
      </c>
      <c r="M12" s="162">
        <f>K12+L12</f>
        <v>31114.618369906668</v>
      </c>
      <c r="N12" s="88">
        <v>49</v>
      </c>
      <c r="O12" s="88">
        <v>49</v>
      </c>
      <c r="P12" s="88">
        <v>46</v>
      </c>
    </row>
    <row r="13" spans="1:27" x14ac:dyDescent="0.3">
      <c r="B13" s="16" t="s">
        <v>38</v>
      </c>
      <c r="C13" s="17">
        <v>11110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3">
      <c r="B14" s="16" t="s">
        <v>40</v>
      </c>
      <c r="C14" s="17">
        <v>1315</v>
      </c>
      <c r="E14" s="161" t="s">
        <v>39</v>
      </c>
      <c r="F14" s="119">
        <v>21270</v>
      </c>
      <c r="G14" s="117">
        <v>21477.563750000001</v>
      </c>
      <c r="H14" s="117">
        <v>25562.923682239991</v>
      </c>
      <c r="I14" s="152">
        <f>G14+H14</f>
        <v>47040.487432239992</v>
      </c>
      <c r="J14" s="119">
        <v>22242</v>
      </c>
      <c r="K14" s="117">
        <v>17749.348750000001</v>
      </c>
      <c r="L14" s="117">
        <v>27506.161849659999</v>
      </c>
      <c r="M14" s="162">
        <f>K14+L14</f>
        <v>45255.510599660003</v>
      </c>
      <c r="N14" s="88">
        <v>57</v>
      </c>
      <c r="O14" s="88">
        <v>58</v>
      </c>
      <c r="P14" s="88">
        <v>46</v>
      </c>
    </row>
    <row r="15" spans="1:27" x14ac:dyDescent="0.3">
      <c r="B15" s="28" t="s">
        <v>42</v>
      </c>
      <c r="C15" s="17">
        <f>31679-4083</f>
        <v>27596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3">
      <c r="B16" s="43" t="s">
        <v>47</v>
      </c>
      <c r="C16" s="17">
        <v>970</v>
      </c>
      <c r="E16" s="161" t="s">
        <v>79</v>
      </c>
      <c r="F16" s="119">
        <v>0</v>
      </c>
      <c r="G16" s="117">
        <v>0</v>
      </c>
      <c r="H16" s="117">
        <v>4319.8552681000001</v>
      </c>
      <c r="I16" s="152">
        <f>G16+H16</f>
        <v>4319.8552681000001</v>
      </c>
      <c r="J16" s="119">
        <v>0</v>
      </c>
      <c r="K16" s="117">
        <v>0</v>
      </c>
      <c r="L16" s="117">
        <v>4195.1720909599999</v>
      </c>
      <c r="M16" s="162">
        <f>K16+L16</f>
        <v>4195.1720909599999</v>
      </c>
      <c r="N16" s="88">
        <v>11</v>
      </c>
      <c r="O16" s="88">
        <v>11</v>
      </c>
      <c r="P16" s="88">
        <v>9</v>
      </c>
    </row>
    <row r="17" spans="1:28" s="4" customFormat="1" ht="15" customHeight="1" thickBot="1" x14ac:dyDescent="0.3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9844</v>
      </c>
      <c r="E18" s="84"/>
      <c r="F18" s="148">
        <f t="shared" ref="F18:M18" si="0">SUM(F6:F17)</f>
        <v>80411</v>
      </c>
      <c r="G18" s="149">
        <f t="shared" si="0"/>
        <v>53190.981908333335</v>
      </c>
      <c r="H18" s="149">
        <f t="shared" si="0"/>
        <v>58809.008506859995</v>
      </c>
      <c r="I18" s="157">
        <f t="shared" si="0"/>
        <v>111999.99041519333</v>
      </c>
      <c r="J18" s="149">
        <f t="shared" si="0"/>
        <v>80458</v>
      </c>
      <c r="K18" s="149">
        <f t="shared" si="0"/>
        <v>53347.31590833333</v>
      </c>
      <c r="L18" s="149">
        <f t="shared" si="0"/>
        <v>60497.457727760004</v>
      </c>
      <c r="M18" s="157">
        <f t="shared" si="0"/>
        <v>113844.77363609333</v>
      </c>
      <c r="N18" s="149">
        <f>SUM(N16,N14,N12,N10,N8,N6)</f>
        <v>242</v>
      </c>
      <c r="O18" s="149">
        <f>SUM(O16,O14,O12,O10,O8,O6)</f>
        <v>242</v>
      </c>
      <c r="P18" s="158">
        <f>SUM(P16,P14,P12,P10,P8,P6)</f>
        <v>219</v>
      </c>
    </row>
    <row r="19" spans="1:28" ht="15" customHeight="1" thickBot="1" x14ac:dyDescent="0.35">
      <c r="B19" s="16" t="s">
        <v>51</v>
      </c>
      <c r="C19" s="17">
        <v>1813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1:28" x14ac:dyDescent="0.3">
      <c r="B20" s="16" t="s">
        <v>52</v>
      </c>
      <c r="C20" s="17">
        <v>5069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9.5041322314049589E-2</v>
      </c>
    </row>
    <row r="21" spans="1:28" ht="15" customHeight="1" thickBot="1" x14ac:dyDescent="0.35">
      <c r="A21" s="123"/>
      <c r="B21" s="168" t="s">
        <v>132</v>
      </c>
      <c r="C21" s="169">
        <v>383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11144</v>
      </c>
      <c r="D25" s="76">
        <f>C13</f>
        <v>11110</v>
      </c>
      <c r="E25" s="77">
        <f t="shared" ref="E25:E33" si="1">D25-C25</f>
        <v>-34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31451</v>
      </c>
      <c r="D28" s="76">
        <f>C9+C14+C15+C16+C17</f>
        <v>31679</v>
      </c>
      <c r="E28" s="77">
        <f t="shared" si="1"/>
        <v>228</v>
      </c>
      <c r="P28" s="4"/>
    </row>
    <row r="29" spans="1:28" x14ac:dyDescent="0.3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2527</v>
      </c>
      <c r="D30" s="76">
        <f>C12</f>
        <v>2527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16080</v>
      </c>
      <c r="D31" s="76">
        <f>C18+C19+C20</f>
        <v>16726</v>
      </c>
      <c r="E31" s="77">
        <f t="shared" si="1"/>
        <v>646</v>
      </c>
      <c r="K31" s="53"/>
      <c r="P31" s="4"/>
    </row>
    <row r="32" spans="1:28" x14ac:dyDescent="0.3">
      <c r="B32" s="74" t="s">
        <v>60</v>
      </c>
      <c r="C32" s="122">
        <v>1245</v>
      </c>
      <c r="D32" s="76">
        <f>C10+C11</f>
        <v>1245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383</v>
      </c>
      <c r="D33" s="80">
        <f>C21</f>
        <v>383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tabColor theme="1"/>
    <pageSetUpPr fitToPage="1"/>
  </sheetPr>
  <dimension ref="A1:AB33"/>
  <sheetViews>
    <sheetView zoomScale="85" zoomScaleNormal="85" zoomScaleSheetLayoutView="70" workbookViewId="0">
      <selection activeCell="J24" sqref="J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44780</v>
      </c>
    </row>
    <row r="3" spans="1:27" ht="18.75" customHeight="1" thickBot="1" x14ac:dyDescent="0.35">
      <c r="B3" t="s">
        <v>1</v>
      </c>
      <c r="C3" s="3">
        <f>C2+1</f>
        <v>44781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10120</v>
      </c>
      <c r="G6" s="117">
        <v>11980.029666666671</v>
      </c>
      <c r="H6" s="117">
        <v>148.02187499999999</v>
      </c>
      <c r="I6" s="152">
        <f>G6+H6</f>
        <v>12128.051541666671</v>
      </c>
      <c r="J6" s="119">
        <v>10773</v>
      </c>
      <c r="K6" s="117">
        <v>3824.2532416666668</v>
      </c>
      <c r="L6" s="117">
        <v>818.58773846000008</v>
      </c>
      <c r="M6" s="162">
        <f>K6+L6</f>
        <v>4642.8409801266671</v>
      </c>
      <c r="N6" s="88">
        <v>37</v>
      </c>
      <c r="O6" s="88">
        <v>37</v>
      </c>
      <c r="P6" s="88">
        <v>35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8">
        <v>1</v>
      </c>
      <c r="O8" s="88">
        <v>1</v>
      </c>
      <c r="P8" s="88">
        <v>1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5105</v>
      </c>
      <c r="G10" s="117">
        <v>6156.9319999999989</v>
      </c>
      <c r="H10" s="117">
        <v>790.07366549999983</v>
      </c>
      <c r="I10" s="152">
        <f>G10+H10</f>
        <v>6947.0056654999989</v>
      </c>
      <c r="J10" s="119">
        <v>5583</v>
      </c>
      <c r="K10" s="117">
        <v>3009.0932499999999</v>
      </c>
      <c r="L10" s="117">
        <v>863.60293323999997</v>
      </c>
      <c r="M10" s="162">
        <f>K10+L10</f>
        <v>3872.6961832399998</v>
      </c>
      <c r="N10" s="88">
        <v>0</v>
      </c>
      <c r="O10" s="88">
        <v>0</v>
      </c>
      <c r="P10" s="88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11</v>
      </c>
      <c r="O14" s="88">
        <v>10</v>
      </c>
      <c r="P14" s="88">
        <v>9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10546</v>
      </c>
      <c r="E18" s="84"/>
      <c r="F18" s="148">
        <f t="shared" ref="F18:M18" si="0">SUM(F6:F17)</f>
        <v>15225</v>
      </c>
      <c r="G18" s="149">
        <f t="shared" si="0"/>
        <v>18136.96166666667</v>
      </c>
      <c r="H18" s="149">
        <f t="shared" si="0"/>
        <v>938.09554049999986</v>
      </c>
      <c r="I18" s="157">
        <f t="shared" si="0"/>
        <v>19075.057207166668</v>
      </c>
      <c r="J18" s="149">
        <f t="shared" si="0"/>
        <v>16356</v>
      </c>
      <c r="K18" s="149">
        <f t="shared" si="0"/>
        <v>6833.3464916666671</v>
      </c>
      <c r="L18" s="149">
        <f t="shared" si="0"/>
        <v>1682.1906717000002</v>
      </c>
      <c r="M18" s="157">
        <f t="shared" si="0"/>
        <v>8515.5371633666673</v>
      </c>
      <c r="N18" s="149">
        <f>SUM(N16,N14,N12,N10,N8,N6)</f>
        <v>49</v>
      </c>
      <c r="O18" s="149">
        <f>SUM(O16,O14,O12,O10,O8,O6)</f>
        <v>48</v>
      </c>
      <c r="P18" s="158">
        <f>SUM(P16,P14,P12,P10,P8,P6)</f>
        <v>45</v>
      </c>
    </row>
    <row r="19" spans="1:28" ht="15" customHeight="1" thickBot="1" x14ac:dyDescent="0.35">
      <c r="B19" s="16" t="s">
        <v>51</v>
      </c>
      <c r="C19" s="17">
        <v>1179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</v>
      </c>
    </row>
    <row r="20" spans="1:28" x14ac:dyDescent="0.3">
      <c r="B20" s="16" t="s">
        <v>52</v>
      </c>
      <c r="C20" s="17">
        <v>4631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6.25E-2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15225</v>
      </c>
      <c r="D31" s="76">
        <f>C18+C19+C20</f>
        <v>16356</v>
      </c>
      <c r="E31" s="77">
        <f t="shared" si="1"/>
        <v>1131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44781</v>
      </c>
    </row>
    <row r="3" spans="1:27" ht="18.75" customHeight="1" thickBot="1" x14ac:dyDescent="0.35">
      <c r="B3" t="s">
        <v>1</v>
      </c>
      <c r="C3" s="3">
        <f>C2+1</f>
        <v>44782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62</v>
      </c>
      <c r="E6" s="161" t="s">
        <v>22</v>
      </c>
      <c r="F6" s="119">
        <v>28178</v>
      </c>
      <c r="G6" s="117">
        <v>12442.26427499999</v>
      </c>
      <c r="H6" s="117">
        <v>5381.0157733800042</v>
      </c>
      <c r="I6" s="152">
        <f>G6+H6</f>
        <v>17823.280048379995</v>
      </c>
      <c r="J6" s="119">
        <v>26874</v>
      </c>
      <c r="K6" s="117">
        <v>11815.035774999989</v>
      </c>
      <c r="L6" s="117">
        <v>5652.9424920800038</v>
      </c>
      <c r="M6" s="162">
        <f>K6+L6</f>
        <v>17467.978267079994</v>
      </c>
      <c r="N6" s="88">
        <v>69</v>
      </c>
      <c r="O6" s="88">
        <v>67</v>
      </c>
      <c r="P6" s="88">
        <v>62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3477.5081412599989</v>
      </c>
      <c r="I8" s="152">
        <f>G8+H8</f>
        <v>3477.5081412599989</v>
      </c>
      <c r="J8" s="119">
        <v>0</v>
      </c>
      <c r="K8" s="117">
        <v>0</v>
      </c>
      <c r="L8" s="117">
        <v>3368.4967744</v>
      </c>
      <c r="M8" s="162">
        <f>K8+L8</f>
        <v>3368.4967744</v>
      </c>
      <c r="N8" s="88">
        <v>5</v>
      </c>
      <c r="O8" s="88">
        <v>5</v>
      </c>
      <c r="P8" s="88">
        <v>5</v>
      </c>
    </row>
    <row r="9" spans="1:27" x14ac:dyDescent="0.3">
      <c r="B9" s="16" t="s">
        <v>23</v>
      </c>
      <c r="C9" s="17">
        <v>1638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705</v>
      </c>
      <c r="E10" s="161" t="s">
        <v>31</v>
      </c>
      <c r="F10" s="119">
        <v>17730</v>
      </c>
      <c r="G10" s="117">
        <v>12352.218833333331</v>
      </c>
      <c r="H10" s="117">
        <v>899.5903798999999</v>
      </c>
      <c r="I10" s="152">
        <f>G10+H10</f>
        <v>13251.809213233331</v>
      </c>
      <c r="J10" s="119">
        <v>17409</v>
      </c>
      <c r="K10" s="117">
        <v>12159.410333333341</v>
      </c>
      <c r="L10" s="117">
        <v>888.20945817999996</v>
      </c>
      <c r="M10" s="162">
        <f>K10+L10</f>
        <v>13047.61979151334</v>
      </c>
      <c r="N10" s="88">
        <v>46</v>
      </c>
      <c r="O10" s="88">
        <v>45</v>
      </c>
      <c r="P10" s="88">
        <v>41</v>
      </c>
    </row>
    <row r="11" spans="1:27" x14ac:dyDescent="0.3">
      <c r="B11" s="28" t="s">
        <v>28</v>
      </c>
      <c r="C11" s="17">
        <v>300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1496</v>
      </c>
      <c r="E12" s="161" t="s">
        <v>35</v>
      </c>
      <c r="F12" s="119">
        <v>13943</v>
      </c>
      <c r="G12" s="117">
        <v>12838.597250000001</v>
      </c>
      <c r="H12" s="117">
        <v>19947.997606280001</v>
      </c>
      <c r="I12" s="152">
        <f>G12+H12</f>
        <v>32786.594856280004</v>
      </c>
      <c r="J12" s="119">
        <v>14766</v>
      </c>
      <c r="K12" s="117">
        <v>13455.346</v>
      </c>
      <c r="L12" s="117">
        <v>20135.89862874999</v>
      </c>
      <c r="M12" s="162">
        <f>K12+L12</f>
        <v>33591.244628749992</v>
      </c>
      <c r="N12" s="88">
        <v>46</v>
      </c>
      <c r="O12" s="88">
        <v>45</v>
      </c>
      <c r="P12" s="88">
        <v>34</v>
      </c>
    </row>
    <row r="13" spans="1:27" x14ac:dyDescent="0.3">
      <c r="B13" s="16" t="s">
        <v>38</v>
      </c>
      <c r="C13" s="17">
        <v>7976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1:27" x14ac:dyDescent="0.3">
      <c r="B14" s="16" t="s">
        <v>40</v>
      </c>
      <c r="C14" s="17">
        <v>1946</v>
      </c>
      <c r="E14" s="161" t="s">
        <v>39</v>
      </c>
      <c r="F14" s="119">
        <v>21016</v>
      </c>
      <c r="G14" s="117">
        <v>18649.18</v>
      </c>
      <c r="H14" s="117">
        <v>26377.59805376003</v>
      </c>
      <c r="I14" s="152">
        <f>G14+H14</f>
        <v>45026.778053760034</v>
      </c>
      <c r="J14" s="119">
        <v>21436</v>
      </c>
      <c r="K14" s="117">
        <v>21441.810750000001</v>
      </c>
      <c r="L14" s="117">
        <v>26948.245655920011</v>
      </c>
      <c r="M14" s="162">
        <f>K14+L14</f>
        <v>48390.056405920011</v>
      </c>
      <c r="N14" s="88">
        <v>59</v>
      </c>
      <c r="O14" s="88">
        <v>60</v>
      </c>
      <c r="P14" s="88">
        <v>44</v>
      </c>
    </row>
    <row r="15" spans="1:27" x14ac:dyDescent="0.3">
      <c r="B15" s="28" t="s">
        <v>42</v>
      </c>
      <c r="C15" s="17">
        <v>32674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16</v>
      </c>
    </row>
    <row r="16" spans="1:27" x14ac:dyDescent="0.3">
      <c r="B16" s="43" t="s">
        <v>47</v>
      </c>
      <c r="C16" s="17">
        <v>1833</v>
      </c>
      <c r="E16" s="161" t="s">
        <v>79</v>
      </c>
      <c r="F16" s="119">
        <v>0</v>
      </c>
      <c r="G16" s="117">
        <v>0</v>
      </c>
      <c r="H16" s="117">
        <v>8335.1898368799993</v>
      </c>
      <c r="I16" s="152">
        <f>G16+H16</f>
        <v>8335.1898368799993</v>
      </c>
      <c r="J16" s="119">
        <v>0</v>
      </c>
      <c r="K16" s="117">
        <v>0</v>
      </c>
      <c r="L16" s="117">
        <v>8299.1611162999998</v>
      </c>
      <c r="M16" s="162">
        <f>K16+L16</f>
        <v>8299.1611162999998</v>
      </c>
      <c r="N16" s="88">
        <v>11</v>
      </c>
      <c r="O16" s="88">
        <v>9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333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8951</v>
      </c>
      <c r="E18" s="84"/>
      <c r="F18" s="148">
        <f t="shared" ref="F18:M18" si="0">SUM(F6:F17)</f>
        <v>80867</v>
      </c>
      <c r="G18" s="149">
        <f t="shared" si="0"/>
        <v>56282.260358333318</v>
      </c>
      <c r="H18" s="149">
        <f t="shared" si="0"/>
        <v>64418.899791460033</v>
      </c>
      <c r="I18" s="157">
        <f t="shared" si="0"/>
        <v>120701.16014979336</v>
      </c>
      <c r="J18" s="149">
        <f t="shared" si="0"/>
        <v>80485</v>
      </c>
      <c r="K18" s="149">
        <f t="shared" si="0"/>
        <v>58871.602858333325</v>
      </c>
      <c r="L18" s="149">
        <f t="shared" si="0"/>
        <v>65292.954125630007</v>
      </c>
      <c r="M18" s="157">
        <f t="shared" si="0"/>
        <v>124164.55698396334</v>
      </c>
      <c r="N18" s="149">
        <f>SUM(N16,N14,N12,N10,N8,N6)</f>
        <v>236</v>
      </c>
      <c r="O18" s="149">
        <f>SUM(O16,O14,O12,O10,O8,O6)</f>
        <v>231</v>
      </c>
      <c r="P18" s="158">
        <f>SUM(P16,P14,P12,P10,P8,P6)</f>
        <v>196</v>
      </c>
    </row>
    <row r="19" spans="1:28" ht="15" customHeight="1" thickBot="1" x14ac:dyDescent="0.35">
      <c r="B19" s="16" t="s">
        <v>51</v>
      </c>
      <c r="C19" s="17">
        <v>1507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1:28" x14ac:dyDescent="0.3">
      <c r="B20" s="16" t="s">
        <v>52</v>
      </c>
      <c r="C20" s="17">
        <v>4412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0.15151515151515152</v>
      </c>
    </row>
    <row r="21" spans="1:28" ht="15" customHeight="1" thickBot="1" x14ac:dyDescent="0.35">
      <c r="A21" s="123"/>
      <c r="B21" s="168" t="s">
        <v>132</v>
      </c>
      <c r="C21" s="169">
        <v>784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6973</v>
      </c>
      <c r="D25" s="76">
        <f>C13</f>
        <v>7976</v>
      </c>
      <c r="E25" s="77">
        <f t="shared" ref="E25:E33" si="1">D25-C25</f>
        <v>1003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37877</v>
      </c>
      <c r="D28" s="76">
        <f>C9+C14+C15+C16+C17</f>
        <v>38424</v>
      </c>
      <c r="E28" s="77">
        <f t="shared" si="1"/>
        <v>547</v>
      </c>
      <c r="P28" s="4"/>
    </row>
    <row r="29" spans="1:28" x14ac:dyDescent="0.3">
      <c r="B29" s="74" t="s">
        <v>21</v>
      </c>
      <c r="C29" s="122">
        <v>62</v>
      </c>
      <c r="D29" s="76">
        <f>C6</f>
        <v>62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1496</v>
      </c>
      <c r="D30" s="76">
        <f>C12</f>
        <v>1496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16715</v>
      </c>
      <c r="D31" s="76">
        <f>C18+C19+C20</f>
        <v>14870</v>
      </c>
      <c r="E31" s="77">
        <f t="shared" si="1"/>
        <v>-1845</v>
      </c>
      <c r="K31" s="53"/>
      <c r="P31" s="4"/>
    </row>
    <row r="32" spans="1:28" x14ac:dyDescent="0.3">
      <c r="B32" s="74" t="s">
        <v>60</v>
      </c>
      <c r="C32" s="122">
        <v>1005</v>
      </c>
      <c r="D32" s="76">
        <f>C10+C11</f>
        <v>1005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784</v>
      </c>
      <c r="D33" s="80">
        <f>C21</f>
        <v>784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44782</v>
      </c>
    </row>
    <row r="3" spans="1:27" ht="18.75" customHeight="1" thickBot="1" x14ac:dyDescent="0.35">
      <c r="B3" t="s">
        <v>1</v>
      </c>
      <c r="C3" s="3">
        <f>C2+1</f>
        <v>44783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132</v>
      </c>
      <c r="E6" s="161" t="s">
        <v>22</v>
      </c>
      <c r="F6" s="119">
        <v>30222</v>
      </c>
      <c r="G6" s="117">
        <v>11372.669625</v>
      </c>
      <c r="H6" s="117">
        <v>6632.400636259993</v>
      </c>
      <c r="I6" s="152">
        <f>G6+H6</f>
        <v>18005.070261259993</v>
      </c>
      <c r="J6" s="119">
        <v>30828</v>
      </c>
      <c r="K6" s="117">
        <v>13372.668625</v>
      </c>
      <c r="L6" s="117">
        <v>7362.8696917199968</v>
      </c>
      <c r="M6" s="162">
        <f>K6+L6</f>
        <v>20735.538316719998</v>
      </c>
      <c r="N6" s="88">
        <v>75</v>
      </c>
      <c r="O6" s="88">
        <v>75</v>
      </c>
      <c r="P6" s="88">
        <v>71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3175.4085687800011</v>
      </c>
      <c r="I8" s="152">
        <f>G8+H8</f>
        <v>3175.4085687800011</v>
      </c>
      <c r="J8" s="119">
        <v>0</v>
      </c>
      <c r="K8" s="117">
        <v>0</v>
      </c>
      <c r="L8" s="117">
        <v>3347.9699255600008</v>
      </c>
      <c r="M8" s="162">
        <f>K8+L8</f>
        <v>3347.9699255600008</v>
      </c>
      <c r="N8" s="88">
        <v>5</v>
      </c>
      <c r="O8" s="88">
        <v>5</v>
      </c>
      <c r="P8" s="88">
        <v>4</v>
      </c>
    </row>
    <row r="9" spans="1:27" x14ac:dyDescent="0.3">
      <c r="B9" s="16" t="s">
        <v>23</v>
      </c>
      <c r="C9" s="17">
        <v>2519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3">
      <c r="B10" s="28" t="s">
        <v>26</v>
      </c>
      <c r="C10" s="17">
        <v>370</v>
      </c>
      <c r="E10" s="161" t="s">
        <v>31</v>
      </c>
      <c r="F10" s="119">
        <v>17839</v>
      </c>
      <c r="G10" s="117">
        <v>10252.425416666671</v>
      </c>
      <c r="H10" s="117">
        <v>1153.8616989</v>
      </c>
      <c r="I10" s="152">
        <f>G10+H10</f>
        <v>11406.287115566671</v>
      </c>
      <c r="J10" s="119">
        <v>18376</v>
      </c>
      <c r="K10" s="117">
        <v>11031.04441666666</v>
      </c>
      <c r="L10" s="117">
        <v>1230.7005515599999</v>
      </c>
      <c r="M10" s="162">
        <f>K10+L10</f>
        <v>12261.74496822666</v>
      </c>
      <c r="N10" s="88">
        <v>51</v>
      </c>
      <c r="O10" s="88">
        <v>51</v>
      </c>
      <c r="P10" s="88">
        <v>43</v>
      </c>
    </row>
    <row r="11" spans="1:27" x14ac:dyDescent="0.3">
      <c r="B11" s="28" t="s">
        <v>28</v>
      </c>
      <c r="C11" s="17">
        <v>545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1:27" x14ac:dyDescent="0.3">
      <c r="A12" s="166"/>
      <c r="B12" s="16" t="s">
        <v>30</v>
      </c>
      <c r="C12" s="17">
        <v>2350</v>
      </c>
      <c r="E12" s="161" t="s">
        <v>35</v>
      </c>
      <c r="F12" s="119">
        <v>14345</v>
      </c>
      <c r="G12" s="117">
        <v>10766.4035</v>
      </c>
      <c r="H12" s="117">
        <v>17111.030619540001</v>
      </c>
      <c r="I12" s="152">
        <f>G12+H12</f>
        <v>27877.434119540001</v>
      </c>
      <c r="J12" s="119">
        <v>15450</v>
      </c>
      <c r="K12" s="117">
        <v>12455.915000000001</v>
      </c>
      <c r="L12" s="117">
        <v>17445.737948900009</v>
      </c>
      <c r="M12" s="162">
        <f>K12+L12</f>
        <v>29901.65294890001</v>
      </c>
      <c r="N12" s="88">
        <v>48</v>
      </c>
      <c r="O12" s="88">
        <v>50</v>
      </c>
      <c r="P12" s="88">
        <v>44</v>
      </c>
    </row>
    <row r="13" spans="1:27" x14ac:dyDescent="0.3">
      <c r="B13" s="16" t="s">
        <v>38</v>
      </c>
      <c r="C13" s="17">
        <v>10935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3">
      <c r="B14" s="16" t="s">
        <v>40</v>
      </c>
      <c r="C14" s="17">
        <v>1766</v>
      </c>
      <c r="E14" s="161" t="s">
        <v>39</v>
      </c>
      <c r="F14" s="119">
        <v>24666</v>
      </c>
      <c r="G14" s="117">
        <v>19111.09175</v>
      </c>
      <c r="H14" s="117">
        <v>30272.615610919991</v>
      </c>
      <c r="I14" s="152">
        <f>G14+H14</f>
        <v>49383.707360919987</v>
      </c>
      <c r="J14" s="119">
        <v>25617</v>
      </c>
      <c r="K14" s="117">
        <v>22863.032749999998</v>
      </c>
      <c r="L14" s="117">
        <v>31333.351576699999</v>
      </c>
      <c r="M14" s="162">
        <f>K14+L14</f>
        <v>54196.384326699997</v>
      </c>
      <c r="N14" s="88">
        <v>59</v>
      </c>
      <c r="O14" s="88">
        <v>62</v>
      </c>
      <c r="P14" s="88">
        <v>54</v>
      </c>
    </row>
    <row r="15" spans="1:27" x14ac:dyDescent="0.3">
      <c r="B15" s="28" t="s">
        <v>42</v>
      </c>
      <c r="C15" s="17">
        <f>37709-5637</f>
        <v>32072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1:27" x14ac:dyDescent="0.3">
      <c r="B16" s="43" t="s">
        <v>47</v>
      </c>
      <c r="C16" s="17">
        <v>1305</v>
      </c>
      <c r="E16" s="161" t="s">
        <v>79</v>
      </c>
      <c r="F16" s="119">
        <v>0</v>
      </c>
      <c r="G16" s="117">
        <v>0</v>
      </c>
      <c r="H16" s="117">
        <v>4099.25529422</v>
      </c>
      <c r="I16" s="152">
        <f>G16+H16</f>
        <v>4099.25529422</v>
      </c>
      <c r="J16" s="119">
        <v>0</v>
      </c>
      <c r="K16" s="117">
        <v>0</v>
      </c>
      <c r="L16" s="117">
        <v>4225.9590197799998</v>
      </c>
      <c r="M16" s="162">
        <f>K16+L16</f>
        <v>4225.9590197799998</v>
      </c>
      <c r="N16" s="88">
        <v>13</v>
      </c>
      <c r="O16" s="88">
        <v>12</v>
      </c>
      <c r="P16" s="88">
        <v>12</v>
      </c>
    </row>
    <row r="17" spans="1:28" s="4" customFormat="1" ht="15" customHeight="1" thickBot="1" x14ac:dyDescent="0.35">
      <c r="B17" s="43" t="s">
        <v>48</v>
      </c>
      <c r="C17" s="50">
        <v>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9985</v>
      </c>
      <c r="E18" s="84"/>
      <c r="F18" s="148">
        <f t="shared" ref="F18:M18" si="0">SUM(F6:F17)</f>
        <v>87072</v>
      </c>
      <c r="G18" s="149">
        <f t="shared" si="0"/>
        <v>51502.590291666667</v>
      </c>
      <c r="H18" s="149">
        <f t="shared" si="0"/>
        <v>62444.572428619984</v>
      </c>
      <c r="I18" s="157">
        <f t="shared" si="0"/>
        <v>113947.16272028665</v>
      </c>
      <c r="J18" s="149">
        <f t="shared" si="0"/>
        <v>90271</v>
      </c>
      <c r="K18" s="149">
        <f t="shared" si="0"/>
        <v>59722.660791666662</v>
      </c>
      <c r="L18" s="149">
        <f t="shared" si="0"/>
        <v>64946.588714220008</v>
      </c>
      <c r="M18" s="157">
        <f t="shared" si="0"/>
        <v>124669.24950588668</v>
      </c>
      <c r="N18" s="149">
        <f>SUM(N16,N14,N12,N10,N8,N6)</f>
        <v>251</v>
      </c>
      <c r="O18" s="149">
        <f>SUM(O16,O14,O12,O10,O8,O6)</f>
        <v>255</v>
      </c>
      <c r="P18" s="158">
        <f>SUM(P16,P14,P12,P10,P8,P6)</f>
        <v>228</v>
      </c>
    </row>
    <row r="19" spans="1:28" ht="15" customHeight="1" thickBot="1" x14ac:dyDescent="0.35">
      <c r="B19" s="16" t="s">
        <v>51</v>
      </c>
      <c r="C19" s="17">
        <v>1382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1:28" x14ac:dyDescent="0.3">
      <c r="B20" s="16" t="s">
        <v>52</v>
      </c>
      <c r="C20" s="17">
        <v>4840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0.10588235294117647</v>
      </c>
    </row>
    <row r="21" spans="1:28" ht="15" customHeight="1" thickBot="1" x14ac:dyDescent="0.35">
      <c r="A21" s="123"/>
      <c r="B21" s="168" t="s">
        <v>132</v>
      </c>
      <c r="C21" s="169">
        <v>827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8889</v>
      </c>
      <c r="D25" s="76">
        <f>C13</f>
        <v>10935</v>
      </c>
      <c r="E25" s="77">
        <f t="shared" ref="E25:E33" si="1">D25-C25</f>
        <v>2046</v>
      </c>
    </row>
    <row r="26" spans="1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36542</v>
      </c>
      <c r="D28" s="76">
        <f>C9+C14+C15+C16+C17</f>
        <v>37709</v>
      </c>
      <c r="E28" s="77">
        <f t="shared" si="1"/>
        <v>1167</v>
      </c>
      <c r="P28" s="4"/>
    </row>
    <row r="29" spans="1:28" x14ac:dyDescent="0.3">
      <c r="B29" s="74" t="s">
        <v>21</v>
      </c>
      <c r="C29" s="122">
        <v>132</v>
      </c>
      <c r="D29" s="76">
        <f>C6</f>
        <v>132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2350</v>
      </c>
      <c r="D30" s="76">
        <f>C12</f>
        <v>2350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14685</v>
      </c>
      <c r="D31" s="76">
        <f>C18+C19+C20</f>
        <v>16207</v>
      </c>
      <c r="E31" s="77">
        <f t="shared" si="1"/>
        <v>1522</v>
      </c>
      <c r="K31" s="53"/>
      <c r="P31" s="4"/>
    </row>
    <row r="32" spans="1:28" x14ac:dyDescent="0.3">
      <c r="B32" s="74" t="s">
        <v>60</v>
      </c>
      <c r="C32" s="122">
        <v>915</v>
      </c>
      <c r="D32" s="76">
        <f>C10+C11</f>
        <v>915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827</v>
      </c>
      <c r="D33" s="80">
        <f>C21</f>
        <v>827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theme="1"/>
    <pageSetUpPr fitToPage="1"/>
  </sheetPr>
  <dimension ref="A1:AB33"/>
  <sheetViews>
    <sheetView zoomScale="85" zoomScaleNormal="85" zoomScaleSheetLayoutView="70" workbookViewId="0">
      <selection activeCell="D11" sqref="D1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44783</v>
      </c>
    </row>
    <row r="3" spans="1:27" ht="18.75" customHeight="1" thickBot="1" x14ac:dyDescent="0.35">
      <c r="B3" t="s">
        <v>1</v>
      </c>
      <c r="C3" s="3">
        <f>C2+1</f>
        <v>44784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58</v>
      </c>
      <c r="E6" s="161" t="s">
        <v>22</v>
      </c>
      <c r="F6" s="119">
        <v>24889</v>
      </c>
      <c r="G6" s="117">
        <v>11319.39287499999</v>
      </c>
      <c r="H6" s="117">
        <v>6721.0528993799971</v>
      </c>
      <c r="I6" s="152">
        <f>G6+H6</f>
        <v>18040.445774379987</v>
      </c>
      <c r="J6" s="119">
        <v>23833</v>
      </c>
      <c r="K6" s="117">
        <v>12401.164375</v>
      </c>
      <c r="L6" s="117">
        <v>6913.7365025599966</v>
      </c>
      <c r="M6" s="162">
        <f>K6+L6</f>
        <v>19314.900877559998</v>
      </c>
      <c r="N6" s="88">
        <v>67</v>
      </c>
      <c r="O6" s="88">
        <v>65</v>
      </c>
      <c r="P6" s="88">
        <v>65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3070.7074569000001</v>
      </c>
      <c r="I8" s="152">
        <f>G8+H8</f>
        <v>3070.7074569000001</v>
      </c>
      <c r="J8" s="119">
        <v>0</v>
      </c>
      <c r="K8" s="117">
        <v>0</v>
      </c>
      <c r="L8" s="117">
        <v>2809.2019344</v>
      </c>
      <c r="M8" s="162">
        <f>K8+L8</f>
        <v>2809.2019344</v>
      </c>
      <c r="N8" s="88">
        <v>5</v>
      </c>
      <c r="O8" s="88">
        <v>4</v>
      </c>
      <c r="P8" s="88">
        <v>4</v>
      </c>
    </row>
    <row r="9" spans="1:27" x14ac:dyDescent="0.3">
      <c r="B9" s="16" t="s">
        <v>23</v>
      </c>
      <c r="C9" s="17">
        <v>1509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17129</v>
      </c>
      <c r="G10" s="117">
        <v>11521.959500000001</v>
      </c>
      <c r="H10" s="117">
        <v>849.86397699999986</v>
      </c>
      <c r="I10" s="152">
        <f>G10+H10</f>
        <v>12371.823477</v>
      </c>
      <c r="J10" s="119">
        <v>15768</v>
      </c>
      <c r="K10" s="117">
        <v>11842.9845</v>
      </c>
      <c r="L10" s="117">
        <v>843.05407604000004</v>
      </c>
      <c r="M10" s="162">
        <f>K10+L10</f>
        <v>12686.03857604</v>
      </c>
      <c r="N10" s="88">
        <v>48</v>
      </c>
      <c r="O10" s="88">
        <v>49</v>
      </c>
      <c r="P10" s="88">
        <v>45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3">
      <c r="A12" s="166"/>
      <c r="B12" s="16" t="s">
        <v>30</v>
      </c>
      <c r="C12" s="17">
        <v>2409</v>
      </c>
      <c r="E12" s="161" t="s">
        <v>35</v>
      </c>
      <c r="F12" s="119">
        <v>14910</v>
      </c>
      <c r="G12" s="117">
        <v>11909.034750000001</v>
      </c>
      <c r="H12" s="117">
        <v>17548.55558584</v>
      </c>
      <c r="I12" s="152">
        <f>G12+H12</f>
        <v>29457.590335840003</v>
      </c>
      <c r="J12" s="119">
        <v>15090</v>
      </c>
      <c r="K12" s="117">
        <v>13941.673250000011</v>
      </c>
      <c r="L12" s="117">
        <v>17779.874068990001</v>
      </c>
      <c r="M12" s="162">
        <f>K12+L12</f>
        <v>31721.547318990011</v>
      </c>
      <c r="N12" s="88">
        <v>50</v>
      </c>
      <c r="O12" s="88">
        <v>48</v>
      </c>
      <c r="P12" s="88">
        <v>46</v>
      </c>
    </row>
    <row r="13" spans="1:27" x14ac:dyDescent="0.3">
      <c r="B13" s="16" t="s">
        <v>38</v>
      </c>
      <c r="C13" s="17">
        <v>11200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1805</v>
      </c>
      <c r="E14" s="161" t="s">
        <v>39</v>
      </c>
      <c r="F14" s="119">
        <v>21196</v>
      </c>
      <c r="G14" s="117">
        <v>19140.328750000001</v>
      </c>
      <c r="H14" s="117">
        <v>27284.39888094</v>
      </c>
      <c r="I14" s="152">
        <f>G14+H14</f>
        <v>46424.727630940004</v>
      </c>
      <c r="J14" s="119">
        <v>20574</v>
      </c>
      <c r="K14" s="117">
        <v>20727.87025</v>
      </c>
      <c r="L14" s="117">
        <v>26226.15405818</v>
      </c>
      <c r="M14" s="162">
        <f>K14+L14</f>
        <v>46954.02430818</v>
      </c>
      <c r="N14" s="88">
        <v>66</v>
      </c>
      <c r="O14" s="88">
        <v>63</v>
      </c>
      <c r="P14" s="88">
        <v>54</v>
      </c>
    </row>
    <row r="15" spans="1:27" x14ac:dyDescent="0.3">
      <c r="B15" s="28" t="s">
        <v>42</v>
      </c>
      <c r="C15" s="17">
        <v>32866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3">
      <c r="B16" s="43" t="s">
        <v>47</v>
      </c>
      <c r="C16" s="17">
        <v>1641</v>
      </c>
      <c r="E16" s="161" t="s">
        <v>79</v>
      </c>
      <c r="F16" s="119">
        <v>0</v>
      </c>
      <c r="G16" s="117">
        <v>0</v>
      </c>
      <c r="H16" s="117">
        <v>8155.8738131399996</v>
      </c>
      <c r="I16" s="152">
        <f>G16+H16</f>
        <v>8155.8738131399996</v>
      </c>
      <c r="J16" s="119">
        <v>0</v>
      </c>
      <c r="K16" s="117">
        <v>0</v>
      </c>
      <c r="L16" s="117">
        <v>8104.2956109799998</v>
      </c>
      <c r="M16" s="162">
        <f>K16+L16</f>
        <v>8104.2956109799998</v>
      </c>
      <c r="N16" s="88">
        <v>10</v>
      </c>
      <c r="O16" s="88">
        <v>10</v>
      </c>
      <c r="P16" s="88">
        <v>10</v>
      </c>
    </row>
    <row r="17" spans="1:28" s="4" customFormat="1" ht="15" customHeight="1" thickBot="1" x14ac:dyDescent="0.35">
      <c r="B17" s="43" t="s">
        <v>48</v>
      </c>
      <c r="C17" s="50">
        <v>348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8951</v>
      </c>
      <c r="E18" s="84"/>
      <c r="F18" s="148">
        <f t="shared" ref="F18:M18" si="0">SUM(F6:F17)</f>
        <v>78124</v>
      </c>
      <c r="G18" s="149">
        <f t="shared" si="0"/>
        <v>53890.715874999994</v>
      </c>
      <c r="H18" s="149">
        <f t="shared" si="0"/>
        <v>63630.452613200003</v>
      </c>
      <c r="I18" s="157">
        <f t="shared" si="0"/>
        <v>117521.1684882</v>
      </c>
      <c r="J18" s="149">
        <f t="shared" si="0"/>
        <v>75265</v>
      </c>
      <c r="K18" s="149">
        <f t="shared" si="0"/>
        <v>58913.692375000006</v>
      </c>
      <c r="L18" s="149">
        <f t="shared" si="0"/>
        <v>62676.316251149998</v>
      </c>
      <c r="M18" s="157">
        <f t="shared" si="0"/>
        <v>121590.00862615001</v>
      </c>
      <c r="N18" s="149">
        <f>SUM(N16,N14,N12,N10,N8,N6)</f>
        <v>246</v>
      </c>
      <c r="O18" s="149">
        <f>SUM(O16,O14,O12,O10,O8,O6)</f>
        <v>239</v>
      </c>
      <c r="P18" s="158">
        <f>SUM(P16,P14,P12,P10,P8,P6)</f>
        <v>224</v>
      </c>
    </row>
    <row r="19" spans="1:28" ht="15" customHeight="1" thickBot="1" x14ac:dyDescent="0.35">
      <c r="B19" s="16" t="s">
        <v>51</v>
      </c>
      <c r="C19" s="17">
        <v>1363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</row>
    <row r="20" spans="1:28" x14ac:dyDescent="0.3">
      <c r="B20" s="16" t="s">
        <v>52</v>
      </c>
      <c r="C20" s="17">
        <v>4588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6.2761506276150625E-2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11889</v>
      </c>
      <c r="D25" s="76">
        <f>C13</f>
        <v>11200</v>
      </c>
      <c r="E25" s="77">
        <f t="shared" ref="E25:E33" si="1">D25-C25</f>
        <v>-689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38465</v>
      </c>
      <c r="D28" s="76">
        <f>C9+C14+C15+C16+C17</f>
        <v>38169</v>
      </c>
      <c r="E28" s="77">
        <f t="shared" si="1"/>
        <v>-296</v>
      </c>
      <c r="P28" s="4"/>
    </row>
    <row r="29" spans="1:28" x14ac:dyDescent="0.3">
      <c r="B29" s="74" t="s">
        <v>21</v>
      </c>
      <c r="C29" s="122">
        <v>58</v>
      </c>
      <c r="D29" s="76">
        <f>C6</f>
        <v>58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2409</v>
      </c>
      <c r="D30" s="76">
        <f>C12</f>
        <v>2409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15545</v>
      </c>
      <c r="D31" s="76">
        <f>C18+C19+C20</f>
        <v>14902</v>
      </c>
      <c r="E31" s="77">
        <f t="shared" si="1"/>
        <v>-643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theme="1"/>
    <pageSetUpPr fitToPage="1"/>
  </sheetPr>
  <dimension ref="A1:AB33"/>
  <sheetViews>
    <sheetView zoomScale="85" zoomScaleNormal="85" zoomScaleSheetLayoutView="70" workbookViewId="0">
      <selection activeCell="E37" sqref="E3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44784</v>
      </c>
    </row>
    <row r="3" spans="1:27" ht="18.75" customHeight="1" thickBot="1" x14ac:dyDescent="0.35">
      <c r="B3" t="s">
        <v>1</v>
      </c>
      <c r="C3" s="3">
        <f>C2+1</f>
        <v>44785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3">
      <c r="A6" s="166"/>
      <c r="B6" s="16" t="s">
        <v>21</v>
      </c>
      <c r="C6" s="17">
        <v>110</v>
      </c>
      <c r="E6" s="161" t="s">
        <v>22</v>
      </c>
      <c r="F6" s="119">
        <v>24392</v>
      </c>
      <c r="G6" s="117">
        <v>11628.625133333329</v>
      </c>
      <c r="H6" s="117">
        <v>6776.5810111600022</v>
      </c>
      <c r="I6" s="152">
        <f>G6+H6</f>
        <v>18405.206144493332</v>
      </c>
      <c r="J6" s="119">
        <v>24891</v>
      </c>
      <c r="K6" s="117">
        <v>13056.02313333334</v>
      </c>
      <c r="L6" s="117">
        <v>7197.1028958000024</v>
      </c>
      <c r="M6" s="162">
        <f>K6+L6</f>
        <v>20253.126029133342</v>
      </c>
      <c r="N6" s="88">
        <v>69</v>
      </c>
      <c r="O6" s="88">
        <v>68</v>
      </c>
      <c r="P6" s="88">
        <v>65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2829.43719796</v>
      </c>
      <c r="I8" s="152">
        <f>G8+H8</f>
        <v>2829.43719796</v>
      </c>
      <c r="J8" s="119">
        <v>0</v>
      </c>
      <c r="K8" s="117">
        <v>0</v>
      </c>
      <c r="L8" s="117">
        <v>2806.6792954399998</v>
      </c>
      <c r="M8" s="162">
        <f>K8+L8</f>
        <v>2806.6792954399998</v>
      </c>
      <c r="N8" s="88">
        <v>7</v>
      </c>
      <c r="O8" s="88">
        <v>7</v>
      </c>
      <c r="P8" s="88">
        <v>5</v>
      </c>
    </row>
    <row r="9" spans="1:27" x14ac:dyDescent="0.3">
      <c r="B9" s="16" t="s">
        <v>23</v>
      </c>
      <c r="C9" s="17">
        <v>2639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3">
      <c r="B10" s="28" t="s">
        <v>26</v>
      </c>
      <c r="C10" s="17">
        <v>1260</v>
      </c>
      <c r="E10" s="161" t="s">
        <v>31</v>
      </c>
      <c r="F10" s="119">
        <v>17665</v>
      </c>
      <c r="G10" s="117">
        <v>11442.05725</v>
      </c>
      <c r="H10" s="117">
        <v>1119.1907390599999</v>
      </c>
      <c r="I10" s="152">
        <f>G10+H10</f>
        <v>12561.247989060001</v>
      </c>
      <c r="J10" s="119">
        <v>17885</v>
      </c>
      <c r="K10" s="117">
        <v>11981.97975</v>
      </c>
      <c r="L10" s="117">
        <v>1164.1343380799999</v>
      </c>
      <c r="M10" s="162">
        <f>K10+L10</f>
        <v>13146.114088080001</v>
      </c>
      <c r="N10" s="88">
        <v>49</v>
      </c>
      <c r="O10" s="88">
        <v>52</v>
      </c>
      <c r="P10" s="88">
        <v>46</v>
      </c>
    </row>
    <row r="11" spans="1:27" x14ac:dyDescent="0.3">
      <c r="B11" s="28" t="s">
        <v>28</v>
      </c>
      <c r="C11" s="17">
        <v>795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3">
      <c r="A12" s="166"/>
      <c r="B12" s="16" t="s">
        <v>30</v>
      </c>
      <c r="C12" s="17">
        <v>2507</v>
      </c>
      <c r="E12" s="161" t="s">
        <v>35</v>
      </c>
      <c r="F12" s="119">
        <v>17845</v>
      </c>
      <c r="G12" s="117">
        <v>11834.97925</v>
      </c>
      <c r="H12" s="117">
        <v>22033.004410879999</v>
      </c>
      <c r="I12" s="152">
        <f>G12+H12</f>
        <v>33867.983660879996</v>
      </c>
      <c r="J12" s="119">
        <v>17799</v>
      </c>
      <c r="K12" s="117">
        <v>13958.34375</v>
      </c>
      <c r="L12" s="117">
        <v>22065.735769819999</v>
      </c>
      <c r="M12" s="162">
        <f>K12+L12</f>
        <v>36024.079519819999</v>
      </c>
      <c r="N12" s="88">
        <v>50</v>
      </c>
      <c r="O12" s="88">
        <v>51</v>
      </c>
      <c r="P12" s="88">
        <v>47</v>
      </c>
    </row>
    <row r="13" spans="1:27" x14ac:dyDescent="0.3">
      <c r="B13" s="16" t="s">
        <v>38</v>
      </c>
      <c r="C13" s="17">
        <v>10587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3">
      <c r="B14" s="16" t="s">
        <v>40</v>
      </c>
      <c r="C14" s="17">
        <v>1840</v>
      </c>
      <c r="E14" s="161" t="s">
        <v>39</v>
      </c>
      <c r="F14" s="119">
        <v>29569</v>
      </c>
      <c r="G14" s="117">
        <v>20332.172500000001</v>
      </c>
      <c r="H14" s="117">
        <v>34602.042779300013</v>
      </c>
      <c r="I14" s="152">
        <f>G14+H14</f>
        <v>54934.215279300013</v>
      </c>
      <c r="J14" s="119">
        <v>29731</v>
      </c>
      <c r="K14" s="117">
        <v>23837.374250000001</v>
      </c>
      <c r="L14" s="117">
        <v>34909.620061720008</v>
      </c>
      <c r="M14" s="162">
        <f>K14+L14</f>
        <v>58746.994311720009</v>
      </c>
      <c r="N14" s="88">
        <v>71</v>
      </c>
      <c r="O14" s="88">
        <v>70</v>
      </c>
      <c r="P14" s="88">
        <v>60</v>
      </c>
    </row>
    <row r="15" spans="1:27" x14ac:dyDescent="0.3">
      <c r="B15" s="28" t="s">
        <v>42</v>
      </c>
      <c r="C15" s="17">
        <f>39875-5971</f>
        <v>33904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3">
      <c r="B16" s="43" t="s">
        <v>47</v>
      </c>
      <c r="C16" s="17">
        <v>1447</v>
      </c>
      <c r="E16" s="161" t="s">
        <v>79</v>
      </c>
      <c r="F16" s="119">
        <v>0</v>
      </c>
      <c r="G16" s="117">
        <v>0</v>
      </c>
      <c r="H16" s="117">
        <v>4790.0991131800001</v>
      </c>
      <c r="I16" s="152">
        <f>G16+H16</f>
        <v>4790.0991131800001</v>
      </c>
      <c r="J16" s="119">
        <v>0</v>
      </c>
      <c r="K16" s="117">
        <v>0</v>
      </c>
      <c r="L16" s="117">
        <v>4799.5740372800001</v>
      </c>
      <c r="M16" s="162">
        <f>K16+L16</f>
        <v>4799.5740372800001</v>
      </c>
      <c r="N16" s="88">
        <v>9</v>
      </c>
      <c r="O16" s="88">
        <v>10</v>
      </c>
      <c r="P16" s="88">
        <v>8</v>
      </c>
    </row>
    <row r="17" spans="1:28" s="4" customFormat="1" ht="15" customHeight="1" thickBot="1" x14ac:dyDescent="0.35">
      <c r="B17" s="43" t="s">
        <v>48</v>
      </c>
      <c r="C17" s="50">
        <v>45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8692</v>
      </c>
      <c r="E18" s="84"/>
      <c r="F18" s="148">
        <f t="shared" ref="F18:M18" si="0">SUM(F6:F17)</f>
        <v>89471</v>
      </c>
      <c r="G18" s="149">
        <f t="shared" si="0"/>
        <v>55237.83413333333</v>
      </c>
      <c r="H18" s="149">
        <f t="shared" si="0"/>
        <v>72150.355251540008</v>
      </c>
      <c r="I18" s="157">
        <f t="shared" si="0"/>
        <v>127388.18938487335</v>
      </c>
      <c r="J18" s="149">
        <f t="shared" si="0"/>
        <v>90306</v>
      </c>
      <c r="K18" s="149">
        <f t="shared" si="0"/>
        <v>62833.720883333342</v>
      </c>
      <c r="L18" s="149">
        <f t="shared" si="0"/>
        <v>72942.846398140013</v>
      </c>
      <c r="M18" s="157">
        <f t="shared" si="0"/>
        <v>135776.56728147334</v>
      </c>
      <c r="N18" s="149">
        <f>SUM(N16,N14,N12,N10,N8,N6)</f>
        <v>255</v>
      </c>
      <c r="O18" s="149">
        <f>SUM(O16,O14,O12,O10,O8,O6)</f>
        <v>258</v>
      </c>
      <c r="P18" s="158">
        <f>SUM(P16,P14,P12,P10,P8,P6)</f>
        <v>231</v>
      </c>
    </row>
    <row r="19" spans="1:28" ht="15" customHeight="1" thickBot="1" x14ac:dyDescent="0.35">
      <c r="B19" s="16" t="s">
        <v>51</v>
      </c>
      <c r="C19" s="17">
        <v>2174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1:28" x14ac:dyDescent="0.3">
      <c r="B20" s="16" t="s">
        <v>52</v>
      </c>
      <c r="C20" s="17">
        <v>4049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0.10465116279069768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10922</v>
      </c>
      <c r="D25" s="76">
        <f>C13</f>
        <v>10587</v>
      </c>
      <c r="E25" s="77">
        <f t="shared" ref="E25:E33" si="1">D25-C25</f>
        <v>-335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39545</v>
      </c>
      <c r="D28" s="76">
        <f>C9+C14+C15+C16+C17</f>
        <v>39875</v>
      </c>
      <c r="E28" s="77">
        <f t="shared" si="1"/>
        <v>330</v>
      </c>
      <c r="P28" s="4"/>
    </row>
    <row r="29" spans="1:28" x14ac:dyDescent="0.3">
      <c r="B29" s="74" t="s">
        <v>21</v>
      </c>
      <c r="C29" s="122">
        <v>110</v>
      </c>
      <c r="D29" s="76">
        <f>C6</f>
        <v>110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2507</v>
      </c>
      <c r="D30" s="76">
        <f>C12</f>
        <v>2507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14055</v>
      </c>
      <c r="D31" s="76">
        <f>C18+C19+C20</f>
        <v>14915</v>
      </c>
      <c r="E31" s="77">
        <f t="shared" si="1"/>
        <v>860</v>
      </c>
      <c r="K31" s="53"/>
      <c r="P31" s="4"/>
    </row>
    <row r="32" spans="1:28" x14ac:dyDescent="0.3">
      <c r="B32" s="74" t="s">
        <v>60</v>
      </c>
      <c r="C32" s="122">
        <v>2055</v>
      </c>
      <c r="D32" s="76">
        <f>C10+C11</f>
        <v>2055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theme="1"/>
    <pageSetUpPr fitToPage="1"/>
  </sheetPr>
  <dimension ref="A1:AB33"/>
  <sheetViews>
    <sheetView zoomScaleNormal="100" zoomScaleSheetLayoutView="70" workbookViewId="0">
      <selection activeCell="H35" sqref="H3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44785</v>
      </c>
    </row>
    <row r="3" spans="1:27" ht="18.75" customHeight="1" thickBot="1" x14ac:dyDescent="0.35">
      <c r="B3" t="s">
        <v>1</v>
      </c>
      <c r="C3" s="3">
        <f>C2+1</f>
        <v>44786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0.35902777777777778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29064</v>
      </c>
      <c r="G6" s="117">
        <v>13394.23916666667</v>
      </c>
      <c r="H6" s="117">
        <v>6974.4457112599966</v>
      </c>
      <c r="I6" s="152">
        <f>G6+H6</f>
        <v>20368.684877926666</v>
      </c>
      <c r="J6" s="119">
        <v>29490</v>
      </c>
      <c r="K6" s="117">
        <v>15068.82816666667</v>
      </c>
      <c r="L6" s="117">
        <v>7099.1664904599966</v>
      </c>
      <c r="M6" s="162">
        <f>K6+L6</f>
        <v>22167.994657126666</v>
      </c>
      <c r="N6" s="88">
        <v>74</v>
      </c>
      <c r="O6" s="88">
        <v>71</v>
      </c>
      <c r="P6" s="88">
        <v>67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4246.826336160002</v>
      </c>
      <c r="I8" s="152">
        <f>G8+H8</f>
        <v>4246.826336160002</v>
      </c>
      <c r="J8" s="119">
        <v>0</v>
      </c>
      <c r="K8" s="117">
        <v>0</v>
      </c>
      <c r="L8" s="117">
        <v>4296.46146546</v>
      </c>
      <c r="M8" s="162">
        <f>K8+L8</f>
        <v>4296.46146546</v>
      </c>
      <c r="N8" s="88">
        <v>7</v>
      </c>
      <c r="O8" s="88">
        <v>7</v>
      </c>
      <c r="P8" s="88">
        <v>7</v>
      </c>
    </row>
    <row r="9" spans="1:27" x14ac:dyDescent="0.3">
      <c r="B9" s="16" t="s">
        <v>23</v>
      </c>
      <c r="C9" s="17">
        <v>1749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16590</v>
      </c>
      <c r="G10" s="117">
        <v>11409.01316666666</v>
      </c>
      <c r="H10" s="117">
        <v>680.47169049999991</v>
      </c>
      <c r="I10" s="152">
        <f>G10+H10</f>
        <v>12089.484857166661</v>
      </c>
      <c r="J10" s="119">
        <v>16367</v>
      </c>
      <c r="K10" s="117">
        <v>11639.37266666667</v>
      </c>
      <c r="L10" s="117">
        <v>694.40506196000001</v>
      </c>
      <c r="M10" s="162">
        <f>K10+L10</f>
        <v>12333.77772862667</v>
      </c>
      <c r="N10" s="88">
        <v>49</v>
      </c>
      <c r="O10" s="88">
        <v>49</v>
      </c>
      <c r="P10" s="88">
        <v>48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3">
      <c r="A12" s="166"/>
      <c r="B12" s="16" t="s">
        <v>30</v>
      </c>
      <c r="C12" s="17">
        <v>4911</v>
      </c>
      <c r="E12" s="161" t="s">
        <v>35</v>
      </c>
      <c r="F12" s="119">
        <f>18334+7</f>
        <v>18341</v>
      </c>
      <c r="G12" s="117">
        <v>14895.053</v>
      </c>
      <c r="H12" s="117">
        <v>24312.279686559988</v>
      </c>
      <c r="I12" s="152">
        <f>G12+H12</f>
        <v>39207.332686559988</v>
      </c>
      <c r="J12" s="119">
        <v>18734</v>
      </c>
      <c r="K12" s="117">
        <v>18862.346750000001</v>
      </c>
      <c r="L12" s="117">
        <v>24743.775844169999</v>
      </c>
      <c r="M12" s="162">
        <f>K12+L12</f>
        <v>43606.122594169996</v>
      </c>
      <c r="N12" s="88">
        <v>55</v>
      </c>
      <c r="O12" s="88">
        <v>50</v>
      </c>
      <c r="P12" s="88">
        <v>48</v>
      </c>
    </row>
    <row r="13" spans="1:27" x14ac:dyDescent="0.3">
      <c r="B13" s="16" t="s">
        <v>38</v>
      </c>
      <c r="C13" s="17">
        <v>9520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3">
      <c r="B14" s="16" t="s">
        <v>40</v>
      </c>
      <c r="C14" s="17">
        <v>1768</v>
      </c>
      <c r="E14" s="161" t="s">
        <v>39</v>
      </c>
      <c r="F14" s="119">
        <v>30987</v>
      </c>
      <c r="G14" s="117">
        <v>23321.362499999999</v>
      </c>
      <c r="H14" s="117">
        <v>38385.253916659967</v>
      </c>
      <c r="I14" s="152">
        <f>G14+H14</f>
        <v>61706.616416659963</v>
      </c>
      <c r="J14" s="119">
        <v>32138</v>
      </c>
      <c r="K14" s="117">
        <v>28932.095249999998</v>
      </c>
      <c r="L14" s="117">
        <v>40032.177407359981</v>
      </c>
      <c r="M14" s="162">
        <f>K14+L14</f>
        <v>68964.272657359979</v>
      </c>
      <c r="N14" s="88">
        <v>71</v>
      </c>
      <c r="O14" s="88">
        <v>70</v>
      </c>
      <c r="P14" s="88">
        <v>52</v>
      </c>
    </row>
    <row r="15" spans="1:27" x14ac:dyDescent="0.3">
      <c r="B15" s="28" t="s">
        <v>42</v>
      </c>
      <c r="C15" s="17">
        <f>47061-5526</f>
        <v>41535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3">
      <c r="B16" s="43" t="s">
        <v>47</v>
      </c>
      <c r="C16" s="17">
        <v>1690</v>
      </c>
      <c r="E16" s="161" t="s">
        <v>79</v>
      </c>
      <c r="F16" s="119">
        <v>0</v>
      </c>
      <c r="G16" s="117">
        <v>0</v>
      </c>
      <c r="H16" s="117">
        <v>9449.5034346199991</v>
      </c>
      <c r="I16" s="152">
        <f>G16+H16</f>
        <v>9449.5034346199991</v>
      </c>
      <c r="J16" s="119"/>
      <c r="K16" s="117"/>
      <c r="L16" s="117"/>
      <c r="M16" s="162">
        <f>K16+L16</f>
        <v>0</v>
      </c>
      <c r="N16" s="88">
        <v>13</v>
      </c>
      <c r="O16" s="88">
        <v>13</v>
      </c>
      <c r="P16" s="88">
        <v>13</v>
      </c>
    </row>
    <row r="17" spans="1:28" s="4" customFormat="1" ht="15" customHeight="1" thickBot="1" x14ac:dyDescent="0.35">
      <c r="B17" s="43" t="s">
        <v>48</v>
      </c>
      <c r="C17" s="50">
        <v>319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7992</v>
      </c>
      <c r="E18" s="84"/>
      <c r="F18" s="148">
        <f t="shared" ref="F18:M18" si="0">SUM(F6:F17)</f>
        <v>94982</v>
      </c>
      <c r="G18" s="149">
        <f t="shared" si="0"/>
        <v>63019.667833333326</v>
      </c>
      <c r="H18" s="149">
        <f t="shared" si="0"/>
        <v>84048.780775759951</v>
      </c>
      <c r="I18" s="157">
        <f t="shared" si="0"/>
        <v>147068.44860909329</v>
      </c>
      <c r="J18" s="149">
        <f t="shared" si="0"/>
        <v>96729</v>
      </c>
      <c r="K18" s="149">
        <f t="shared" si="0"/>
        <v>74502.642833333346</v>
      </c>
      <c r="L18" s="149">
        <f t="shared" si="0"/>
        <v>76865.986269409972</v>
      </c>
      <c r="M18" s="157">
        <f t="shared" si="0"/>
        <v>151368.62910274332</v>
      </c>
      <c r="N18" s="149">
        <f>SUM(N16,N14,N12,N10,N8,N6)</f>
        <v>269</v>
      </c>
      <c r="O18" s="149">
        <f>SUM(O16,O14,O12,O10,O8,O6)</f>
        <v>260</v>
      </c>
      <c r="P18" s="158">
        <f>SUM(P16,P14,P12,P10,P8,P6)</f>
        <v>235</v>
      </c>
    </row>
    <row r="19" spans="1:28" ht="15" customHeight="1" thickBot="1" x14ac:dyDescent="0.35">
      <c r="B19" s="16" t="s">
        <v>51</v>
      </c>
      <c r="C19" s="17">
        <v>560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1:28" x14ac:dyDescent="0.3">
      <c r="B20" s="16" t="s">
        <v>52</v>
      </c>
      <c r="C20" s="17">
        <v>4347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9.6153846153846159E-2</v>
      </c>
    </row>
    <row r="21" spans="1:28" ht="15" customHeight="1" thickBot="1" x14ac:dyDescent="0.35">
      <c r="A21" s="123"/>
      <c r="B21" s="168" t="s">
        <v>132</v>
      </c>
      <c r="C21" s="169">
        <v>1252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10740</v>
      </c>
      <c r="D25" s="76">
        <f>C13</f>
        <v>9520</v>
      </c>
      <c r="E25" s="77">
        <f t="shared" ref="E25:E33" si="1">D25-C25</f>
        <v>-1220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45160</v>
      </c>
      <c r="D28" s="76">
        <f>C9+C14+C15+C16+C17</f>
        <v>47061</v>
      </c>
      <c r="E28" s="77">
        <f t="shared" si="1"/>
        <v>1901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4911</v>
      </c>
      <c r="D30" s="76">
        <f>C12</f>
        <v>4911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13025</v>
      </c>
      <c r="D31" s="76">
        <f>C18+C19+C20</f>
        <v>12899</v>
      </c>
      <c r="E31" s="77">
        <f t="shared" si="1"/>
        <v>-126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1252</v>
      </c>
      <c r="D33" s="80">
        <f>C21</f>
        <v>1252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tabColor theme="1"/>
    <pageSetUpPr fitToPage="1"/>
  </sheetPr>
  <dimension ref="A1:AB33"/>
  <sheetViews>
    <sheetView zoomScale="85" zoomScaleNormal="85" zoomScaleSheetLayoutView="70" workbookViewId="0">
      <selection activeCell="R15" sqref="R1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44786</v>
      </c>
    </row>
    <row r="3" spans="1:27" ht="18.75" customHeight="1" thickBot="1" x14ac:dyDescent="0.35">
      <c r="B3" t="s">
        <v>1</v>
      </c>
      <c r="C3" s="3">
        <f>C2+1</f>
        <v>44787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3">
      <c r="A6" s="166"/>
      <c r="B6" s="16" t="s">
        <v>21</v>
      </c>
      <c r="C6" s="17">
        <v>69</v>
      </c>
      <c r="E6" s="161" t="s">
        <v>22</v>
      </c>
      <c r="F6" s="119">
        <v>27661</v>
      </c>
      <c r="G6" s="117">
        <v>11356.40149166666</v>
      </c>
      <c r="H6" s="117">
        <v>6492.872720239995</v>
      </c>
      <c r="I6" s="152">
        <f>G6+H6</f>
        <v>17849.274211906653</v>
      </c>
      <c r="J6" s="119">
        <v>26211</v>
      </c>
      <c r="K6" s="117">
        <v>11457.391491666671</v>
      </c>
      <c r="L6" s="117">
        <v>6643.7226457999959</v>
      </c>
      <c r="M6" s="162">
        <f>K6+L6</f>
        <v>18101.114137466666</v>
      </c>
      <c r="N6" s="178">
        <v>76</v>
      </c>
      <c r="O6" s="88">
        <v>73</v>
      </c>
      <c r="P6" s="145">
        <v>71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3512.3095047199999</v>
      </c>
      <c r="I8" s="152">
        <f>G8+H8</f>
        <v>3512.3095047199999</v>
      </c>
      <c r="J8" s="119">
        <v>0</v>
      </c>
      <c r="K8" s="117">
        <v>0</v>
      </c>
      <c r="L8" s="117">
        <v>3161.8759153800002</v>
      </c>
      <c r="M8" s="162">
        <f>K8+L8</f>
        <v>3161.8759153800002</v>
      </c>
      <c r="N8" s="178">
        <v>7</v>
      </c>
      <c r="O8" s="88">
        <v>7</v>
      </c>
      <c r="P8" s="145">
        <v>5</v>
      </c>
    </row>
    <row r="9" spans="1:27" x14ac:dyDescent="0.3">
      <c r="B9" s="16" t="s">
        <v>23</v>
      </c>
      <c r="C9" s="17">
        <v>1727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</row>
    <row r="10" spans="1:27" x14ac:dyDescent="0.3">
      <c r="B10" s="28" t="s">
        <v>26</v>
      </c>
      <c r="C10" s="17">
        <v>550</v>
      </c>
      <c r="E10" s="161" t="s">
        <v>31</v>
      </c>
      <c r="F10" s="119">
        <v>14748</v>
      </c>
      <c r="G10" s="117">
        <v>9628.4630000000016</v>
      </c>
      <c r="H10" s="117">
        <v>1094.2451716600001</v>
      </c>
      <c r="I10" s="152">
        <f>G10+H10</f>
        <v>10722.708171660002</v>
      </c>
      <c r="J10" s="119">
        <v>15053</v>
      </c>
      <c r="K10" s="117">
        <v>10387.108</v>
      </c>
      <c r="L10" s="117">
        <v>1174.7442303</v>
      </c>
      <c r="M10" s="162">
        <f>K10+L10</f>
        <v>11561.852230300001</v>
      </c>
      <c r="N10" s="178">
        <v>46</v>
      </c>
      <c r="O10" s="88">
        <v>47</v>
      </c>
      <c r="P10" s="145">
        <v>41</v>
      </c>
    </row>
    <row r="11" spans="1:27" x14ac:dyDescent="0.3">
      <c r="B11" s="28" t="s">
        <v>28</v>
      </c>
      <c r="C11" s="17">
        <v>250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</row>
    <row r="12" spans="1:27" x14ac:dyDescent="0.3">
      <c r="A12" s="166"/>
      <c r="B12" s="16" t="s">
        <v>30</v>
      </c>
      <c r="C12" s="17">
        <v>2201</v>
      </c>
      <c r="E12" s="161" t="s">
        <v>35</v>
      </c>
      <c r="F12" s="119">
        <v>14640</v>
      </c>
      <c r="G12" s="117">
        <v>11915.564583333329</v>
      </c>
      <c r="H12" s="117">
        <v>16583.619415460002</v>
      </c>
      <c r="I12" s="152">
        <f>G12+H12</f>
        <v>28499.183998793331</v>
      </c>
      <c r="J12" s="119">
        <v>14369</v>
      </c>
      <c r="K12" s="117">
        <v>12440.53258333333</v>
      </c>
      <c r="L12" s="117">
        <v>16525.806001739998</v>
      </c>
      <c r="M12" s="162">
        <f>K12+L12</f>
        <v>28966.338585073328</v>
      </c>
      <c r="N12" s="178">
        <v>50</v>
      </c>
      <c r="O12" s="88">
        <v>46</v>
      </c>
      <c r="P12" s="145">
        <v>44</v>
      </c>
    </row>
    <row r="13" spans="1:27" x14ac:dyDescent="0.3">
      <c r="B13" s="16" t="s">
        <v>38</v>
      </c>
      <c r="C13" s="17">
        <v>9387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</row>
    <row r="14" spans="1:27" x14ac:dyDescent="0.3">
      <c r="B14" s="16" t="s">
        <v>40</v>
      </c>
      <c r="C14" s="17">
        <v>1288</v>
      </c>
      <c r="E14" s="161" t="s">
        <v>39</v>
      </c>
      <c r="F14" s="119">
        <v>19102</v>
      </c>
      <c r="G14" s="117">
        <v>20797.471249999999</v>
      </c>
      <c r="H14" s="117">
        <v>23417.327305520019</v>
      </c>
      <c r="I14" s="152">
        <f>G14+H14</f>
        <v>44214.798555520014</v>
      </c>
      <c r="J14" s="119">
        <v>19821</v>
      </c>
      <c r="K14" s="117">
        <v>15919.3925</v>
      </c>
      <c r="L14" s="117">
        <v>23863.10537442</v>
      </c>
      <c r="M14" s="162">
        <f>K14+L14</f>
        <v>39782.497874419998</v>
      </c>
      <c r="N14" s="178">
        <v>64</v>
      </c>
      <c r="O14" s="88">
        <v>64</v>
      </c>
      <c r="P14" s="145">
        <v>50</v>
      </c>
    </row>
    <row r="15" spans="1:27" x14ac:dyDescent="0.3">
      <c r="B15" s="28" t="s">
        <v>42</v>
      </c>
      <c r="C15" s="17">
        <f>31299-4015</f>
        <v>27284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14</v>
      </c>
    </row>
    <row r="16" spans="1:27" x14ac:dyDescent="0.3">
      <c r="B16" s="43" t="s">
        <v>47</v>
      </c>
      <c r="C16" s="17">
        <v>953</v>
      </c>
      <c r="E16" s="161" t="s">
        <v>79</v>
      </c>
      <c r="F16" s="119">
        <v>0</v>
      </c>
      <c r="G16" s="117">
        <v>0</v>
      </c>
      <c r="H16" s="117">
        <v>4083.7691459399998</v>
      </c>
      <c r="I16" s="152">
        <f>G16+H16</f>
        <v>4083.7691459399998</v>
      </c>
      <c r="J16" s="119">
        <v>0</v>
      </c>
      <c r="K16" s="117">
        <v>0</v>
      </c>
      <c r="L16" s="117">
        <v>4065.3918043399999</v>
      </c>
      <c r="M16" s="162">
        <f>K16+L16</f>
        <v>4065.3918043399999</v>
      </c>
      <c r="N16" s="178">
        <v>11</v>
      </c>
      <c r="O16" s="88">
        <v>10</v>
      </c>
      <c r="P16" s="145">
        <v>10</v>
      </c>
    </row>
    <row r="17" spans="1:28" s="4" customFormat="1" ht="15" customHeight="1" thickBot="1" x14ac:dyDescent="0.35">
      <c r="B17" s="43" t="s">
        <v>48</v>
      </c>
      <c r="C17" s="50">
        <v>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11071</v>
      </c>
      <c r="E18" s="84"/>
      <c r="F18" s="148">
        <f t="shared" ref="F18:M18" si="0">SUM(F6:F17)</f>
        <v>76151</v>
      </c>
      <c r="G18" s="149">
        <f t="shared" si="0"/>
        <v>53697.900324999995</v>
      </c>
      <c r="H18" s="149">
        <f t="shared" si="0"/>
        <v>55184.14326354002</v>
      </c>
      <c r="I18" s="157">
        <f t="shared" si="0"/>
        <v>108882.04358853999</v>
      </c>
      <c r="J18" s="149">
        <f t="shared" si="0"/>
        <v>75454</v>
      </c>
      <c r="K18" s="149">
        <f t="shared" si="0"/>
        <v>50204.424574999997</v>
      </c>
      <c r="L18" s="149">
        <f t="shared" si="0"/>
        <v>55434.645971979997</v>
      </c>
      <c r="M18" s="175">
        <f t="shared" si="0"/>
        <v>105639.07054697999</v>
      </c>
      <c r="N18" s="148">
        <f>SUM(N16,N14,N12,N10,N8,N6)</f>
        <v>254</v>
      </c>
      <c r="O18" s="149">
        <f>SUM(O16,O14,O12,O10,O8,O6)</f>
        <v>247</v>
      </c>
      <c r="P18" s="158">
        <f>SUM(P16,P14,P12,P10,P8,P6)</f>
        <v>221</v>
      </c>
    </row>
    <row r="19" spans="1:28" ht="15" customHeight="1" thickBot="1" x14ac:dyDescent="0.35">
      <c r="B19" s="16" t="s">
        <v>51</v>
      </c>
      <c r="C19" s="17">
        <v>1521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x14ac:dyDescent="0.3">
      <c r="B20" s="16" t="s">
        <v>52</v>
      </c>
      <c r="C20" s="17">
        <v>4854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0.10526315789473684</v>
      </c>
    </row>
    <row r="21" spans="1:28" ht="15" customHeight="1" thickBot="1" x14ac:dyDescent="0.35">
      <c r="A21" s="123"/>
      <c r="B21" s="168" t="s">
        <v>132</v>
      </c>
      <c r="C21" s="169">
        <v>377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10800</v>
      </c>
      <c r="D25" s="76">
        <f>C13</f>
        <v>9387</v>
      </c>
      <c r="E25" s="77">
        <f t="shared" ref="E25:E33" si="1">D25-C25</f>
        <v>-1413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30926</v>
      </c>
      <c r="D28" s="76">
        <f>C9+C14+C15+C16+C17</f>
        <v>31299</v>
      </c>
      <c r="E28" s="77">
        <f t="shared" si="1"/>
        <v>373</v>
      </c>
      <c r="P28" s="4"/>
    </row>
    <row r="29" spans="1:28" x14ac:dyDescent="0.3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2201</v>
      </c>
      <c r="D30" s="76">
        <f>C12</f>
        <v>2201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16125</v>
      </c>
      <c r="D31" s="76">
        <f>C18+C19+C20</f>
        <v>17446</v>
      </c>
      <c r="E31" s="77">
        <f t="shared" si="1"/>
        <v>1321</v>
      </c>
      <c r="K31" s="53"/>
      <c r="P31" s="4"/>
    </row>
    <row r="32" spans="1:28" x14ac:dyDescent="0.3">
      <c r="B32" s="74" t="s">
        <v>60</v>
      </c>
      <c r="C32" s="122">
        <v>800</v>
      </c>
      <c r="D32" s="76">
        <f>C10+C11</f>
        <v>800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377</v>
      </c>
      <c r="D33" s="80">
        <f>C21</f>
        <v>377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tabColor theme="1"/>
    <pageSetUpPr fitToPage="1"/>
  </sheetPr>
  <dimension ref="A1:AB33"/>
  <sheetViews>
    <sheetView zoomScale="85" zoomScaleNormal="85" zoomScaleSheetLayoutView="70" workbookViewId="0">
      <selection activeCell="H25" sqref="H2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44787</v>
      </c>
    </row>
    <row r="3" spans="1:27" ht="18.75" customHeight="1" thickBot="1" x14ac:dyDescent="0.35">
      <c r="B3" t="s">
        <v>1</v>
      </c>
      <c r="C3" s="3">
        <f>C2+1</f>
        <v>44788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11130</v>
      </c>
      <c r="G6" s="117">
        <v>3436</v>
      </c>
      <c r="H6" s="117">
        <v>148.02187499999999</v>
      </c>
      <c r="I6" s="152">
        <f>G6+H6</f>
        <v>3584.0218749999999</v>
      </c>
      <c r="J6" s="119">
        <v>9191</v>
      </c>
      <c r="K6" s="117">
        <v>2976</v>
      </c>
      <c r="L6" s="117">
        <v>996</v>
      </c>
      <c r="M6" s="162">
        <f>K6+L6</f>
        <v>3972</v>
      </c>
      <c r="N6" s="178">
        <v>39</v>
      </c>
      <c r="O6" s="88">
        <v>39</v>
      </c>
      <c r="P6" s="145">
        <v>36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444.97086100000001</v>
      </c>
      <c r="I8" s="152">
        <f>G8+H8</f>
        <v>444.97086100000001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</row>
    <row r="10" spans="1:27" x14ac:dyDescent="0.3">
      <c r="B10" s="28" t="s">
        <v>26</v>
      </c>
      <c r="C10" s="17">
        <v>0</v>
      </c>
      <c r="E10" s="161" t="s">
        <v>31</v>
      </c>
      <c r="F10" s="119">
        <v>5115</v>
      </c>
      <c r="G10" s="117">
        <v>2658</v>
      </c>
      <c r="H10" s="117">
        <v>790.07366549999983</v>
      </c>
      <c r="I10" s="152">
        <f>G10+H10</f>
        <v>3448.0736655000001</v>
      </c>
      <c r="J10" s="119">
        <v>5150</v>
      </c>
      <c r="K10" s="117">
        <v>2650</v>
      </c>
      <c r="L10" s="117">
        <v>797</v>
      </c>
      <c r="M10" s="162">
        <f>K10+L10</f>
        <v>3447</v>
      </c>
      <c r="N10" s="178">
        <v>0</v>
      </c>
      <c r="O10" s="88">
        <v>0</v>
      </c>
      <c r="P10" s="145">
        <v>0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27</v>
      </c>
      <c r="G12" s="117">
        <v>0</v>
      </c>
      <c r="H12" s="117">
        <v>0</v>
      </c>
      <c r="I12" s="152">
        <f>G12+H12</f>
        <v>0</v>
      </c>
      <c r="J12" s="119">
        <v>71</v>
      </c>
      <c r="K12" s="117">
        <v>0</v>
      </c>
      <c r="L12" s="117">
        <v>0</v>
      </c>
      <c r="M12" s="162">
        <f>K12+L12</f>
        <v>0</v>
      </c>
      <c r="N12" s="178">
        <v>0</v>
      </c>
      <c r="O12" s="88">
        <v>0</v>
      </c>
      <c r="P12" s="145">
        <v>0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</row>
    <row r="14" spans="1:27" x14ac:dyDescent="0.3">
      <c r="B14" s="16" t="s">
        <v>40</v>
      </c>
      <c r="C14" s="17">
        <v>0</v>
      </c>
      <c r="E14" s="161" t="s">
        <v>39</v>
      </c>
      <c r="F14" s="119">
        <v>6977</v>
      </c>
      <c r="G14" s="117">
        <v>9149</v>
      </c>
      <c r="H14" s="117">
        <v>0</v>
      </c>
      <c r="I14" s="152">
        <f>G14+H14</f>
        <v>9149</v>
      </c>
      <c r="J14" s="119">
        <v>6310</v>
      </c>
      <c r="K14" s="117">
        <v>8723</v>
      </c>
      <c r="L14" s="117">
        <v>0</v>
      </c>
      <c r="M14" s="162">
        <f>K14+L14</f>
        <v>8723</v>
      </c>
      <c r="N14" s="178">
        <v>17</v>
      </c>
      <c r="O14" s="88">
        <v>16</v>
      </c>
      <c r="P14" s="145">
        <v>15</v>
      </c>
    </row>
    <row r="15" spans="1:27" x14ac:dyDescent="0.3">
      <c r="B15" s="28" t="s">
        <v>42</v>
      </c>
      <c r="C15" s="17">
        <v>6386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</v>
      </c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8888</v>
      </c>
      <c r="E18" s="84"/>
      <c r="F18" s="148">
        <f t="shared" ref="F18:M18" si="0">SUM(F6:F17)</f>
        <v>23249</v>
      </c>
      <c r="G18" s="149">
        <f t="shared" si="0"/>
        <v>15243</v>
      </c>
      <c r="H18" s="149">
        <f t="shared" si="0"/>
        <v>1383.0664014999998</v>
      </c>
      <c r="I18" s="157">
        <f t="shared" si="0"/>
        <v>16626.0664015</v>
      </c>
      <c r="J18" s="149">
        <f t="shared" si="0"/>
        <v>20722</v>
      </c>
      <c r="K18" s="149">
        <f t="shared" si="0"/>
        <v>14349</v>
      </c>
      <c r="L18" s="149">
        <f t="shared" si="0"/>
        <v>1793</v>
      </c>
      <c r="M18" s="175">
        <f t="shared" si="0"/>
        <v>16142</v>
      </c>
      <c r="N18" s="148">
        <f>SUM(N16,N14,N12,N10,N8,N6)</f>
        <v>57</v>
      </c>
      <c r="O18" s="149">
        <f>SUM(O16,O14,O12,O10,O8,O6)</f>
        <v>56</v>
      </c>
      <c r="P18" s="158">
        <f>SUM(P16,P14,P12,P10,P8,P6)</f>
        <v>52</v>
      </c>
    </row>
    <row r="19" spans="1:28" ht="15" customHeight="1" thickBot="1" x14ac:dyDescent="0.35">
      <c r="B19" s="16" t="s">
        <v>51</v>
      </c>
      <c r="C19" s="17">
        <v>917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</row>
    <row r="20" spans="1:28" x14ac:dyDescent="0.3">
      <c r="B20" s="16" t="s">
        <v>52</v>
      </c>
      <c r="C20" s="17">
        <v>4536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7.1428571428571425E-2</v>
      </c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7004</v>
      </c>
      <c r="D28" s="76">
        <f>C9+C14+C15+C16+C17</f>
        <v>6386</v>
      </c>
      <c r="E28" s="77">
        <f t="shared" si="1"/>
        <v>-618</v>
      </c>
      <c r="P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15320</v>
      </c>
      <c r="D31" s="76">
        <f>C18+C19+C20</f>
        <v>14341</v>
      </c>
      <c r="E31" s="77">
        <f t="shared" si="1"/>
        <v>-979</v>
      </c>
      <c r="K31" s="53"/>
      <c r="P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tabColor theme="1"/>
    <pageSetUpPr fitToPage="1"/>
  </sheetPr>
  <dimension ref="A1:AB33"/>
  <sheetViews>
    <sheetView zoomScale="85" zoomScaleNormal="85" zoomScaleSheetLayoutView="70" workbookViewId="0">
      <selection activeCell="H26" sqref="H2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44788</v>
      </c>
    </row>
    <row r="3" spans="1:27" ht="18.75" customHeight="1" thickBot="1" x14ac:dyDescent="0.35">
      <c r="B3" t="s">
        <v>1</v>
      </c>
      <c r="C3" s="3">
        <f>C2+1</f>
        <v>44789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3">
      <c r="A6" s="166"/>
      <c r="B6" s="16" t="s">
        <v>21</v>
      </c>
      <c r="C6" s="17">
        <v>70</v>
      </c>
      <c r="E6" s="161" t="s">
        <v>22</v>
      </c>
      <c r="F6" s="119">
        <v>24547</v>
      </c>
      <c r="G6" s="117">
        <v>10699.9858</v>
      </c>
      <c r="H6" s="117">
        <v>4566.7932941200052</v>
      </c>
      <c r="I6" s="152">
        <f>G6+H6</f>
        <v>15266.779094120006</v>
      </c>
      <c r="J6" s="119">
        <v>25089</v>
      </c>
      <c r="K6" s="117">
        <v>10298.63513333333</v>
      </c>
      <c r="L6" s="117">
        <v>4671.975892780004</v>
      </c>
      <c r="M6" s="162">
        <f>K6+L6</f>
        <v>14970.611026113333</v>
      </c>
      <c r="N6" s="178">
        <v>70</v>
      </c>
      <c r="O6" s="88">
        <v>70</v>
      </c>
      <c r="P6" s="145">
        <v>61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3285.0235644599989</v>
      </c>
      <c r="I8" s="152">
        <f>G8+H8</f>
        <v>3285.0235644599989</v>
      </c>
      <c r="J8" s="119">
        <v>0</v>
      </c>
      <c r="K8" s="117">
        <v>0</v>
      </c>
      <c r="L8" s="117">
        <v>3232.754410479999</v>
      </c>
      <c r="M8" s="162">
        <f>K8+L8</f>
        <v>3232.754410479999</v>
      </c>
      <c r="N8" s="178">
        <v>6</v>
      </c>
      <c r="O8" s="88">
        <v>6</v>
      </c>
      <c r="P8" s="145">
        <v>6</v>
      </c>
    </row>
    <row r="9" spans="1:27" x14ac:dyDescent="0.3">
      <c r="B9" s="16" t="s">
        <v>23</v>
      </c>
      <c r="C9" s="17">
        <v>1470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</row>
    <row r="10" spans="1:27" x14ac:dyDescent="0.3">
      <c r="B10" s="28" t="s">
        <v>26</v>
      </c>
      <c r="C10" s="17">
        <v>350</v>
      </c>
      <c r="E10" s="161" t="s">
        <v>31</v>
      </c>
      <c r="F10" s="119">
        <v>16032</v>
      </c>
      <c r="G10" s="117">
        <v>11433.82708333333</v>
      </c>
      <c r="H10" s="117">
        <v>875.27374099999997</v>
      </c>
      <c r="I10" s="152">
        <f>G10+H10</f>
        <v>12309.100824333331</v>
      </c>
      <c r="J10" s="119">
        <v>16418</v>
      </c>
      <c r="K10" s="117">
        <v>11171.885583333329</v>
      </c>
      <c r="L10" s="117">
        <v>949.6863506599999</v>
      </c>
      <c r="M10" s="162">
        <f>K10+L10</f>
        <v>12121.571933993329</v>
      </c>
      <c r="N10" s="178">
        <v>47</v>
      </c>
      <c r="O10" s="88">
        <v>46</v>
      </c>
      <c r="P10" s="145">
        <v>42</v>
      </c>
    </row>
    <row r="11" spans="1:27" x14ac:dyDescent="0.3">
      <c r="B11" s="28" t="s">
        <v>28</v>
      </c>
      <c r="C11" s="17">
        <v>380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</row>
    <row r="12" spans="1:27" x14ac:dyDescent="0.3">
      <c r="A12" s="166"/>
      <c r="B12" s="16" t="s">
        <v>30</v>
      </c>
      <c r="C12" s="17">
        <v>1597</v>
      </c>
      <c r="E12" s="161" t="s">
        <v>35</v>
      </c>
      <c r="F12" s="119">
        <v>11232</v>
      </c>
      <c r="G12" s="117">
        <v>9872.5060833333318</v>
      </c>
      <c r="H12" s="117">
        <v>14169.040359389999</v>
      </c>
      <c r="I12" s="152">
        <f>G12+H12</f>
        <v>24041.546442723331</v>
      </c>
      <c r="J12" s="119">
        <v>11114</v>
      </c>
      <c r="K12" s="117">
        <v>9980.9703333333364</v>
      </c>
      <c r="L12" s="117">
        <v>14001.05848523</v>
      </c>
      <c r="M12" s="162">
        <f>K12+L12</f>
        <v>23982.028818563336</v>
      </c>
      <c r="N12" s="178">
        <v>44</v>
      </c>
      <c r="O12" s="88">
        <v>47</v>
      </c>
      <c r="P12" s="145">
        <v>36</v>
      </c>
    </row>
    <row r="13" spans="1:27" x14ac:dyDescent="0.3">
      <c r="B13" s="16" t="s">
        <v>38</v>
      </c>
      <c r="C13" s="17">
        <v>6122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11</v>
      </c>
    </row>
    <row r="14" spans="1:27" x14ac:dyDescent="0.3">
      <c r="B14" s="16" t="s">
        <v>40</v>
      </c>
      <c r="C14" s="17">
        <v>1739</v>
      </c>
      <c r="E14" s="161" t="s">
        <v>39</v>
      </c>
      <c r="F14" s="119">
        <v>22583</v>
      </c>
      <c r="G14" s="117">
        <v>19458.08625</v>
      </c>
      <c r="H14" s="117">
        <v>26849.074144379989</v>
      </c>
      <c r="I14" s="152">
        <f>G14+H14</f>
        <v>46307.160394379986</v>
      </c>
      <c r="J14" s="119">
        <v>22533</v>
      </c>
      <c r="K14" s="117">
        <v>21689.366750000001</v>
      </c>
      <c r="L14" s="117">
        <v>26712.78883464</v>
      </c>
      <c r="M14" s="162">
        <f>K14+L14</f>
        <v>48402.155584640001</v>
      </c>
      <c r="N14" s="178">
        <v>66</v>
      </c>
      <c r="O14" s="88">
        <v>66</v>
      </c>
      <c r="P14" s="145">
        <v>57</v>
      </c>
    </row>
    <row r="15" spans="1:27" x14ac:dyDescent="0.3">
      <c r="B15" s="28" t="s">
        <v>42</v>
      </c>
      <c r="C15" s="17">
        <v>29457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</row>
    <row r="16" spans="1:27" x14ac:dyDescent="0.3">
      <c r="B16" s="43" t="s">
        <v>47</v>
      </c>
      <c r="C16" s="17">
        <v>1660</v>
      </c>
      <c r="E16" s="161" t="s">
        <v>79</v>
      </c>
      <c r="F16" s="119">
        <v>0</v>
      </c>
      <c r="G16" s="117">
        <v>0</v>
      </c>
      <c r="H16" s="117">
        <v>6627.8836105</v>
      </c>
      <c r="I16" s="152">
        <f>G16+H16</f>
        <v>6627.8836105</v>
      </c>
      <c r="J16" s="119">
        <v>0</v>
      </c>
      <c r="K16" s="117">
        <v>0</v>
      </c>
      <c r="L16" s="117">
        <v>6726.6417429600006</v>
      </c>
      <c r="M16" s="162">
        <f>K16+L16</f>
        <v>6726.6417429600006</v>
      </c>
      <c r="N16" s="178">
        <v>11</v>
      </c>
      <c r="O16" s="88">
        <v>11</v>
      </c>
      <c r="P16" s="145">
        <v>9</v>
      </c>
    </row>
    <row r="17" spans="1:28" s="4" customFormat="1" ht="15" customHeight="1" thickBot="1" x14ac:dyDescent="0.35">
      <c r="B17" s="43" t="s">
        <v>48</v>
      </c>
      <c r="C17" s="50">
        <v>305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10321</v>
      </c>
      <c r="E18" s="84"/>
      <c r="F18" s="148">
        <f t="shared" ref="F18:M18" si="0">SUM(F6:F17)</f>
        <v>74394</v>
      </c>
      <c r="G18" s="149">
        <f t="shared" si="0"/>
        <v>51464.405216666666</v>
      </c>
      <c r="H18" s="149">
        <f t="shared" si="0"/>
        <v>56373.088713849989</v>
      </c>
      <c r="I18" s="157">
        <f t="shared" si="0"/>
        <v>107837.49393051665</v>
      </c>
      <c r="J18" s="149">
        <f t="shared" si="0"/>
        <v>75154</v>
      </c>
      <c r="K18" s="149">
        <f t="shared" si="0"/>
        <v>53140.857799999998</v>
      </c>
      <c r="L18" s="149">
        <f t="shared" si="0"/>
        <v>56294.90571675</v>
      </c>
      <c r="M18" s="175">
        <f t="shared" si="0"/>
        <v>109435.76351675</v>
      </c>
      <c r="N18" s="148">
        <f>SUM(N16,N14,N12,N10,N8,N6)</f>
        <v>244</v>
      </c>
      <c r="O18" s="149">
        <f>SUM(O16,O14,O12,O10,O8,O6)</f>
        <v>246</v>
      </c>
      <c r="P18" s="158">
        <f>SUM(P16,P14,P12,P10,P8,P6)</f>
        <v>211</v>
      </c>
    </row>
    <row r="19" spans="1:28" ht="15" customHeight="1" thickBot="1" x14ac:dyDescent="0.35">
      <c r="B19" s="16" t="s">
        <v>51</v>
      </c>
      <c r="C19" s="17">
        <v>1332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1:28" x14ac:dyDescent="0.3">
      <c r="B20" s="16" t="s">
        <v>52</v>
      </c>
      <c r="C20" s="17">
        <v>4346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0.14227642276422764</v>
      </c>
    </row>
    <row r="21" spans="1:28" ht="15" customHeight="1" thickBot="1" x14ac:dyDescent="0.35">
      <c r="A21" s="123"/>
      <c r="B21" s="168" t="s">
        <v>132</v>
      </c>
      <c r="C21" s="169">
        <v>782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6475</v>
      </c>
      <c r="D25" s="76">
        <f>C13</f>
        <v>6122</v>
      </c>
      <c r="E25" s="77">
        <f t="shared" ref="E25:E33" si="1">D25-C25</f>
        <v>-353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34873</v>
      </c>
      <c r="D28" s="76">
        <f>C9+C14+C15+C16+C17</f>
        <v>34631</v>
      </c>
      <c r="E28" s="77">
        <f t="shared" si="1"/>
        <v>-242</v>
      </c>
      <c r="P28" s="4"/>
    </row>
    <row r="29" spans="1:28" x14ac:dyDescent="0.3">
      <c r="B29" s="74" t="s">
        <v>21</v>
      </c>
      <c r="C29" s="122">
        <v>70</v>
      </c>
      <c r="D29" s="76">
        <f>C6</f>
        <v>70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1597</v>
      </c>
      <c r="D30" s="76">
        <f>C12</f>
        <v>1597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14815</v>
      </c>
      <c r="D31" s="76">
        <f>C18+C19+C20</f>
        <v>15999</v>
      </c>
      <c r="E31" s="77">
        <f t="shared" si="1"/>
        <v>1184</v>
      </c>
      <c r="K31" s="53"/>
      <c r="P31" s="4"/>
    </row>
    <row r="32" spans="1:28" x14ac:dyDescent="0.3">
      <c r="B32" s="74" t="s">
        <v>60</v>
      </c>
      <c r="C32" s="122">
        <v>730</v>
      </c>
      <c r="D32" s="76">
        <f>C10+C11</f>
        <v>730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782</v>
      </c>
      <c r="D33" s="80">
        <f>C21</f>
        <v>782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tabColor theme="1"/>
    <pageSetUpPr fitToPage="1"/>
  </sheetPr>
  <dimension ref="A1:AB33"/>
  <sheetViews>
    <sheetView zoomScale="85" zoomScaleNormal="85" zoomScaleSheetLayoutView="70" workbookViewId="0">
      <selection activeCell="C16" sqref="C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30.33203125" style="1" bestFit="1" customWidth="1"/>
    <col min="18" max="18" width="18.44140625" style="1" bestFit="1" customWidth="1"/>
    <col min="19" max="19" width="0.4414062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44789</v>
      </c>
    </row>
    <row r="3" spans="1:27" ht="18.75" customHeight="1" thickBot="1" x14ac:dyDescent="0.35">
      <c r="B3" t="s">
        <v>1</v>
      </c>
      <c r="C3" s="3">
        <f>C2+1</f>
        <v>44790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3">
      <c r="A6" s="166"/>
      <c r="B6" s="16" t="s">
        <v>21</v>
      </c>
      <c r="C6" s="17">
        <v>154</v>
      </c>
      <c r="E6" s="161" t="s">
        <v>22</v>
      </c>
      <c r="F6" s="119">
        <v>29872</v>
      </c>
      <c r="G6" s="117">
        <v>11520.62330833333</v>
      </c>
      <c r="H6" s="117">
        <v>7709.5756600799996</v>
      </c>
      <c r="I6" s="152">
        <f>G6+H6</f>
        <v>19230.19896841333</v>
      </c>
      <c r="J6" s="119">
        <v>29516</v>
      </c>
      <c r="K6" s="117">
        <v>12092.831308333331</v>
      </c>
      <c r="L6" s="117">
        <v>7082.0279120199984</v>
      </c>
      <c r="M6" s="162">
        <f>K6+L6</f>
        <v>19174.85922035333</v>
      </c>
      <c r="N6" s="178">
        <v>77</v>
      </c>
      <c r="O6" s="88">
        <v>77</v>
      </c>
      <c r="P6" s="145">
        <v>70</v>
      </c>
    </row>
    <row r="7" spans="1:27" x14ac:dyDescent="0.3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3285.5961731399998</v>
      </c>
      <c r="I8" s="152">
        <f>G8+H8</f>
        <v>3285.5961731399998</v>
      </c>
      <c r="J8" s="119">
        <v>0</v>
      </c>
      <c r="K8" s="117">
        <v>0</v>
      </c>
      <c r="L8" s="117">
        <v>3216.7253219600002</v>
      </c>
      <c r="M8" s="162">
        <f>K8+L8</f>
        <v>3216.7253219600002</v>
      </c>
      <c r="N8" s="178">
        <v>6</v>
      </c>
      <c r="O8" s="88">
        <v>6</v>
      </c>
      <c r="P8" s="145">
        <v>5</v>
      </c>
    </row>
    <row r="9" spans="1:27" x14ac:dyDescent="0.3">
      <c r="B9" s="16" t="s">
        <v>23</v>
      </c>
      <c r="C9" s="17">
        <v>2744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</row>
    <row r="10" spans="1:27" x14ac:dyDescent="0.3">
      <c r="B10" s="28" t="s">
        <v>26</v>
      </c>
      <c r="C10" s="17">
        <v>880</v>
      </c>
      <c r="E10" s="161" t="s">
        <v>31</v>
      </c>
      <c r="F10" s="119">
        <v>18727</v>
      </c>
      <c r="G10" s="117">
        <v>10808.805416666661</v>
      </c>
      <c r="H10" s="117">
        <v>1155.0458739000001</v>
      </c>
      <c r="I10" s="152">
        <f>G10+H10</f>
        <v>11963.851290566661</v>
      </c>
      <c r="J10" s="119">
        <v>18857</v>
      </c>
      <c r="K10" s="117">
        <v>11384.774416666671</v>
      </c>
      <c r="L10" s="117">
        <v>1203.2865319</v>
      </c>
      <c r="M10" s="162">
        <f>K10+L10</f>
        <v>12588.06094856667</v>
      </c>
      <c r="N10" s="178">
        <v>51</v>
      </c>
      <c r="O10" s="88">
        <v>51</v>
      </c>
      <c r="P10" s="145">
        <v>45</v>
      </c>
    </row>
    <row r="11" spans="1:27" x14ac:dyDescent="0.3">
      <c r="B11" s="28" t="s">
        <v>28</v>
      </c>
      <c r="C11" s="17">
        <v>540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</row>
    <row r="12" spans="1:27" x14ac:dyDescent="0.3">
      <c r="A12" s="166"/>
      <c r="B12" s="16" t="s">
        <v>30</v>
      </c>
      <c r="C12" s="17">
        <v>2408</v>
      </c>
      <c r="E12" s="161" t="s">
        <v>35</v>
      </c>
      <c r="F12" s="119">
        <v>15493</v>
      </c>
      <c r="G12" s="117">
        <v>10496.938249999999</v>
      </c>
      <c r="H12" s="117">
        <v>18474.49680691001</v>
      </c>
      <c r="I12" s="152">
        <f>G12+H12</f>
        <v>28971.43505691001</v>
      </c>
      <c r="J12" s="119">
        <v>15491</v>
      </c>
      <c r="K12" s="117">
        <v>12365.433499999999</v>
      </c>
      <c r="L12" s="117">
        <v>18472.041082510012</v>
      </c>
      <c r="M12" s="162">
        <f>K12+L12</f>
        <v>30837.474582510011</v>
      </c>
      <c r="N12" s="178">
        <v>48</v>
      </c>
      <c r="O12" s="88">
        <v>50</v>
      </c>
      <c r="P12" s="145">
        <v>42</v>
      </c>
    </row>
    <row r="13" spans="1:27" x14ac:dyDescent="0.3">
      <c r="B13" s="16" t="s">
        <v>38</v>
      </c>
      <c r="C13" s="17">
        <v>9610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8</v>
      </c>
    </row>
    <row r="14" spans="1:27" x14ac:dyDescent="0.3">
      <c r="B14" s="16" t="s">
        <v>40</v>
      </c>
      <c r="C14" s="17">
        <v>1738</v>
      </c>
      <c r="E14" s="161" t="s">
        <v>39</v>
      </c>
      <c r="F14" s="119">
        <v>27615</v>
      </c>
      <c r="G14" s="117">
        <v>20421.838749999999</v>
      </c>
      <c r="H14" s="117">
        <v>32766.594688279969</v>
      </c>
      <c r="I14" s="152">
        <f>G14+H14</f>
        <v>53188.433438279972</v>
      </c>
      <c r="J14" s="119">
        <v>26592</v>
      </c>
      <c r="K14" s="117">
        <v>21342.0455</v>
      </c>
      <c r="L14" s="117">
        <v>31313.978839639989</v>
      </c>
      <c r="M14" s="162">
        <f>K14+L14</f>
        <v>52656.024339639989</v>
      </c>
      <c r="N14" s="178">
        <v>66</v>
      </c>
      <c r="O14" s="88">
        <v>66</v>
      </c>
      <c r="P14" s="145">
        <v>58</v>
      </c>
    </row>
    <row r="15" spans="1:27" x14ac:dyDescent="0.3">
      <c r="B15" s="28" t="s">
        <v>42</v>
      </c>
      <c r="C15" s="17">
        <f>36212-5812</f>
        <v>30400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</row>
    <row r="16" spans="1:27" x14ac:dyDescent="0.3">
      <c r="B16" s="43" t="s">
        <v>47</v>
      </c>
      <c r="C16" s="17">
        <v>1287</v>
      </c>
      <c r="E16" s="161" t="s">
        <v>79</v>
      </c>
      <c r="F16" s="119">
        <v>0</v>
      </c>
      <c r="G16" s="117">
        <v>0</v>
      </c>
      <c r="H16" s="117">
        <v>4237.8045137400004</v>
      </c>
      <c r="I16" s="152">
        <f>G16+H16</f>
        <v>4237.8045137400004</v>
      </c>
      <c r="J16" s="119">
        <v>0</v>
      </c>
      <c r="K16" s="117">
        <v>0</v>
      </c>
      <c r="L16" s="117">
        <v>4195.6045978799993</v>
      </c>
      <c r="M16" s="162">
        <f>K16+L16</f>
        <v>4195.6045978799993</v>
      </c>
      <c r="N16" s="178">
        <v>11</v>
      </c>
      <c r="O16" s="88">
        <v>11</v>
      </c>
      <c r="P16" s="145">
        <v>10</v>
      </c>
    </row>
    <row r="17" spans="1:28" s="4" customFormat="1" ht="15" customHeight="1" thickBot="1" x14ac:dyDescent="0.35">
      <c r="B17" s="43" t="s">
        <v>48</v>
      </c>
      <c r="C17" s="50">
        <v>43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9505</v>
      </c>
      <c r="E18" s="84"/>
      <c r="F18" s="148">
        <f t="shared" ref="F18:M18" si="0">SUM(F6:F17)</f>
        <v>91707</v>
      </c>
      <c r="G18" s="149">
        <f t="shared" si="0"/>
        <v>53248.205724999993</v>
      </c>
      <c r="H18" s="149">
        <f t="shared" si="0"/>
        <v>67629.113716049978</v>
      </c>
      <c r="I18" s="157">
        <f t="shared" si="0"/>
        <v>120877.31944104997</v>
      </c>
      <c r="J18" s="149">
        <f t="shared" si="0"/>
        <v>90456</v>
      </c>
      <c r="K18" s="149">
        <f t="shared" si="0"/>
        <v>57185.084725000001</v>
      </c>
      <c r="L18" s="149">
        <f t="shared" si="0"/>
        <v>65483.664285909996</v>
      </c>
      <c r="M18" s="175">
        <f t="shared" si="0"/>
        <v>122668.74901091</v>
      </c>
      <c r="N18" s="148">
        <f>SUM(N16,N14,N12,N10,N8,N6)</f>
        <v>259</v>
      </c>
      <c r="O18" s="149">
        <f>SUM(O16,O14,O12,O10,O8,O6)</f>
        <v>261</v>
      </c>
      <c r="P18" s="158">
        <f>SUM(P16,P14,P12,P10,P8,P6)</f>
        <v>230</v>
      </c>
    </row>
    <row r="19" spans="1:28" ht="15" customHeight="1" thickBot="1" x14ac:dyDescent="0.35">
      <c r="B19" s="16" t="s">
        <v>51</v>
      </c>
      <c r="C19" s="17">
        <v>1489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1:28" x14ac:dyDescent="0.3">
      <c r="B20" s="16" t="s">
        <v>52</v>
      </c>
      <c r="C20" s="17">
        <v>4702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0.11877394636015326</v>
      </c>
    </row>
    <row r="21" spans="1:28" ht="15" customHeight="1" thickBot="1" x14ac:dyDescent="0.35">
      <c r="A21" s="123"/>
      <c r="B21" s="168" t="s">
        <v>132</v>
      </c>
      <c r="C21" s="169">
        <v>828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3">
      <c r="B25" s="74" t="s">
        <v>55</v>
      </c>
      <c r="C25" s="122">
        <v>10917</v>
      </c>
      <c r="D25" s="76">
        <f>C13</f>
        <v>9610</v>
      </c>
      <c r="E25" s="77">
        <f t="shared" ref="E25:E33" si="1">D25-C25</f>
        <v>-1307</v>
      </c>
    </row>
    <row r="26" spans="1:28" x14ac:dyDescent="0.3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3">
      <c r="B28" s="74" t="s">
        <v>56</v>
      </c>
      <c r="C28" s="122">
        <v>37181</v>
      </c>
      <c r="D28" s="76">
        <f>C9+C14+C15+C16+C17</f>
        <v>36212</v>
      </c>
      <c r="E28" s="77">
        <f t="shared" si="1"/>
        <v>-969</v>
      </c>
      <c r="P28" s="4"/>
    </row>
    <row r="29" spans="1:28" x14ac:dyDescent="0.3">
      <c r="B29" s="74" t="s">
        <v>21</v>
      </c>
      <c r="C29" s="122">
        <v>154</v>
      </c>
      <c r="D29" s="76">
        <f>C6</f>
        <v>154</v>
      </c>
      <c r="E29" s="77">
        <f t="shared" si="1"/>
        <v>0</v>
      </c>
      <c r="P29" s="4"/>
    </row>
    <row r="30" spans="1:28" x14ac:dyDescent="0.3">
      <c r="B30" s="74" t="s">
        <v>57</v>
      </c>
      <c r="C30" s="122">
        <v>2408</v>
      </c>
      <c r="D30" s="76">
        <f>C12</f>
        <v>2408</v>
      </c>
      <c r="E30" s="77">
        <f t="shared" si="1"/>
        <v>0</v>
      </c>
      <c r="J30" s="53"/>
      <c r="K30" s="53"/>
      <c r="P30" s="4"/>
    </row>
    <row r="31" spans="1:28" x14ac:dyDescent="0.3">
      <c r="B31" s="74" t="s">
        <v>59</v>
      </c>
      <c r="C31" s="122">
        <v>14715</v>
      </c>
      <c r="D31" s="76">
        <f>C18+C19+C20</f>
        <v>15696</v>
      </c>
      <c r="E31" s="77">
        <f t="shared" si="1"/>
        <v>981</v>
      </c>
      <c r="K31" s="53"/>
      <c r="P31" s="4"/>
    </row>
    <row r="32" spans="1:28" x14ac:dyDescent="0.3">
      <c r="B32" s="74" t="s">
        <v>60</v>
      </c>
      <c r="C32" s="122">
        <v>1420</v>
      </c>
      <c r="D32" s="76">
        <f>C10+C11</f>
        <v>1420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828</v>
      </c>
      <c r="D33" s="80">
        <f>C21</f>
        <v>828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tabColor theme="1"/>
    <pageSetUpPr fitToPage="1"/>
  </sheetPr>
  <dimension ref="A1:AB33"/>
  <sheetViews>
    <sheetView zoomScaleNormal="100" zoomScaleSheetLayoutView="70" workbookViewId="0">
      <selection activeCell="H22" sqref="H2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44790</v>
      </c>
    </row>
    <row r="3" spans="1:27" ht="18.75" customHeight="1" thickBot="1" x14ac:dyDescent="0.35">
      <c r="B3" t="s">
        <v>1</v>
      </c>
      <c r="C3" s="3">
        <f>C2+1</f>
        <v>44791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55</v>
      </c>
      <c r="E6" s="161" t="s">
        <v>22</v>
      </c>
      <c r="F6" s="119">
        <v>23344</v>
      </c>
      <c r="G6" s="117">
        <v>10739.970875000001</v>
      </c>
      <c r="H6" s="117">
        <v>6145.4000166399974</v>
      </c>
      <c r="I6" s="152">
        <f>G6+H6</f>
        <v>16885.370891639999</v>
      </c>
      <c r="J6" s="119">
        <v>24041</v>
      </c>
      <c r="K6" s="117">
        <v>12362.634375</v>
      </c>
      <c r="L6" s="117">
        <v>6315.451992739997</v>
      </c>
      <c r="M6" s="162">
        <f>K6+L6</f>
        <v>18678.086367739998</v>
      </c>
      <c r="N6" s="178">
        <v>68</v>
      </c>
      <c r="O6" s="88">
        <v>67</v>
      </c>
      <c r="P6" s="145">
        <v>65</v>
      </c>
      <c r="Q6" s="181">
        <f>IF(J6=0,((F6/V6)),((J6/V6)))</f>
        <v>559.09302325581393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3080.0525465200012</v>
      </c>
      <c r="I8" s="152">
        <f>G8+H8</f>
        <v>3080.0525465200012</v>
      </c>
      <c r="J8" s="119">
        <v>0</v>
      </c>
      <c r="K8" s="117">
        <v>0</v>
      </c>
      <c r="L8" s="117">
        <v>2896.4117996</v>
      </c>
      <c r="M8" s="162">
        <f>K8+L8</f>
        <v>2896.4117996</v>
      </c>
      <c r="N8" s="178">
        <v>6</v>
      </c>
      <c r="O8" s="88">
        <v>6</v>
      </c>
      <c r="P8" s="145">
        <v>6</v>
      </c>
      <c r="Q8" s="117"/>
    </row>
    <row r="9" spans="1:27" x14ac:dyDescent="0.3">
      <c r="B9" s="16" t="s">
        <v>23</v>
      </c>
      <c r="C9" s="17">
        <v>1431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16663</v>
      </c>
      <c r="G10" s="117">
        <v>11158.136</v>
      </c>
      <c r="H10" s="117">
        <v>1209.95064776</v>
      </c>
      <c r="I10" s="152">
        <f>G10+H10</f>
        <v>12368.086647760001</v>
      </c>
      <c r="J10" s="119">
        <v>15636</v>
      </c>
      <c r="K10" s="117">
        <v>11619.925499999999</v>
      </c>
      <c r="L10" s="117">
        <v>1273.1326469799999</v>
      </c>
      <c r="M10" s="162">
        <f>K10+L10</f>
        <v>12893.05814698</v>
      </c>
      <c r="N10" s="178">
        <v>46</v>
      </c>
      <c r="O10" s="88">
        <v>46</v>
      </c>
      <c r="P10" s="145">
        <v>42</v>
      </c>
      <c r="Q10" s="181">
        <f>IF(J10=0,((F10/V10)),((J10/V10)))</f>
        <v>274.31578947368422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3">
      <c r="A12" s="166"/>
      <c r="B12" s="16" t="s">
        <v>30</v>
      </c>
      <c r="C12" s="17">
        <v>2411</v>
      </c>
      <c r="E12" s="161" t="s">
        <v>35</v>
      </c>
      <c r="F12" s="119">
        <v>11728</v>
      </c>
      <c r="G12" s="117">
        <v>9305.3222499999974</v>
      </c>
      <c r="H12" s="117">
        <v>15089.5522253</v>
      </c>
      <c r="I12" s="152">
        <f>G12+H12</f>
        <v>24394.874475299999</v>
      </c>
      <c r="J12" s="119">
        <v>11628</v>
      </c>
      <c r="K12" s="117">
        <v>11156.9915</v>
      </c>
      <c r="L12" s="117">
        <v>15103.21160518</v>
      </c>
      <c r="M12" s="162">
        <f>K12+L12</f>
        <v>26260.20310518</v>
      </c>
      <c r="N12" s="178">
        <v>44</v>
      </c>
      <c r="O12" s="88">
        <v>45</v>
      </c>
      <c r="P12" s="145">
        <v>39</v>
      </c>
      <c r="Q12" s="181">
        <f>IF(J12=0,((F12/V12)),((J12/V12)))</f>
        <v>332.22857142857146</v>
      </c>
      <c r="V12" s="1">
        <v>35</v>
      </c>
    </row>
    <row r="13" spans="1:27" x14ac:dyDescent="0.3">
      <c r="B13" s="16" t="s">
        <v>38</v>
      </c>
      <c r="C13" s="17">
        <v>10354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3">
      <c r="B14" s="16" t="s">
        <v>40</v>
      </c>
      <c r="C14" s="17">
        <v>1788</v>
      </c>
      <c r="E14" s="161" t="s">
        <v>39</v>
      </c>
      <c r="F14" s="119">
        <v>21136</v>
      </c>
      <c r="G14" s="117">
        <v>18670.107499999998</v>
      </c>
      <c r="H14" s="117">
        <v>27327.559628939991</v>
      </c>
      <c r="I14" s="152">
        <f>G14+H14</f>
        <v>45997.667128939989</v>
      </c>
      <c r="J14" s="119">
        <v>20894</v>
      </c>
      <c r="K14" s="117">
        <v>21047.566750000002</v>
      </c>
      <c r="L14" s="117">
        <v>26999.576402399998</v>
      </c>
      <c r="M14" s="162">
        <f>K14+L14</f>
        <v>48047.1431524</v>
      </c>
      <c r="N14" s="178">
        <v>64</v>
      </c>
      <c r="O14" s="88">
        <v>60</v>
      </c>
      <c r="P14" s="145">
        <v>56</v>
      </c>
      <c r="Q14" s="181">
        <f>IF(J14=0,((F14/V14)),((J14/V14)))</f>
        <v>497.47619047619048</v>
      </c>
      <c r="V14" s="1">
        <v>42</v>
      </c>
    </row>
    <row r="15" spans="1:27" x14ac:dyDescent="0.3">
      <c r="B15" s="28" t="s">
        <v>42</v>
      </c>
      <c r="C15" s="17">
        <f>34579-5041</f>
        <v>29538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3">
      <c r="B16" s="43" t="s">
        <v>47</v>
      </c>
      <c r="C16" s="17">
        <v>1564</v>
      </c>
      <c r="E16" s="161" t="s">
        <v>79</v>
      </c>
      <c r="F16" s="119">
        <v>0</v>
      </c>
      <c r="G16" s="117">
        <v>0</v>
      </c>
      <c r="H16" s="117">
        <v>5447.1235358399999</v>
      </c>
      <c r="I16" s="152">
        <f>G16+H16</f>
        <v>5447.1235358399999</v>
      </c>
      <c r="J16" s="119">
        <v>0</v>
      </c>
      <c r="K16" s="117">
        <v>0</v>
      </c>
      <c r="L16" s="117">
        <v>5423.3697591</v>
      </c>
      <c r="M16" s="162">
        <f>K16+L16</f>
        <v>5423.3697591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258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10090</v>
      </c>
      <c r="E18" s="84"/>
      <c r="F18" s="148">
        <f t="shared" ref="F18:M18" si="0">SUM(F6:F17)</f>
        <v>72871</v>
      </c>
      <c r="G18" s="149">
        <f t="shared" si="0"/>
        <v>49873.536624999993</v>
      </c>
      <c r="H18" s="149">
        <f t="shared" si="0"/>
        <v>58299.638600999991</v>
      </c>
      <c r="I18" s="157">
        <f t="shared" si="0"/>
        <v>108173.17522599999</v>
      </c>
      <c r="J18" s="149">
        <f t="shared" si="0"/>
        <v>72199</v>
      </c>
      <c r="K18" s="149">
        <f t="shared" si="0"/>
        <v>56187.118124999994</v>
      </c>
      <c r="L18" s="149">
        <f t="shared" si="0"/>
        <v>58011.154205999999</v>
      </c>
      <c r="M18" s="175">
        <f t="shared" si="0"/>
        <v>114198.27233099999</v>
      </c>
      <c r="N18" s="148">
        <f>SUM(N16,N14,N12,N10,N8,N6)</f>
        <v>238</v>
      </c>
      <c r="O18" s="149">
        <f>SUM(O16,O14,O12,O10,O8,O6)</f>
        <v>234</v>
      </c>
      <c r="P18" s="158">
        <f>SUM(P16,P14,P12,P10,P8,P6)</f>
        <v>218</v>
      </c>
      <c r="Q18" s="182"/>
    </row>
    <row r="19" spans="1:28" ht="15" customHeight="1" thickBot="1" x14ac:dyDescent="0.35">
      <c r="B19" s="16" t="s">
        <v>51</v>
      </c>
      <c r="C19" s="17">
        <v>1559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  <c r="Q19" s="183"/>
    </row>
    <row r="20" spans="1:28" x14ac:dyDescent="0.3">
      <c r="B20" s="16" t="s">
        <v>52</v>
      </c>
      <c r="C20" s="17">
        <v>4498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6.8376068376068383E-2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10645</v>
      </c>
      <c r="D25" s="76">
        <f>C13</f>
        <v>10354</v>
      </c>
      <c r="E25" s="77">
        <f t="shared" ref="E25:E33" si="1">D25-C25</f>
        <v>-291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35039</v>
      </c>
      <c r="D28" s="76">
        <f>C9+C14+C15+C16+C17</f>
        <v>34579</v>
      </c>
      <c r="E28" s="77">
        <f t="shared" si="1"/>
        <v>-460</v>
      </c>
      <c r="P28" s="4"/>
      <c r="Q28" s="4"/>
    </row>
    <row r="29" spans="1:28" x14ac:dyDescent="0.3">
      <c r="B29" s="74" t="s">
        <v>21</v>
      </c>
      <c r="C29" s="122">
        <v>55</v>
      </c>
      <c r="D29" s="76">
        <f>C6</f>
        <v>55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2411</v>
      </c>
      <c r="D30" s="76">
        <f>C12</f>
        <v>2411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14925</v>
      </c>
      <c r="D31" s="76">
        <f>C18+C19+C20</f>
        <v>16147</v>
      </c>
      <c r="E31" s="77">
        <f t="shared" si="1"/>
        <v>1222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tabColor theme="1"/>
    <pageSetUpPr fitToPage="1"/>
  </sheetPr>
  <dimension ref="A1:AB33"/>
  <sheetViews>
    <sheetView zoomScale="90" zoomScaleNormal="90" zoomScaleSheetLayoutView="70" workbookViewId="0">
      <selection activeCell="B2" sqref="B2:Q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44791</v>
      </c>
    </row>
    <row r="3" spans="1:27" ht="18.75" customHeight="1" thickBot="1" x14ac:dyDescent="0.35">
      <c r="B3" t="s">
        <v>1</v>
      </c>
      <c r="C3" s="3">
        <f>C2+1</f>
        <v>44792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109</v>
      </c>
      <c r="E6" s="161" t="s">
        <v>22</v>
      </c>
      <c r="F6" s="119">
        <v>24059</v>
      </c>
      <c r="G6" s="117">
        <v>11599.5841</v>
      </c>
      <c r="H6" s="117">
        <v>7243.3075379800021</v>
      </c>
      <c r="I6" s="152">
        <f>G6+H6</f>
        <v>18842.891637980003</v>
      </c>
      <c r="J6" s="119">
        <v>23926</v>
      </c>
      <c r="K6" s="117">
        <v>12714.8441</v>
      </c>
      <c r="L6" s="117">
        <v>7092.2443807</v>
      </c>
      <c r="M6" s="162">
        <f>K6+L6</f>
        <v>19807.0884807</v>
      </c>
      <c r="N6" s="178">
        <v>68</v>
      </c>
      <c r="O6" s="88">
        <v>67</v>
      </c>
      <c r="P6" s="145">
        <v>62</v>
      </c>
      <c r="Q6" s="181">
        <f>IF(J6=0,((F6/V6)),((J6/V6)))</f>
        <v>556.41860465116281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2560.7210864399999</v>
      </c>
      <c r="I8" s="152">
        <f>G8+H8</f>
        <v>2560.7210864399999</v>
      </c>
      <c r="J8" s="119">
        <v>0</v>
      </c>
      <c r="K8" s="117">
        <v>0</v>
      </c>
      <c r="L8" s="117">
        <v>2569.2112812199998</v>
      </c>
      <c r="M8" s="162">
        <f>K8+L8</f>
        <v>2569.2112812199998</v>
      </c>
      <c r="N8" s="178">
        <v>7</v>
      </c>
      <c r="O8" s="88">
        <v>7</v>
      </c>
      <c r="P8" s="145">
        <v>7</v>
      </c>
      <c r="Q8" s="117"/>
    </row>
    <row r="9" spans="1:27" x14ac:dyDescent="0.3">
      <c r="B9" s="16" t="s">
        <v>23</v>
      </c>
      <c r="C9" s="17">
        <v>3272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900</v>
      </c>
      <c r="E10" s="161" t="s">
        <v>31</v>
      </c>
      <c r="F10" s="119">
        <v>17117</v>
      </c>
      <c r="G10" s="117">
        <v>11160.790499999999</v>
      </c>
      <c r="H10" s="117">
        <v>761.87714299999993</v>
      </c>
      <c r="I10" s="152">
        <f>G10+H10</f>
        <v>11922.667642999999</v>
      </c>
      <c r="J10" s="119">
        <v>17220</v>
      </c>
      <c r="K10" s="117">
        <v>11394.296</v>
      </c>
      <c r="L10" s="117">
        <v>756.26899546000004</v>
      </c>
      <c r="M10" s="162">
        <f>K10+L10</f>
        <v>12150.564995460001</v>
      </c>
      <c r="N10" s="178">
        <v>49</v>
      </c>
      <c r="O10" s="88">
        <v>48</v>
      </c>
      <c r="P10" s="145">
        <v>44</v>
      </c>
      <c r="Q10" s="181">
        <f>IF(J10=0,((F10/V10)),((J10/V10)))</f>
        <v>302.10526315789474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3">
      <c r="A12" s="166"/>
      <c r="B12" s="16" t="s">
        <v>30</v>
      </c>
      <c r="C12" s="17">
        <v>2421</v>
      </c>
      <c r="E12" s="161" t="s">
        <v>35</v>
      </c>
      <c r="F12" s="119">
        <v>15267</v>
      </c>
      <c r="G12" s="117">
        <v>10878.989916666669</v>
      </c>
      <c r="H12" s="117">
        <v>17678.32352722</v>
      </c>
      <c r="I12" s="152">
        <f>G12+H12</f>
        <v>28557.313443886669</v>
      </c>
      <c r="J12" s="119">
        <v>15323</v>
      </c>
      <c r="K12" s="117">
        <v>13069.528666666671</v>
      </c>
      <c r="L12" s="117">
        <v>17593.0635124</v>
      </c>
      <c r="M12" s="162">
        <f>K12+L12</f>
        <v>30662.592179066669</v>
      </c>
      <c r="N12" s="178">
        <v>50</v>
      </c>
      <c r="O12" s="88">
        <v>47</v>
      </c>
      <c r="P12" s="145">
        <v>46</v>
      </c>
      <c r="Q12" s="181">
        <f>IF(J12=0,((F12/V12)),((J12/V12)))</f>
        <v>437.8</v>
      </c>
      <c r="V12" s="1">
        <v>35</v>
      </c>
    </row>
    <row r="13" spans="1:27" x14ac:dyDescent="0.3">
      <c r="B13" s="16" t="s">
        <v>38</v>
      </c>
      <c r="C13" s="17">
        <v>9958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2147</v>
      </c>
      <c r="E14" s="161" t="s">
        <v>39</v>
      </c>
      <c r="F14" s="119">
        <v>25196</v>
      </c>
      <c r="G14" s="117">
        <v>19834.891250000001</v>
      </c>
      <c r="H14" s="117">
        <v>32074.90957294</v>
      </c>
      <c r="I14" s="152">
        <f>G14+H14</f>
        <v>51909.80082294</v>
      </c>
      <c r="J14" s="119">
        <v>24808</v>
      </c>
      <c r="K14" s="117">
        <v>22950.061750000001</v>
      </c>
      <c r="L14" s="117">
        <v>31523.151013040009</v>
      </c>
      <c r="M14" s="162">
        <f>K14+L14</f>
        <v>54473.212763040006</v>
      </c>
      <c r="N14" s="178">
        <v>69</v>
      </c>
      <c r="O14" s="88">
        <v>65</v>
      </c>
      <c r="P14" s="145">
        <v>60</v>
      </c>
      <c r="Q14" s="181">
        <f>IF(J14=0,((F14/V14)),((J14/V14)))</f>
        <v>590.66666666666663</v>
      </c>
      <c r="V14" s="1">
        <v>42</v>
      </c>
    </row>
    <row r="15" spans="1:27" x14ac:dyDescent="0.3">
      <c r="B15" s="28" t="s">
        <v>42</v>
      </c>
      <c r="C15" s="17">
        <v>31774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3">
      <c r="B16" s="43" t="s">
        <v>47</v>
      </c>
      <c r="C16" s="17">
        <v>1759</v>
      </c>
      <c r="E16" s="161" t="s">
        <v>79</v>
      </c>
      <c r="F16" s="119">
        <v>0</v>
      </c>
      <c r="G16" s="117">
        <v>0</v>
      </c>
      <c r="H16" s="117">
        <v>6286.5184985599999</v>
      </c>
      <c r="I16" s="152">
        <f>G16+H16</f>
        <v>6286.5184985599999</v>
      </c>
      <c r="J16" s="119">
        <v>0</v>
      </c>
      <c r="K16" s="117">
        <v>0</v>
      </c>
      <c r="L16" s="117">
        <v>6401.7776733000001</v>
      </c>
      <c r="M16" s="162">
        <f>K16+L16</f>
        <v>6401.7776733000001</v>
      </c>
      <c r="N16" s="178">
        <v>12</v>
      </c>
      <c r="O16" s="88">
        <v>11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114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7952</v>
      </c>
      <c r="E18" s="84"/>
      <c r="F18" s="148">
        <f t="shared" ref="F18:M18" si="0">SUM(F6:F17)</f>
        <v>81639</v>
      </c>
      <c r="G18" s="149">
        <f t="shared" si="0"/>
        <v>53474.255766666669</v>
      </c>
      <c r="H18" s="149">
        <f t="shared" si="0"/>
        <v>66605.657366140003</v>
      </c>
      <c r="I18" s="157">
        <f t="shared" si="0"/>
        <v>120079.91313280669</v>
      </c>
      <c r="J18" s="149">
        <f t="shared" si="0"/>
        <v>81277</v>
      </c>
      <c r="K18" s="149">
        <f t="shared" si="0"/>
        <v>60128.73051666667</v>
      </c>
      <c r="L18" s="149">
        <f t="shared" si="0"/>
        <v>65935.716856120009</v>
      </c>
      <c r="M18" s="175">
        <f t="shared" si="0"/>
        <v>126064.44737278667</v>
      </c>
      <c r="N18" s="148">
        <f>SUM(N16,N14,N12,N10,N8,N6)</f>
        <v>255</v>
      </c>
      <c r="O18" s="149">
        <f>SUM(O16,O14,O12,O10,O8,O6)</f>
        <v>245</v>
      </c>
      <c r="P18" s="158">
        <f>SUM(P16,P14,P12,P10,P8,P6)</f>
        <v>230</v>
      </c>
      <c r="Q18" s="182"/>
    </row>
    <row r="19" spans="1:28" ht="15" customHeight="1" thickBot="1" x14ac:dyDescent="0.35">
      <c r="B19" s="16" t="s">
        <v>51</v>
      </c>
      <c r="C19" s="17">
        <v>2198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  <c r="Q19" s="183"/>
    </row>
    <row r="20" spans="1:28" x14ac:dyDescent="0.3">
      <c r="B20" s="16" t="s">
        <v>52</v>
      </c>
      <c r="C20" s="17">
        <v>4054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6.1224489795918366E-2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10097</v>
      </c>
      <c r="D25" s="76">
        <f>C13</f>
        <v>9958</v>
      </c>
      <c r="E25" s="77">
        <f t="shared" ref="E25:E33" si="1">D25-C25</f>
        <v>-139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39441</v>
      </c>
      <c r="D28" s="76">
        <f>C9+C14+C15+C16+C17</f>
        <v>39066</v>
      </c>
      <c r="E28" s="77">
        <f t="shared" si="1"/>
        <v>-375</v>
      </c>
      <c r="P28" s="4"/>
      <c r="Q28" s="4"/>
    </row>
    <row r="29" spans="1:28" x14ac:dyDescent="0.3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2421</v>
      </c>
      <c r="D30" s="76">
        <f>C12</f>
        <v>2421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14000</v>
      </c>
      <c r="D31" s="76">
        <f>C18+C19+C20</f>
        <v>14204</v>
      </c>
      <c r="E31" s="77">
        <f t="shared" si="1"/>
        <v>204</v>
      </c>
      <c r="K31" s="53"/>
      <c r="P31" s="4"/>
      <c r="Q31" s="4"/>
    </row>
    <row r="32" spans="1:28" x14ac:dyDescent="0.3">
      <c r="B32" s="74" t="s">
        <v>60</v>
      </c>
      <c r="C32" s="122">
        <v>900</v>
      </c>
      <c r="D32" s="76">
        <f>C10+C11</f>
        <v>900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tabColor theme="1"/>
    <pageSetUpPr fitToPage="1"/>
  </sheetPr>
  <dimension ref="A1:AB33"/>
  <sheetViews>
    <sheetView topLeftCell="C4" zoomScale="130" zoomScaleNormal="130" zoomScaleSheetLayoutView="70" workbookViewId="0">
      <selection activeCell="F30" sqref="F3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44792</v>
      </c>
    </row>
    <row r="3" spans="1:27" ht="18.75" customHeight="1" thickBot="1" x14ac:dyDescent="0.35">
      <c r="B3" t="s">
        <v>1</v>
      </c>
      <c r="C3" s="3">
        <f>C2+1</f>
        <v>44793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27281</v>
      </c>
      <c r="G6" s="117">
        <v>11823.689499999989</v>
      </c>
      <c r="H6" s="117">
        <v>5014.334511</v>
      </c>
      <c r="I6" s="152">
        <f>G6+H6</f>
        <v>16838.02401099999</v>
      </c>
      <c r="J6" s="119">
        <v>29064</v>
      </c>
      <c r="K6" s="117">
        <v>12655.808499999999</v>
      </c>
      <c r="L6" s="117">
        <v>5212.2906767999993</v>
      </c>
      <c r="M6" s="162">
        <f>K6+L6</f>
        <v>17868.099176799999</v>
      </c>
      <c r="N6" s="178">
        <v>71</v>
      </c>
      <c r="O6" s="88">
        <v>72</v>
      </c>
      <c r="P6" s="145">
        <v>67</v>
      </c>
      <c r="Q6" s="181">
        <f>IF(J6=0,((F6/V6)),((J6/V6)))</f>
        <v>675.90697674418607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3845.2564139600008</v>
      </c>
      <c r="I8" s="152">
        <f>G8+H8</f>
        <v>3845.2564139600008</v>
      </c>
      <c r="J8" s="119">
        <v>0</v>
      </c>
      <c r="K8" s="117">
        <v>0</v>
      </c>
      <c r="L8" s="117">
        <v>3981.3398334600001</v>
      </c>
      <c r="M8" s="162">
        <f>K8+L8</f>
        <v>3981.3398334600001</v>
      </c>
      <c r="N8" s="178">
        <v>7</v>
      </c>
      <c r="O8" s="88">
        <v>7</v>
      </c>
      <c r="P8" s="145">
        <v>6</v>
      </c>
      <c r="Q8" s="117"/>
    </row>
    <row r="9" spans="1:27" x14ac:dyDescent="0.3">
      <c r="B9" s="16" t="s">
        <v>23</v>
      </c>
      <c r="C9" s="17">
        <v>1766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15448</v>
      </c>
      <c r="G10" s="117">
        <v>10586.35833333333</v>
      </c>
      <c r="H10" s="117">
        <v>673.16401499999995</v>
      </c>
      <c r="I10" s="152">
        <f>G10+H10</f>
        <v>11259.52234833333</v>
      </c>
      <c r="J10" s="119">
        <v>16381</v>
      </c>
      <c r="K10" s="117">
        <v>11660.52983333333</v>
      </c>
      <c r="L10" s="117">
        <v>757.95157655999992</v>
      </c>
      <c r="M10" s="162">
        <f>K10+L10</f>
        <v>12418.481409893331</v>
      </c>
      <c r="N10" s="178">
        <v>45</v>
      </c>
      <c r="O10" s="88">
        <v>45</v>
      </c>
      <c r="P10" s="145">
        <v>44</v>
      </c>
      <c r="Q10" s="181">
        <f>IF(J10=0,((F10/V10)),((J10/V10)))</f>
        <v>287.38596491228071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3">
      <c r="A12" s="166"/>
      <c r="B12" s="16" t="s">
        <v>30</v>
      </c>
      <c r="C12" s="17">
        <v>4841</v>
      </c>
      <c r="E12" s="161" t="s">
        <v>35</v>
      </c>
      <c r="F12" s="119">
        <v>12286</v>
      </c>
      <c r="G12" s="117">
        <v>10293.187749999999</v>
      </c>
      <c r="H12" s="117">
        <v>15014.010277769999</v>
      </c>
      <c r="I12" s="152">
        <f>G12+H12</f>
        <v>25307.198027769999</v>
      </c>
      <c r="J12" s="119">
        <v>12528</v>
      </c>
      <c r="K12" s="117">
        <v>12202.642250000001</v>
      </c>
      <c r="L12" s="117">
        <v>15178.04216759999</v>
      </c>
      <c r="M12" s="162">
        <f>K12+L12</f>
        <v>27380.68441759999</v>
      </c>
      <c r="N12" s="178">
        <v>52</v>
      </c>
      <c r="O12" s="88">
        <v>50</v>
      </c>
      <c r="P12" s="145">
        <v>47</v>
      </c>
      <c r="Q12" s="181">
        <f>IF(J12=0,((F12/V12)),((J12/V12)))</f>
        <v>357.94285714285712</v>
      </c>
      <c r="V12" s="1">
        <v>35</v>
      </c>
    </row>
    <row r="13" spans="1:27" x14ac:dyDescent="0.3">
      <c r="B13" s="16" t="s">
        <v>38</v>
      </c>
      <c r="C13" s="17">
        <v>8594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1628</v>
      </c>
      <c r="E14" s="161" t="s">
        <v>39</v>
      </c>
      <c r="F14" s="119">
        <v>30187</v>
      </c>
      <c r="G14" s="117">
        <v>23684.614000000001</v>
      </c>
      <c r="H14" s="117">
        <v>37114.475050840003</v>
      </c>
      <c r="I14" s="152">
        <f>G14+H14</f>
        <v>60799.089050840004</v>
      </c>
      <c r="J14" s="119">
        <v>29915</v>
      </c>
      <c r="K14" s="117">
        <v>25969.482749999999</v>
      </c>
      <c r="L14" s="117">
        <v>36627.496096440002</v>
      </c>
      <c r="M14" s="162">
        <f>K14+L14</f>
        <v>62596.978846440004</v>
      </c>
      <c r="N14" s="178">
        <v>71</v>
      </c>
      <c r="O14" s="88">
        <v>69</v>
      </c>
      <c r="P14" s="145">
        <v>65</v>
      </c>
      <c r="Q14" s="181">
        <f>IF(J14=0,((F14/V14)),((J14/V14)))</f>
        <v>712.26190476190482</v>
      </c>
      <c r="V14" s="1">
        <v>42</v>
      </c>
    </row>
    <row r="15" spans="1:27" x14ac:dyDescent="0.3">
      <c r="B15" s="28" t="s">
        <v>42</v>
      </c>
      <c r="C15" s="17">
        <f>37013-5306</f>
        <v>31707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3">
      <c r="B16" s="43" t="s">
        <v>47</v>
      </c>
      <c r="C16" s="17">
        <v>1602</v>
      </c>
      <c r="E16" s="161" t="s">
        <v>79</v>
      </c>
      <c r="F16" s="119">
        <v>0</v>
      </c>
      <c r="G16" s="117">
        <v>0</v>
      </c>
      <c r="H16" s="117">
        <v>7028.4493476199996</v>
      </c>
      <c r="I16" s="152">
        <f>G16+H16</f>
        <v>7028.4493476199996</v>
      </c>
      <c r="J16" s="119">
        <v>0</v>
      </c>
      <c r="K16" s="117">
        <v>0</v>
      </c>
      <c r="L16" s="117">
        <v>7209.2439548000002</v>
      </c>
      <c r="M16" s="162">
        <f>K16+L16</f>
        <v>7209.2439548000002</v>
      </c>
      <c r="N16" s="178">
        <v>11</v>
      </c>
      <c r="O16" s="88">
        <v>11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310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10071</v>
      </c>
      <c r="E18" s="84"/>
      <c r="F18" s="148">
        <f t="shared" ref="F18:M18" si="0">SUM(F6:F17)</f>
        <v>85202</v>
      </c>
      <c r="G18" s="149">
        <f t="shared" si="0"/>
        <v>56387.849583333322</v>
      </c>
      <c r="H18" s="149">
        <f t="shared" si="0"/>
        <v>68689.689616190008</v>
      </c>
      <c r="I18" s="157">
        <f t="shared" si="0"/>
        <v>125077.53919952332</v>
      </c>
      <c r="J18" s="149">
        <f t="shared" si="0"/>
        <v>87888</v>
      </c>
      <c r="K18" s="149">
        <f t="shared" si="0"/>
        <v>62488.463333333333</v>
      </c>
      <c r="L18" s="149">
        <f t="shared" si="0"/>
        <v>68966.364305659983</v>
      </c>
      <c r="M18" s="175">
        <f t="shared" si="0"/>
        <v>131454.82763899333</v>
      </c>
      <c r="N18" s="148">
        <f>SUM(N16,N14,N12,N10,N8,N6)</f>
        <v>257</v>
      </c>
      <c r="O18" s="149">
        <f>SUM(O16,O14,O12,O10,O8,O6)</f>
        <v>254</v>
      </c>
      <c r="P18" s="158">
        <f>SUM(P16,P14,P12,P10,P8,P6)</f>
        <v>239</v>
      </c>
      <c r="Q18" s="182"/>
    </row>
    <row r="19" spans="1:28" ht="15" customHeight="1" thickBot="1" x14ac:dyDescent="0.35">
      <c r="B19" s="16" t="s">
        <v>51</v>
      </c>
      <c r="C19" s="17">
        <v>686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  <c r="Q19" s="183"/>
    </row>
    <row r="20" spans="1:28" x14ac:dyDescent="0.3">
      <c r="B20" s="16" t="s">
        <v>52</v>
      </c>
      <c r="C20" s="17">
        <v>4920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5.905511811023622E-2</v>
      </c>
      <c r="Q20" s="139"/>
    </row>
    <row r="21" spans="1:28" ht="15" customHeight="1" thickBot="1" x14ac:dyDescent="0.35">
      <c r="A21" s="123"/>
      <c r="B21" s="168" t="s">
        <v>132</v>
      </c>
      <c r="C21" s="169">
        <v>1276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8557</v>
      </c>
      <c r="D25" s="76">
        <f>C13</f>
        <v>8594</v>
      </c>
      <c r="E25" s="77">
        <f t="shared" ref="E25:E33" si="1">D25-C25</f>
        <v>37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37138</v>
      </c>
      <c r="D28" s="76">
        <f>C9+C14+C15+C16+C17</f>
        <v>37013</v>
      </c>
      <c r="E28" s="77">
        <f t="shared" si="1"/>
        <v>-125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4841</v>
      </c>
      <c r="D30" s="76">
        <f>C12</f>
        <v>4841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13730</v>
      </c>
      <c r="D31" s="76">
        <f>C18+C19+C20</f>
        <v>15677</v>
      </c>
      <c r="E31" s="77">
        <f t="shared" si="1"/>
        <v>1947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1276</v>
      </c>
      <c r="D33" s="80">
        <f>C21</f>
        <v>1276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tabColor theme="1"/>
    <pageSetUpPr fitToPage="1"/>
  </sheetPr>
  <dimension ref="A1:AB33"/>
  <sheetViews>
    <sheetView zoomScale="85" zoomScaleNormal="85" zoomScaleSheetLayoutView="70" workbookViewId="0">
      <selection activeCell="F14" sqref="F1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44793</v>
      </c>
    </row>
    <row r="3" spans="1:27" ht="18.75" customHeight="1" thickBot="1" x14ac:dyDescent="0.35">
      <c r="B3" t="s">
        <v>1</v>
      </c>
      <c r="C3" s="3">
        <f>C2+1</f>
        <v>44794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67</v>
      </c>
      <c r="E6" s="161" t="s">
        <v>22</v>
      </c>
      <c r="F6" s="119">
        <v>27391</v>
      </c>
      <c r="G6" s="117">
        <v>10950.769791666669</v>
      </c>
      <c r="H6" s="117">
        <v>7072.6293362399992</v>
      </c>
      <c r="I6" s="152">
        <f>G6+H6</f>
        <v>18023.399127906669</v>
      </c>
      <c r="J6" s="119">
        <v>27376</v>
      </c>
      <c r="K6" s="117">
        <v>13219.84529166667</v>
      </c>
      <c r="L6" s="117">
        <v>7155.7212660600007</v>
      </c>
      <c r="M6" s="162">
        <f>K6+L6</f>
        <v>20375.56655772667</v>
      </c>
      <c r="N6" s="178">
        <v>76</v>
      </c>
      <c r="O6" s="88">
        <v>76</v>
      </c>
      <c r="P6" s="145">
        <v>70</v>
      </c>
      <c r="Q6" s="181">
        <f>IF(J6=0,((F6/V6)),((J6/V6)))</f>
        <v>636.65116279069764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3396.673454960001</v>
      </c>
      <c r="I8" s="152">
        <f>G8+H8</f>
        <v>3396.673454960001</v>
      </c>
      <c r="J8" s="119">
        <v>0</v>
      </c>
      <c r="K8" s="117">
        <v>0</v>
      </c>
      <c r="L8" s="117">
        <v>3378.4072813799989</v>
      </c>
      <c r="M8" s="162">
        <f>K8+L8</f>
        <v>3378.4072813799989</v>
      </c>
      <c r="N8" s="178">
        <v>7</v>
      </c>
      <c r="O8" s="88">
        <v>7</v>
      </c>
      <c r="P8" s="145">
        <v>5</v>
      </c>
      <c r="Q8" s="117"/>
    </row>
    <row r="9" spans="1:27" x14ac:dyDescent="0.3">
      <c r="B9" s="16" t="s">
        <v>23</v>
      </c>
      <c r="C9" s="17">
        <v>1766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3">
      <c r="B10" s="28" t="s">
        <v>26</v>
      </c>
      <c r="C10" s="17">
        <v>755</v>
      </c>
      <c r="E10" s="161" t="s">
        <v>31</v>
      </c>
      <c r="F10" s="119">
        <v>15855</v>
      </c>
      <c r="G10" s="117">
        <v>10215.159250000001</v>
      </c>
      <c r="H10" s="117">
        <v>1094.71884166</v>
      </c>
      <c r="I10" s="152">
        <f>G10+H10</f>
        <v>11309.878091660001</v>
      </c>
      <c r="J10" s="119">
        <v>13125</v>
      </c>
      <c r="K10" s="117">
        <v>9114.0222499999982</v>
      </c>
      <c r="L10" s="117">
        <v>1139.80359434</v>
      </c>
      <c r="M10" s="162">
        <f>K10+L10</f>
        <v>10253.825844339997</v>
      </c>
      <c r="N10" s="178">
        <v>47</v>
      </c>
      <c r="O10" s="88">
        <v>45</v>
      </c>
      <c r="P10" s="145">
        <v>43</v>
      </c>
      <c r="Q10" s="181">
        <f>IF(J10=0,((F10/V10)),((J10/V10)))</f>
        <v>230.26315789473685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2011</v>
      </c>
      <c r="E12" s="161" t="s">
        <v>35</v>
      </c>
      <c r="F12" s="119">
        <v>14650</v>
      </c>
      <c r="G12" s="117">
        <v>10672.832</v>
      </c>
      <c r="H12" s="117">
        <v>18002.29581959001</v>
      </c>
      <c r="I12" s="152">
        <f>G12+H12</f>
        <v>28675.127819590009</v>
      </c>
      <c r="J12" s="119">
        <v>16133</v>
      </c>
      <c r="K12" s="117">
        <v>13994.285749999999</v>
      </c>
      <c r="L12" s="117">
        <v>18124.467955379991</v>
      </c>
      <c r="M12" s="162">
        <f>K12+L12</f>
        <v>32118.75370537999</v>
      </c>
      <c r="N12" s="178">
        <v>48</v>
      </c>
      <c r="O12" s="88">
        <v>47</v>
      </c>
      <c r="P12" s="145">
        <v>44</v>
      </c>
      <c r="Q12" s="181">
        <f>IF(J12=0,((F12/V12)),((J12/V12)))</f>
        <v>460.94285714285712</v>
      </c>
      <c r="V12" s="1">
        <v>35</v>
      </c>
    </row>
    <row r="13" spans="1:27" x14ac:dyDescent="0.3">
      <c r="B13" s="16" t="s">
        <v>38</v>
      </c>
      <c r="C13" s="17">
        <v>6655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3041</v>
      </c>
      <c r="E14" s="161" t="s">
        <v>39</v>
      </c>
      <c r="F14" s="119">
        <v>18255</v>
      </c>
      <c r="G14" s="117">
        <v>20610.4725</v>
      </c>
      <c r="H14" s="117">
        <v>22256.41146431999</v>
      </c>
      <c r="I14" s="152">
        <f>G14+H14</f>
        <v>42866.88396431999</v>
      </c>
      <c r="J14" s="119">
        <v>18558</v>
      </c>
      <c r="K14" s="117">
        <v>15941.19025</v>
      </c>
      <c r="L14" s="117">
        <v>22630.859537119992</v>
      </c>
      <c r="M14" s="162">
        <f>K14+L14</f>
        <v>38572.049787119991</v>
      </c>
      <c r="N14" s="178">
        <v>65</v>
      </c>
      <c r="O14" s="88">
        <v>62</v>
      </c>
      <c r="P14" s="145">
        <v>57</v>
      </c>
      <c r="Q14" s="181">
        <f>IF(J14=0,((F14/V14)),((J14/V14)))</f>
        <v>441.85714285714283</v>
      </c>
      <c r="V14" s="1">
        <v>42</v>
      </c>
    </row>
    <row r="15" spans="1:27" x14ac:dyDescent="0.3">
      <c r="B15" s="28" t="s">
        <v>42</v>
      </c>
      <c r="C15" s="17">
        <f>31539-C14-C16-C17</f>
        <v>25392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3">
      <c r="B16" s="43" t="s">
        <v>47</v>
      </c>
      <c r="C16" s="17">
        <v>2752</v>
      </c>
      <c r="E16" s="161" t="s">
        <v>79</v>
      </c>
      <c r="F16" s="119">
        <v>0</v>
      </c>
      <c r="G16" s="117">
        <v>0</v>
      </c>
      <c r="H16" s="117">
        <v>4250.3438145199998</v>
      </c>
      <c r="I16" s="152">
        <f>G16+H16</f>
        <v>4250.3438145199998</v>
      </c>
      <c r="J16" s="119">
        <v>0</v>
      </c>
      <c r="K16" s="117">
        <v>0</v>
      </c>
      <c r="L16" s="117">
        <v>4103.2341916599999</v>
      </c>
      <c r="M16" s="162">
        <f>K16+L16</f>
        <v>4103.2341916599999</v>
      </c>
      <c r="N16" s="178">
        <v>11</v>
      </c>
      <c r="O16" s="88">
        <v>11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354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10032</v>
      </c>
      <c r="E18" s="84"/>
      <c r="F18" s="148">
        <f t="shared" ref="F18:M18" si="0">SUM(F6:F17)</f>
        <v>76151</v>
      </c>
      <c r="G18" s="149">
        <f t="shared" si="0"/>
        <v>52449.233541666676</v>
      </c>
      <c r="H18" s="149">
        <f t="shared" si="0"/>
        <v>56073.072731289998</v>
      </c>
      <c r="I18" s="157">
        <f t="shared" si="0"/>
        <v>108522.30627295667</v>
      </c>
      <c r="J18" s="149">
        <f t="shared" si="0"/>
        <v>75192</v>
      </c>
      <c r="K18" s="149">
        <f t="shared" si="0"/>
        <v>52269.343541666662</v>
      </c>
      <c r="L18" s="149">
        <f t="shared" si="0"/>
        <v>56532.493825939979</v>
      </c>
      <c r="M18" s="175">
        <f t="shared" si="0"/>
        <v>108801.83736760664</v>
      </c>
      <c r="N18" s="148">
        <f>SUM(N16,N14,N12,N10,N8,N6)</f>
        <v>254</v>
      </c>
      <c r="O18" s="149">
        <f>SUM(O16,O14,O12,O10,O8,O6)</f>
        <v>248</v>
      </c>
      <c r="P18" s="158">
        <f>SUM(P16,P14,P12,P10,P8,P6)</f>
        <v>229</v>
      </c>
      <c r="Q18" s="182"/>
    </row>
    <row r="19" spans="1:28" ht="15" customHeight="1" thickBot="1" x14ac:dyDescent="0.35">
      <c r="B19" s="16" t="s">
        <v>51</v>
      </c>
      <c r="C19" s="17">
        <v>1714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3">
      <c r="B20" s="16" t="s">
        <v>52</v>
      </c>
      <c r="C20" s="17">
        <v>4881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7.6612903225806453E-2</v>
      </c>
      <c r="Q20" s="139"/>
    </row>
    <row r="21" spans="1:28" ht="15" customHeight="1" thickBot="1" x14ac:dyDescent="0.35">
      <c r="A21" s="123"/>
      <c r="B21" s="168" t="s">
        <v>132</v>
      </c>
      <c r="C21" s="169">
        <v>382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11257</v>
      </c>
      <c r="D25" s="76">
        <f>C13</f>
        <v>6655</v>
      </c>
      <c r="E25" s="77">
        <f t="shared" ref="E25:E33" si="1">D25-C25</f>
        <v>-4602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32492</v>
      </c>
      <c r="D28" s="76">
        <f>C9+C14+C15+C16+C17</f>
        <v>33305</v>
      </c>
      <c r="E28" s="77">
        <f t="shared" si="1"/>
        <v>813</v>
      </c>
      <c r="P28" s="4"/>
      <c r="Q28" s="4"/>
    </row>
    <row r="29" spans="1:28" x14ac:dyDescent="0.3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2011</v>
      </c>
      <c r="D30" s="76">
        <f>C12</f>
        <v>2011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14945</v>
      </c>
      <c r="D31" s="76">
        <f>C18+C19+C20</f>
        <v>16627</v>
      </c>
      <c r="E31" s="77">
        <f t="shared" si="1"/>
        <v>1682</v>
      </c>
      <c r="K31" s="53"/>
      <c r="P31" s="4"/>
      <c r="Q31" s="4"/>
    </row>
    <row r="32" spans="1:28" x14ac:dyDescent="0.3">
      <c r="B32" s="74" t="s">
        <v>60</v>
      </c>
      <c r="C32" s="122">
        <v>755</v>
      </c>
      <c r="D32" s="76">
        <f>C10+C11</f>
        <v>755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382</v>
      </c>
      <c r="D33" s="80">
        <f>C21</f>
        <v>382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tabColor theme="1"/>
    <pageSetUpPr fitToPage="1"/>
  </sheetPr>
  <dimension ref="A1:AB33"/>
  <sheetViews>
    <sheetView zoomScaleNormal="100" zoomScaleSheetLayoutView="70" workbookViewId="0">
      <selection activeCell="H26" sqref="H2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44794</v>
      </c>
    </row>
    <row r="3" spans="1:27" ht="18.75" customHeight="1" thickBot="1" x14ac:dyDescent="0.35">
      <c r="B3" t="s">
        <v>1</v>
      </c>
      <c r="C3" s="3">
        <f>C2+1</f>
        <v>44795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10090</v>
      </c>
      <c r="G6" s="117">
        <v>3004</v>
      </c>
      <c r="H6" s="117">
        <v>913</v>
      </c>
      <c r="I6" s="152">
        <f>G6+H6</f>
        <v>3917</v>
      </c>
      <c r="J6" s="119">
        <v>9947</v>
      </c>
      <c r="K6" s="117">
        <v>3211</v>
      </c>
      <c r="L6" s="117">
        <v>875</v>
      </c>
      <c r="M6" s="162">
        <f>K6+L6</f>
        <v>4086</v>
      </c>
      <c r="N6" s="178">
        <v>40</v>
      </c>
      <c r="O6" s="88">
        <v>39</v>
      </c>
      <c r="P6" s="145">
        <v>36</v>
      </c>
      <c r="Q6" s="181">
        <f>IF(J6=0,((F6/V6)),((J6/V6)))</f>
        <v>231.32558139534885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5045</v>
      </c>
      <c r="G10" s="117">
        <v>2602</v>
      </c>
      <c r="H10" s="117">
        <v>735</v>
      </c>
      <c r="I10" s="152">
        <f>G10+H10</f>
        <v>3337</v>
      </c>
      <c r="J10" s="119">
        <v>5552</v>
      </c>
      <c r="K10" s="117">
        <v>2861</v>
      </c>
      <c r="L10" s="117">
        <v>870</v>
      </c>
      <c r="M10" s="162">
        <f>K10+L10</f>
        <v>3731</v>
      </c>
      <c r="N10" s="178">
        <v>0</v>
      </c>
      <c r="O10" s="88">
        <v>0</v>
      </c>
      <c r="P10" s="145">
        <v>0</v>
      </c>
      <c r="Q10" s="181">
        <f>IF(J10=0,((F10/V10)),((J10/V10)))</f>
        <v>97.403508771929822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48</v>
      </c>
      <c r="G12" s="117">
        <v>29</v>
      </c>
      <c r="H12" s="117"/>
      <c r="I12" s="152">
        <f>G12+H12</f>
        <v>29</v>
      </c>
      <c r="J12" s="119">
        <v>88</v>
      </c>
      <c r="K12" s="117">
        <v>58</v>
      </c>
      <c r="L12" s="117"/>
      <c r="M12" s="162">
        <f>K12+L12</f>
        <v>58</v>
      </c>
      <c r="N12" s="178">
        <v>0</v>
      </c>
      <c r="O12" s="88">
        <v>0</v>
      </c>
      <c r="P12" s="145">
        <v>0</v>
      </c>
      <c r="Q12" s="181">
        <f>IF(J12=0,((F12/V12)),((J12/V12)))</f>
        <v>2.5142857142857142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0</v>
      </c>
      <c r="E14" s="161" t="s">
        <v>39</v>
      </c>
      <c r="F14" s="119">
        <v>6961</v>
      </c>
      <c r="G14" s="117">
        <v>8323</v>
      </c>
      <c r="H14" s="117"/>
      <c r="I14" s="152">
        <f>G14+H14</f>
        <v>8323</v>
      </c>
      <c r="J14" s="119">
        <v>5248</v>
      </c>
      <c r="K14" s="117">
        <v>7289</v>
      </c>
      <c r="L14" s="117"/>
      <c r="M14" s="162">
        <f>K14+L14</f>
        <v>7289</v>
      </c>
      <c r="N14" s="178">
        <v>17</v>
      </c>
      <c r="O14" s="88">
        <v>15</v>
      </c>
      <c r="P14" s="145">
        <v>11</v>
      </c>
      <c r="Q14" s="181">
        <f>IF(J14=0,((F14/V14)),((J14/V14)))</f>
        <v>124.95238095238095</v>
      </c>
      <c r="V14" s="1">
        <v>42</v>
      </c>
    </row>
    <row r="15" spans="1:27" x14ac:dyDescent="0.3">
      <c r="B15" s="28" t="s">
        <v>42</v>
      </c>
      <c r="C15" s="17">
        <v>5351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10287</v>
      </c>
      <c r="E18" s="84"/>
      <c r="F18" s="148">
        <f t="shared" ref="F18:M18" si="0">SUM(F6:F17)</f>
        <v>22144</v>
      </c>
      <c r="G18" s="149">
        <f t="shared" si="0"/>
        <v>13958</v>
      </c>
      <c r="H18" s="149">
        <f t="shared" si="0"/>
        <v>1648</v>
      </c>
      <c r="I18" s="157">
        <f t="shared" si="0"/>
        <v>15606</v>
      </c>
      <c r="J18" s="149">
        <f t="shared" si="0"/>
        <v>20835</v>
      </c>
      <c r="K18" s="149">
        <f t="shared" si="0"/>
        <v>13419</v>
      </c>
      <c r="L18" s="149">
        <f t="shared" si="0"/>
        <v>1745</v>
      </c>
      <c r="M18" s="175">
        <f t="shared" si="0"/>
        <v>15164</v>
      </c>
      <c r="N18" s="148">
        <f>SUM(N16,N14,N12,N10,N8,N6)</f>
        <v>58</v>
      </c>
      <c r="O18" s="149">
        <f>SUM(O16,O14,O12,O10,O8,O6)</f>
        <v>55</v>
      </c>
      <c r="P18" s="158">
        <f>SUM(P16,P14,P12,P10,P8,P6)</f>
        <v>48</v>
      </c>
      <c r="Q18" s="182"/>
    </row>
    <row r="19" spans="1:28" ht="15" customHeight="1" thickBot="1" x14ac:dyDescent="0.35">
      <c r="B19" s="16" t="s">
        <v>51</v>
      </c>
      <c r="C19" s="17">
        <v>750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  <c r="Q19" s="183"/>
    </row>
    <row r="20" spans="1:28" x14ac:dyDescent="0.3">
      <c r="B20" s="16" t="s">
        <v>52</v>
      </c>
      <c r="C20" s="17">
        <v>4462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0.12727272727272726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7012</v>
      </c>
      <c r="D28" s="76">
        <f>C9+C14+C15+C16+C17</f>
        <v>5351</v>
      </c>
      <c r="E28" s="77">
        <f t="shared" si="1"/>
        <v>-1661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15135</v>
      </c>
      <c r="D31" s="76">
        <f>C18+C19+C20</f>
        <v>15499</v>
      </c>
      <c r="E31" s="77">
        <f t="shared" si="1"/>
        <v>364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tabColor theme="1"/>
    <pageSetUpPr fitToPage="1"/>
  </sheetPr>
  <dimension ref="A1:AB33"/>
  <sheetViews>
    <sheetView zoomScaleNormal="100" zoomScaleSheetLayoutView="70" workbookViewId="0">
      <selection activeCell="I26" sqref="I2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44795</v>
      </c>
    </row>
    <row r="3" spans="1:27" ht="18.75" customHeight="1" thickBot="1" x14ac:dyDescent="0.35">
      <c r="B3" t="s">
        <v>1</v>
      </c>
      <c r="C3" s="3">
        <f>C2+1</f>
        <v>44796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72</v>
      </c>
      <c r="E6" s="161" t="s">
        <v>22</v>
      </c>
      <c r="F6" s="119">
        <v>26577</v>
      </c>
      <c r="G6" s="117">
        <v>11547.70929999999</v>
      </c>
      <c r="H6" s="117">
        <v>4969.2801458999966</v>
      </c>
      <c r="I6" s="152">
        <f>G6+H6</f>
        <v>16516.989445899984</v>
      </c>
      <c r="J6" s="119">
        <v>25193</v>
      </c>
      <c r="K6" s="117">
        <v>10909.720300000001</v>
      </c>
      <c r="L6" s="117">
        <v>4727.7906091200011</v>
      </c>
      <c r="M6" s="162">
        <f>K6+L6</f>
        <v>15637.510909120003</v>
      </c>
      <c r="N6" s="178">
        <v>73</v>
      </c>
      <c r="O6" s="88">
        <v>73</v>
      </c>
      <c r="P6" s="145">
        <v>60</v>
      </c>
      <c r="Q6" s="181">
        <f>IF(J6=0,((F6/V6)),((J6/V6)))</f>
        <v>585.88372093023258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3415.6812662199991</v>
      </c>
      <c r="I8" s="152">
        <f>G8+H8</f>
        <v>3415.6812662199991</v>
      </c>
      <c r="J8" s="119">
        <v>0</v>
      </c>
      <c r="K8" s="117">
        <v>0</v>
      </c>
      <c r="L8" s="117">
        <v>3186.9377071599988</v>
      </c>
      <c r="M8" s="162">
        <f>K8+L8</f>
        <v>3186.9377071599988</v>
      </c>
      <c r="N8" s="178">
        <v>6</v>
      </c>
      <c r="O8" s="88">
        <v>6</v>
      </c>
      <c r="P8" s="145">
        <v>6</v>
      </c>
      <c r="Q8" s="117"/>
    </row>
    <row r="9" spans="1:27" x14ac:dyDescent="0.3">
      <c r="B9" s="16" t="s">
        <v>23</v>
      </c>
      <c r="C9" s="17">
        <v>1366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1013</v>
      </c>
      <c r="E10" s="161" t="s">
        <v>31</v>
      </c>
      <c r="F10" s="119">
        <v>16459</v>
      </c>
      <c r="G10" s="117">
        <v>11104.44491666666</v>
      </c>
      <c r="H10" s="117">
        <v>877.76050850000001</v>
      </c>
      <c r="I10" s="152">
        <f>G10+H10</f>
        <v>11982.20542516666</v>
      </c>
      <c r="J10" s="119">
        <v>16316</v>
      </c>
      <c r="K10" s="117">
        <v>11237.37141666667</v>
      </c>
      <c r="L10" s="117">
        <v>888.75354712000001</v>
      </c>
      <c r="M10" s="162">
        <f>K10+L10</f>
        <v>12126.124963786671</v>
      </c>
      <c r="N10" s="178">
        <v>44</v>
      </c>
      <c r="O10" s="88">
        <v>46</v>
      </c>
      <c r="P10" s="145">
        <v>40</v>
      </c>
      <c r="Q10" s="181">
        <f>IF(J10=0,((F10/V10)),((J10/V10)))</f>
        <v>286.24561403508773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  <c r="Q11" s="118"/>
    </row>
    <row r="12" spans="1:27" x14ac:dyDescent="0.3">
      <c r="A12" s="166"/>
      <c r="B12" s="16" t="s">
        <v>30</v>
      </c>
      <c r="C12" s="17">
        <v>1476</v>
      </c>
      <c r="E12" s="161" t="s">
        <v>35</v>
      </c>
      <c r="F12" s="119">
        <v>14210</v>
      </c>
      <c r="G12" s="117">
        <v>10284.740916666669</v>
      </c>
      <c r="H12" s="117">
        <v>14646.460915370009</v>
      </c>
      <c r="I12" s="152">
        <f>G12+H12</f>
        <v>24931.201832036677</v>
      </c>
      <c r="J12" s="119">
        <v>14705</v>
      </c>
      <c r="K12" s="117">
        <v>11449.14691666667</v>
      </c>
      <c r="L12" s="117">
        <v>14972.883228740009</v>
      </c>
      <c r="M12" s="162">
        <f>K12+L12</f>
        <v>26422.030145406679</v>
      </c>
      <c r="N12" s="178">
        <v>46</v>
      </c>
      <c r="O12" s="88">
        <v>47</v>
      </c>
      <c r="P12" s="145">
        <v>38</v>
      </c>
      <c r="Q12" s="181">
        <f>IF(J12=0,((F12/V12)),((J12/V12)))</f>
        <v>420.14285714285717</v>
      </c>
      <c r="V12" s="1">
        <v>35</v>
      </c>
    </row>
    <row r="13" spans="1:27" x14ac:dyDescent="0.3">
      <c r="B13" s="16" t="s">
        <v>38</v>
      </c>
      <c r="C13" s="17">
        <v>6886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3">
      <c r="B14" s="16" t="s">
        <v>40</v>
      </c>
      <c r="C14" s="17">
        <v>1604</v>
      </c>
      <c r="E14" s="161" t="s">
        <v>39</v>
      </c>
      <c r="F14" s="119">
        <v>20199</v>
      </c>
      <c r="G14" s="117">
        <v>18485.172500000001</v>
      </c>
      <c r="H14" s="117">
        <v>24935.831769400011</v>
      </c>
      <c r="I14" s="152">
        <f>G14+H14</f>
        <v>43421.004269400015</v>
      </c>
      <c r="J14" s="119">
        <v>19988</v>
      </c>
      <c r="K14" s="117">
        <v>20452.357250000001</v>
      </c>
      <c r="L14" s="117">
        <v>24673.42452973999</v>
      </c>
      <c r="M14" s="162">
        <f>K14+L14</f>
        <v>45125.781779739991</v>
      </c>
      <c r="N14" s="178">
        <v>66</v>
      </c>
      <c r="O14" s="88">
        <v>65</v>
      </c>
      <c r="P14" s="145">
        <v>56</v>
      </c>
      <c r="Q14" s="181">
        <f>IF(J14=0,((F14/V14)),((J14/V14)))</f>
        <v>475.90476190476193</v>
      </c>
      <c r="V14" s="1">
        <v>42</v>
      </c>
    </row>
    <row r="15" spans="1:27" x14ac:dyDescent="0.3">
      <c r="B15" s="28" t="s">
        <v>42</v>
      </c>
      <c r="C15" s="17">
        <v>30352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3">
      <c r="B16" s="43" t="s">
        <v>47</v>
      </c>
      <c r="C16" s="17">
        <v>1569</v>
      </c>
      <c r="E16" s="161" t="s">
        <v>79</v>
      </c>
      <c r="F16" s="119">
        <v>0</v>
      </c>
      <c r="G16" s="117">
        <v>0</v>
      </c>
      <c r="H16" s="117">
        <v>6967.0635901400001</v>
      </c>
      <c r="I16" s="152">
        <f>G16+H16</f>
        <v>6967.0635901400001</v>
      </c>
      <c r="J16" s="119">
        <v>0</v>
      </c>
      <c r="K16" s="117">
        <v>0</v>
      </c>
      <c r="L16" s="117">
        <v>6916.8582190399993</v>
      </c>
      <c r="M16" s="162">
        <f>K16+L16</f>
        <v>6916.8582190399993</v>
      </c>
      <c r="N16" s="178">
        <v>10</v>
      </c>
      <c r="O16" s="88">
        <v>9</v>
      </c>
      <c r="P16" s="145">
        <v>6</v>
      </c>
      <c r="Q16" s="180"/>
    </row>
    <row r="17" spans="1:28" s="4" customFormat="1" ht="15" customHeight="1" thickBot="1" x14ac:dyDescent="0.35">
      <c r="B17" s="43" t="s">
        <v>48</v>
      </c>
      <c r="C17" s="50">
        <v>294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3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9226</v>
      </c>
      <c r="E18" s="84"/>
      <c r="F18" s="148">
        <f t="shared" ref="F18:M18" si="0">SUM(F6:F17)</f>
        <v>77445</v>
      </c>
      <c r="G18" s="149">
        <f t="shared" si="0"/>
        <v>51422.067633333318</v>
      </c>
      <c r="H18" s="149">
        <f t="shared" si="0"/>
        <v>55812.078195530012</v>
      </c>
      <c r="I18" s="157">
        <f t="shared" si="0"/>
        <v>107234.14582886333</v>
      </c>
      <c r="J18" s="149">
        <f t="shared" si="0"/>
        <v>76202</v>
      </c>
      <c r="K18" s="149">
        <f t="shared" si="0"/>
        <v>54048.595883333342</v>
      </c>
      <c r="L18" s="149">
        <f t="shared" si="0"/>
        <v>55366.647840919999</v>
      </c>
      <c r="M18" s="175">
        <f t="shared" si="0"/>
        <v>109415.24372425335</v>
      </c>
      <c r="N18" s="148">
        <f>SUM(N16,N14,N12,N10,N8,N6)</f>
        <v>245</v>
      </c>
      <c r="O18" s="149">
        <f>SUM(O16,O14,O12,O10,O8,O6)</f>
        <v>246</v>
      </c>
      <c r="P18" s="158">
        <f>SUM(P16,P14,P12,P10,P8,P6)</f>
        <v>206</v>
      </c>
      <c r="Q18" s="182"/>
    </row>
    <row r="19" spans="1:28" ht="15" customHeight="1" thickBot="1" x14ac:dyDescent="0.35">
      <c r="B19" s="16" t="s">
        <v>51</v>
      </c>
      <c r="C19" s="17">
        <v>1390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  <c r="Q19" s="183"/>
    </row>
    <row r="20" spans="1:28" x14ac:dyDescent="0.3">
      <c r="B20" s="16" t="s">
        <v>52</v>
      </c>
      <c r="C20" s="17">
        <v>4345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0.16260162601626016</v>
      </c>
      <c r="Q20" s="139"/>
    </row>
    <row r="21" spans="1:28" ht="15" customHeight="1" thickBot="1" x14ac:dyDescent="0.35">
      <c r="A21" s="123"/>
      <c r="B21" s="168" t="s">
        <v>132</v>
      </c>
      <c r="C21" s="169">
        <v>772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7295</v>
      </c>
      <c r="D25" s="76">
        <f>C13</f>
        <v>6886</v>
      </c>
      <c r="E25" s="77">
        <f t="shared" ref="E25:E33" si="1">D25-C25</f>
        <v>-409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35040</v>
      </c>
      <c r="D28" s="76">
        <f>C9+C14+C15+C16+C17</f>
        <v>35185</v>
      </c>
      <c r="E28" s="77">
        <f t="shared" si="1"/>
        <v>145</v>
      </c>
      <c r="P28" s="4"/>
      <c r="Q28" s="4"/>
    </row>
    <row r="29" spans="1:28" x14ac:dyDescent="0.3">
      <c r="B29" s="74" t="s">
        <v>21</v>
      </c>
      <c r="C29" s="122">
        <v>72</v>
      </c>
      <c r="D29" s="76">
        <f>C6</f>
        <v>72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1476</v>
      </c>
      <c r="D30" s="76">
        <f>C12</f>
        <v>1476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15960</v>
      </c>
      <c r="D31" s="76">
        <f>C18+C19+C20</f>
        <v>14961</v>
      </c>
      <c r="E31" s="77">
        <f t="shared" si="1"/>
        <v>-999</v>
      </c>
      <c r="K31" s="53"/>
      <c r="P31" s="4"/>
      <c r="Q31" s="4"/>
    </row>
    <row r="32" spans="1:28" x14ac:dyDescent="0.3">
      <c r="B32" s="74" t="s">
        <v>60</v>
      </c>
      <c r="C32" s="122">
        <v>1013</v>
      </c>
      <c r="D32" s="76">
        <f>C10+C11</f>
        <v>1013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772</v>
      </c>
      <c r="D33" s="80">
        <f>C21</f>
        <v>772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theme="1"/>
    <pageSetUpPr fitToPage="1"/>
  </sheetPr>
  <dimension ref="A1:AB33"/>
  <sheetViews>
    <sheetView zoomScaleNormal="100" zoomScaleSheetLayoutView="70" workbookViewId="0">
      <selection activeCell="K27" sqref="K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44796</v>
      </c>
    </row>
    <row r="3" spans="1:27" ht="18.75" customHeight="1" thickBot="1" x14ac:dyDescent="0.35">
      <c r="B3" t="s">
        <v>1</v>
      </c>
      <c r="C3" s="3">
        <f>C2+1</f>
        <v>44797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143</v>
      </c>
      <c r="E6" s="161" t="s">
        <v>22</v>
      </c>
      <c r="F6" s="119">
        <v>29883</v>
      </c>
      <c r="G6" s="117">
        <v>10813.44216666666</v>
      </c>
      <c r="H6" s="117">
        <v>6930.9331723599989</v>
      </c>
      <c r="I6" s="152">
        <f>G6+H6</f>
        <v>17744.375339026657</v>
      </c>
      <c r="J6" s="119">
        <v>31576</v>
      </c>
      <c r="K6" s="117">
        <v>12389.18716666667</v>
      </c>
      <c r="L6" s="117">
        <v>6829.4797102800003</v>
      </c>
      <c r="M6" s="162">
        <f>K6+L6</f>
        <v>19218.666876946671</v>
      </c>
      <c r="N6" s="178">
        <v>76</v>
      </c>
      <c r="O6" s="88">
        <v>77</v>
      </c>
      <c r="P6" s="145">
        <v>71</v>
      </c>
      <c r="Q6" s="181">
        <f>IF(J6=0,((F6/V6)),((J6/V6)))</f>
        <v>734.32558139534888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3182.1106656400002</v>
      </c>
      <c r="I8" s="152">
        <f>G8+H8</f>
        <v>3182.1106656400002</v>
      </c>
      <c r="J8" s="119">
        <v>0</v>
      </c>
      <c r="K8" s="117">
        <v>0</v>
      </c>
      <c r="L8" s="117">
        <v>3203.3925982199989</v>
      </c>
      <c r="M8" s="162">
        <f>K8+L8</f>
        <v>3203.3925982199989</v>
      </c>
      <c r="N8" s="178">
        <v>6</v>
      </c>
      <c r="O8" s="88">
        <v>6</v>
      </c>
      <c r="P8" s="145">
        <v>6</v>
      </c>
      <c r="Q8" s="117"/>
    </row>
    <row r="9" spans="1:27" x14ac:dyDescent="0.3">
      <c r="B9" s="16" t="s">
        <v>23</v>
      </c>
      <c r="C9" s="17">
        <v>2819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1516</v>
      </c>
      <c r="E10" s="161" t="s">
        <v>31</v>
      </c>
      <c r="F10" s="119">
        <v>19486</v>
      </c>
      <c r="G10" s="117">
        <v>11754.692166666669</v>
      </c>
      <c r="H10" s="117">
        <v>1167.7297039</v>
      </c>
      <c r="I10" s="152">
        <f>G10+H10</f>
        <v>12922.42187056667</v>
      </c>
      <c r="J10" s="119">
        <v>20791</v>
      </c>
      <c r="K10" s="117">
        <v>13119.625166666659</v>
      </c>
      <c r="L10" s="117">
        <v>1271.89647354</v>
      </c>
      <c r="M10" s="162">
        <f>K10+L10</f>
        <v>14391.52164020666</v>
      </c>
      <c r="N10" s="178">
        <v>47</v>
      </c>
      <c r="O10" s="88">
        <v>50</v>
      </c>
      <c r="P10" s="145">
        <v>44</v>
      </c>
      <c r="Q10" s="181">
        <f>IF(J10=0,((F10/V10)),((J10/V10)))</f>
        <v>364.75438596491227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  <c r="Q11" s="118"/>
    </row>
    <row r="12" spans="1:27" x14ac:dyDescent="0.3">
      <c r="A12" s="166"/>
      <c r="B12" s="16" t="s">
        <v>30</v>
      </c>
      <c r="C12" s="17">
        <v>2421</v>
      </c>
      <c r="E12" s="161" t="s">
        <v>35</v>
      </c>
      <c r="F12" s="119">
        <v>15499</v>
      </c>
      <c r="G12" s="117">
        <v>9478.1702499999974</v>
      </c>
      <c r="H12" s="117">
        <v>17044.953317539999</v>
      </c>
      <c r="I12" s="152">
        <f>G12+H12</f>
        <v>26523.123567539995</v>
      </c>
      <c r="J12" s="119">
        <v>15889</v>
      </c>
      <c r="K12" s="117">
        <v>11231.6165</v>
      </c>
      <c r="L12" s="117">
        <v>17107.07567867</v>
      </c>
      <c r="M12" s="162">
        <f>K12+L12</f>
        <v>28338.69217867</v>
      </c>
      <c r="N12" s="178">
        <v>47</v>
      </c>
      <c r="O12" s="88">
        <v>49</v>
      </c>
      <c r="P12" s="145">
        <v>49</v>
      </c>
      <c r="Q12" s="181">
        <f>IF(J12=0,((F12/V12)),((J12/V12)))</f>
        <v>453.97142857142859</v>
      </c>
      <c r="V12" s="1">
        <v>35</v>
      </c>
    </row>
    <row r="13" spans="1:27" x14ac:dyDescent="0.3">
      <c r="B13" s="16" t="s">
        <v>38</v>
      </c>
      <c r="C13" s="17">
        <v>9684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2135</v>
      </c>
      <c r="E14" s="161" t="s">
        <v>39</v>
      </c>
      <c r="F14" s="119">
        <v>24102</v>
      </c>
      <c r="G14" s="117">
        <v>18334.09</v>
      </c>
      <c r="H14" s="117">
        <v>29944.56495647999</v>
      </c>
      <c r="I14" s="152">
        <f>G14+H14</f>
        <v>48278.654956479993</v>
      </c>
      <c r="J14" s="119">
        <v>24116</v>
      </c>
      <c r="K14" s="117">
        <v>22059.194500000001</v>
      </c>
      <c r="L14" s="117">
        <v>30084.922338280001</v>
      </c>
      <c r="M14" s="162">
        <f>K14+L14</f>
        <v>52144.116838280002</v>
      </c>
      <c r="N14" s="178">
        <v>65</v>
      </c>
      <c r="O14" s="88">
        <v>64</v>
      </c>
      <c r="P14" s="145">
        <v>60</v>
      </c>
      <c r="Q14" s="181">
        <f>IF(J14=0,((F14/V14)),((J14/V14)))</f>
        <v>574.19047619047615</v>
      </c>
      <c r="V14" s="1">
        <v>42</v>
      </c>
    </row>
    <row r="15" spans="1:27" x14ac:dyDescent="0.3">
      <c r="B15" s="28" t="s">
        <v>42</v>
      </c>
      <c r="C15" s="17">
        <v>30744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3">
      <c r="B16" s="43" t="s">
        <v>47</v>
      </c>
      <c r="C16" s="17">
        <v>1692</v>
      </c>
      <c r="E16" s="161" t="s">
        <v>79</v>
      </c>
      <c r="F16" s="119">
        <v>0</v>
      </c>
      <c r="G16" s="117">
        <v>0</v>
      </c>
      <c r="H16" s="117">
        <v>4143.5965659399999</v>
      </c>
      <c r="I16" s="152">
        <f>G16+H16</f>
        <v>4143.5965659399999</v>
      </c>
      <c r="J16" s="119">
        <v>0</v>
      </c>
      <c r="K16" s="117">
        <v>0</v>
      </c>
      <c r="L16" s="117">
        <v>4643.1284223000002</v>
      </c>
      <c r="M16" s="162">
        <f>K16+L16</f>
        <v>4643.1284223000002</v>
      </c>
      <c r="N16" s="178">
        <v>12</v>
      </c>
      <c r="O16" s="88">
        <v>10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82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11821</v>
      </c>
      <c r="E18" s="84"/>
      <c r="F18" s="148">
        <f t="shared" ref="F18:M18" si="0">SUM(F6:F17)</f>
        <v>88970</v>
      </c>
      <c r="G18" s="149">
        <f t="shared" si="0"/>
        <v>50380.394583333327</v>
      </c>
      <c r="H18" s="149">
        <f t="shared" si="0"/>
        <v>62413.888381859993</v>
      </c>
      <c r="I18" s="157">
        <f t="shared" si="0"/>
        <v>112794.28296519331</v>
      </c>
      <c r="J18" s="149">
        <f t="shared" si="0"/>
        <v>92372</v>
      </c>
      <c r="K18" s="149">
        <f t="shared" si="0"/>
        <v>58799.623333333322</v>
      </c>
      <c r="L18" s="149">
        <f t="shared" si="0"/>
        <v>63139.895221290004</v>
      </c>
      <c r="M18" s="175">
        <f t="shared" si="0"/>
        <v>121939.51855462334</v>
      </c>
      <c r="N18" s="148">
        <f>SUM(N16,N14,N12,N10,N8,N6)</f>
        <v>253</v>
      </c>
      <c r="O18" s="149">
        <f>SUM(O16,O14,O12,O10,O8,O6)</f>
        <v>256</v>
      </c>
      <c r="P18" s="158">
        <f>SUM(P16,P14,P12,P10,P8,P6)</f>
        <v>241</v>
      </c>
      <c r="Q18" s="182"/>
    </row>
    <row r="19" spans="1:28" ht="15" customHeight="1" thickBot="1" x14ac:dyDescent="0.35">
      <c r="B19" s="16" t="s">
        <v>51</v>
      </c>
      <c r="C19" s="17">
        <v>1452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  <c r="Q19" s="183"/>
    </row>
    <row r="20" spans="1:28" x14ac:dyDescent="0.3">
      <c r="B20" s="16" t="s">
        <v>52</v>
      </c>
      <c r="C20" s="17">
        <v>5294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5.859375E-2</v>
      </c>
      <c r="Q20" s="139"/>
    </row>
    <row r="21" spans="1:28" ht="15" customHeight="1" thickBot="1" x14ac:dyDescent="0.35">
      <c r="A21" s="123"/>
      <c r="B21" s="168" t="s">
        <v>132</v>
      </c>
      <c r="C21" s="169">
        <v>865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9829</v>
      </c>
      <c r="D25" s="76">
        <f>C13</f>
        <v>9684</v>
      </c>
      <c r="E25" s="77">
        <f t="shared" ref="E25:E33" si="1">D25-C25</f>
        <v>-145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36580</v>
      </c>
      <c r="D28" s="76">
        <f>C9+C14+C15+C16+C17</f>
        <v>37472</v>
      </c>
      <c r="E28" s="77">
        <f t="shared" si="1"/>
        <v>892</v>
      </c>
      <c r="P28" s="4"/>
      <c r="Q28" s="4"/>
    </row>
    <row r="29" spans="1:28" x14ac:dyDescent="0.3">
      <c r="B29" s="74" t="s">
        <v>21</v>
      </c>
      <c r="C29" s="122">
        <v>143</v>
      </c>
      <c r="D29" s="76">
        <f>C6</f>
        <v>143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2421</v>
      </c>
      <c r="D30" s="76">
        <f>C12</f>
        <v>2421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14895</v>
      </c>
      <c r="D31" s="76">
        <f>C18+C19+C20</f>
        <v>18567</v>
      </c>
      <c r="E31" s="77">
        <f t="shared" si="1"/>
        <v>3672</v>
      </c>
      <c r="K31" s="53"/>
      <c r="P31" s="4"/>
      <c r="Q31" s="4"/>
    </row>
    <row r="32" spans="1:28" x14ac:dyDescent="0.3">
      <c r="B32" s="74" t="s">
        <v>60</v>
      </c>
      <c r="C32" s="122">
        <v>1516</v>
      </c>
      <c r="D32" s="76">
        <f>C10+C11</f>
        <v>1516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865</v>
      </c>
      <c r="D33" s="80">
        <f>C21</f>
        <v>865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theme="1"/>
    <pageSetUpPr fitToPage="1"/>
  </sheetPr>
  <dimension ref="A1:AB33"/>
  <sheetViews>
    <sheetView zoomScaleNormal="100" zoomScaleSheetLayoutView="70" workbookViewId="0">
      <selection activeCell="B2" sqref="B2:Q3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44797</v>
      </c>
    </row>
    <row r="3" spans="1:27" ht="18.75" customHeight="1" thickBot="1" x14ac:dyDescent="0.35">
      <c r="B3" t="s">
        <v>1</v>
      </c>
      <c r="C3" s="3">
        <f>C2+1</f>
        <v>44798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54</v>
      </c>
      <c r="E6" s="161" t="s">
        <v>22</v>
      </c>
      <c r="F6" s="119">
        <v>24865</v>
      </c>
      <c r="G6" s="117">
        <v>11644.930625000001</v>
      </c>
      <c r="H6" s="117">
        <v>6465.0444855199976</v>
      </c>
      <c r="I6" s="152">
        <f>G6+H6</f>
        <v>18109.975110519998</v>
      </c>
      <c r="J6" s="119">
        <v>24878</v>
      </c>
      <c r="K6" s="117">
        <v>12539.638625</v>
      </c>
      <c r="L6" s="117">
        <v>5737.2144829999979</v>
      </c>
      <c r="M6" s="162">
        <f>K6+L6</f>
        <v>18276.853107999996</v>
      </c>
      <c r="N6" s="178">
        <v>70</v>
      </c>
      <c r="O6" s="88">
        <v>68</v>
      </c>
      <c r="P6" s="145">
        <v>66</v>
      </c>
      <c r="Q6" s="181">
        <f>IF(J6=0,((F6/V6)),((J6/V6)))</f>
        <v>578.55813953488371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3254.499824</v>
      </c>
      <c r="I8" s="152">
        <f>G8+H8</f>
        <v>3254.499824</v>
      </c>
      <c r="J8" s="119">
        <v>0</v>
      </c>
      <c r="K8" s="117">
        <v>0</v>
      </c>
      <c r="L8" s="117">
        <v>3188.7324744399998</v>
      </c>
      <c r="M8" s="162">
        <f>K8+L8</f>
        <v>3188.7324744399998</v>
      </c>
      <c r="N8" s="178">
        <v>6</v>
      </c>
      <c r="O8" s="88">
        <v>6</v>
      </c>
      <c r="P8" s="145">
        <v>5</v>
      </c>
      <c r="Q8" s="117"/>
    </row>
    <row r="9" spans="1:27" x14ac:dyDescent="0.3">
      <c r="B9" s="16" t="s">
        <v>23</v>
      </c>
      <c r="C9" s="17">
        <v>1357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16208</v>
      </c>
      <c r="G10" s="117">
        <v>11025.5725</v>
      </c>
      <c r="H10" s="117">
        <v>839.09008969999991</v>
      </c>
      <c r="I10" s="152">
        <f>G10+H10</f>
        <v>11864.662589699999</v>
      </c>
      <c r="J10" s="119">
        <v>14935</v>
      </c>
      <c r="K10" s="117">
        <v>11427.08</v>
      </c>
      <c r="L10" s="117">
        <v>853.77733328000011</v>
      </c>
      <c r="M10" s="162">
        <f>K10+L10</f>
        <v>12280.857333280001</v>
      </c>
      <c r="N10" s="178">
        <v>47</v>
      </c>
      <c r="O10" s="88">
        <v>49</v>
      </c>
      <c r="P10" s="145">
        <v>46</v>
      </c>
      <c r="Q10" s="181">
        <f>IF(J10=0,((F10/V10)),((J10/V10)))</f>
        <v>262.01754385964909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3">
      <c r="A12" s="166"/>
      <c r="B12" s="16" t="s">
        <v>30</v>
      </c>
      <c r="C12" s="17">
        <v>2440</v>
      </c>
      <c r="E12" s="161" t="s">
        <v>35</v>
      </c>
      <c r="F12" s="119">
        <v>11615</v>
      </c>
      <c r="G12" s="117">
        <v>9230.1062500000007</v>
      </c>
      <c r="H12" s="117">
        <v>14322.133471970001</v>
      </c>
      <c r="I12" s="152">
        <f>G12+H12</f>
        <v>23552.23972197</v>
      </c>
      <c r="J12" s="119">
        <v>10953</v>
      </c>
      <c r="K12" s="117">
        <v>10590.845499999999</v>
      </c>
      <c r="L12" s="117">
        <v>13614.973779170001</v>
      </c>
      <c r="M12" s="162">
        <f>K12+L12</f>
        <v>24205.819279169998</v>
      </c>
      <c r="N12" s="178">
        <v>47</v>
      </c>
      <c r="O12" s="88">
        <v>48</v>
      </c>
      <c r="P12" s="145">
        <v>47</v>
      </c>
      <c r="Q12" s="181">
        <f>IF(J12=0,((F12/V12)),((J12/V12)))</f>
        <v>312.94285714285712</v>
      </c>
      <c r="V12" s="1">
        <v>35</v>
      </c>
    </row>
    <row r="13" spans="1:27" x14ac:dyDescent="0.3">
      <c r="B13" s="16" t="s">
        <v>38</v>
      </c>
      <c r="C13" s="17">
        <v>9188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1629</v>
      </c>
      <c r="E14" s="161" t="s">
        <v>39</v>
      </c>
      <c r="F14" s="119">
        <v>20621</v>
      </c>
      <c r="G14" s="117">
        <v>18238.256249999999</v>
      </c>
      <c r="H14" s="117">
        <v>26130.17751016</v>
      </c>
      <c r="I14" s="152">
        <f>G14+H14</f>
        <v>44368.433760159998</v>
      </c>
      <c r="J14" s="119">
        <v>20336</v>
      </c>
      <c r="K14" s="117">
        <v>19900.608499999998</v>
      </c>
      <c r="L14" s="117">
        <v>25779.759933000001</v>
      </c>
      <c r="M14" s="162">
        <f>K14+L14</f>
        <v>45680.368432999996</v>
      </c>
      <c r="N14" s="178">
        <v>64</v>
      </c>
      <c r="O14" s="88">
        <v>64</v>
      </c>
      <c r="P14" s="145">
        <v>54</v>
      </c>
      <c r="Q14" s="181">
        <f>IF(J14=0,((F14/V14)),((J14/V14)))</f>
        <v>484.1904761904762</v>
      </c>
      <c r="V14" s="1">
        <v>42</v>
      </c>
    </row>
    <row r="15" spans="1:27" x14ac:dyDescent="0.3">
      <c r="B15" s="28" t="s">
        <v>42</v>
      </c>
      <c r="C15" s="17">
        <v>28381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3">
      <c r="B16" s="43" t="s">
        <v>47</v>
      </c>
      <c r="C16" s="17">
        <v>1539</v>
      </c>
      <c r="E16" s="161" t="s">
        <v>79</v>
      </c>
      <c r="F16" s="119">
        <v>0</v>
      </c>
      <c r="G16" s="117">
        <v>0</v>
      </c>
      <c r="H16" s="117">
        <v>7077.99167158</v>
      </c>
      <c r="I16" s="152">
        <f>G16+H16</f>
        <v>7077.99167158</v>
      </c>
      <c r="J16" s="119">
        <v>0</v>
      </c>
      <c r="K16" s="117">
        <v>0</v>
      </c>
      <c r="L16" s="117">
        <v>6984.7700073400001</v>
      </c>
      <c r="M16" s="162">
        <f>K16+L16</f>
        <v>6984.7700073400001</v>
      </c>
      <c r="N16" s="178">
        <v>10</v>
      </c>
      <c r="O16" s="88">
        <v>10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50">
        <v>316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10052</v>
      </c>
      <c r="E18" s="84"/>
      <c r="F18" s="149">
        <f t="shared" ref="F18:M18" si="0">SUM(F6:F17)</f>
        <v>73309</v>
      </c>
      <c r="G18" s="149">
        <f t="shared" si="0"/>
        <v>50138.865625000006</v>
      </c>
      <c r="H18" s="149">
        <f t="shared" si="0"/>
        <v>58088.937052929999</v>
      </c>
      <c r="I18" s="157">
        <f t="shared" si="0"/>
        <v>108227.80267793</v>
      </c>
      <c r="J18" s="149">
        <f t="shared" si="0"/>
        <v>71102</v>
      </c>
      <c r="K18" s="149">
        <f t="shared" si="0"/>
        <v>54458.172625000007</v>
      </c>
      <c r="L18" s="149">
        <f t="shared" si="0"/>
        <v>56159.228010229999</v>
      </c>
      <c r="M18" s="175">
        <f t="shared" si="0"/>
        <v>110617.40063522999</v>
      </c>
      <c r="N18" s="148">
        <f>SUM(N16,N14,N12,N10,N8,N6)</f>
        <v>244</v>
      </c>
      <c r="O18" s="149">
        <f>SUM(O16,O14,O12,O10,O8,O6)</f>
        <v>245</v>
      </c>
      <c r="P18" s="158">
        <f>SUM(P16,P14,P12,P10,P8,P6)</f>
        <v>226</v>
      </c>
      <c r="Q18" s="182"/>
    </row>
    <row r="19" spans="1:28" ht="15" customHeight="1" thickBot="1" x14ac:dyDescent="0.35">
      <c r="B19" s="16" t="s">
        <v>51</v>
      </c>
      <c r="C19" s="17">
        <v>1354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3">
      <c r="B20" s="16" t="s">
        <v>52</v>
      </c>
      <c r="C20" s="17">
        <v>5169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7.7551020408163265E-2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10220</v>
      </c>
      <c r="D25" s="76">
        <f>C13</f>
        <v>9188</v>
      </c>
      <c r="E25" s="77">
        <f t="shared" ref="E25:E33" si="1">D25-C25</f>
        <v>-1032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34232</v>
      </c>
      <c r="D28" s="76">
        <f>C9+C14+C15+C16+C17</f>
        <v>33222</v>
      </c>
      <c r="E28" s="77">
        <f t="shared" si="1"/>
        <v>-1010</v>
      </c>
      <c r="P28" s="4"/>
      <c r="Q28" s="4"/>
    </row>
    <row r="29" spans="1:28" x14ac:dyDescent="0.3">
      <c r="B29" s="74" t="s">
        <v>21</v>
      </c>
      <c r="C29" s="122">
        <v>54</v>
      </c>
      <c r="D29" s="76">
        <f>C6</f>
        <v>54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2440</v>
      </c>
      <c r="D30" s="76">
        <f>C12</f>
        <v>2440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16375</v>
      </c>
      <c r="D31" s="76">
        <f>C18+C19+C20</f>
        <v>16575</v>
      </c>
      <c r="E31" s="77">
        <f t="shared" si="1"/>
        <v>200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tabColor theme="1"/>
    <pageSetUpPr fitToPage="1"/>
  </sheetPr>
  <dimension ref="A1:AB33"/>
  <sheetViews>
    <sheetView zoomScaleNormal="100" zoomScaleSheetLayoutView="70" workbookViewId="0">
      <selection activeCell="M28" sqref="M2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44798</v>
      </c>
    </row>
    <row r="3" spans="1:27" ht="18.75" customHeight="1" thickBot="1" x14ac:dyDescent="0.35">
      <c r="B3" t="s">
        <v>1</v>
      </c>
      <c r="C3" s="3">
        <f>C2+1</f>
        <v>44799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99</v>
      </c>
      <c r="E6" s="161" t="s">
        <v>22</v>
      </c>
      <c r="F6" s="119">
        <v>23871</v>
      </c>
      <c r="G6" s="117">
        <v>11225.095300000001</v>
      </c>
      <c r="H6" s="117">
        <v>6799.8220378200003</v>
      </c>
      <c r="I6" s="152">
        <f>G6+H6</f>
        <v>18024.917337819999</v>
      </c>
      <c r="J6" s="119">
        <v>24235</v>
      </c>
      <c r="K6" s="117">
        <v>12368.094300000001</v>
      </c>
      <c r="L6" s="117">
        <v>6251.2020118199998</v>
      </c>
      <c r="M6" s="162">
        <f>K6+L6</f>
        <v>18619.296311819999</v>
      </c>
      <c r="N6" s="178">
        <v>68</v>
      </c>
      <c r="O6" s="88">
        <v>67</v>
      </c>
      <c r="P6" s="145">
        <v>65</v>
      </c>
      <c r="Q6" s="181">
        <f>IF(J6=0,((F6/V6)),((J6/V6)))</f>
        <v>563.60465116279067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2888.0074186000002</v>
      </c>
      <c r="I8" s="152">
        <f>G8+H8</f>
        <v>2888.0074186000002</v>
      </c>
      <c r="J8" s="119">
        <v>0</v>
      </c>
      <c r="K8" s="117">
        <v>0</v>
      </c>
      <c r="L8" s="117">
        <v>2785.957081779999</v>
      </c>
      <c r="M8" s="162">
        <f>K8+L8</f>
        <v>2785.957081779999</v>
      </c>
      <c r="N8" s="178">
        <v>7</v>
      </c>
      <c r="O8" s="88">
        <v>7</v>
      </c>
      <c r="P8" s="145">
        <v>5</v>
      </c>
      <c r="Q8" s="117"/>
    </row>
    <row r="9" spans="1:27" x14ac:dyDescent="0.3">
      <c r="B9" s="16" t="s">
        <v>23</v>
      </c>
      <c r="C9" s="17">
        <v>2806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3">
      <c r="B10" s="28" t="s">
        <v>26</v>
      </c>
      <c r="C10" s="17">
        <v>1150</v>
      </c>
      <c r="E10" s="161" t="s">
        <v>31</v>
      </c>
      <c r="F10" s="119">
        <v>19618</v>
      </c>
      <c r="G10" s="117">
        <v>11956.143749999999</v>
      </c>
      <c r="H10" s="117">
        <v>1112.2646310600001</v>
      </c>
      <c r="I10" s="152">
        <f>G10+H10</f>
        <v>13068.408381059999</v>
      </c>
      <c r="J10" s="119">
        <v>19434</v>
      </c>
      <c r="K10" s="117">
        <v>12895.61325</v>
      </c>
      <c r="L10" s="117">
        <v>1172.6841868399999</v>
      </c>
      <c r="M10" s="162">
        <f>K10+L10</f>
        <v>14068.297436840001</v>
      </c>
      <c r="N10" s="178">
        <v>54</v>
      </c>
      <c r="O10" s="88">
        <v>53</v>
      </c>
      <c r="P10" s="145">
        <v>44</v>
      </c>
      <c r="Q10" s="181">
        <f>IF(J10=0,((F10/V10)),((J10/V10)))</f>
        <v>340.94736842105266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9</v>
      </c>
      <c r="Q11" s="118"/>
    </row>
    <row r="12" spans="1:27" x14ac:dyDescent="0.3">
      <c r="A12" s="166"/>
      <c r="B12" s="16" t="s">
        <v>30</v>
      </c>
      <c r="C12" s="17">
        <v>2495</v>
      </c>
      <c r="E12" s="161" t="s">
        <v>35</v>
      </c>
      <c r="F12" s="119">
        <v>14926</v>
      </c>
      <c r="G12" s="117">
        <v>10312.79166666667</v>
      </c>
      <c r="H12" s="117">
        <v>18298.722725560001</v>
      </c>
      <c r="I12" s="152">
        <f>G12+H12</f>
        <v>28611.514392226672</v>
      </c>
      <c r="J12" s="119">
        <v>15152</v>
      </c>
      <c r="K12" s="117">
        <v>12450.325166666669</v>
      </c>
      <c r="L12" s="117">
        <v>18413.43288986</v>
      </c>
      <c r="M12" s="162">
        <f>K12+L12</f>
        <v>30863.758056526669</v>
      </c>
      <c r="N12" s="178">
        <v>49</v>
      </c>
      <c r="O12" s="88">
        <v>51</v>
      </c>
      <c r="P12" s="145">
        <v>45</v>
      </c>
      <c r="Q12" s="181">
        <f>IF(J12=0,((F12/V12)),((J12/V12)))</f>
        <v>432.91428571428571</v>
      </c>
      <c r="V12" s="1">
        <v>35</v>
      </c>
    </row>
    <row r="13" spans="1:27" x14ac:dyDescent="0.3">
      <c r="B13" s="16" t="s">
        <v>38</v>
      </c>
      <c r="C13" s="17">
        <v>9214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3">
      <c r="B14" s="16" t="s">
        <v>40</v>
      </c>
      <c r="C14" s="17">
        <v>2000</v>
      </c>
      <c r="E14" s="161" t="s">
        <v>39</v>
      </c>
      <c r="F14" s="119">
        <v>25451</v>
      </c>
      <c r="G14" s="117">
        <v>19398.294999999998</v>
      </c>
      <c r="H14" s="117">
        <v>31537.287672579991</v>
      </c>
      <c r="I14" s="152">
        <f>G14+H14</f>
        <v>50935.582672579985</v>
      </c>
      <c r="J14" s="119">
        <v>25328</v>
      </c>
      <c r="K14" s="117">
        <v>22828.08625</v>
      </c>
      <c r="L14" s="117">
        <v>31236.30339759999</v>
      </c>
      <c r="M14" s="162">
        <f>K14+L14</f>
        <v>54064.389647599994</v>
      </c>
      <c r="N14" s="178">
        <v>67</v>
      </c>
      <c r="O14" s="88">
        <v>68</v>
      </c>
      <c r="P14" s="145">
        <v>62</v>
      </c>
      <c r="Q14" s="181">
        <f>IF(J14=0,((F14/V14)),((J14/V14)))</f>
        <v>603.04761904761904</v>
      </c>
      <c r="V14" s="1">
        <v>42</v>
      </c>
    </row>
    <row r="15" spans="1:27" x14ac:dyDescent="0.3">
      <c r="B15" s="28" t="s">
        <v>42</v>
      </c>
      <c r="C15" s="17">
        <v>33726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6</v>
      </c>
      <c r="Q15" s="118"/>
    </row>
    <row r="16" spans="1:27" x14ac:dyDescent="0.3">
      <c r="B16" s="43" t="s">
        <v>47</v>
      </c>
      <c r="C16" s="17">
        <v>1578</v>
      </c>
      <c r="E16" s="161" t="s">
        <v>79</v>
      </c>
      <c r="F16" s="119">
        <v>0</v>
      </c>
      <c r="G16" s="117">
        <v>0</v>
      </c>
      <c r="H16" s="117">
        <v>4580.66030168</v>
      </c>
      <c r="I16" s="152">
        <f>G16+H16</f>
        <v>4580.66030168</v>
      </c>
      <c r="J16" s="119">
        <v>0</v>
      </c>
      <c r="K16" s="117">
        <v>0</v>
      </c>
      <c r="L16" s="117">
        <v>5051.2183591800003</v>
      </c>
      <c r="M16" s="162">
        <f>K16+L16</f>
        <v>5051.2183591800003</v>
      </c>
      <c r="N16" s="178">
        <v>8</v>
      </c>
      <c r="O16" s="88">
        <v>11</v>
      </c>
      <c r="P16" s="145">
        <v>6</v>
      </c>
      <c r="Q16" s="180"/>
    </row>
    <row r="17" spans="1:28" s="4" customFormat="1" ht="15" customHeight="1" thickBot="1" x14ac:dyDescent="0.35">
      <c r="B17" s="43" t="s">
        <v>48</v>
      </c>
      <c r="C17" s="50">
        <v>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5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9318</v>
      </c>
      <c r="E18" s="84"/>
      <c r="F18" s="149">
        <f t="shared" ref="F18:M18" si="0">SUM(F6:F17)</f>
        <v>83866</v>
      </c>
      <c r="G18" s="149">
        <f t="shared" si="0"/>
        <v>52892.325716666666</v>
      </c>
      <c r="H18" s="149">
        <f t="shared" si="0"/>
        <v>65216.764787299988</v>
      </c>
      <c r="I18" s="157">
        <f t="shared" si="0"/>
        <v>118109.09050396667</v>
      </c>
      <c r="J18" s="149">
        <f t="shared" si="0"/>
        <v>84149</v>
      </c>
      <c r="K18" s="149">
        <f t="shared" si="0"/>
        <v>60542.118966666669</v>
      </c>
      <c r="L18" s="149">
        <f t="shared" si="0"/>
        <v>64910.797927079984</v>
      </c>
      <c r="M18" s="175">
        <f t="shared" si="0"/>
        <v>125452.91689374666</v>
      </c>
      <c r="N18" s="148">
        <f>SUM(N16,N14,N12,N10,N8,N6)</f>
        <v>253</v>
      </c>
      <c r="O18" s="149">
        <f>SUM(O16,O14,O12,O10,O8,O6)</f>
        <v>257</v>
      </c>
      <c r="P18" s="158">
        <f>SUM(P16,P14,P12,P10,P8,P6)</f>
        <v>227</v>
      </c>
      <c r="Q18" s="182"/>
    </row>
    <row r="19" spans="1:28" ht="15" customHeight="1" thickBot="1" x14ac:dyDescent="0.35">
      <c r="B19" s="16" t="s">
        <v>51</v>
      </c>
      <c r="C19" s="17">
        <v>1792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4255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0.11673151750972763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9769</v>
      </c>
      <c r="D25" s="76">
        <f>C13</f>
        <v>9214</v>
      </c>
      <c r="E25" s="77">
        <f t="shared" ref="E25:E33" si="1">D25-C25</f>
        <v>-555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39180</v>
      </c>
      <c r="D28" s="76">
        <f>C9+C14+C15+C16+C17</f>
        <v>40152</v>
      </c>
      <c r="E28" s="77">
        <f t="shared" si="1"/>
        <v>972</v>
      </c>
      <c r="P28" s="4"/>
      <c r="Q28" s="4"/>
    </row>
    <row r="29" spans="1:28" x14ac:dyDescent="0.3">
      <c r="B29" s="74" t="s">
        <v>21</v>
      </c>
      <c r="C29" s="122">
        <v>99</v>
      </c>
      <c r="D29" s="76">
        <f>C6</f>
        <v>99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2495</v>
      </c>
      <c r="D30" s="76">
        <f>C12</f>
        <v>2495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14088</v>
      </c>
      <c r="D31" s="76">
        <f>C18+C19+C20</f>
        <v>15365</v>
      </c>
      <c r="E31" s="77">
        <f t="shared" si="1"/>
        <v>1277</v>
      </c>
      <c r="K31" s="53"/>
      <c r="P31" s="4"/>
      <c r="Q31" s="4"/>
    </row>
    <row r="32" spans="1:28" x14ac:dyDescent="0.3">
      <c r="B32" s="74" t="s">
        <v>60</v>
      </c>
      <c r="C32" s="122">
        <v>1150</v>
      </c>
      <c r="D32" s="76">
        <f>C10+C11</f>
        <v>1150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theme="1"/>
    <pageSetUpPr fitToPage="1"/>
  </sheetPr>
  <dimension ref="A1:AB33"/>
  <sheetViews>
    <sheetView zoomScale="85" zoomScaleNormal="85" zoomScaleSheetLayoutView="70" workbookViewId="0">
      <selection activeCell="X17" sqref="X1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44799</v>
      </c>
    </row>
    <row r="3" spans="1:27" ht="18.75" customHeight="1" thickBot="1" x14ac:dyDescent="0.35">
      <c r="B3" t="s">
        <v>1</v>
      </c>
      <c r="C3" s="3">
        <f>C2+1</f>
        <v>44800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27599</v>
      </c>
      <c r="G6" s="117">
        <v>12094.28766666666</v>
      </c>
      <c r="H6" s="117">
        <v>5427.1045381400036</v>
      </c>
      <c r="I6" s="152">
        <f>G6+H6</f>
        <v>17521.392204806663</v>
      </c>
      <c r="J6" s="119">
        <v>27064</v>
      </c>
      <c r="K6" s="117">
        <v>12304.34116666666</v>
      </c>
      <c r="L6" s="117">
        <v>5178.3542619400059</v>
      </c>
      <c r="M6" s="162">
        <f>K6+L6</f>
        <v>17482.695428606665</v>
      </c>
      <c r="N6" s="178">
        <v>75</v>
      </c>
      <c r="O6" s="88">
        <v>74</v>
      </c>
      <c r="P6" s="145">
        <v>72</v>
      </c>
      <c r="Q6" s="181">
        <f>IF(J6=0,((F6/V6)),((J6/V6)))</f>
        <v>629.39534883720933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3899.2476941999998</v>
      </c>
      <c r="I8" s="152">
        <f>G8+H8</f>
        <v>3899.2476941999998</v>
      </c>
      <c r="J8" s="119">
        <v>0</v>
      </c>
      <c r="K8" s="117">
        <v>0</v>
      </c>
      <c r="L8" s="117">
        <v>3805.0726242799992</v>
      </c>
      <c r="M8" s="162">
        <f>K8+L8</f>
        <v>3805.0726242799992</v>
      </c>
      <c r="N8" s="178">
        <v>7</v>
      </c>
      <c r="O8" s="88">
        <v>7</v>
      </c>
      <c r="P8" s="145">
        <v>7</v>
      </c>
      <c r="Q8" s="117"/>
    </row>
    <row r="9" spans="1:27" x14ac:dyDescent="0.3">
      <c r="B9" s="16" t="s">
        <v>23</v>
      </c>
      <c r="C9" s="17">
        <v>1596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15050</v>
      </c>
      <c r="G10" s="117">
        <v>10504.23266666667</v>
      </c>
      <c r="H10" s="117">
        <v>679.36909199999991</v>
      </c>
      <c r="I10" s="152">
        <f>G10+H10</f>
        <v>11183.601758666671</v>
      </c>
      <c r="J10" s="119">
        <v>15296</v>
      </c>
      <c r="K10" s="117">
        <v>10525.99766666667</v>
      </c>
      <c r="L10" s="117">
        <v>689.96824770000001</v>
      </c>
      <c r="M10" s="162">
        <f>K10+L10</f>
        <v>11215.96591436667</v>
      </c>
      <c r="N10" s="178">
        <v>46</v>
      </c>
      <c r="O10" s="88">
        <v>50</v>
      </c>
      <c r="P10" s="145">
        <v>43</v>
      </c>
      <c r="Q10" s="181">
        <f>IF(J10=0,((F10/V10)),((J10/V10)))</f>
        <v>268.35087719298247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3">
      <c r="A12" s="166"/>
      <c r="B12" s="16" t="s">
        <v>30</v>
      </c>
      <c r="C12" s="17">
        <v>4584</v>
      </c>
      <c r="E12" s="161" t="s">
        <v>35</v>
      </c>
      <c r="F12" s="119">
        <v>12990</v>
      </c>
      <c r="G12" s="117">
        <v>10666.451999999999</v>
      </c>
      <c r="H12" s="117">
        <v>15829.81818815</v>
      </c>
      <c r="I12" s="152">
        <f>G12+H12</f>
        <v>26496.27018815</v>
      </c>
      <c r="J12" s="119">
        <v>13138</v>
      </c>
      <c r="K12" s="117">
        <v>12825.330999999989</v>
      </c>
      <c r="L12" s="117">
        <v>15910.38236732001</v>
      </c>
      <c r="M12" s="162">
        <f>K12+L12</f>
        <v>28735.713367320001</v>
      </c>
      <c r="N12" s="178">
        <v>49</v>
      </c>
      <c r="O12" s="88">
        <v>50</v>
      </c>
      <c r="P12" s="145">
        <v>49</v>
      </c>
      <c r="Q12" s="181">
        <f>IF(J12=0,((F12/V12)),((J12/V12)))</f>
        <v>375.37142857142857</v>
      </c>
      <c r="V12" s="1">
        <v>35</v>
      </c>
    </row>
    <row r="13" spans="1:27" x14ac:dyDescent="0.3">
      <c r="B13" s="16" t="s">
        <v>38</v>
      </c>
      <c r="C13" s="17">
        <v>7934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1550</v>
      </c>
      <c r="E14" s="161" t="s">
        <v>39</v>
      </c>
      <c r="F14" s="119">
        <v>29032</v>
      </c>
      <c r="G14" s="117">
        <v>22851.3</v>
      </c>
      <c r="H14" s="117">
        <v>35580.549334479991</v>
      </c>
      <c r="I14" s="152">
        <f>G14+H14</f>
        <v>58431.849334479994</v>
      </c>
      <c r="J14" s="119">
        <v>28214</v>
      </c>
      <c r="K14" s="117">
        <v>25174.555499999999</v>
      </c>
      <c r="L14" s="117">
        <v>34372.347314740007</v>
      </c>
      <c r="M14" s="162">
        <f>K14+L14</f>
        <v>59546.902814740009</v>
      </c>
      <c r="N14" s="178">
        <v>75</v>
      </c>
      <c r="O14" s="88">
        <v>71</v>
      </c>
      <c r="P14" s="145">
        <v>64</v>
      </c>
      <c r="Q14" s="181">
        <f>IF(J14=0,((F14/V14)),((J14/V14)))</f>
        <v>671.76190476190482</v>
      </c>
      <c r="V14" s="1">
        <v>42</v>
      </c>
    </row>
    <row r="15" spans="1:27" x14ac:dyDescent="0.3">
      <c r="B15" s="28" t="s">
        <v>42</v>
      </c>
      <c r="C15" s="17">
        <f>37235-4958</f>
        <v>32277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3">
      <c r="B16" s="43" t="s">
        <v>47</v>
      </c>
      <c r="C16" s="17">
        <v>1515</v>
      </c>
      <c r="E16" s="161" t="s">
        <v>79</v>
      </c>
      <c r="F16" s="119">
        <v>0</v>
      </c>
      <c r="G16" s="117">
        <v>0</v>
      </c>
      <c r="H16" s="117">
        <v>6903.8120671399993</v>
      </c>
      <c r="I16" s="152">
        <f>G16+H16</f>
        <v>6903.8120671399993</v>
      </c>
      <c r="J16" s="119">
        <v>0</v>
      </c>
      <c r="K16" s="117">
        <v>0</v>
      </c>
      <c r="L16" s="117">
        <v>7002.5211374800001</v>
      </c>
      <c r="M16" s="162">
        <f>K16+L16</f>
        <v>7002.5211374800001</v>
      </c>
      <c r="N16" s="178">
        <v>12</v>
      </c>
      <c r="O16" s="88">
        <v>9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297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8195</v>
      </c>
      <c r="E18" s="84"/>
      <c r="F18" s="149">
        <f t="shared" ref="F18:M18" si="0">SUM(F6:F17)</f>
        <v>84671</v>
      </c>
      <c r="G18" s="149">
        <f t="shared" si="0"/>
        <v>56116.272333333327</v>
      </c>
      <c r="H18" s="149">
        <f t="shared" si="0"/>
        <v>68319.900914109996</v>
      </c>
      <c r="I18" s="157">
        <f t="shared" si="0"/>
        <v>124436.17324744332</v>
      </c>
      <c r="J18" s="149">
        <f t="shared" si="0"/>
        <v>83712</v>
      </c>
      <c r="K18" s="149">
        <f t="shared" si="0"/>
        <v>60830.225333333321</v>
      </c>
      <c r="L18" s="149">
        <f t="shared" si="0"/>
        <v>66958.645953460029</v>
      </c>
      <c r="M18" s="175">
        <f t="shared" si="0"/>
        <v>127788.87128679334</v>
      </c>
      <c r="N18" s="148">
        <f>SUM(N16,N14,N12,N10,N8,N6)</f>
        <v>264</v>
      </c>
      <c r="O18" s="149">
        <f>SUM(O16,O14,O12,O10,O8,O6)</f>
        <v>261</v>
      </c>
      <c r="P18" s="158">
        <f>SUM(P16,P14,P12,P10,P8,P6)</f>
        <v>245</v>
      </c>
      <c r="Q18" s="182"/>
    </row>
    <row r="19" spans="1:28" ht="15" customHeight="1" thickBot="1" x14ac:dyDescent="0.35">
      <c r="B19" s="16" t="s">
        <v>51</v>
      </c>
      <c r="C19" s="17">
        <v>438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  <c r="Q19" s="183"/>
    </row>
    <row r="20" spans="1:28" x14ac:dyDescent="0.3">
      <c r="B20" s="16" t="s">
        <v>52</v>
      </c>
      <c r="C20" s="17">
        <v>4532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6.1302681992337162E-2</v>
      </c>
      <c r="Q20" s="139"/>
    </row>
    <row r="21" spans="1:28" ht="15" customHeight="1" thickBot="1" x14ac:dyDescent="0.35">
      <c r="A21" s="123"/>
      <c r="B21" s="168" t="s">
        <v>132</v>
      </c>
      <c r="C21" s="169">
        <v>1317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9769</v>
      </c>
      <c r="D25" s="76">
        <f>C13</f>
        <v>7934</v>
      </c>
      <c r="E25" s="77">
        <f t="shared" ref="E25:E33" si="1">D25-C25</f>
        <v>-1835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24</v>
      </c>
      <c r="D27" s="76">
        <f>C8</f>
        <v>0</v>
      </c>
      <c r="E27" s="77">
        <f t="shared" si="1"/>
        <v>-24</v>
      </c>
      <c r="G27" s="53"/>
      <c r="M27" s="53"/>
      <c r="P27" s="4"/>
      <c r="Q27" s="4"/>
    </row>
    <row r="28" spans="1:28" x14ac:dyDescent="0.3">
      <c r="B28" s="74" t="s">
        <v>56</v>
      </c>
      <c r="C28" s="122">
        <v>39180</v>
      </c>
      <c r="D28" s="76">
        <f>C9+C14+C15+C16+C17</f>
        <v>37235</v>
      </c>
      <c r="E28" s="77">
        <f t="shared" si="1"/>
        <v>-1945</v>
      </c>
      <c r="P28" s="4"/>
      <c r="Q28" s="4"/>
    </row>
    <row r="29" spans="1:28" x14ac:dyDescent="0.3">
      <c r="B29" s="74" t="s">
        <v>21</v>
      </c>
      <c r="C29" s="122">
        <v>99</v>
      </c>
      <c r="D29" s="76">
        <f>C6</f>
        <v>0</v>
      </c>
      <c r="E29" s="77">
        <f t="shared" si="1"/>
        <v>-99</v>
      </c>
      <c r="P29" s="4"/>
      <c r="Q29" s="4"/>
    </row>
    <row r="30" spans="1:28" x14ac:dyDescent="0.3">
      <c r="B30" s="74" t="s">
        <v>57</v>
      </c>
      <c r="C30" s="122">
        <v>2495</v>
      </c>
      <c r="D30" s="76">
        <f>C12</f>
        <v>4584</v>
      </c>
      <c r="E30" s="77">
        <f t="shared" si="1"/>
        <v>2089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14088</v>
      </c>
      <c r="D31" s="76">
        <f>C18+C19+C20</f>
        <v>13165</v>
      </c>
      <c r="E31" s="77">
        <f t="shared" si="1"/>
        <v>-923</v>
      </c>
      <c r="K31" s="53"/>
      <c r="P31" s="4"/>
      <c r="Q31" s="4"/>
    </row>
    <row r="32" spans="1:28" x14ac:dyDescent="0.3">
      <c r="B32" s="74" t="s">
        <v>60</v>
      </c>
      <c r="C32" s="122">
        <v>1150</v>
      </c>
      <c r="D32" s="76">
        <f>C10+C11</f>
        <v>0</v>
      </c>
      <c r="E32" s="77">
        <f t="shared" si="1"/>
        <v>-1150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1317</v>
      </c>
      <c r="E33" s="172">
        <f t="shared" si="1"/>
        <v>1317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Q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44800</v>
      </c>
    </row>
    <row r="3" spans="1:27" ht="18.75" customHeight="1" thickBot="1" x14ac:dyDescent="0.35">
      <c r="B3" t="s">
        <v>1</v>
      </c>
      <c r="C3" s="3">
        <f>C2+1</f>
        <v>44801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72</v>
      </c>
      <c r="E6" s="161" t="s">
        <v>22</v>
      </c>
      <c r="F6" s="119">
        <v>26691</v>
      </c>
      <c r="G6" s="117">
        <v>11100.937083333331</v>
      </c>
      <c r="H6" s="117">
        <v>6641.7919924800044</v>
      </c>
      <c r="I6" s="152">
        <f>G6+H6</f>
        <v>17742.729075813335</v>
      </c>
      <c r="J6" s="119">
        <v>27290</v>
      </c>
      <c r="K6" s="117">
        <v>13331.255583333341</v>
      </c>
      <c r="L6" s="117">
        <v>6484.9427636200007</v>
      </c>
      <c r="M6" s="162">
        <f>K6+L6</f>
        <v>19816.198346953341</v>
      </c>
      <c r="N6" s="178">
        <v>75</v>
      </c>
      <c r="O6" s="88">
        <v>75</v>
      </c>
      <c r="P6" s="145">
        <v>72</v>
      </c>
      <c r="Q6" s="181">
        <f>IF(J6=0,((F6/V6)),((J6/V6)))</f>
        <v>634.65116279069764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3564.048293620001</v>
      </c>
      <c r="I8" s="152">
        <f>G8+H8</f>
        <v>3564.048293620001</v>
      </c>
      <c r="J8" s="119">
        <v>0</v>
      </c>
      <c r="K8" s="117">
        <v>0</v>
      </c>
      <c r="L8" s="117">
        <v>3554.0091958599992</v>
      </c>
      <c r="M8" s="162">
        <f>K8+L8</f>
        <v>3554.0091958599992</v>
      </c>
      <c r="N8" s="178">
        <v>7</v>
      </c>
      <c r="O8" s="88">
        <v>7</v>
      </c>
      <c r="P8" s="145">
        <v>7</v>
      </c>
      <c r="Q8" s="117"/>
    </row>
    <row r="9" spans="1:27" x14ac:dyDescent="0.3">
      <c r="B9" s="16" t="s">
        <v>23</v>
      </c>
      <c r="C9" s="17">
        <v>1710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910</v>
      </c>
      <c r="E10" s="161" t="s">
        <v>31</v>
      </c>
      <c r="F10" s="119">
        <v>16130</v>
      </c>
      <c r="G10" s="117">
        <v>10178.41275</v>
      </c>
      <c r="H10" s="117">
        <v>1090.69264666</v>
      </c>
      <c r="I10" s="152">
        <f>G10+H10</f>
        <v>11269.105396659999</v>
      </c>
      <c r="J10" s="119">
        <v>16339</v>
      </c>
      <c r="K10" s="117">
        <v>11209.251249999999</v>
      </c>
      <c r="L10" s="117">
        <v>1217.7289407200001</v>
      </c>
      <c r="M10" s="162">
        <f>K10+L10</f>
        <v>12426.98019072</v>
      </c>
      <c r="N10" s="178">
        <v>47</v>
      </c>
      <c r="O10" s="88">
        <v>49</v>
      </c>
      <c r="P10" s="145">
        <v>44</v>
      </c>
      <c r="Q10" s="181">
        <f>IF(J10=0,((F10/V10)),((J10/V10)))</f>
        <v>286.64912280701753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5</v>
      </c>
      <c r="Q11" s="118"/>
    </row>
    <row r="12" spans="1:27" x14ac:dyDescent="0.3">
      <c r="A12" s="166"/>
      <c r="B12" s="16" t="s">
        <v>30</v>
      </c>
      <c r="C12" s="17">
        <v>2219</v>
      </c>
      <c r="E12" s="161" t="s">
        <v>35</v>
      </c>
      <c r="F12" s="119">
        <v>16454</v>
      </c>
      <c r="G12" s="117">
        <v>11258.787583333329</v>
      </c>
      <c r="H12" s="117">
        <v>19020.31898706</v>
      </c>
      <c r="I12" s="152">
        <f>G12+H12</f>
        <v>30279.106570393327</v>
      </c>
      <c r="J12" s="119">
        <v>16266</v>
      </c>
      <c r="K12" s="117">
        <v>13687.223333333341</v>
      </c>
      <c r="L12" s="117">
        <v>18865.400089620001</v>
      </c>
      <c r="M12" s="162">
        <f>K12+L12</f>
        <v>32552.623422953344</v>
      </c>
      <c r="N12" s="178">
        <v>48</v>
      </c>
      <c r="O12" s="88">
        <v>51</v>
      </c>
      <c r="P12" s="145">
        <v>46</v>
      </c>
      <c r="Q12" s="181">
        <f>IF(J12=0,((F12/V12)),((J12/V12)))</f>
        <v>464.74285714285713</v>
      </c>
      <c r="V12" s="1">
        <v>35</v>
      </c>
    </row>
    <row r="13" spans="1:27" x14ac:dyDescent="0.3">
      <c r="B13" s="16" t="s">
        <v>38</v>
      </c>
      <c r="C13" s="17">
        <v>10480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5</v>
      </c>
      <c r="Q13" s="118"/>
    </row>
    <row r="14" spans="1:27" x14ac:dyDescent="0.3">
      <c r="B14" s="16" t="s">
        <v>40</v>
      </c>
      <c r="C14" s="17">
        <v>1264</v>
      </c>
      <c r="E14" s="161" t="s">
        <v>39</v>
      </c>
      <c r="F14" s="119">
        <v>18973</v>
      </c>
      <c r="G14" s="117">
        <v>20839.971249999999</v>
      </c>
      <c r="H14" s="117">
        <v>23208.708160720002</v>
      </c>
      <c r="I14" s="152">
        <f>G14+H14</f>
        <v>44048.679410719997</v>
      </c>
      <c r="J14" s="119">
        <v>19211</v>
      </c>
      <c r="K14" s="117">
        <v>16818.479749999999</v>
      </c>
      <c r="L14" s="117">
        <v>23738.776996060002</v>
      </c>
      <c r="M14" s="162">
        <f>K14+L14</f>
        <v>40557.256746059997</v>
      </c>
      <c r="N14" s="178">
        <v>66</v>
      </c>
      <c r="O14" s="88">
        <v>63</v>
      </c>
      <c r="P14" s="145">
        <v>52</v>
      </c>
      <c r="Q14" s="181">
        <f>IF(J14=0,((F14/V14)),((J14/V14)))</f>
        <v>457.40476190476193</v>
      </c>
      <c r="V14" s="1">
        <v>42</v>
      </c>
    </row>
    <row r="15" spans="1:27" x14ac:dyDescent="0.3">
      <c r="B15" s="28" t="s">
        <v>42</v>
      </c>
      <c r="C15" s="17">
        <f>33103-3958</f>
        <v>29145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3">
      <c r="B16" s="43" t="s">
        <v>47</v>
      </c>
      <c r="C16" s="17">
        <v>943</v>
      </c>
      <c r="E16" s="161" t="s">
        <v>79</v>
      </c>
      <c r="F16" s="119">
        <v>0</v>
      </c>
      <c r="G16" s="117">
        <v>0</v>
      </c>
      <c r="H16" s="117">
        <v>4470.9526089800002</v>
      </c>
      <c r="I16" s="152">
        <f>G16+H16</f>
        <v>4470.9526089800002</v>
      </c>
      <c r="J16" s="119">
        <v>0</v>
      </c>
      <c r="K16" s="117">
        <v>0</v>
      </c>
      <c r="L16" s="117">
        <v>4511.3613668199996</v>
      </c>
      <c r="M16" s="162">
        <f>K16+L16</f>
        <v>4511.3613668199996</v>
      </c>
      <c r="N16" s="178">
        <v>10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10274</v>
      </c>
      <c r="E18" s="84"/>
      <c r="F18" s="149">
        <f t="shared" ref="F18:M18" si="0">SUM(F6:F17)</f>
        <v>78248</v>
      </c>
      <c r="G18" s="149">
        <f t="shared" si="0"/>
        <v>53378.108666666652</v>
      </c>
      <c r="H18" s="149">
        <f t="shared" si="0"/>
        <v>57996.512689520001</v>
      </c>
      <c r="I18" s="157">
        <f t="shared" si="0"/>
        <v>111374.62135618666</v>
      </c>
      <c r="J18" s="149">
        <f t="shared" si="0"/>
        <v>79106</v>
      </c>
      <c r="K18" s="149">
        <f t="shared" si="0"/>
        <v>55046.209916666681</v>
      </c>
      <c r="L18" s="149">
        <f t="shared" si="0"/>
        <v>58372.219352700005</v>
      </c>
      <c r="M18" s="175">
        <f t="shared" si="0"/>
        <v>113418.42926936668</v>
      </c>
      <c r="N18" s="148">
        <f>SUM(N16,N14,N12,N10,N8,N6)</f>
        <v>253</v>
      </c>
      <c r="O18" s="149">
        <f>SUM(O16,O14,O12,O10,O8,O6)</f>
        <v>254</v>
      </c>
      <c r="P18" s="158">
        <f>SUM(P16,P14,P12,P10,P8,P6)</f>
        <v>230</v>
      </c>
      <c r="Q18" s="182"/>
    </row>
    <row r="19" spans="1:28" ht="15" customHeight="1" thickBot="1" x14ac:dyDescent="0.35">
      <c r="B19" s="16" t="s">
        <v>51</v>
      </c>
      <c r="C19" s="17">
        <v>1483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  <c r="Q19" s="183"/>
    </row>
    <row r="20" spans="1:28" x14ac:dyDescent="0.3">
      <c r="B20" s="16" t="s">
        <v>52</v>
      </c>
      <c r="C20" s="17">
        <v>4354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9.4488188976377951E-2</v>
      </c>
      <c r="Q20" s="139"/>
    </row>
    <row r="21" spans="1:28" ht="15" customHeight="1" thickBot="1" x14ac:dyDescent="0.35">
      <c r="A21" s="123"/>
      <c r="B21" s="168" t="s">
        <v>132</v>
      </c>
      <c r="C21" s="169">
        <v>391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10888</v>
      </c>
      <c r="D25" s="76">
        <f>C13</f>
        <v>10480</v>
      </c>
      <c r="E25" s="77">
        <f t="shared" ref="E25:E33" si="1">D25-C25</f>
        <v>-408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33104</v>
      </c>
      <c r="D28" s="76">
        <f>C9+C14+C15+C16+C17</f>
        <v>33103</v>
      </c>
      <c r="E28" s="77">
        <f t="shared" si="1"/>
        <v>-1</v>
      </c>
      <c r="P28" s="4"/>
      <c r="Q28" s="4"/>
    </row>
    <row r="29" spans="1:28" x14ac:dyDescent="0.3">
      <c r="B29" s="74" t="s">
        <v>21</v>
      </c>
      <c r="C29" s="122">
        <v>72</v>
      </c>
      <c r="D29" s="76">
        <f>C6</f>
        <v>72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2219</v>
      </c>
      <c r="D30" s="76">
        <f>C12</f>
        <v>2219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14945</v>
      </c>
      <c r="D31" s="76">
        <f>C18+C19+C20</f>
        <v>16111</v>
      </c>
      <c r="E31" s="77">
        <f t="shared" si="1"/>
        <v>1166</v>
      </c>
      <c r="K31" s="53"/>
      <c r="P31" s="4"/>
      <c r="Q31" s="4"/>
    </row>
    <row r="32" spans="1:28" x14ac:dyDescent="0.3">
      <c r="B32" s="74" t="s">
        <v>60</v>
      </c>
      <c r="C32" s="122">
        <v>910</v>
      </c>
      <c r="D32" s="76">
        <f>C10+C11</f>
        <v>910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391</v>
      </c>
      <c r="D33" s="80">
        <f>C21</f>
        <v>391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Q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44801</v>
      </c>
    </row>
    <row r="3" spans="1:27" ht="18.75" customHeight="1" thickBot="1" x14ac:dyDescent="0.35">
      <c r="B3" t="s">
        <v>1</v>
      </c>
      <c r="C3" s="3">
        <f>C2+1</f>
        <v>44802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9045</v>
      </c>
      <c r="G6" s="117">
        <v>3088</v>
      </c>
      <c r="H6" s="117">
        <v>781</v>
      </c>
      <c r="I6" s="152">
        <f>G6+H6</f>
        <v>3869</v>
      </c>
      <c r="J6" s="119">
        <v>9277</v>
      </c>
      <c r="K6" s="117">
        <v>3148</v>
      </c>
      <c r="L6" s="117">
        <v>1148</v>
      </c>
      <c r="M6" s="162">
        <f>K6+L6</f>
        <v>4296</v>
      </c>
      <c r="N6" s="178">
        <v>39</v>
      </c>
      <c r="O6" s="88">
        <v>38</v>
      </c>
      <c r="P6" s="145">
        <v>36</v>
      </c>
      <c r="Q6" s="181">
        <f>IF(J6=0,((F6/V6)),((J6/V6)))</f>
        <v>215.74418604651163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4425</v>
      </c>
      <c r="G10" s="117">
        <v>2321</v>
      </c>
      <c r="H10" s="117">
        <v>783</v>
      </c>
      <c r="I10" s="152">
        <f>G10+H10</f>
        <v>3104</v>
      </c>
      <c r="J10" s="119">
        <v>4601</v>
      </c>
      <c r="K10" s="117">
        <v>2395</v>
      </c>
      <c r="L10" s="117">
        <v>813</v>
      </c>
      <c r="M10" s="162">
        <f>K10+L10</f>
        <v>3208</v>
      </c>
      <c r="N10" s="178">
        <v>0</v>
      </c>
      <c r="O10" s="88">
        <v>0</v>
      </c>
      <c r="P10" s="145">
        <v>0</v>
      </c>
      <c r="Q10" s="181">
        <f>IF(J10=0,((F10/V10)),((J10/V10)))</f>
        <v>80.719298245614041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178">
        <v>0</v>
      </c>
      <c r="O12" s="88">
        <v>0</v>
      </c>
      <c r="P12" s="145">
        <v>0</v>
      </c>
      <c r="Q12" s="181">
        <f>IF(J12=0,((F12/V12)),((J12/V12)))</f>
        <v>0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0</v>
      </c>
      <c r="E14" s="161" t="s">
        <v>39</v>
      </c>
      <c r="F14" s="119">
        <v>7466</v>
      </c>
      <c r="G14" s="117">
        <v>9639</v>
      </c>
      <c r="H14" s="117"/>
      <c r="I14" s="152">
        <f>G14+H14</f>
        <v>9639</v>
      </c>
      <c r="J14" s="119">
        <v>6066</v>
      </c>
      <c r="K14" s="117">
        <v>8240</v>
      </c>
      <c r="L14" s="117"/>
      <c r="M14" s="162">
        <f>K14+L14</f>
        <v>8240</v>
      </c>
      <c r="N14" s="178">
        <v>18</v>
      </c>
      <c r="O14" s="88">
        <v>18</v>
      </c>
      <c r="P14" s="145">
        <v>16</v>
      </c>
      <c r="Q14" s="181">
        <f>IF(J14=0,((F14/V14)),((J14/V14)))</f>
        <v>144.42857142857142</v>
      </c>
      <c r="V14" s="1">
        <v>42</v>
      </c>
    </row>
    <row r="15" spans="1:27" x14ac:dyDescent="0.3">
      <c r="B15" s="28" t="s">
        <v>42</v>
      </c>
      <c r="C15" s="17">
        <v>6066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2</v>
      </c>
      <c r="Q15" s="118"/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8744</v>
      </c>
      <c r="E18" s="84"/>
      <c r="F18" s="149">
        <f t="shared" ref="F18:M18" si="0">SUM(F6:F17)</f>
        <v>20936</v>
      </c>
      <c r="G18" s="149">
        <f t="shared" si="0"/>
        <v>15048</v>
      </c>
      <c r="H18" s="149">
        <f t="shared" si="0"/>
        <v>1564</v>
      </c>
      <c r="I18" s="157">
        <f t="shared" si="0"/>
        <v>16612</v>
      </c>
      <c r="J18" s="149">
        <f t="shared" si="0"/>
        <v>19944</v>
      </c>
      <c r="K18" s="149">
        <f t="shared" si="0"/>
        <v>13783</v>
      </c>
      <c r="L18" s="149">
        <f t="shared" si="0"/>
        <v>1961</v>
      </c>
      <c r="M18" s="175">
        <f t="shared" si="0"/>
        <v>15744</v>
      </c>
      <c r="N18" s="148">
        <f>SUM(N16,N14,N12,N10,N8,N6)</f>
        <v>58</v>
      </c>
      <c r="O18" s="149">
        <f>SUM(O16,O14,O12,O10,O8,O6)</f>
        <v>57</v>
      </c>
      <c r="P18" s="158">
        <f>SUM(P16,P14,P12,P10,P8,P6)</f>
        <v>53</v>
      </c>
      <c r="Q18" s="182"/>
    </row>
    <row r="19" spans="1:28" ht="15" customHeight="1" thickBot="1" x14ac:dyDescent="0.35">
      <c r="B19" s="16" t="s">
        <v>51</v>
      </c>
      <c r="C19" s="17">
        <v>685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  <c r="Q19" s="183"/>
    </row>
    <row r="20" spans="1:28" x14ac:dyDescent="0.3">
      <c r="B20" s="16" t="s">
        <v>52</v>
      </c>
      <c r="C20" s="17">
        <v>4449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7.0175438596491224E-2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7466</v>
      </c>
      <c r="D28" s="76">
        <f>C9+C14+C15+C16+C17</f>
        <v>6066</v>
      </c>
      <c r="E28" s="77">
        <f t="shared" si="1"/>
        <v>-1400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14115</v>
      </c>
      <c r="D31" s="76">
        <f>C18+C19+C20</f>
        <v>13878</v>
      </c>
      <c r="E31" s="77">
        <f t="shared" si="1"/>
        <v>-237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theme="1"/>
    <pageSetUpPr fitToPage="1"/>
  </sheetPr>
  <dimension ref="A1:AB33"/>
  <sheetViews>
    <sheetView zoomScale="85" zoomScaleNormal="85" zoomScaleSheetLayoutView="70" workbookViewId="0">
      <selection activeCell="F18" sqref="F1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44802</v>
      </c>
    </row>
    <row r="3" spans="1:27" ht="18.75" customHeight="1" thickBot="1" x14ac:dyDescent="0.35">
      <c r="B3" t="s">
        <v>1</v>
      </c>
      <c r="C3" s="3">
        <f>C2+1</f>
        <v>44803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3">
      <c r="A6" s="166"/>
      <c r="B6" s="16" t="s">
        <v>21</v>
      </c>
      <c r="C6" s="17">
        <v>67</v>
      </c>
      <c r="E6" s="161" t="s">
        <v>22</v>
      </c>
      <c r="F6" s="119">
        <v>25135</v>
      </c>
      <c r="G6" s="117">
        <v>11094.46440833333</v>
      </c>
      <c r="H6" s="117">
        <v>5112.0508291000006</v>
      </c>
      <c r="I6" s="152">
        <f>G6+H6</f>
        <v>16206.51523743333</v>
      </c>
      <c r="J6" s="119">
        <v>26529</v>
      </c>
      <c r="K6" s="117">
        <v>11832.891408333329</v>
      </c>
      <c r="L6" s="117">
        <v>5264.4639908600011</v>
      </c>
      <c r="M6" s="162">
        <f>K6+L6</f>
        <v>17097.35539919333</v>
      </c>
      <c r="N6" s="178">
        <v>74</v>
      </c>
      <c r="O6" s="88">
        <v>72</v>
      </c>
      <c r="P6" s="145">
        <v>67</v>
      </c>
      <c r="Q6" s="181">
        <f>IF(J6=0,((F6/V6)),((J6/V6)))</f>
        <v>616.95348837209303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3392.11786996</v>
      </c>
      <c r="I8" s="152">
        <f>G8+H8</f>
        <v>3392.11786996</v>
      </c>
      <c r="J8" s="119">
        <v>0</v>
      </c>
      <c r="K8" s="117">
        <v>0</v>
      </c>
      <c r="L8" s="117">
        <v>3465.05766644</v>
      </c>
      <c r="M8" s="162">
        <f>K8+L8</f>
        <v>3465.05766644</v>
      </c>
      <c r="N8" s="178">
        <v>6</v>
      </c>
      <c r="O8" s="88">
        <v>6</v>
      </c>
      <c r="P8" s="145">
        <v>6</v>
      </c>
      <c r="Q8" s="117"/>
    </row>
    <row r="9" spans="1:27" x14ac:dyDescent="0.3">
      <c r="B9" s="16" t="s">
        <v>23</v>
      </c>
      <c r="C9" s="17">
        <v>1271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425</v>
      </c>
      <c r="E10" s="161" t="s">
        <v>31</v>
      </c>
      <c r="F10" s="119">
        <v>15004</v>
      </c>
      <c r="G10" s="117">
        <v>10300.989666666659</v>
      </c>
      <c r="H10" s="117">
        <v>873.62642199999993</v>
      </c>
      <c r="I10" s="152">
        <f>G10+H10</f>
        <v>11174.616088666658</v>
      </c>
      <c r="J10" s="119">
        <v>15813</v>
      </c>
      <c r="K10" s="117">
        <v>10874.70216666667</v>
      </c>
      <c r="L10" s="117">
        <v>987.12522746000002</v>
      </c>
      <c r="M10" s="162">
        <f>K10+L10</f>
        <v>11861.827394126669</v>
      </c>
      <c r="N10" s="178">
        <v>47</v>
      </c>
      <c r="O10" s="88">
        <v>47</v>
      </c>
      <c r="P10" s="145">
        <v>44</v>
      </c>
      <c r="Q10" s="181">
        <f>IF(J10=0,((F10/V10)),((J10/V10)))</f>
        <v>277.42105263157896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3">
      <c r="A12" s="166"/>
      <c r="B12" s="16" t="s">
        <v>30</v>
      </c>
      <c r="C12" s="17">
        <v>1299</v>
      </c>
      <c r="E12" s="161" t="s">
        <v>35</v>
      </c>
      <c r="F12" s="119">
        <v>11854</v>
      </c>
      <c r="G12" s="117">
        <v>10250.47975</v>
      </c>
      <c r="H12" s="117">
        <v>14474.51305157</v>
      </c>
      <c r="I12" s="152">
        <f>G12+H12</f>
        <v>24724.992801569999</v>
      </c>
      <c r="J12" s="119">
        <v>11434</v>
      </c>
      <c r="K12" s="117">
        <v>10626.87075</v>
      </c>
      <c r="L12" s="117">
        <v>14232.39427861</v>
      </c>
      <c r="M12" s="162">
        <f>K12+L12</f>
        <v>24859.26502861</v>
      </c>
      <c r="N12" s="178">
        <v>45</v>
      </c>
      <c r="O12" s="88">
        <v>46</v>
      </c>
      <c r="P12" s="145">
        <v>37</v>
      </c>
      <c r="Q12" s="181">
        <f>IF(J12=0,((F12/V12)),((J12/V12)))</f>
        <v>326.68571428571431</v>
      </c>
      <c r="V12" s="1">
        <v>35</v>
      </c>
    </row>
    <row r="13" spans="1:27" x14ac:dyDescent="0.3">
      <c r="B13" s="16" t="s">
        <v>38</v>
      </c>
      <c r="C13" s="17">
        <v>7562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3">
      <c r="B14" s="16" t="s">
        <v>40</v>
      </c>
      <c r="C14" s="17">
        <v>1515</v>
      </c>
      <c r="E14" s="161" t="s">
        <v>39</v>
      </c>
      <c r="F14" s="119">
        <v>19533</v>
      </c>
      <c r="G14" s="117">
        <v>18653.356250000001</v>
      </c>
      <c r="H14" s="117">
        <v>23733.009099580031</v>
      </c>
      <c r="I14" s="152">
        <f>G14+H14</f>
        <v>42386.365349580032</v>
      </c>
      <c r="J14" s="119">
        <v>19069</v>
      </c>
      <c r="K14" s="117">
        <v>20230.866249999999</v>
      </c>
      <c r="L14" s="117">
        <v>23289.56165182</v>
      </c>
      <c r="M14" s="162">
        <f>K14+L14</f>
        <v>43520.427901820003</v>
      </c>
      <c r="N14" s="178">
        <v>68</v>
      </c>
      <c r="O14" s="88">
        <v>63</v>
      </c>
      <c r="P14" s="145">
        <v>57</v>
      </c>
      <c r="Q14" s="181">
        <f>IF(J14=0,((F14/V14)),((J14/V14)))</f>
        <v>454.02380952380952</v>
      </c>
      <c r="V14" s="1">
        <v>42</v>
      </c>
    </row>
    <row r="15" spans="1:27" x14ac:dyDescent="0.3">
      <c r="B15" s="28" t="s">
        <v>42</v>
      </c>
      <c r="C15" s="17">
        <v>28815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6</v>
      </c>
      <c r="Q15" s="118"/>
    </row>
    <row r="16" spans="1:27" x14ac:dyDescent="0.3">
      <c r="B16" s="43" t="s">
        <v>47</v>
      </c>
      <c r="C16" s="17">
        <v>1485</v>
      </c>
      <c r="E16" s="161" t="s">
        <v>79</v>
      </c>
      <c r="F16" s="119">
        <v>0</v>
      </c>
      <c r="G16" s="117">
        <v>0</v>
      </c>
      <c r="H16" s="117">
        <v>6504.05841676</v>
      </c>
      <c r="I16" s="152">
        <f>G16+H16</f>
        <v>6504.05841676</v>
      </c>
      <c r="J16" s="119">
        <v>0</v>
      </c>
      <c r="K16" s="117">
        <v>0</v>
      </c>
      <c r="L16" s="117">
        <v>6555.3726182400014</v>
      </c>
      <c r="M16" s="162">
        <f>K16+L16</f>
        <v>6555.3726182400014</v>
      </c>
      <c r="N16" s="178">
        <v>10</v>
      </c>
      <c r="O16" s="88">
        <v>7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282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10407</v>
      </c>
      <c r="E18" s="84"/>
      <c r="F18" s="149">
        <f t="shared" ref="F18:M18" si="0">SUM(F6:F17)</f>
        <v>71526</v>
      </c>
      <c r="G18" s="149">
        <f t="shared" si="0"/>
        <v>50299.290074999983</v>
      </c>
      <c r="H18" s="149">
        <f t="shared" si="0"/>
        <v>54089.375688970031</v>
      </c>
      <c r="I18" s="157">
        <f t="shared" si="0"/>
        <v>104388.66576397003</v>
      </c>
      <c r="J18" s="149">
        <f t="shared" si="0"/>
        <v>72845</v>
      </c>
      <c r="K18" s="149">
        <f t="shared" si="0"/>
        <v>53565.330575</v>
      </c>
      <c r="L18" s="149">
        <f t="shared" si="0"/>
        <v>53793.975433429994</v>
      </c>
      <c r="M18" s="175">
        <f t="shared" si="0"/>
        <v>107359.30600842999</v>
      </c>
      <c r="N18" s="148">
        <f>SUM(N16,N14,N12,N10,N8,N6)</f>
        <v>250</v>
      </c>
      <c r="O18" s="149">
        <f>SUM(O16,O14,O12,O10,O8,O6)</f>
        <v>241</v>
      </c>
      <c r="P18" s="158">
        <f>SUM(P16,P14,P12,P10,P8,P6)</f>
        <v>220</v>
      </c>
      <c r="Q18" s="182"/>
    </row>
    <row r="19" spans="1:28" ht="15" customHeight="1" thickBot="1" x14ac:dyDescent="0.35">
      <c r="B19" s="16" t="s">
        <v>51</v>
      </c>
      <c r="C19" s="17">
        <v>1217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  <c r="Q19" s="183"/>
    </row>
    <row r="20" spans="1:28" x14ac:dyDescent="0.3">
      <c r="B20" s="16" t="s">
        <v>52</v>
      </c>
      <c r="C20" s="17">
        <v>4407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8.7136929460580909E-2</v>
      </c>
      <c r="Q20" s="139"/>
    </row>
    <row r="21" spans="1:28" ht="15" customHeight="1" thickBot="1" x14ac:dyDescent="0.35">
      <c r="A21" s="123"/>
      <c r="B21" s="168" t="s">
        <v>132</v>
      </c>
      <c r="C21" s="169">
        <v>800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7318</v>
      </c>
      <c r="D25" s="76">
        <f>C13</f>
        <v>7562</v>
      </c>
      <c r="E25" s="77">
        <f t="shared" ref="E25:E33" si="1">D25-C25</f>
        <v>244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34289</v>
      </c>
      <c r="D28" s="76">
        <f>C9+C14+C15+C16+C17</f>
        <v>33368</v>
      </c>
      <c r="E28" s="77">
        <f t="shared" si="1"/>
        <v>-921</v>
      </c>
      <c r="P28" s="4"/>
      <c r="Q28" s="4"/>
    </row>
    <row r="29" spans="1:28" x14ac:dyDescent="0.3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1299</v>
      </c>
      <c r="D30" s="76">
        <f>C12</f>
        <v>1299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14135</v>
      </c>
      <c r="D31" s="76">
        <f>C18+C19+C20</f>
        <v>16031</v>
      </c>
      <c r="E31" s="77">
        <f t="shared" si="1"/>
        <v>1896</v>
      </c>
      <c r="K31" s="53"/>
      <c r="P31" s="4"/>
      <c r="Q31" s="4"/>
    </row>
    <row r="32" spans="1:28" x14ac:dyDescent="0.3">
      <c r="B32" s="74" t="s">
        <v>60</v>
      </c>
      <c r="C32" s="122">
        <v>425</v>
      </c>
      <c r="D32" s="76">
        <f>C10+C11</f>
        <v>425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800</v>
      </c>
      <c r="D33" s="80">
        <f>C21</f>
        <v>800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theme="1"/>
    <pageSetUpPr fitToPage="1"/>
  </sheetPr>
  <dimension ref="A1:AB33"/>
  <sheetViews>
    <sheetView zoomScale="85" zoomScaleNormal="85" zoomScaleSheetLayoutView="70" workbookViewId="0">
      <selection activeCell="G18" sqref="G1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44803</v>
      </c>
    </row>
    <row r="3" spans="1:27" ht="18.75" customHeight="1" thickBot="1" x14ac:dyDescent="0.35">
      <c r="B3" t="s">
        <v>1</v>
      </c>
      <c r="C3" s="3">
        <f>C2+1</f>
        <v>44804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130</v>
      </c>
      <c r="E6" s="161" t="s">
        <v>22</v>
      </c>
      <c r="F6" s="119">
        <v>28745</v>
      </c>
      <c r="G6" s="117">
        <v>11152.40548333333</v>
      </c>
      <c r="H6" s="117">
        <v>6587.4292879599998</v>
      </c>
      <c r="I6" s="152">
        <f>G6+H6</f>
        <v>17739.834771293332</v>
      </c>
      <c r="J6" s="119">
        <v>27830</v>
      </c>
      <c r="K6" s="117">
        <v>11713.074983333339</v>
      </c>
      <c r="L6" s="117">
        <v>6871.8231711000008</v>
      </c>
      <c r="M6" s="162">
        <f>K6+L6</f>
        <v>18584.89815443334</v>
      </c>
      <c r="N6" s="178">
        <v>77</v>
      </c>
      <c r="O6" s="88">
        <v>76</v>
      </c>
      <c r="P6" s="145">
        <v>74</v>
      </c>
      <c r="Q6" s="181">
        <f>IF(J6=0,((F6/V6)),((J6/V6)))</f>
        <v>647.20930232558135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3376.28112302</v>
      </c>
      <c r="I8" s="152">
        <f>G8+H8</f>
        <v>3376.28112302</v>
      </c>
      <c r="J8" s="119">
        <v>0</v>
      </c>
      <c r="K8" s="117">
        <v>0</v>
      </c>
      <c r="L8" s="117">
        <v>3213.23936654</v>
      </c>
      <c r="M8" s="162">
        <f>K8+L8</f>
        <v>3213.23936654</v>
      </c>
      <c r="N8" s="178">
        <v>6</v>
      </c>
      <c r="O8" s="88">
        <v>6</v>
      </c>
      <c r="P8" s="145">
        <v>6</v>
      </c>
      <c r="Q8" s="117"/>
    </row>
    <row r="9" spans="1:27" x14ac:dyDescent="0.3">
      <c r="B9" s="16" t="s">
        <v>23</v>
      </c>
      <c r="C9" s="17">
        <v>2593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1125</v>
      </c>
      <c r="E10" s="161" t="s">
        <v>31</v>
      </c>
      <c r="F10" s="119">
        <v>18793</v>
      </c>
      <c r="G10" s="117">
        <v>11563.92325</v>
      </c>
      <c r="H10" s="117">
        <v>1182.7345169</v>
      </c>
      <c r="I10" s="152">
        <f>G10+H10</f>
        <v>12746.6577669</v>
      </c>
      <c r="J10" s="119">
        <v>19978</v>
      </c>
      <c r="K10" s="117">
        <v>12713.47975</v>
      </c>
      <c r="L10" s="117">
        <v>1201.44048202</v>
      </c>
      <c r="M10" s="162">
        <f>K10+L10</f>
        <v>13914.92023202</v>
      </c>
      <c r="N10" s="178">
        <v>50</v>
      </c>
      <c r="O10" s="88">
        <v>51</v>
      </c>
      <c r="P10" s="145">
        <v>44</v>
      </c>
      <c r="Q10" s="181">
        <f>IF(J10=0,((F10/V10)),((J10/V10)))</f>
        <v>350.49122807017545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3">
      <c r="A12" s="166"/>
      <c r="B12" s="16" t="s">
        <v>30</v>
      </c>
      <c r="C12" s="17">
        <v>1945</v>
      </c>
      <c r="E12" s="161" t="s">
        <v>35</v>
      </c>
      <c r="F12" s="119">
        <v>14723</v>
      </c>
      <c r="G12" s="117">
        <v>9774.3748333333369</v>
      </c>
      <c r="H12" s="117">
        <v>16694.404679290012</v>
      </c>
      <c r="I12" s="152">
        <f>G12+H12</f>
        <v>26468.779512623347</v>
      </c>
      <c r="J12" s="119">
        <v>13447</v>
      </c>
      <c r="K12" s="117">
        <v>10692.483333333341</v>
      </c>
      <c r="L12" s="117">
        <v>16428.72305429</v>
      </c>
      <c r="M12" s="162">
        <f>K12+L12</f>
        <v>27121.206387623341</v>
      </c>
      <c r="N12" s="178">
        <v>46</v>
      </c>
      <c r="O12" s="88">
        <v>49</v>
      </c>
      <c r="P12" s="145">
        <v>39</v>
      </c>
      <c r="Q12" s="181">
        <f>IF(J12=0,((F12/V12)),((J12/V12)))</f>
        <v>384.2</v>
      </c>
      <c r="V12" s="1">
        <v>35</v>
      </c>
    </row>
    <row r="13" spans="1:27" x14ac:dyDescent="0.3">
      <c r="B13" s="16" t="s">
        <v>38</v>
      </c>
      <c r="C13" s="17">
        <v>9761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10</v>
      </c>
      <c r="Q13" s="118"/>
    </row>
    <row r="14" spans="1:27" x14ac:dyDescent="0.3">
      <c r="B14" s="16" t="s">
        <v>40</v>
      </c>
      <c r="C14" s="17">
        <v>1864</v>
      </c>
      <c r="E14" s="161" t="s">
        <v>39</v>
      </c>
      <c r="F14" s="119">
        <v>24489</v>
      </c>
      <c r="G14" s="117">
        <v>21356.306250000001</v>
      </c>
      <c r="H14" s="117">
        <v>30244.741536540001</v>
      </c>
      <c r="I14" s="152">
        <f>G14+H14</f>
        <v>51601.047786540003</v>
      </c>
      <c r="J14" s="119">
        <v>22235</v>
      </c>
      <c r="K14" s="117">
        <v>20396.322</v>
      </c>
      <c r="L14" s="117">
        <v>27103.058767739971</v>
      </c>
      <c r="M14" s="162">
        <f>K14+L14</f>
        <v>47499.380767739975</v>
      </c>
      <c r="N14" s="178">
        <v>63</v>
      </c>
      <c r="O14" s="88">
        <v>62</v>
      </c>
      <c r="P14" s="145">
        <v>53</v>
      </c>
      <c r="Q14" s="181">
        <f>IF(J14=0,((F14/V14)),((J14/V14)))</f>
        <v>529.40476190476193</v>
      </c>
      <c r="V14" s="1">
        <v>42</v>
      </c>
    </row>
    <row r="15" spans="1:27" x14ac:dyDescent="0.3">
      <c r="B15" s="28" t="s">
        <v>42</v>
      </c>
      <c r="C15" s="17">
        <f>35897-5976</f>
        <v>29921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3">
      <c r="B16" s="43" t="s">
        <v>47</v>
      </c>
      <c r="C16" s="17">
        <v>1478</v>
      </c>
      <c r="E16" s="161" t="s">
        <v>79</v>
      </c>
      <c r="F16" s="119">
        <v>0</v>
      </c>
      <c r="G16" s="117">
        <v>0</v>
      </c>
      <c r="H16" s="117">
        <v>4178.5320691999996</v>
      </c>
      <c r="I16" s="152">
        <f>G16+H16</f>
        <v>4178.5320691999996</v>
      </c>
      <c r="J16" s="119">
        <v>0</v>
      </c>
      <c r="K16" s="117">
        <v>0</v>
      </c>
      <c r="L16" s="117">
        <v>4270.6902513599998</v>
      </c>
      <c r="M16" s="162">
        <f>K16+L16</f>
        <v>4270.6902513599998</v>
      </c>
      <c r="N16" s="178">
        <v>10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8416</v>
      </c>
      <c r="E18" s="84"/>
      <c r="F18" s="149">
        <f t="shared" ref="F18:M18" si="0">SUM(F6:F17)</f>
        <v>86750</v>
      </c>
      <c r="G18" s="149">
        <f t="shared" si="0"/>
        <v>53847.009816666665</v>
      </c>
      <c r="H18" s="149">
        <f t="shared" si="0"/>
        <v>62264.123212910017</v>
      </c>
      <c r="I18" s="157">
        <f t="shared" si="0"/>
        <v>116111.13302957667</v>
      </c>
      <c r="J18" s="149">
        <f t="shared" si="0"/>
        <v>83490</v>
      </c>
      <c r="K18" s="149">
        <f t="shared" si="0"/>
        <v>55515.360066666675</v>
      </c>
      <c r="L18" s="149">
        <f t="shared" si="0"/>
        <v>59088.975093049965</v>
      </c>
      <c r="M18" s="175">
        <f t="shared" si="0"/>
        <v>114604.33515971666</v>
      </c>
      <c r="N18" s="148">
        <f>SUM(N16,N14,N12,N10,N8,N6)</f>
        <v>252</v>
      </c>
      <c r="O18" s="149">
        <f>SUM(O16,O14,O12,O10,O8,O6)</f>
        <v>253</v>
      </c>
      <c r="P18" s="158">
        <f>SUM(P16,P14,P12,P10,P8,P6)</f>
        <v>225</v>
      </c>
      <c r="Q18" s="182"/>
    </row>
    <row r="19" spans="1:28" ht="15" customHeight="1" thickBot="1" x14ac:dyDescent="0.35">
      <c r="B19" s="16" t="s">
        <v>51</v>
      </c>
      <c r="C19" s="17">
        <v>1079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3">
      <c r="B20" s="16" t="s">
        <v>52</v>
      </c>
      <c r="C20" s="17">
        <v>4145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0.11067193675889328</v>
      </c>
      <c r="Q20" s="139"/>
    </row>
    <row r="21" spans="1:28" ht="15" customHeight="1" thickBot="1" x14ac:dyDescent="0.35">
      <c r="A21" s="123"/>
      <c r="B21" s="168" t="s">
        <v>132</v>
      </c>
      <c r="C21" s="169">
        <v>888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9281</v>
      </c>
      <c r="D25" s="76">
        <f>C13</f>
        <v>9761</v>
      </c>
      <c r="E25" s="77">
        <f t="shared" ref="E25:E33" si="1">D25-C25</f>
        <v>480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38443</v>
      </c>
      <c r="D28" s="76">
        <f>C9+C14+C15+C16+C17</f>
        <v>35897</v>
      </c>
      <c r="E28" s="77">
        <f t="shared" si="1"/>
        <v>-2546</v>
      </c>
      <c r="P28" s="4"/>
      <c r="Q28" s="4"/>
    </row>
    <row r="29" spans="1:28" x14ac:dyDescent="0.3">
      <c r="B29" s="74" t="s">
        <v>21</v>
      </c>
      <c r="C29" s="122">
        <v>130</v>
      </c>
      <c r="D29" s="76">
        <f>C6</f>
        <v>130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1945</v>
      </c>
      <c r="D30" s="76">
        <f>C12</f>
        <v>1945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14795</v>
      </c>
      <c r="D31" s="76">
        <f>C18+C19+C20</f>
        <v>13640</v>
      </c>
      <c r="E31" s="77">
        <f t="shared" si="1"/>
        <v>-1155</v>
      </c>
      <c r="K31" s="53"/>
      <c r="P31" s="4"/>
      <c r="Q31" s="4"/>
    </row>
    <row r="32" spans="1:28" x14ac:dyDescent="0.3">
      <c r="B32" s="74" t="s">
        <v>60</v>
      </c>
      <c r="C32" s="122">
        <v>1125</v>
      </c>
      <c r="D32" s="76">
        <f>C10+C11</f>
        <v>1125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888</v>
      </c>
      <c r="D33" s="80">
        <f>C21</f>
        <v>888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theme="1"/>
    <pageSetUpPr fitToPage="1"/>
  </sheetPr>
  <dimension ref="A1:AB33"/>
  <sheetViews>
    <sheetView zoomScale="85" zoomScaleNormal="85" zoomScaleSheetLayoutView="70" workbookViewId="0">
      <selection activeCell="H18" sqref="H1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44804</v>
      </c>
    </row>
    <row r="3" spans="1:27" ht="18.75" customHeight="1" thickBot="1" x14ac:dyDescent="0.35">
      <c r="B3" t="s">
        <v>1</v>
      </c>
      <c r="C3" s="3">
        <f>C2+1</f>
        <v>44805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54</v>
      </c>
      <c r="E6" s="161" t="s">
        <v>22</v>
      </c>
      <c r="F6" s="119">
        <v>22643</v>
      </c>
      <c r="G6" s="117">
        <v>11001.54725</v>
      </c>
      <c r="H6" s="117">
        <v>6330.6856314800016</v>
      </c>
      <c r="I6" s="152">
        <f>G6+H6</f>
        <v>17332.232881480002</v>
      </c>
      <c r="J6" s="119">
        <v>25106</v>
      </c>
      <c r="K6" s="117">
        <v>13763.108749999999</v>
      </c>
      <c r="L6" s="117">
        <v>6842.306882480003</v>
      </c>
      <c r="M6" s="162">
        <f>K6+L6</f>
        <v>20605.415632480002</v>
      </c>
      <c r="N6" s="178">
        <v>70</v>
      </c>
      <c r="O6" s="88">
        <v>68</v>
      </c>
      <c r="P6" s="145">
        <v>65</v>
      </c>
      <c r="Q6" s="181">
        <f>IF(J6=0,((F6/V6)),((J6/V6)))</f>
        <v>583.8604651162791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3121.87658874</v>
      </c>
      <c r="I8" s="152">
        <f>G8+H8</f>
        <v>3121.87658874</v>
      </c>
      <c r="J8" s="119">
        <v>0</v>
      </c>
      <c r="K8" s="117">
        <v>0</v>
      </c>
      <c r="L8" s="117">
        <v>3491.6019466599992</v>
      </c>
      <c r="M8" s="162">
        <f>K8+L8</f>
        <v>3491.6019466599992</v>
      </c>
      <c r="N8" s="178">
        <v>7</v>
      </c>
      <c r="O8" s="88">
        <v>7</v>
      </c>
      <c r="P8" s="145">
        <v>6</v>
      </c>
      <c r="Q8" s="117"/>
    </row>
    <row r="9" spans="1:27" x14ac:dyDescent="0.3">
      <c r="B9" s="16" t="s">
        <v>23</v>
      </c>
      <c r="C9" s="17">
        <v>1249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15777</v>
      </c>
      <c r="G10" s="117">
        <v>11151.0275</v>
      </c>
      <c r="H10" s="117">
        <v>839.09008969999991</v>
      </c>
      <c r="I10" s="152">
        <f>G10+H10</f>
        <v>11990.117589699999</v>
      </c>
      <c r="J10" s="119">
        <v>16255</v>
      </c>
      <c r="K10" s="117">
        <v>12407.147999999999</v>
      </c>
      <c r="L10" s="117">
        <v>930.09841200000005</v>
      </c>
      <c r="M10" s="162">
        <f>K10+L10</f>
        <v>13337.246411999999</v>
      </c>
      <c r="N10" s="178">
        <v>50</v>
      </c>
      <c r="O10" s="88">
        <v>50</v>
      </c>
      <c r="P10" s="145">
        <v>46</v>
      </c>
      <c r="Q10" s="181">
        <f>IF(J10=0,((F10/V10)),((J10/V10)))</f>
        <v>285.17543859649123</v>
      </c>
      <c r="V10" s="1">
        <v>57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3">
      <c r="A12" s="166"/>
      <c r="B12" s="16" t="s">
        <v>30</v>
      </c>
      <c r="C12" s="17">
        <v>2375</v>
      </c>
      <c r="E12" s="161" t="s">
        <v>35</v>
      </c>
      <c r="F12" s="119">
        <v>11931</v>
      </c>
      <c r="G12" s="117">
        <v>9739.0022500000032</v>
      </c>
      <c r="H12" s="117">
        <v>16072.86508270999</v>
      </c>
      <c r="I12" s="152">
        <f>G12+H12</f>
        <v>25811.867332709993</v>
      </c>
      <c r="J12" s="119">
        <v>12840</v>
      </c>
      <c r="K12" s="117">
        <v>12982.73575</v>
      </c>
      <c r="L12" s="117">
        <v>16856.54378389</v>
      </c>
      <c r="M12" s="162">
        <f>K12+L12</f>
        <v>29839.27953389</v>
      </c>
      <c r="N12" s="178">
        <v>52</v>
      </c>
      <c r="O12" s="88">
        <v>48</v>
      </c>
      <c r="P12" s="145">
        <v>49</v>
      </c>
      <c r="Q12" s="181">
        <f>IF(J12=0,((F12/V12)),((J12/V12)))</f>
        <v>366.85714285714283</v>
      </c>
      <c r="V12" s="1">
        <v>35</v>
      </c>
    </row>
    <row r="13" spans="1:27" x14ac:dyDescent="0.3">
      <c r="B13" s="16" t="s">
        <v>38</v>
      </c>
      <c r="C13" s="17">
        <v>10553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-1</v>
      </c>
      <c r="Q13" s="118"/>
    </row>
    <row r="14" spans="1:27" x14ac:dyDescent="0.3">
      <c r="B14" s="16" t="s">
        <v>40</v>
      </c>
      <c r="C14" s="17">
        <v>1521</v>
      </c>
      <c r="E14" s="161" t="s">
        <v>39</v>
      </c>
      <c r="F14" s="119">
        <v>21067</v>
      </c>
      <c r="G14" s="117">
        <v>19433.221249999999</v>
      </c>
      <c r="H14" s="117">
        <v>28569.238659660019</v>
      </c>
      <c r="I14" s="152">
        <f>G14+H14</f>
        <v>48002.459909660014</v>
      </c>
      <c r="J14" s="119">
        <v>23135</v>
      </c>
      <c r="K14" s="117">
        <v>25087.347000000002</v>
      </c>
      <c r="L14" s="117">
        <v>31652.816061639998</v>
      </c>
      <c r="M14" s="162">
        <f>K14+L14</f>
        <v>56740.16306164</v>
      </c>
      <c r="N14" s="178">
        <v>65</v>
      </c>
      <c r="O14" s="88">
        <v>60</v>
      </c>
      <c r="P14" s="145">
        <v>60</v>
      </c>
      <c r="Q14" s="181">
        <f>IF(J14=0,((F14/V14)),((J14/V14)))</f>
        <v>550.83333333333337</v>
      </c>
      <c r="V14" s="1">
        <v>42</v>
      </c>
    </row>
    <row r="15" spans="1:27" x14ac:dyDescent="0.3">
      <c r="B15" s="28" t="s">
        <v>42</v>
      </c>
      <c r="C15" s="17">
        <f>39500-4503</f>
        <v>34997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0</v>
      </c>
      <c r="Q15" s="118"/>
    </row>
    <row r="16" spans="1:27" x14ac:dyDescent="0.3">
      <c r="B16" s="43" t="s">
        <v>47</v>
      </c>
      <c r="C16" s="17">
        <v>1427</v>
      </c>
      <c r="E16" s="161" t="s">
        <v>79</v>
      </c>
      <c r="F16" s="119">
        <v>0</v>
      </c>
      <c r="G16" s="117">
        <v>0</v>
      </c>
      <c r="H16" s="117">
        <v>7153.4941500000004</v>
      </c>
      <c r="I16" s="152">
        <f>G16+H16</f>
        <v>7153.4941500000004</v>
      </c>
      <c r="J16" s="119">
        <v>0</v>
      </c>
      <c r="K16" s="117">
        <v>0</v>
      </c>
      <c r="L16" s="117">
        <v>7294.75356526</v>
      </c>
      <c r="M16" s="162">
        <f>K16+L16</f>
        <v>7294.75356526</v>
      </c>
      <c r="N16" s="178">
        <v>9</v>
      </c>
      <c r="O16" s="88">
        <v>10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50">
        <v>306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10478</v>
      </c>
      <c r="E18" s="84"/>
      <c r="F18" s="149">
        <f t="shared" ref="F18:M18" si="0">SUM(F6:F17)</f>
        <v>71418</v>
      </c>
      <c r="G18" s="149">
        <f t="shared" si="0"/>
        <v>51324.798250000007</v>
      </c>
      <c r="H18" s="149">
        <f t="shared" si="0"/>
        <v>62087.250202290008</v>
      </c>
      <c r="I18" s="157">
        <f t="shared" si="0"/>
        <v>113412.04845229001</v>
      </c>
      <c r="J18" s="149">
        <f t="shared" si="0"/>
        <v>77336</v>
      </c>
      <c r="K18" s="149">
        <f t="shared" si="0"/>
        <v>64240.339500000002</v>
      </c>
      <c r="L18" s="149">
        <f t="shared" si="0"/>
        <v>67068.120651930003</v>
      </c>
      <c r="M18" s="175">
        <f t="shared" si="0"/>
        <v>131308.46015193002</v>
      </c>
      <c r="N18" s="148">
        <f>SUM(N16,N14,N12,N10,N8,N6)</f>
        <v>253</v>
      </c>
      <c r="O18" s="149">
        <f>SUM(O16,O14,O12,O10,O8,O6)</f>
        <v>243</v>
      </c>
      <c r="P18" s="158">
        <f>SUM(P16,P14,P12,P10,P8,P6)</f>
        <v>234</v>
      </c>
      <c r="Q18" s="182"/>
    </row>
    <row r="19" spans="1:28" ht="15" customHeight="1" thickBot="1" x14ac:dyDescent="0.35">
      <c r="B19" s="16" t="s">
        <v>51</v>
      </c>
      <c r="C19" s="17">
        <v>1147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  <c r="Q19" s="183"/>
    </row>
    <row r="20" spans="1:28" x14ac:dyDescent="0.3">
      <c r="B20" s="16" t="s">
        <v>52</v>
      </c>
      <c r="C20" s="17">
        <v>4741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3.7037037037037035E-2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9510</v>
      </c>
      <c r="D25" s="76">
        <f>C13</f>
        <v>10553</v>
      </c>
      <c r="E25" s="77">
        <f t="shared" ref="E25:E33" si="1">D25-C25</f>
        <v>1043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36720</v>
      </c>
      <c r="D28" s="76">
        <f>C9+C14+C15+C16+C17</f>
        <v>39500</v>
      </c>
      <c r="E28" s="77">
        <f t="shared" si="1"/>
        <v>2780</v>
      </c>
      <c r="P28" s="4"/>
      <c r="Q28" s="4"/>
    </row>
    <row r="29" spans="1:28" x14ac:dyDescent="0.3">
      <c r="B29" s="74" t="s">
        <v>21</v>
      </c>
      <c r="C29" s="122">
        <v>54</v>
      </c>
      <c r="D29" s="76">
        <f>C6</f>
        <v>54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2375</v>
      </c>
      <c r="D30" s="76">
        <f>C12</f>
        <v>2375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14360</v>
      </c>
      <c r="D31" s="76">
        <f>C18+C19+C20</f>
        <v>16366</v>
      </c>
      <c r="E31" s="77">
        <f t="shared" si="1"/>
        <v>2006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tabColor theme="1"/>
    <pageSetUpPr fitToPage="1"/>
  </sheetPr>
  <dimension ref="A1:AB33"/>
  <sheetViews>
    <sheetView zoomScale="85" zoomScaleNormal="85" zoomScaleSheetLayoutView="70" workbookViewId="0">
      <selection activeCell="P16" sqref="P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44805</v>
      </c>
    </row>
    <row r="3" spans="1:27" ht="18.75" customHeight="1" thickBot="1" x14ac:dyDescent="0.35">
      <c r="B3" t="s">
        <v>1</v>
      </c>
      <c r="C3" s="3">
        <f>C2+1</f>
        <v>44806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140</v>
      </c>
      <c r="V5" s="4" t="s">
        <v>139</v>
      </c>
    </row>
    <row r="6" spans="1:27" x14ac:dyDescent="0.3">
      <c r="A6" s="166"/>
      <c r="B6" s="16" t="s">
        <v>21</v>
      </c>
      <c r="C6" s="17">
        <v>105</v>
      </c>
      <c r="E6" s="161" t="s">
        <v>22</v>
      </c>
      <c r="F6" s="119">
        <v>23663</v>
      </c>
      <c r="G6" s="117">
        <v>12081.12783333333</v>
      </c>
      <c r="H6" s="117">
        <v>6960.1031619400064</v>
      </c>
      <c r="I6" s="152">
        <f>G6+H6</f>
        <v>19041.230995273338</v>
      </c>
      <c r="J6" s="119">
        <v>24619</v>
      </c>
      <c r="K6" s="117">
        <v>13762.310333333329</v>
      </c>
      <c r="L6" s="117">
        <v>7240.3067097200046</v>
      </c>
      <c r="M6" s="162">
        <f>K6+L6</f>
        <v>21002.617043053335</v>
      </c>
      <c r="N6" s="178">
        <v>68</v>
      </c>
      <c r="O6" s="88">
        <v>67</v>
      </c>
      <c r="P6" s="145">
        <v>64</v>
      </c>
      <c r="Q6" s="181">
        <f>IF(J6=0,((F6/V6)),((J6/V6)))</f>
        <v>572.53488372093022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2841.4431615600001</v>
      </c>
      <c r="I8" s="152">
        <f>G8+H8</f>
        <v>2841.4431615600001</v>
      </c>
      <c r="J8" s="119">
        <v>0</v>
      </c>
      <c r="K8" s="117">
        <v>0</v>
      </c>
      <c r="L8" s="117">
        <v>2931.933847759999</v>
      </c>
      <c r="M8" s="162">
        <f>K8+L8</f>
        <v>2931.933847759999</v>
      </c>
      <c r="N8" s="178">
        <v>6</v>
      </c>
      <c r="O8" s="88">
        <v>6</v>
      </c>
      <c r="P8" s="145">
        <v>6</v>
      </c>
      <c r="Q8" s="117"/>
    </row>
    <row r="9" spans="1:27" x14ac:dyDescent="0.3">
      <c r="B9" s="16" t="s">
        <v>23</v>
      </c>
      <c r="C9" s="17">
        <v>2491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1260</v>
      </c>
      <c r="E10" s="161" t="s">
        <v>31</v>
      </c>
      <c r="F10" s="119">
        <v>21537</v>
      </c>
      <c r="G10" s="117">
        <v>12889.32966666667</v>
      </c>
      <c r="H10" s="117">
        <v>1113.91195006</v>
      </c>
      <c r="I10" s="152">
        <f>G10+H10</f>
        <v>14003.241616726671</v>
      </c>
      <c r="J10" s="119">
        <v>21871</v>
      </c>
      <c r="K10" s="117">
        <v>13552.065166666671</v>
      </c>
      <c r="L10" s="117">
        <v>1161.71241074</v>
      </c>
      <c r="M10" s="162">
        <f>K10+L10</f>
        <v>14713.77757740667</v>
      </c>
      <c r="N10" s="178">
        <v>53</v>
      </c>
      <c r="O10" s="88">
        <v>53</v>
      </c>
      <c r="P10" s="145">
        <v>49</v>
      </c>
      <c r="Q10" s="181">
        <f>IF(J10=0,((F10/V10)),((J10/V10)))</f>
        <v>420.59615384615387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3">
      <c r="A12" s="166"/>
      <c r="B12" s="16" t="s">
        <v>30</v>
      </c>
      <c r="C12" s="17">
        <v>2387</v>
      </c>
      <c r="E12" s="161" t="s">
        <v>35</v>
      </c>
      <c r="F12" s="119">
        <v>15638</v>
      </c>
      <c r="G12" s="117">
        <v>12005.44841666667</v>
      </c>
      <c r="H12" s="117">
        <v>21398.132898349992</v>
      </c>
      <c r="I12" s="152">
        <f>G12+H12</f>
        <v>33403.581315016665</v>
      </c>
      <c r="J12" s="119">
        <v>15696</v>
      </c>
      <c r="K12" s="117">
        <v>13937.451166666669</v>
      </c>
      <c r="L12" s="117">
        <v>21617.14826034</v>
      </c>
      <c r="M12" s="162">
        <f>K12+L12</f>
        <v>35554.599427006673</v>
      </c>
      <c r="N12" s="178">
        <v>51</v>
      </c>
      <c r="O12" s="88">
        <v>51</v>
      </c>
      <c r="P12" s="145">
        <v>42</v>
      </c>
      <c r="Q12" s="181">
        <f>IF(J12=0,((F12/V12)),((J12/V12)))</f>
        <v>448.45714285714286</v>
      </c>
      <c r="V12" s="1">
        <v>35</v>
      </c>
    </row>
    <row r="13" spans="1:27" x14ac:dyDescent="0.3">
      <c r="B13" s="16" t="s">
        <v>38</v>
      </c>
      <c r="C13" s="17">
        <v>10101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3">
      <c r="B14" s="16" t="s">
        <v>40</v>
      </c>
      <c r="C14" s="17">
        <v>1781</v>
      </c>
      <c r="E14" s="161" t="s">
        <v>39</v>
      </c>
      <c r="F14" s="119">
        <v>25589</v>
      </c>
      <c r="G14" s="117">
        <v>23091.19875</v>
      </c>
      <c r="H14" s="117">
        <v>34729.983014440033</v>
      </c>
      <c r="I14" s="152">
        <f>G14+H14</f>
        <v>57821.181764440029</v>
      </c>
      <c r="J14" s="119">
        <v>24825</v>
      </c>
      <c r="K14" s="117">
        <v>24411.375499999998</v>
      </c>
      <c r="L14" s="117">
        <v>33658.206791340002</v>
      </c>
      <c r="M14" s="162">
        <f>K14+L14</f>
        <v>58069.582291340004</v>
      </c>
      <c r="N14" s="178">
        <v>69</v>
      </c>
      <c r="O14" s="88">
        <v>69</v>
      </c>
      <c r="P14" s="145">
        <v>56</v>
      </c>
      <c r="Q14" s="181">
        <f>IF(J14=0,((F14/V14)),((J14/V14)))</f>
        <v>591.07142857142856</v>
      </c>
      <c r="V14" s="1">
        <v>42</v>
      </c>
    </row>
    <row r="15" spans="1:27" x14ac:dyDescent="0.3">
      <c r="B15" s="28" t="s">
        <v>42</v>
      </c>
      <c r="C15" s="17">
        <f>43052-5660</f>
        <v>37392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3">
      <c r="B16" s="43" t="s">
        <v>47</v>
      </c>
      <c r="C16" s="17">
        <v>1345</v>
      </c>
      <c r="E16" s="161" t="s">
        <v>79</v>
      </c>
      <c r="F16" s="119">
        <v>0</v>
      </c>
      <c r="G16" s="117">
        <v>0</v>
      </c>
      <c r="H16" s="117">
        <v>4867.0162509399997</v>
      </c>
      <c r="I16" s="152">
        <f>G16+H16</f>
        <v>4867.0162509399997</v>
      </c>
      <c r="J16" s="119">
        <v>0</v>
      </c>
      <c r="K16" s="117">
        <v>0</v>
      </c>
      <c r="L16" s="117">
        <v>4846.2834381399998</v>
      </c>
      <c r="M16" s="162">
        <f>K16+L16</f>
        <v>4846.2834381399998</v>
      </c>
      <c r="N16" s="178">
        <v>7</v>
      </c>
      <c r="O16" s="88">
        <v>10</v>
      </c>
      <c r="P16" s="145">
        <v>7</v>
      </c>
      <c r="Q16" s="180"/>
    </row>
    <row r="17" spans="1:28" s="4" customFormat="1" ht="15" customHeight="1" thickBot="1" x14ac:dyDescent="0.35">
      <c r="B17" s="43" t="s">
        <v>48</v>
      </c>
      <c r="C17" s="50">
        <v>43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3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8204</v>
      </c>
      <c r="E18" s="84"/>
      <c r="F18" s="149">
        <v>86427</v>
      </c>
      <c r="G18" s="149">
        <v>60067.104666666673</v>
      </c>
      <c r="H18" s="149">
        <v>71910.590437290011</v>
      </c>
      <c r="I18" s="157">
        <f>SUM(I6:I17)</f>
        <v>131977.69510395671</v>
      </c>
      <c r="J18" s="149">
        <f>SUM(J6:J17)</f>
        <v>87011</v>
      </c>
      <c r="K18" s="149">
        <f>SUM(K6:K17)</f>
        <v>65663.20216666667</v>
      </c>
      <c r="L18" s="149">
        <f>SUM(L6:L17)</f>
        <v>71455.591458039999</v>
      </c>
      <c r="M18" s="175">
        <f>SUM(M6:M17)</f>
        <v>137118.79362470668</v>
      </c>
      <c r="N18" s="148">
        <f>SUM(N16,N14,N12,N10,N8,N6)</f>
        <v>254</v>
      </c>
      <c r="O18" s="149">
        <f>SUM(O16,O14,O12,O10,O8,O6)</f>
        <v>256</v>
      </c>
      <c r="P18" s="158">
        <f>SUM(P16,P14,P12,P10,P8,P6)</f>
        <v>224</v>
      </c>
      <c r="Q18" s="182"/>
    </row>
    <row r="19" spans="1:28" ht="15" customHeight="1" thickBot="1" x14ac:dyDescent="0.35">
      <c r="B19" s="16" t="s">
        <v>51</v>
      </c>
      <c r="C19" s="17">
        <v>1843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  <c r="Q19" s="183"/>
    </row>
    <row r="20" spans="1:28" x14ac:dyDescent="0.3">
      <c r="B20" s="16" t="s">
        <v>52</v>
      </c>
      <c r="C20" s="17">
        <v>4105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0.125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  <c r="N24" s="1" t="s">
        <v>141</v>
      </c>
    </row>
    <row r="25" spans="1:28" x14ac:dyDescent="0.3">
      <c r="B25" s="74" t="s">
        <v>55</v>
      </c>
      <c r="C25" s="122">
        <v>9431</v>
      </c>
      <c r="D25" s="76">
        <f>C13</f>
        <v>10101</v>
      </c>
      <c r="E25" s="77">
        <f t="shared" ref="E25:E33" si="0">D25-C25</f>
        <v>670</v>
      </c>
      <c r="G25">
        <v>102625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0"/>
        <v>0</v>
      </c>
      <c r="G26">
        <v>102626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0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43803</v>
      </c>
      <c r="D28" s="76">
        <f>C9+C14+C15+C16+C17</f>
        <v>43052</v>
      </c>
      <c r="E28" s="77">
        <f t="shared" si="0"/>
        <v>-751</v>
      </c>
      <c r="P28" s="4"/>
      <c r="Q28" s="4"/>
    </row>
    <row r="29" spans="1:28" x14ac:dyDescent="0.3">
      <c r="B29" s="74" t="s">
        <v>21</v>
      </c>
      <c r="C29" s="122">
        <v>105</v>
      </c>
      <c r="D29" s="76">
        <f>C6</f>
        <v>105</v>
      </c>
      <c r="E29" s="77">
        <f t="shared" si="0"/>
        <v>0</v>
      </c>
      <c r="P29" s="4"/>
      <c r="Q29" s="4"/>
    </row>
    <row r="30" spans="1:28" x14ac:dyDescent="0.3">
      <c r="B30" s="74" t="s">
        <v>57</v>
      </c>
      <c r="C30" s="122">
        <v>2387</v>
      </c>
      <c r="D30" s="76">
        <f>C12</f>
        <v>2387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13480</v>
      </c>
      <c r="D31" s="76">
        <f>C18+C19+C20</f>
        <v>14152</v>
      </c>
      <c r="E31" s="77">
        <f t="shared" si="0"/>
        <v>672</v>
      </c>
      <c r="K31" s="53"/>
      <c r="P31" s="4"/>
      <c r="Q31" s="4"/>
    </row>
    <row r="32" spans="1:28" x14ac:dyDescent="0.3">
      <c r="B32" s="74" t="s">
        <v>60</v>
      </c>
      <c r="C32" s="122">
        <v>1260</v>
      </c>
      <c r="D32" s="76">
        <f>C10+C11</f>
        <v>1260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theme="1"/>
    <pageSetUpPr fitToPage="1"/>
  </sheetPr>
  <dimension ref="A1:AB33"/>
  <sheetViews>
    <sheetView zoomScale="85" zoomScaleNormal="85" zoomScaleSheetLayoutView="70" workbookViewId="0">
      <selection activeCell="H24" sqref="H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44806</v>
      </c>
    </row>
    <row r="3" spans="1:27" ht="18.75" customHeight="1" thickBot="1" x14ac:dyDescent="0.35">
      <c r="B3" t="s">
        <v>1</v>
      </c>
      <c r="C3" s="3">
        <f>C2+1</f>
        <v>44807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26997</v>
      </c>
      <c r="G6" s="117">
        <v>12237.300333333331</v>
      </c>
      <c r="H6" s="117">
        <v>5545.2539545000018</v>
      </c>
      <c r="I6" s="152">
        <f>G6+H6</f>
        <v>17782.554287833333</v>
      </c>
      <c r="J6" s="119">
        <v>28635</v>
      </c>
      <c r="K6" s="117">
        <v>13705.87533333333</v>
      </c>
      <c r="L6" s="117">
        <v>5459.0938826200008</v>
      </c>
      <c r="M6" s="162">
        <f>K6+L6</f>
        <v>19164.96921595333</v>
      </c>
      <c r="N6" s="178">
        <v>75</v>
      </c>
      <c r="O6" s="88">
        <v>74</v>
      </c>
      <c r="P6" s="145">
        <v>70</v>
      </c>
      <c r="Q6" s="181">
        <f>IF(J6=0,((F6/V6)),((J6/V6)))</f>
        <v>665.93023255813955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3925.2008715799989</v>
      </c>
      <c r="I8" s="152">
        <f>G8+H8</f>
        <v>3925.2008715799989</v>
      </c>
      <c r="J8" s="119">
        <v>0</v>
      </c>
      <c r="K8" s="117">
        <v>0</v>
      </c>
      <c r="L8" s="117">
        <v>4030.2014398199999</v>
      </c>
      <c r="M8" s="162">
        <f>K8+L8</f>
        <v>4030.2014398199999</v>
      </c>
      <c r="N8" s="178">
        <v>7</v>
      </c>
      <c r="O8" s="88">
        <v>7</v>
      </c>
      <c r="P8" s="145">
        <v>6</v>
      </c>
      <c r="Q8" s="117"/>
    </row>
    <row r="9" spans="1:27" x14ac:dyDescent="0.3">
      <c r="B9" s="16" t="s">
        <v>23</v>
      </c>
      <c r="C9" s="17">
        <v>1464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17231</v>
      </c>
      <c r="G10" s="117">
        <v>10968.567833333331</v>
      </c>
      <c r="H10" s="117">
        <v>679.36909199999991</v>
      </c>
      <c r="I10" s="152">
        <f>G10+H10</f>
        <v>11647.936925333332</v>
      </c>
      <c r="J10" s="119">
        <v>17630</v>
      </c>
      <c r="K10" s="117">
        <v>11477.47433333333</v>
      </c>
      <c r="L10" s="117">
        <v>722.68021368000007</v>
      </c>
      <c r="M10" s="162">
        <f>K10+L10</f>
        <v>12200.15454701333</v>
      </c>
      <c r="N10" s="178">
        <v>48</v>
      </c>
      <c r="O10" s="88">
        <v>50</v>
      </c>
      <c r="P10" s="145">
        <v>40</v>
      </c>
      <c r="Q10" s="181">
        <f>IF(J10=0,((F10/V10)),((J10/V10)))</f>
        <v>339.03846153846155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10</v>
      </c>
      <c r="Q11" s="118"/>
    </row>
    <row r="12" spans="1:27" x14ac:dyDescent="0.3">
      <c r="A12" s="166"/>
      <c r="B12" s="16" t="s">
        <v>30</v>
      </c>
      <c r="C12" s="17">
        <v>5881</v>
      </c>
      <c r="E12" s="161" t="s">
        <v>35</v>
      </c>
      <c r="F12" s="119">
        <v>14357</v>
      </c>
      <c r="G12" s="117">
        <v>12316.245999999999</v>
      </c>
      <c r="H12" s="117">
        <v>19070.16013393</v>
      </c>
      <c r="I12" s="152">
        <f>G12+H12</f>
        <v>31386.406133929999</v>
      </c>
      <c r="J12" s="119">
        <v>15693</v>
      </c>
      <c r="K12" s="117">
        <v>16273.402749999999</v>
      </c>
      <c r="L12" s="117">
        <v>20481.367007060009</v>
      </c>
      <c r="M12" s="162">
        <f>K12+L12</f>
        <v>36754.769757060007</v>
      </c>
      <c r="N12" s="178">
        <v>50</v>
      </c>
      <c r="O12" s="88">
        <v>51</v>
      </c>
      <c r="P12" s="145">
        <v>47</v>
      </c>
      <c r="Q12" s="181">
        <f>IF(J12=0,((F12/V12)),((J12/V12)))</f>
        <v>448.37142857142857</v>
      </c>
      <c r="V12" s="1">
        <v>35</v>
      </c>
    </row>
    <row r="13" spans="1:27" x14ac:dyDescent="0.3">
      <c r="B13" s="16" t="s">
        <v>38</v>
      </c>
      <c r="C13" s="17">
        <v>8299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3">
      <c r="B14" s="16" t="s">
        <v>40</v>
      </c>
      <c r="C14" s="17">
        <v>1449</v>
      </c>
      <c r="E14" s="161" t="s">
        <v>39</v>
      </c>
      <c r="F14" s="119">
        <v>34230</v>
      </c>
      <c r="G14" s="117">
        <v>25310.927500000002</v>
      </c>
      <c r="H14" s="117">
        <v>46484.40679082003</v>
      </c>
      <c r="I14" s="152">
        <f>G14+H14</f>
        <v>71795.334290820028</v>
      </c>
      <c r="J14" s="119">
        <v>35506</v>
      </c>
      <c r="K14" s="117">
        <v>34085.535250000001</v>
      </c>
      <c r="L14" s="117">
        <v>48438.987144280007</v>
      </c>
      <c r="M14" s="162">
        <f>K14+L14</f>
        <v>82524.522394280008</v>
      </c>
      <c r="N14" s="178">
        <v>73</v>
      </c>
      <c r="O14" s="88">
        <v>74</v>
      </c>
      <c r="P14" s="145">
        <v>67</v>
      </c>
      <c r="Q14" s="181">
        <f>IF(J14=0,((F14/V14)),((J14/V14)))</f>
        <v>845.38095238095241</v>
      </c>
      <c r="V14" s="1">
        <v>42</v>
      </c>
    </row>
    <row r="15" spans="1:27" x14ac:dyDescent="0.3">
      <c r="B15" s="28" t="s">
        <v>42</v>
      </c>
      <c r="C15" s="17">
        <f>45827-12896</f>
        <v>32931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3">
      <c r="B16" s="43" t="s">
        <v>47</v>
      </c>
      <c r="C16" s="17">
        <v>1392</v>
      </c>
      <c r="E16" s="161" t="s">
        <v>79</v>
      </c>
      <c r="F16" s="119">
        <v>0</v>
      </c>
      <c r="G16" s="117">
        <v>0</v>
      </c>
      <c r="H16" s="117">
        <v>7076.6177882399998</v>
      </c>
      <c r="I16" s="152">
        <f>G16+H16</f>
        <v>7076.6177882399998</v>
      </c>
      <c r="J16" s="119">
        <v>0</v>
      </c>
      <c r="K16" s="117">
        <v>0</v>
      </c>
      <c r="L16" s="117">
        <v>6973.0898655399997</v>
      </c>
      <c r="M16" s="162">
        <f>K16+L16</f>
        <v>6973.0898655399997</v>
      </c>
      <c r="N16" s="178">
        <v>12</v>
      </c>
      <c r="O16" s="88">
        <v>10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292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8792</v>
      </c>
      <c r="E18" s="84"/>
      <c r="F18" s="149">
        <f t="shared" ref="F18:M18" si="0">SUM(F6:F17)</f>
        <v>92815</v>
      </c>
      <c r="G18" s="149">
        <f t="shared" si="0"/>
        <v>60833.041666666657</v>
      </c>
      <c r="H18" s="149">
        <f t="shared" si="0"/>
        <v>82781.008631070028</v>
      </c>
      <c r="I18" s="157">
        <f t="shared" si="0"/>
        <v>143614.05029773669</v>
      </c>
      <c r="J18" s="149">
        <f t="shared" si="0"/>
        <v>97464</v>
      </c>
      <c r="K18" s="149">
        <f t="shared" si="0"/>
        <v>75542.287666666671</v>
      </c>
      <c r="L18" s="149">
        <f t="shared" si="0"/>
        <v>86105.419553000014</v>
      </c>
      <c r="M18" s="175">
        <f t="shared" si="0"/>
        <v>161647.70721966668</v>
      </c>
      <c r="N18" s="148">
        <f>SUM(N16,N14,N12,N10,N8,N6)</f>
        <v>265</v>
      </c>
      <c r="O18" s="149">
        <f>SUM(O16,O14,O12,O10,O8,O6)</f>
        <v>266</v>
      </c>
      <c r="P18" s="158">
        <f>SUM(P16,P14,P12,P10,P8,P6)</f>
        <v>240</v>
      </c>
      <c r="Q18" s="182"/>
    </row>
    <row r="19" spans="1:28" ht="15" customHeight="1" thickBot="1" x14ac:dyDescent="0.35">
      <c r="B19" s="16" t="s">
        <v>51</v>
      </c>
      <c r="C19" s="17">
        <v>530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  <c r="Q19" s="183"/>
    </row>
    <row r="20" spans="1:28" x14ac:dyDescent="0.3">
      <c r="B20" s="16" t="s">
        <v>52</v>
      </c>
      <c r="C20" s="17">
        <v>4267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9.7744360902255634E-2</v>
      </c>
      <c r="Q20" s="139"/>
    </row>
    <row r="21" spans="1:28" ht="15" customHeight="1" thickBot="1" x14ac:dyDescent="0.35">
      <c r="A21" s="123"/>
      <c r="B21" s="168" t="s">
        <v>132</v>
      </c>
      <c r="C21" s="169">
        <v>1341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8197</v>
      </c>
      <c r="D25" s="76">
        <f>C13</f>
        <v>8299</v>
      </c>
      <c r="E25" s="77">
        <f t="shared" ref="E25:E33" si="1">D25-C25</f>
        <v>102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42883</v>
      </c>
      <c r="D28" s="76">
        <f>C9+C14+C15+C16+C17</f>
        <v>37528</v>
      </c>
      <c r="E28" s="77">
        <f t="shared" si="1"/>
        <v>-5355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5881</v>
      </c>
      <c r="D30" s="76">
        <f>C12</f>
        <v>5881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12030</v>
      </c>
      <c r="D31" s="76">
        <f>C18+C19+C20</f>
        <v>13589</v>
      </c>
      <c r="E31" s="77">
        <f t="shared" si="1"/>
        <v>1559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1341</v>
      </c>
      <c r="D33" s="80">
        <f>C21</f>
        <v>1341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theme="1"/>
    <pageSetUpPr fitToPage="1"/>
  </sheetPr>
  <dimension ref="A1:AB33"/>
  <sheetViews>
    <sheetView zoomScale="85" zoomScaleNormal="85" zoomScaleSheetLayoutView="70" workbookViewId="0">
      <selection activeCell="AF23" sqref="AF22:AF2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44807</v>
      </c>
    </row>
    <row r="3" spans="1:27" ht="18.75" customHeight="1" thickBot="1" x14ac:dyDescent="0.35">
      <c r="B3" t="s">
        <v>1</v>
      </c>
      <c r="C3" s="3">
        <f>C2+1</f>
        <v>44808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81</v>
      </c>
      <c r="E6" s="161" t="s">
        <v>22</v>
      </c>
      <c r="F6" s="119">
        <v>27678</v>
      </c>
      <c r="G6" s="117">
        <v>12189.562233333339</v>
      </c>
      <c r="H6" s="117">
        <v>6624.2586028399983</v>
      </c>
      <c r="I6" s="152">
        <f>G6+H6</f>
        <v>18813.820836173338</v>
      </c>
      <c r="J6" s="119">
        <v>28105</v>
      </c>
      <c r="K6" s="117">
        <v>14249.002733333329</v>
      </c>
      <c r="L6" s="117">
        <v>6691.9705612199978</v>
      </c>
      <c r="M6" s="162">
        <f>K6+L6</f>
        <v>20940.973294553325</v>
      </c>
      <c r="N6" s="178">
        <v>77</v>
      </c>
      <c r="O6" s="88">
        <v>74</v>
      </c>
      <c r="P6" s="145">
        <v>72</v>
      </c>
      <c r="Q6" s="181">
        <f>IF(J6=0,((F6/V6)),((J6/V6)))</f>
        <v>653.60465116279067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3759.0185485000011</v>
      </c>
      <c r="I8" s="152">
        <f>G8+H8</f>
        <v>3759.0185485000011</v>
      </c>
      <c r="J8" s="119">
        <v>0</v>
      </c>
      <c r="K8" s="117">
        <v>0</v>
      </c>
      <c r="L8" s="117">
        <v>3738.8734278000011</v>
      </c>
      <c r="M8" s="162">
        <f>K8+L8</f>
        <v>3738.8734278000011</v>
      </c>
      <c r="N8" s="178">
        <v>7</v>
      </c>
      <c r="O8" s="88">
        <v>7</v>
      </c>
      <c r="P8" s="145">
        <v>5</v>
      </c>
      <c r="Q8" s="117"/>
    </row>
    <row r="9" spans="1:27" x14ac:dyDescent="0.3">
      <c r="B9" s="16" t="s">
        <v>23</v>
      </c>
      <c r="C9" s="17">
        <v>1703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3">
      <c r="B10" s="28" t="s">
        <v>26</v>
      </c>
      <c r="C10" s="17">
        <v>1410</v>
      </c>
      <c r="E10" s="161" t="s">
        <v>31</v>
      </c>
      <c r="F10" s="119">
        <v>18827</v>
      </c>
      <c r="G10" s="117">
        <v>11491.38108333333</v>
      </c>
      <c r="H10" s="117">
        <v>1108.7868406600001</v>
      </c>
      <c r="I10" s="152">
        <f>G10+H10</f>
        <v>12600.167923993329</v>
      </c>
      <c r="J10" s="119">
        <v>18636</v>
      </c>
      <c r="K10" s="117">
        <v>12095.70908333333</v>
      </c>
      <c r="L10" s="117">
        <v>1102.91564838</v>
      </c>
      <c r="M10" s="162">
        <f>K10+L10</f>
        <v>13198.624731713329</v>
      </c>
      <c r="N10" s="178">
        <v>48</v>
      </c>
      <c r="O10" s="88">
        <v>49</v>
      </c>
      <c r="P10" s="145">
        <v>39</v>
      </c>
      <c r="Q10" s="181">
        <f>IF(J10=0,((F10/V10)),((J10/V10)))</f>
        <v>358.38461538461536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10</v>
      </c>
      <c r="Q11" s="118"/>
    </row>
    <row r="12" spans="1:27" x14ac:dyDescent="0.3">
      <c r="A12" s="166"/>
      <c r="B12" s="16" t="s">
        <v>30</v>
      </c>
      <c r="C12" s="17">
        <v>6819</v>
      </c>
      <c r="E12" s="161" t="s">
        <v>35</v>
      </c>
      <c r="F12" s="119">
        <v>18274</v>
      </c>
      <c r="G12" s="117">
        <v>14578.364333333329</v>
      </c>
      <c r="H12" s="117">
        <v>23611.80768204002</v>
      </c>
      <c r="I12" s="152">
        <f>G12+H12</f>
        <v>38190.172015373348</v>
      </c>
      <c r="J12" s="119">
        <v>18137</v>
      </c>
      <c r="K12" s="117">
        <v>16069.535583333331</v>
      </c>
      <c r="L12" s="117">
        <v>23518.648707090011</v>
      </c>
      <c r="M12" s="162">
        <f>K12+L12</f>
        <v>39588.184290423342</v>
      </c>
      <c r="N12" s="178">
        <v>52</v>
      </c>
      <c r="O12" s="88">
        <v>52</v>
      </c>
      <c r="P12" s="145">
        <v>45</v>
      </c>
      <c r="Q12" s="181">
        <f>IF(J12=0,((F12/V12)),((J12/V12)))</f>
        <v>518.20000000000005</v>
      </c>
      <c r="V12" s="1">
        <v>35</v>
      </c>
    </row>
    <row r="13" spans="1:27" x14ac:dyDescent="0.3">
      <c r="B13" s="16" t="s">
        <v>38</v>
      </c>
      <c r="C13" s="17">
        <v>9510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7</v>
      </c>
      <c r="Q13" s="118"/>
    </row>
    <row r="14" spans="1:27" x14ac:dyDescent="0.3">
      <c r="B14" s="16" t="s">
        <v>40</v>
      </c>
      <c r="C14" s="17">
        <v>1255</v>
      </c>
      <c r="E14" s="161" t="s">
        <v>39</v>
      </c>
      <c r="F14" s="119">
        <v>34690</v>
      </c>
      <c r="G14" s="117">
        <v>32012.171249999999</v>
      </c>
      <c r="H14" s="117">
        <v>46582.271897159953</v>
      </c>
      <c r="I14" s="152">
        <f>G14+H14</f>
        <v>78594.443147159953</v>
      </c>
      <c r="J14" s="119">
        <v>33680</v>
      </c>
      <c r="K14" s="117">
        <v>23892.838749999999</v>
      </c>
      <c r="L14" s="117">
        <v>45297.499106200034</v>
      </c>
      <c r="M14" s="162">
        <f>K14+L14</f>
        <v>69190.337856200029</v>
      </c>
      <c r="N14" s="178">
        <v>69</v>
      </c>
      <c r="O14" s="88">
        <v>68</v>
      </c>
      <c r="P14" s="145">
        <v>55</v>
      </c>
      <c r="Q14" s="181">
        <f>IF(J14=0,((F14/V14)),((J14/V14)))</f>
        <v>801.90476190476193</v>
      </c>
      <c r="V14" s="1">
        <v>42</v>
      </c>
    </row>
    <row r="15" spans="1:27" x14ac:dyDescent="0.3">
      <c r="B15" s="28" t="s">
        <v>42</v>
      </c>
      <c r="C15" s="17">
        <f>36735-3001</f>
        <v>33734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3">
      <c r="B16" s="43" t="s">
        <v>47</v>
      </c>
      <c r="C16" s="17"/>
      <c r="E16" s="161" t="s">
        <v>79</v>
      </c>
      <c r="F16" s="119">
        <v>0</v>
      </c>
      <c r="G16" s="117">
        <v>0</v>
      </c>
      <c r="H16" s="117">
        <v>4804.4483612800004</v>
      </c>
      <c r="I16" s="152">
        <f>G16+H16</f>
        <v>4804.4483612800004</v>
      </c>
      <c r="J16" s="119">
        <v>0</v>
      </c>
      <c r="K16" s="117">
        <v>0</v>
      </c>
      <c r="L16" s="117">
        <v>4788.3635866799996</v>
      </c>
      <c r="M16" s="162">
        <f>K16+L16</f>
        <v>4788.3635866799996</v>
      </c>
      <c r="N16" s="178">
        <v>10</v>
      </c>
      <c r="O16" s="88">
        <v>10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50">
        <v>43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9172</v>
      </c>
      <c r="E18" s="84"/>
      <c r="F18" s="149">
        <f t="shared" ref="F18:M18" si="0">SUM(F6:F17)</f>
        <v>99469</v>
      </c>
      <c r="G18" s="149">
        <f t="shared" si="0"/>
        <v>70271.478900000002</v>
      </c>
      <c r="H18" s="149">
        <f t="shared" si="0"/>
        <v>86490.591932479962</v>
      </c>
      <c r="I18" s="157">
        <f t="shared" si="0"/>
        <v>156762.07083247995</v>
      </c>
      <c r="J18" s="149">
        <f t="shared" si="0"/>
        <v>98558</v>
      </c>
      <c r="K18" s="149">
        <f t="shared" si="0"/>
        <v>66307.086149999988</v>
      </c>
      <c r="L18" s="149">
        <f t="shared" si="0"/>
        <v>85138.271037370054</v>
      </c>
      <c r="M18" s="175">
        <f t="shared" si="0"/>
        <v>151445.35718737004</v>
      </c>
      <c r="N18" s="148">
        <f>SUM(N16,N14,N12,N10,N8,N6)</f>
        <v>263</v>
      </c>
      <c r="O18" s="149">
        <f>SUM(O16,O14,O12,O10,O8,O6)</f>
        <v>260</v>
      </c>
      <c r="P18" s="158">
        <f>SUM(P16,P14,P12,P10,P8,P6)</f>
        <v>224</v>
      </c>
      <c r="Q18" s="182"/>
    </row>
    <row r="19" spans="1:28" ht="15" customHeight="1" thickBot="1" x14ac:dyDescent="0.35">
      <c r="B19" s="16" t="s">
        <v>51</v>
      </c>
      <c r="C19" s="17">
        <v>1548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  <c r="Q19" s="183"/>
    </row>
    <row r="20" spans="1:28" x14ac:dyDescent="0.3">
      <c r="B20" s="16" t="s">
        <v>52</v>
      </c>
      <c r="C20" s="17">
        <v>4459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0.13846153846153847</v>
      </c>
      <c r="Q20" s="139"/>
    </row>
    <row r="21" spans="1:28" ht="15" customHeight="1" thickBot="1" x14ac:dyDescent="0.35">
      <c r="A21" s="123"/>
      <c r="B21" s="168" t="s">
        <v>132</v>
      </c>
      <c r="C21" s="169">
        <v>399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9917</v>
      </c>
      <c r="D25" s="76">
        <f>C13</f>
        <v>9510</v>
      </c>
      <c r="E25" s="77">
        <f t="shared" ref="E25:E33" si="1">D25-C25</f>
        <v>-407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37975</v>
      </c>
      <c r="D28" s="76">
        <f>C9+C14+C15+C16+C17</f>
        <v>36735</v>
      </c>
      <c r="E28" s="77">
        <f t="shared" si="1"/>
        <v>-1240</v>
      </c>
      <c r="P28" s="4"/>
      <c r="Q28" s="4"/>
    </row>
    <row r="29" spans="1:28" x14ac:dyDescent="0.3">
      <c r="B29" s="74" t="s">
        <v>21</v>
      </c>
      <c r="C29" s="122">
        <v>81</v>
      </c>
      <c r="D29" s="76">
        <f>C6</f>
        <v>81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6819</v>
      </c>
      <c r="D30" s="76">
        <f>C12</f>
        <v>6819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14440</v>
      </c>
      <c r="D31" s="76">
        <f>C18+C19+C20</f>
        <v>15179</v>
      </c>
      <c r="E31" s="77">
        <f t="shared" si="1"/>
        <v>739</v>
      </c>
      <c r="K31" s="53"/>
      <c r="P31" s="4"/>
      <c r="Q31" s="4"/>
    </row>
    <row r="32" spans="1:28" x14ac:dyDescent="0.3">
      <c r="B32" s="74" t="s">
        <v>60</v>
      </c>
      <c r="C32" s="122">
        <v>1410</v>
      </c>
      <c r="D32" s="76">
        <f>C10+C11</f>
        <v>1410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399</v>
      </c>
      <c r="D33" s="80">
        <f>C21</f>
        <v>399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theme="1"/>
    <pageSetUpPr fitToPage="1"/>
  </sheetPr>
  <dimension ref="A1:AB33"/>
  <sheetViews>
    <sheetView zoomScale="85" zoomScaleNormal="85" zoomScaleSheetLayoutView="70" workbookViewId="0">
      <selection activeCell="N35" sqref="N3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44808</v>
      </c>
    </row>
    <row r="3" spans="1:27" ht="18.75" customHeight="1" thickBot="1" x14ac:dyDescent="0.35">
      <c r="B3" t="s">
        <v>1</v>
      </c>
      <c r="C3" s="3">
        <f>C2+1</f>
        <v>44809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8955</v>
      </c>
      <c r="G6" s="117">
        <v>3043</v>
      </c>
      <c r="H6" s="117">
        <v>365.36982035999989</v>
      </c>
      <c r="I6" s="152">
        <f>G6+H6</f>
        <v>3408.3698203599997</v>
      </c>
      <c r="J6" s="119">
        <v>10944</v>
      </c>
      <c r="K6" s="117">
        <v>3726</v>
      </c>
      <c r="L6" s="117">
        <v>735</v>
      </c>
      <c r="M6" s="162">
        <f>K6+L6</f>
        <v>4461</v>
      </c>
      <c r="N6" s="178">
        <v>39</v>
      </c>
      <c r="O6" s="88">
        <v>39</v>
      </c>
      <c r="P6" s="145">
        <v>33</v>
      </c>
      <c r="Q6" s="181">
        <f>IF(J6=0,((F6/V6)),((J6/V6)))</f>
        <v>254.51162790697674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4520</v>
      </c>
      <c r="G10" s="117">
        <v>2359</v>
      </c>
      <c r="H10" s="117">
        <v>801.09701899999993</v>
      </c>
      <c r="I10" s="152">
        <f>G10+H10</f>
        <v>3160.0970189999998</v>
      </c>
      <c r="J10" s="119">
        <v>5088</v>
      </c>
      <c r="K10" s="117">
        <v>2661</v>
      </c>
      <c r="L10" s="117">
        <v>907</v>
      </c>
      <c r="M10" s="162">
        <f>K10+L10</f>
        <v>3568</v>
      </c>
      <c r="N10" s="178">
        <v>0</v>
      </c>
      <c r="O10" s="88">
        <v>0</v>
      </c>
      <c r="P10" s="145">
        <v>0</v>
      </c>
      <c r="Q10" s="181">
        <f>IF(J10=0,((F10/V10)),((J10/V10)))</f>
        <v>97.84615384615384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178">
        <v>0</v>
      </c>
      <c r="O12" s="88">
        <v>0</v>
      </c>
      <c r="P12" s="145">
        <v>0</v>
      </c>
      <c r="Q12" s="181">
        <f>IF(J12=0,((F12/V12)),((J12/V12)))</f>
        <v>0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0</v>
      </c>
      <c r="E14" s="161" t="s">
        <v>39</v>
      </c>
      <c r="F14" s="119">
        <v>7852</v>
      </c>
      <c r="G14" s="117">
        <v>10847</v>
      </c>
      <c r="H14" s="117"/>
      <c r="I14" s="152">
        <f>G14+H14</f>
        <v>10847</v>
      </c>
      <c r="J14" s="119">
        <v>6247</v>
      </c>
      <c r="K14" s="117">
        <v>8928</v>
      </c>
      <c r="L14" s="117"/>
      <c r="M14" s="162">
        <f>K14+L14</f>
        <v>8928</v>
      </c>
      <c r="N14" s="178">
        <v>17</v>
      </c>
      <c r="O14" s="88">
        <v>18</v>
      </c>
      <c r="P14" s="145">
        <v>11</v>
      </c>
      <c r="Q14" s="181">
        <f>IF(J14=0,((F14/V14)),((J14/V14)))</f>
        <v>148.73809523809524</v>
      </c>
      <c r="V14" s="1">
        <v>42</v>
      </c>
    </row>
    <row r="15" spans="1:27" x14ac:dyDescent="0.3">
      <c r="B15" s="28" t="s">
        <v>42</v>
      </c>
      <c r="C15" s="17"/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10719</v>
      </c>
      <c r="E18" s="84"/>
      <c r="F18" s="149">
        <f t="shared" ref="F18:M18" si="0">SUM(F6:F17)</f>
        <v>21327</v>
      </c>
      <c r="G18" s="149">
        <f t="shared" si="0"/>
        <v>16249</v>
      </c>
      <c r="H18" s="149">
        <f t="shared" si="0"/>
        <v>1166.4668393599998</v>
      </c>
      <c r="I18" s="157">
        <f t="shared" si="0"/>
        <v>17415.46683936</v>
      </c>
      <c r="J18" s="149">
        <f t="shared" si="0"/>
        <v>22279</v>
      </c>
      <c r="K18" s="149">
        <f t="shared" si="0"/>
        <v>15315</v>
      </c>
      <c r="L18" s="149">
        <f t="shared" si="0"/>
        <v>1642</v>
      </c>
      <c r="M18" s="175">
        <f t="shared" si="0"/>
        <v>16957</v>
      </c>
      <c r="N18" s="148">
        <f>SUM(N16,N14,N12,N10,N8,N6)</f>
        <v>57</v>
      </c>
      <c r="O18" s="149">
        <f>SUM(O16,O14,O12,O10,O8,O6)</f>
        <v>58</v>
      </c>
      <c r="P18" s="158">
        <f>SUM(P16,P14,P12,P10,P8,P6)</f>
        <v>45</v>
      </c>
      <c r="Q18" s="182"/>
    </row>
    <row r="19" spans="1:28" ht="15" customHeight="1" thickBot="1" x14ac:dyDescent="0.35">
      <c r="B19" s="16" t="s">
        <v>51</v>
      </c>
      <c r="C19" s="17">
        <v>767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  <c r="Q19" s="183"/>
    </row>
    <row r="20" spans="1:28" x14ac:dyDescent="0.3">
      <c r="B20" s="16" t="s">
        <v>52</v>
      </c>
      <c r="C20" s="17">
        <v>4546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0.22413793103448276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7852</v>
      </c>
      <c r="D28" s="76">
        <f>C9+C14+C15+C16+C17</f>
        <v>0</v>
      </c>
      <c r="E28" s="77">
        <f t="shared" si="1"/>
        <v>-7852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13475</v>
      </c>
      <c r="D31" s="76">
        <f>C18+C19+C20</f>
        <v>16032</v>
      </c>
      <c r="E31" s="77">
        <f t="shared" si="1"/>
        <v>2557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theme="1"/>
    <pageSetUpPr fitToPage="1"/>
  </sheetPr>
  <dimension ref="A1:AB33"/>
  <sheetViews>
    <sheetView zoomScale="85" zoomScaleNormal="85" zoomScaleSheetLayoutView="70" workbookViewId="0">
      <selection activeCell="J28" sqref="J2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44809</v>
      </c>
    </row>
    <row r="3" spans="1:27" ht="18.75" customHeight="1" thickBot="1" x14ac:dyDescent="0.35">
      <c r="B3" t="s">
        <v>1</v>
      </c>
      <c r="C3" s="3">
        <f>C2+1</f>
        <v>44810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76</v>
      </c>
      <c r="E6" s="161" t="s">
        <v>22</v>
      </c>
      <c r="F6" s="119">
        <v>25503</v>
      </c>
      <c r="G6" s="117">
        <v>10664</v>
      </c>
      <c r="H6" s="117">
        <v>5469</v>
      </c>
      <c r="I6" s="152">
        <f>G6+H6</f>
        <v>16133</v>
      </c>
      <c r="J6" s="119">
        <v>25798</v>
      </c>
      <c r="K6" s="117">
        <v>11192.34008333334</v>
      </c>
      <c r="L6" s="117">
        <v>5446.5970865199997</v>
      </c>
      <c r="M6" s="162">
        <f>K6+L6</f>
        <v>16638.93716985334</v>
      </c>
      <c r="N6" s="178">
        <v>68</v>
      </c>
      <c r="O6" s="88">
        <v>72</v>
      </c>
      <c r="P6" s="145">
        <v>65</v>
      </c>
      <c r="Q6" s="181">
        <f>IF(J6=0,((F6/V6)),((J6/V6)))</f>
        <v>599.95348837209303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7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3522</v>
      </c>
      <c r="I8" s="152">
        <f>G8+H8</f>
        <v>3522</v>
      </c>
      <c r="J8" s="119">
        <v>0</v>
      </c>
      <c r="K8" s="117">
        <v>0</v>
      </c>
      <c r="L8" s="117">
        <v>3518.4958237599999</v>
      </c>
      <c r="M8" s="162">
        <f>K8+L8</f>
        <v>3518.4958237599999</v>
      </c>
      <c r="N8" s="178">
        <v>6</v>
      </c>
      <c r="O8" s="88">
        <v>6</v>
      </c>
      <c r="P8" s="145">
        <v>5</v>
      </c>
      <c r="Q8" s="117"/>
    </row>
    <row r="9" spans="1:27" x14ac:dyDescent="0.3">
      <c r="B9" s="16" t="s">
        <v>23</v>
      </c>
      <c r="C9" s="17">
        <v>1529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760</v>
      </c>
      <c r="E10" s="161" t="s">
        <v>31</v>
      </c>
      <c r="F10" s="119">
        <v>19254</v>
      </c>
      <c r="G10" s="117">
        <v>12381</v>
      </c>
      <c r="H10" s="117">
        <v>874</v>
      </c>
      <c r="I10" s="152">
        <f>G10+H10</f>
        <v>13255</v>
      </c>
      <c r="J10" s="119">
        <v>19259</v>
      </c>
      <c r="K10" s="117">
        <v>12419.441999999999</v>
      </c>
      <c r="L10" s="117">
        <v>903.31974170000001</v>
      </c>
      <c r="M10" s="162">
        <f>K10+L10</f>
        <v>13322.761741699998</v>
      </c>
      <c r="N10" s="178">
        <v>45</v>
      </c>
      <c r="O10" s="88">
        <v>47</v>
      </c>
      <c r="P10" s="145">
        <v>43</v>
      </c>
      <c r="Q10" s="181">
        <f>IF(J10=0,((F10/V10)),((J10/V10)))</f>
        <v>370.36538461538464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3">
      <c r="A12" s="166"/>
      <c r="B12" s="16" t="s">
        <v>30</v>
      </c>
      <c r="C12" s="17">
        <v>2406</v>
      </c>
      <c r="E12" s="161" t="s">
        <v>35</v>
      </c>
      <c r="F12" s="119">
        <v>12325</v>
      </c>
      <c r="G12" s="117">
        <v>10127</v>
      </c>
      <c r="H12" s="117">
        <v>15407</v>
      </c>
      <c r="I12" s="152">
        <f>G12+H12</f>
        <v>25534</v>
      </c>
      <c r="J12" s="119">
        <v>11500</v>
      </c>
      <c r="K12" s="117">
        <v>9838.1309166666688</v>
      </c>
      <c r="L12" s="117">
        <v>15053.883555</v>
      </c>
      <c r="M12" s="162">
        <f>K12+L12</f>
        <v>24892.014471666669</v>
      </c>
      <c r="N12" s="178">
        <v>44</v>
      </c>
      <c r="O12" s="88">
        <v>48</v>
      </c>
      <c r="P12" s="145">
        <v>36</v>
      </c>
      <c r="Q12" s="181">
        <f>IF(J12=0,((F12/V12)),((J12/V12)))</f>
        <v>328.57142857142856</v>
      </c>
      <c r="V12" s="1">
        <v>35</v>
      </c>
    </row>
    <row r="13" spans="1:27" x14ac:dyDescent="0.3">
      <c r="B13" s="16" t="s">
        <v>38</v>
      </c>
      <c r="C13" s="17">
        <v>7834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12</v>
      </c>
      <c r="Q13" s="118"/>
    </row>
    <row r="14" spans="1:27" x14ac:dyDescent="0.3">
      <c r="B14" s="16" t="s">
        <v>40</v>
      </c>
      <c r="C14" s="17">
        <v>1786</v>
      </c>
      <c r="E14" s="161" t="s">
        <v>39</v>
      </c>
      <c r="F14" s="119">
        <v>22292</v>
      </c>
      <c r="G14" s="117">
        <v>19708</v>
      </c>
      <c r="H14" s="117">
        <v>30170</v>
      </c>
      <c r="I14" s="152">
        <f>G14+H14</f>
        <v>49878</v>
      </c>
      <c r="J14" s="119">
        <v>21915</v>
      </c>
      <c r="K14" s="117">
        <v>22256.516500000002</v>
      </c>
      <c r="L14" s="117">
        <v>30417.355181180032</v>
      </c>
      <c r="M14" s="162">
        <f>K14+L14</f>
        <v>52673.871681180033</v>
      </c>
      <c r="N14" s="178">
        <v>55</v>
      </c>
      <c r="O14" s="88">
        <v>66</v>
      </c>
      <c r="P14" s="145">
        <v>54</v>
      </c>
      <c r="Q14" s="181">
        <f>IF(J14=0,((F14/V14)),((J14/V14)))</f>
        <v>521.78571428571433</v>
      </c>
      <c r="V14" s="1">
        <v>42</v>
      </c>
    </row>
    <row r="15" spans="1:27" x14ac:dyDescent="0.3">
      <c r="B15" s="28" t="s">
        <v>42</v>
      </c>
      <c r="C15" s="17">
        <v>28671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12</v>
      </c>
      <c r="Q15" s="118"/>
    </row>
    <row r="16" spans="1:27" x14ac:dyDescent="0.3">
      <c r="B16" s="43" t="s">
        <v>47</v>
      </c>
      <c r="C16" s="17">
        <v>1767</v>
      </c>
      <c r="E16" s="161" t="s">
        <v>79</v>
      </c>
      <c r="F16" s="119">
        <v>0</v>
      </c>
      <c r="G16" s="117">
        <v>0</v>
      </c>
      <c r="H16" s="117">
        <v>6938</v>
      </c>
      <c r="I16" s="152">
        <f>G16+H16</f>
        <v>6938</v>
      </c>
      <c r="J16" s="119">
        <v>0</v>
      </c>
      <c r="K16" s="117">
        <v>0</v>
      </c>
      <c r="L16" s="117">
        <v>6881.1658014000004</v>
      </c>
      <c r="M16" s="162">
        <f>K16+L16</f>
        <v>6881.1658014000004</v>
      </c>
      <c r="N16" s="178">
        <v>8</v>
      </c>
      <c r="O16" s="88">
        <v>9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50">
        <v>305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9188</v>
      </c>
      <c r="E18" s="84"/>
      <c r="F18" s="149">
        <f t="shared" ref="F18:M18" si="0">SUM(F6:F17)</f>
        <v>79374</v>
      </c>
      <c r="G18" s="149">
        <f t="shared" si="0"/>
        <v>52880</v>
      </c>
      <c r="H18" s="149">
        <f t="shared" si="0"/>
        <v>62380</v>
      </c>
      <c r="I18" s="157">
        <f t="shared" si="0"/>
        <v>115260</v>
      </c>
      <c r="J18" s="149">
        <f t="shared" si="0"/>
        <v>78472</v>
      </c>
      <c r="K18" s="149">
        <f t="shared" si="0"/>
        <v>55706.429500000013</v>
      </c>
      <c r="L18" s="149">
        <f t="shared" si="0"/>
        <v>62220.817189560024</v>
      </c>
      <c r="M18" s="175">
        <f t="shared" si="0"/>
        <v>117927.24668956004</v>
      </c>
      <c r="N18" s="148">
        <f>SUM(N16,N14,N12,N10,N8,N6)</f>
        <v>226</v>
      </c>
      <c r="O18" s="149">
        <f>SUM(O16,O14,O12,O10,O8,O6)</f>
        <v>248</v>
      </c>
      <c r="P18" s="158">
        <f>SUM(P16,P14,P12,P10,P8,P6)</f>
        <v>211</v>
      </c>
      <c r="Q18" s="182"/>
    </row>
    <row r="19" spans="1:28" ht="15" customHeight="1" thickBot="1" x14ac:dyDescent="0.35">
      <c r="B19" s="16" t="s">
        <v>51</v>
      </c>
      <c r="C19" s="17">
        <v>1108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  <c r="Q19" s="183"/>
    </row>
    <row r="20" spans="1:28" x14ac:dyDescent="0.3">
      <c r="B20" s="16" t="s">
        <v>52</v>
      </c>
      <c r="C20" s="17">
        <v>4504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0.14919354838709678</v>
      </c>
      <c r="Q20" s="139"/>
    </row>
    <row r="21" spans="1:28" ht="15" customHeight="1" thickBot="1" x14ac:dyDescent="0.35">
      <c r="A21" s="123"/>
      <c r="B21" s="168" t="s">
        <v>132</v>
      </c>
      <c r="C21" s="169">
        <v>854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8097</v>
      </c>
      <c r="D25" s="76">
        <f>C13</f>
        <v>7834</v>
      </c>
      <c r="E25" s="77">
        <f t="shared" ref="E25:E33" si="1">D25-C25</f>
        <v>-263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35419</v>
      </c>
      <c r="D28" s="76">
        <f>C9+C14+C15+C16+C17</f>
        <v>34058</v>
      </c>
      <c r="E28" s="77">
        <f t="shared" si="1"/>
        <v>-1361</v>
      </c>
      <c r="P28" s="4"/>
      <c r="Q28" s="4"/>
    </row>
    <row r="29" spans="1:28" x14ac:dyDescent="0.3">
      <c r="B29" s="74" t="s">
        <v>21</v>
      </c>
      <c r="C29" s="122">
        <v>76</v>
      </c>
      <c r="D29" s="76">
        <f>C6</f>
        <v>76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2406</v>
      </c>
      <c r="D30" s="76">
        <f>C12</f>
        <v>2406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14160</v>
      </c>
      <c r="D31" s="76">
        <f>C18+C19+C20</f>
        <v>14800</v>
      </c>
      <c r="E31" s="77">
        <f t="shared" si="1"/>
        <v>640</v>
      </c>
      <c r="K31" s="53"/>
      <c r="P31" s="4"/>
      <c r="Q31" s="4"/>
    </row>
    <row r="32" spans="1:28" x14ac:dyDescent="0.3">
      <c r="B32" s="74" t="s">
        <v>60</v>
      </c>
      <c r="C32" s="122">
        <v>760</v>
      </c>
      <c r="D32" s="76">
        <f>C10+C11</f>
        <v>760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854</v>
      </c>
      <c r="D33" s="80">
        <f>C21</f>
        <v>854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theme="1"/>
    <pageSetUpPr fitToPage="1"/>
  </sheetPr>
  <dimension ref="A1:AB33"/>
  <sheetViews>
    <sheetView zoomScale="85" zoomScaleNormal="85" zoomScaleSheetLayoutView="70" workbookViewId="0">
      <selection activeCell="G31" sqref="G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44810</v>
      </c>
    </row>
    <row r="3" spans="1:27" ht="18.75" customHeight="1" thickBot="1" x14ac:dyDescent="0.35">
      <c r="B3" t="s">
        <v>1</v>
      </c>
      <c r="C3" s="3">
        <f>C2+1</f>
        <v>44811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>
        <v>0.34583333333333333</v>
      </c>
      <c r="V5" s="4" t="s">
        <v>139</v>
      </c>
    </row>
    <row r="6" spans="1:27" x14ac:dyDescent="0.3">
      <c r="A6" s="166"/>
      <c r="B6" s="16" t="s">
        <v>21</v>
      </c>
      <c r="C6" s="17">
        <v>141</v>
      </c>
      <c r="E6" s="161" t="s">
        <v>22</v>
      </c>
      <c r="F6" s="119">
        <v>29289</v>
      </c>
      <c r="G6" s="117">
        <v>11466.299541666671</v>
      </c>
      <c r="H6" s="117">
        <v>7268.2205534199966</v>
      </c>
      <c r="I6" s="152">
        <f>G6+H6</f>
        <v>18734.520095086667</v>
      </c>
      <c r="J6" s="119">
        <v>30428</v>
      </c>
      <c r="K6" s="117">
        <v>12740.629041666671</v>
      </c>
      <c r="L6" s="117">
        <v>6881.5533977399946</v>
      </c>
      <c r="M6" s="162">
        <f>K6+L6</f>
        <v>19622.182439406664</v>
      </c>
      <c r="N6" s="178">
        <v>76</v>
      </c>
      <c r="O6" s="88">
        <v>75</v>
      </c>
      <c r="P6" s="145">
        <v>73</v>
      </c>
      <c r="Q6" s="181">
        <f>IF(J6=0,((F6/V6)),((J6/V6)))</f>
        <v>707.62790697674416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3272.9254108999999</v>
      </c>
      <c r="I8" s="152">
        <f>G8+H8</f>
        <v>3272.9254108999999</v>
      </c>
      <c r="J8" s="119">
        <v>0</v>
      </c>
      <c r="K8" s="117">
        <v>0</v>
      </c>
      <c r="L8" s="117">
        <v>3353.5335639</v>
      </c>
      <c r="M8" s="162">
        <f>K8+L8</f>
        <v>3353.5335639</v>
      </c>
      <c r="N8" s="178">
        <v>5</v>
      </c>
      <c r="O8" s="88">
        <v>5</v>
      </c>
      <c r="P8" s="145">
        <v>4</v>
      </c>
      <c r="Q8" s="117"/>
    </row>
    <row r="9" spans="1:27" x14ac:dyDescent="0.3">
      <c r="B9" s="16" t="s">
        <v>23</v>
      </c>
      <c r="C9" s="17">
        <v>2508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1145</v>
      </c>
      <c r="E10" s="161" t="s">
        <v>31</v>
      </c>
      <c r="F10" s="119">
        <v>21567</v>
      </c>
      <c r="G10" s="117">
        <v>12428.14616666666</v>
      </c>
      <c r="H10" s="117">
        <v>1184.3818358999999</v>
      </c>
      <c r="I10" s="152">
        <f>G10+H10</f>
        <v>13612.52800256666</v>
      </c>
      <c r="J10" s="119">
        <v>21972</v>
      </c>
      <c r="K10" s="117">
        <v>13050.173166666669</v>
      </c>
      <c r="L10" s="117">
        <v>1277.5128313600001</v>
      </c>
      <c r="M10" s="162">
        <f>K10+L10</f>
        <v>14327.685998026669</v>
      </c>
      <c r="N10" s="178">
        <v>48</v>
      </c>
      <c r="O10" s="88">
        <v>50</v>
      </c>
      <c r="P10" s="145">
        <v>45</v>
      </c>
      <c r="Q10" s="181">
        <f>IF(J10=0,((F10/V10)),((J10/V10)))</f>
        <v>422.53846153846155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5</v>
      </c>
      <c r="Q11" s="118"/>
    </row>
    <row r="12" spans="1:27" x14ac:dyDescent="0.3">
      <c r="A12" s="166"/>
      <c r="B12" s="16" t="s">
        <v>30</v>
      </c>
      <c r="C12" s="17">
        <v>2470</v>
      </c>
      <c r="E12" s="161" t="s">
        <v>35</v>
      </c>
      <c r="F12" s="119">
        <v>12720</v>
      </c>
      <c r="G12" s="117">
        <v>9638.9967500000002</v>
      </c>
      <c r="H12" s="117">
        <v>17836.24684064</v>
      </c>
      <c r="I12" s="152">
        <f>G12+H12</f>
        <v>27475.243590639999</v>
      </c>
      <c r="J12" s="119">
        <v>13308</v>
      </c>
      <c r="K12" s="117">
        <v>11190.689249999999</v>
      </c>
      <c r="L12" s="117">
        <v>18453.871898640002</v>
      </c>
      <c r="M12" s="162">
        <f>K12+L12</f>
        <v>29644.561148640001</v>
      </c>
      <c r="N12" s="178">
        <v>48</v>
      </c>
      <c r="O12" s="88">
        <v>49</v>
      </c>
      <c r="P12" s="145">
        <v>47</v>
      </c>
      <c r="Q12" s="181">
        <f>IF(J12=0,((F12/V12)),((J12/V12)))</f>
        <v>380.22857142857146</v>
      </c>
      <c r="V12" s="1">
        <v>35</v>
      </c>
    </row>
    <row r="13" spans="1:27" x14ac:dyDescent="0.3">
      <c r="B13" s="16" t="s">
        <v>38</v>
      </c>
      <c r="C13" s="17">
        <v>9021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3">
      <c r="B14" s="16" t="s">
        <v>40</v>
      </c>
      <c r="C14" s="17">
        <v>1745</v>
      </c>
      <c r="E14" s="161" t="s">
        <v>39</v>
      </c>
      <c r="F14" s="119">
        <v>22317</v>
      </c>
      <c r="G14" s="117">
        <v>17991.37</v>
      </c>
      <c r="H14" s="117">
        <v>29450.78132332001</v>
      </c>
      <c r="I14" s="152">
        <f>G14+H14</f>
        <v>47442.151323320009</v>
      </c>
      <c r="J14" s="119">
        <v>24521</v>
      </c>
      <c r="K14" s="117">
        <v>23522.869500000001</v>
      </c>
      <c r="L14" s="117">
        <v>32742.86969825999</v>
      </c>
      <c r="M14" s="162">
        <f>K14+L14</f>
        <v>56265.739198259995</v>
      </c>
      <c r="N14" s="178">
        <v>63</v>
      </c>
      <c r="O14" s="88">
        <v>63</v>
      </c>
      <c r="P14" s="145">
        <v>49</v>
      </c>
      <c r="Q14" s="181">
        <f>IF(J14=0,((F14/V14)),((J14/V14)))</f>
        <v>583.83333333333337</v>
      </c>
      <c r="V14" s="1">
        <v>42</v>
      </c>
    </row>
    <row r="15" spans="1:27" x14ac:dyDescent="0.3">
      <c r="B15" s="28" t="s">
        <v>42</v>
      </c>
      <c r="C15" s="17">
        <f>38304-5587</f>
        <v>32717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14</v>
      </c>
      <c r="Q15" s="118"/>
    </row>
    <row r="16" spans="1:27" x14ac:dyDescent="0.3">
      <c r="B16" s="43" t="s">
        <v>47</v>
      </c>
      <c r="C16" s="17">
        <v>1292</v>
      </c>
      <c r="E16" s="161" t="s">
        <v>79</v>
      </c>
      <c r="F16" s="119">
        <v>0</v>
      </c>
      <c r="G16" s="117">
        <v>0</v>
      </c>
      <c r="H16" s="117">
        <v>4084.8763877000001</v>
      </c>
      <c r="I16" s="152">
        <f>G16+H16</f>
        <v>4084.8763877000001</v>
      </c>
      <c r="J16" s="119">
        <v>0</v>
      </c>
      <c r="K16" s="117">
        <v>0</v>
      </c>
      <c r="L16" s="117">
        <v>3994.0185337200001</v>
      </c>
      <c r="M16" s="162">
        <f>K16+L16</f>
        <v>3994.0185337200001</v>
      </c>
      <c r="N16" s="178">
        <v>10</v>
      </c>
      <c r="O16" s="88">
        <v>9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50">
        <v>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10760</v>
      </c>
      <c r="E18" s="84"/>
      <c r="F18" s="149">
        <f t="shared" ref="F18:M18" si="0">SUM(F6:F17)</f>
        <v>85893</v>
      </c>
      <c r="G18" s="149">
        <f t="shared" si="0"/>
        <v>51524.812458333327</v>
      </c>
      <c r="H18" s="149">
        <f t="shared" si="0"/>
        <v>63097.432351880008</v>
      </c>
      <c r="I18" s="157">
        <f t="shared" si="0"/>
        <v>114622.24481021333</v>
      </c>
      <c r="J18" s="149">
        <f t="shared" si="0"/>
        <v>90229</v>
      </c>
      <c r="K18" s="149">
        <f t="shared" si="0"/>
        <v>60504.360958333345</v>
      </c>
      <c r="L18" s="149">
        <f t="shared" si="0"/>
        <v>66703.359923619981</v>
      </c>
      <c r="M18" s="175">
        <f t="shared" si="0"/>
        <v>127207.72088195333</v>
      </c>
      <c r="N18" s="148">
        <f>SUM(N16,N14,N12,N10,N8,N6)</f>
        <v>250</v>
      </c>
      <c r="O18" s="149">
        <f>SUM(O16,O14,O12,O10,O8,O6)</f>
        <v>251</v>
      </c>
      <c r="P18" s="158">
        <f>SUM(P16,P14,P12,P10,P8,P6)</f>
        <v>226</v>
      </c>
      <c r="Q18" s="182"/>
    </row>
    <row r="19" spans="1:28" ht="15" customHeight="1" thickBot="1" x14ac:dyDescent="0.35">
      <c r="B19" s="16" t="s">
        <v>51</v>
      </c>
      <c r="C19" s="17">
        <v>1080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  <c r="Q19" s="183"/>
    </row>
    <row r="20" spans="1:28" x14ac:dyDescent="0.3">
      <c r="B20" s="16" t="s">
        <v>52</v>
      </c>
      <c r="C20" s="17">
        <v>4634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9.9601593625498003E-2</v>
      </c>
      <c r="Q20" s="139"/>
    </row>
    <row r="21" spans="1:28" ht="15" customHeight="1" thickBot="1" x14ac:dyDescent="0.35">
      <c r="A21" s="123"/>
      <c r="B21" s="168" t="s">
        <v>132</v>
      </c>
      <c r="C21" s="169">
        <v>871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9419</v>
      </c>
      <c r="D25" s="76">
        <f>C13</f>
        <v>9021</v>
      </c>
      <c r="E25" s="77">
        <f t="shared" ref="E25:E33" si="1">D25-C25</f>
        <v>-398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35276</v>
      </c>
      <c r="D28" s="76">
        <f>C9+C14+C15+C16+C17</f>
        <v>38304</v>
      </c>
      <c r="E28" s="77">
        <f t="shared" si="1"/>
        <v>3028</v>
      </c>
      <c r="P28" s="4"/>
      <c r="Q28" s="4"/>
    </row>
    <row r="29" spans="1:28" x14ac:dyDescent="0.3">
      <c r="B29" s="74" t="s">
        <v>21</v>
      </c>
      <c r="C29" s="122">
        <v>141</v>
      </c>
      <c r="D29" s="76">
        <f>C6</f>
        <v>141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2470</v>
      </c>
      <c r="D30" s="76">
        <f>C12</f>
        <v>2470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14835</v>
      </c>
      <c r="D31" s="76">
        <f>C18+C19+C20</f>
        <v>16474</v>
      </c>
      <c r="E31" s="77">
        <f t="shared" si="1"/>
        <v>1639</v>
      </c>
      <c r="K31" s="53"/>
      <c r="P31" s="4"/>
      <c r="Q31" s="4"/>
    </row>
    <row r="32" spans="1:28" x14ac:dyDescent="0.3">
      <c r="B32" s="74" t="s">
        <v>60</v>
      </c>
      <c r="C32" s="122">
        <v>1145</v>
      </c>
      <c r="D32" s="76">
        <f>C10+C11</f>
        <v>1145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871</v>
      </c>
      <c r="D33" s="80">
        <f>C21</f>
        <v>871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theme="1"/>
    <pageSetUpPr fitToPage="1"/>
  </sheetPr>
  <dimension ref="A1:AB33"/>
  <sheetViews>
    <sheetView zoomScale="85" zoomScaleNormal="85" zoomScaleSheetLayoutView="70" workbookViewId="0">
      <selection activeCell="I7" sqref="I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44811</v>
      </c>
    </row>
    <row r="3" spans="1:27" ht="18.75" customHeight="1" thickBot="1" x14ac:dyDescent="0.35">
      <c r="B3" t="s">
        <v>1</v>
      </c>
      <c r="C3" s="3">
        <f>C2+1</f>
        <v>44812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>
        <v>0.34583333333333333</v>
      </c>
      <c r="V5" s="4" t="s">
        <v>139</v>
      </c>
    </row>
    <row r="6" spans="1:27" x14ac:dyDescent="0.3">
      <c r="A6" s="166"/>
      <c r="B6" s="16" t="s">
        <v>21</v>
      </c>
      <c r="C6" s="17">
        <v>44</v>
      </c>
      <c r="E6" s="161" t="s">
        <v>22</v>
      </c>
      <c r="F6" s="119">
        <v>22679</v>
      </c>
      <c r="G6" s="117">
        <v>10984.633875</v>
      </c>
      <c r="H6" s="117">
        <v>6335.3615239599967</v>
      </c>
      <c r="I6" s="152">
        <f>G6+H6</f>
        <v>17319.995398959996</v>
      </c>
      <c r="J6" s="119">
        <v>22461</v>
      </c>
      <c r="K6" s="117">
        <v>12169.077875000001</v>
      </c>
      <c r="L6" s="117">
        <v>5833.590413199996</v>
      </c>
      <c r="M6" s="162">
        <f>K6+L6</f>
        <v>18002.668288199995</v>
      </c>
      <c r="N6" s="178">
        <v>71</v>
      </c>
      <c r="O6" s="88">
        <v>69</v>
      </c>
      <c r="P6" s="145">
        <v>65</v>
      </c>
      <c r="Q6" s="181">
        <f>IF(J6=0,((F6/V6)),((J6/V6)))</f>
        <v>522.34883720930236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3094.111714820001</v>
      </c>
      <c r="I8" s="152">
        <f>G8+H8</f>
        <v>3094.111714820001</v>
      </c>
      <c r="J8" s="119">
        <v>0</v>
      </c>
      <c r="K8" s="117">
        <v>0</v>
      </c>
      <c r="L8" s="117">
        <v>3069.05238878</v>
      </c>
      <c r="M8" s="162">
        <f>K8+L8</f>
        <v>3069.05238878</v>
      </c>
      <c r="N8" s="178">
        <v>6</v>
      </c>
      <c r="O8" s="88">
        <v>7</v>
      </c>
      <c r="P8" s="145">
        <v>6</v>
      </c>
      <c r="Q8" s="117"/>
    </row>
    <row r="9" spans="1:27" x14ac:dyDescent="0.3">
      <c r="B9" s="16" t="s">
        <v>23</v>
      </c>
      <c r="C9" s="17">
        <v>1451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17944</v>
      </c>
      <c r="G10" s="117">
        <v>11881.2075</v>
      </c>
      <c r="H10" s="117">
        <v>839.09008969999991</v>
      </c>
      <c r="I10" s="152">
        <f>G10+H10</f>
        <v>12720.2975897</v>
      </c>
      <c r="J10" s="119">
        <v>16536</v>
      </c>
      <c r="K10" s="117">
        <v>12454.870500000001</v>
      </c>
      <c r="L10" s="117">
        <v>865.60150485999998</v>
      </c>
      <c r="M10" s="162">
        <f>K10+L10</f>
        <v>13320.472004860001</v>
      </c>
      <c r="N10" s="178">
        <v>48</v>
      </c>
      <c r="O10" s="88">
        <v>49</v>
      </c>
      <c r="P10" s="145">
        <v>41</v>
      </c>
      <c r="Q10" s="181">
        <f>IF(J10=0,((F10/V10)),((J10/V10)))</f>
        <v>318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8</v>
      </c>
      <c r="Q11" s="118"/>
    </row>
    <row r="12" spans="1:27" x14ac:dyDescent="0.3">
      <c r="A12" s="166"/>
      <c r="B12" s="16" t="s">
        <v>30</v>
      </c>
      <c r="C12" s="17">
        <v>2321</v>
      </c>
      <c r="E12" s="161" t="s">
        <v>35</v>
      </c>
      <c r="F12" s="119">
        <v>11454</v>
      </c>
      <c r="G12" s="117">
        <v>9487.0274999999983</v>
      </c>
      <c r="H12" s="117">
        <v>14870.215151110009</v>
      </c>
      <c r="I12" s="152">
        <f>G12+H12</f>
        <v>24357.242651110006</v>
      </c>
      <c r="J12" s="119">
        <v>11126</v>
      </c>
      <c r="K12" s="117">
        <v>10886.268749999999</v>
      </c>
      <c r="L12" s="117">
        <v>14597.29798487</v>
      </c>
      <c r="M12" s="162">
        <f>K12+L12</f>
        <v>25483.566734870001</v>
      </c>
      <c r="N12" s="178">
        <v>47</v>
      </c>
      <c r="O12" s="88">
        <v>48</v>
      </c>
      <c r="P12" s="145">
        <v>44</v>
      </c>
      <c r="Q12" s="181">
        <f>IF(J12=0,((F12/V12)),((J12/V12)))</f>
        <v>317.8857142857143</v>
      </c>
      <c r="V12" s="1">
        <v>35</v>
      </c>
    </row>
    <row r="13" spans="1:27" x14ac:dyDescent="0.3">
      <c r="B13" s="16" t="s">
        <v>38</v>
      </c>
      <c r="C13" s="17">
        <v>8916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3">
      <c r="B14" s="16" t="s">
        <v>40</v>
      </c>
      <c r="C14" s="17">
        <v>1755</v>
      </c>
      <c r="E14" s="161" t="s">
        <v>39</v>
      </c>
      <c r="F14" s="119">
        <v>19321</v>
      </c>
      <c r="G14" s="117">
        <v>17808.857499999998</v>
      </c>
      <c r="H14" s="117">
        <v>26691.920321540008</v>
      </c>
      <c r="I14" s="152">
        <f>G14+H14</f>
        <v>44500.777821540003</v>
      </c>
      <c r="J14" s="119">
        <v>20190</v>
      </c>
      <c r="K14" s="117">
        <v>21374.275750000001</v>
      </c>
      <c r="L14" s="117">
        <v>27874.477881640021</v>
      </c>
      <c r="M14" s="162">
        <f>K14+L14</f>
        <v>49248.753631640022</v>
      </c>
      <c r="N14" s="178">
        <v>66</v>
      </c>
      <c r="O14" s="88">
        <v>64</v>
      </c>
      <c r="P14" s="145">
        <v>53</v>
      </c>
      <c r="Q14" s="181">
        <f>IF(J14=0,((F14/V14)),((J14/V14)))</f>
        <v>480.71428571428572</v>
      </c>
      <c r="V14" s="1">
        <v>42</v>
      </c>
    </row>
    <row r="15" spans="1:27" x14ac:dyDescent="0.3">
      <c r="B15" s="28" t="s">
        <v>42</v>
      </c>
      <c r="C15" s="17">
        <f>36200-6750</f>
        <v>29450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3">
      <c r="B16" s="43" t="s">
        <v>47</v>
      </c>
      <c r="C16" s="17">
        <v>1683</v>
      </c>
      <c r="E16" s="161" t="s">
        <v>79</v>
      </c>
      <c r="F16" s="119">
        <v>0</v>
      </c>
      <c r="G16" s="117">
        <v>0</v>
      </c>
      <c r="H16" s="117">
        <v>7204.3684095400004</v>
      </c>
      <c r="I16" s="152">
        <f>G16+H16</f>
        <v>7204.3684095400004</v>
      </c>
      <c r="J16" s="119">
        <v>0</v>
      </c>
      <c r="K16" s="117">
        <v>0</v>
      </c>
      <c r="L16" s="117">
        <v>7095.5133838399997</v>
      </c>
      <c r="M16" s="162">
        <f>K16+L16</f>
        <v>7095.5133838399997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335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9049</v>
      </c>
      <c r="E18" s="84"/>
      <c r="F18" s="149">
        <f t="shared" ref="F18:M18" si="0">SUM(F6:F17)</f>
        <v>71398</v>
      </c>
      <c r="G18" s="149">
        <f t="shared" si="0"/>
        <v>50161.726374999998</v>
      </c>
      <c r="H18" s="149">
        <f t="shared" si="0"/>
        <v>59035.067210670015</v>
      </c>
      <c r="I18" s="157">
        <f t="shared" si="0"/>
        <v>109196.79358566999</v>
      </c>
      <c r="J18" s="149">
        <f t="shared" si="0"/>
        <v>70313</v>
      </c>
      <c r="K18" s="149">
        <f t="shared" si="0"/>
        <v>56884.492874999996</v>
      </c>
      <c r="L18" s="149">
        <f t="shared" si="0"/>
        <v>59335.533557190014</v>
      </c>
      <c r="M18" s="175">
        <f t="shared" si="0"/>
        <v>116220.02643219003</v>
      </c>
      <c r="N18" s="148">
        <f>SUM(N16,N14,N12,N10,N8,N6)</f>
        <v>247</v>
      </c>
      <c r="O18" s="149">
        <f>SUM(O16,O14,O12,O10,O8,O6)</f>
        <v>246</v>
      </c>
      <c r="P18" s="158">
        <f>SUM(P16,P14,P12,P10,P8,P6)</f>
        <v>218</v>
      </c>
      <c r="Q18" s="182"/>
    </row>
    <row r="19" spans="1:28" ht="15" customHeight="1" thickBot="1" x14ac:dyDescent="0.35">
      <c r="B19" s="16" t="s">
        <v>51</v>
      </c>
      <c r="C19" s="17">
        <v>1133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3">
      <c r="B20" s="16" t="s">
        <v>52</v>
      </c>
      <c r="C20" s="17">
        <v>4561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0.11382113821138211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9628</v>
      </c>
      <c r="D25" s="76">
        <f>C13</f>
        <v>8916</v>
      </c>
      <c r="E25" s="77">
        <f t="shared" ref="E25:E33" si="1">D25-C25</f>
        <v>-712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24</v>
      </c>
      <c r="D27" s="76">
        <f>C8</f>
        <v>0</v>
      </c>
      <c r="E27" s="77">
        <f t="shared" si="1"/>
        <v>-24</v>
      </c>
      <c r="G27" s="53"/>
      <c r="M27" s="53"/>
      <c r="P27" s="4"/>
      <c r="Q27" s="4"/>
    </row>
    <row r="28" spans="1:28" x14ac:dyDescent="0.3">
      <c r="B28" s="74" t="s">
        <v>56</v>
      </c>
      <c r="C28" s="122">
        <v>35544</v>
      </c>
      <c r="D28" s="76">
        <f>C9+C14+C15+C16+C17</f>
        <v>34674</v>
      </c>
      <c r="E28" s="77">
        <f t="shared" si="1"/>
        <v>-870</v>
      </c>
      <c r="P28" s="4"/>
      <c r="Q28" s="4"/>
    </row>
    <row r="29" spans="1:28" x14ac:dyDescent="0.3">
      <c r="B29" s="74" t="s">
        <v>21</v>
      </c>
      <c r="C29" s="122">
        <v>44</v>
      </c>
      <c r="D29" s="76">
        <f>C6</f>
        <v>44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2321</v>
      </c>
      <c r="D30" s="76">
        <f>C12</f>
        <v>2321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14600</v>
      </c>
      <c r="D31" s="76">
        <f>C18+C19+C20</f>
        <v>14743</v>
      </c>
      <c r="E31" s="77">
        <f t="shared" si="1"/>
        <v>143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theme="1"/>
    <pageSetUpPr fitToPage="1"/>
  </sheetPr>
  <dimension ref="A1:AB33"/>
  <sheetViews>
    <sheetView zoomScale="85" zoomScaleNormal="85" zoomScaleSheetLayoutView="70" workbookViewId="0">
      <selection activeCell="D25" sqref="D2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44812</v>
      </c>
    </row>
    <row r="3" spans="1:27" ht="18.75" customHeight="1" thickBot="1" x14ac:dyDescent="0.35">
      <c r="B3" t="s">
        <v>1</v>
      </c>
      <c r="C3" s="3">
        <f>C2+1</f>
        <v>44813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>
        <v>0.53194444444444444</v>
      </c>
      <c r="V5" s="4" t="s">
        <v>139</v>
      </c>
    </row>
    <row r="6" spans="1:27" x14ac:dyDescent="0.3">
      <c r="A6" s="166"/>
      <c r="B6" s="16" t="s">
        <v>21</v>
      </c>
      <c r="C6" s="17">
        <v>112</v>
      </c>
      <c r="E6" s="161" t="s">
        <v>22</v>
      </c>
      <c r="F6" s="119">
        <v>23273</v>
      </c>
      <c r="G6" s="117">
        <v>11203.856400000001</v>
      </c>
      <c r="H6" s="117">
        <v>6773.9240926800067</v>
      </c>
      <c r="I6" s="152">
        <f>G6+H6</f>
        <v>17977.780492680009</v>
      </c>
      <c r="J6" s="119">
        <v>22232</v>
      </c>
      <c r="K6" s="117">
        <v>11949.6739</v>
      </c>
      <c r="L6" s="117">
        <v>6583.8313000600047</v>
      </c>
      <c r="M6" s="162">
        <f>K6+L6</f>
        <v>18533.505200060004</v>
      </c>
      <c r="N6" s="178">
        <v>72</v>
      </c>
      <c r="O6" s="88">
        <v>69</v>
      </c>
      <c r="P6" s="145">
        <v>66</v>
      </c>
      <c r="Q6" s="181">
        <f>IF(J6=0,((F6/V6)),((J6/V6)))</f>
        <v>517.02325581395348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2539.044265940001</v>
      </c>
      <c r="I8" s="152">
        <f>G8+H8</f>
        <v>2539.044265940001</v>
      </c>
      <c r="J8" s="119">
        <v>0</v>
      </c>
      <c r="K8" s="117">
        <v>0</v>
      </c>
      <c r="L8" s="117">
        <v>2500.6346359000008</v>
      </c>
      <c r="M8" s="162">
        <f>K8+L8</f>
        <v>2500.6346359000008</v>
      </c>
      <c r="N8" s="178">
        <v>10</v>
      </c>
      <c r="O8" s="88">
        <v>18</v>
      </c>
      <c r="P8" s="145">
        <v>10</v>
      </c>
      <c r="Q8" s="117"/>
    </row>
    <row r="9" spans="1:27" x14ac:dyDescent="0.3">
      <c r="B9" s="16" t="s">
        <v>23</v>
      </c>
      <c r="C9" s="17">
        <v>2580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3">
      <c r="B10" s="28" t="s">
        <v>26</v>
      </c>
      <c r="C10" s="17">
        <v>1430</v>
      </c>
      <c r="E10" s="161" t="s">
        <v>31</v>
      </c>
      <c r="F10" s="119">
        <v>21148</v>
      </c>
      <c r="G10" s="117">
        <v>12513.0275</v>
      </c>
      <c r="H10" s="117">
        <v>1113.91195006</v>
      </c>
      <c r="I10" s="152">
        <f>G10+H10</f>
        <v>13626.939450059999</v>
      </c>
      <c r="J10" s="119">
        <v>20155</v>
      </c>
      <c r="K10" s="117">
        <v>12189.244000000001</v>
      </c>
      <c r="L10" s="117">
        <v>988.09835615999998</v>
      </c>
      <c r="M10" s="162">
        <f>K10+L10</f>
        <v>13177.342356160001</v>
      </c>
      <c r="N10" s="178">
        <v>49</v>
      </c>
      <c r="O10" s="88">
        <v>51</v>
      </c>
      <c r="P10" s="145">
        <v>43</v>
      </c>
      <c r="Q10" s="181">
        <f>IF(J10=0,((F10/V10)),((J10/V10)))</f>
        <v>387.59615384615387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8</v>
      </c>
      <c r="Q11" s="118"/>
    </row>
    <row r="12" spans="1:27" x14ac:dyDescent="0.3">
      <c r="A12" s="166"/>
      <c r="B12" s="16" t="s">
        <v>30</v>
      </c>
      <c r="C12" s="17">
        <v>2282</v>
      </c>
      <c r="E12" s="161" t="s">
        <v>35</v>
      </c>
      <c r="F12" s="119">
        <v>14039</v>
      </c>
      <c r="G12" s="117">
        <v>9577.9975833333301</v>
      </c>
      <c r="H12" s="117">
        <v>18691.76981088</v>
      </c>
      <c r="I12" s="152">
        <f>G12+H12</f>
        <v>28269.76739421333</v>
      </c>
      <c r="J12" s="119">
        <v>14075</v>
      </c>
      <c r="K12" s="117">
        <v>11306.706083333331</v>
      </c>
      <c r="L12" s="117">
        <v>18692.290504020009</v>
      </c>
      <c r="M12" s="162">
        <f>K12+L12</f>
        <v>29998.99658735334</v>
      </c>
      <c r="N12" s="178">
        <v>52</v>
      </c>
      <c r="O12" s="88">
        <v>51</v>
      </c>
      <c r="P12" s="145">
        <v>48</v>
      </c>
      <c r="Q12" s="181">
        <f>IF(J12=0,((F12/V12)),((J12/V12)))</f>
        <v>402.14285714285717</v>
      </c>
      <c r="V12" s="1">
        <v>35</v>
      </c>
    </row>
    <row r="13" spans="1:27" x14ac:dyDescent="0.3">
      <c r="B13" s="16" t="s">
        <v>38</v>
      </c>
      <c r="C13" s="17">
        <v>8876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1805</v>
      </c>
      <c r="E14" s="161" t="s">
        <v>39</v>
      </c>
      <c r="F14" s="119">
        <v>22746</v>
      </c>
      <c r="G14" s="117">
        <v>18694.91575</v>
      </c>
      <c r="H14" s="117">
        <v>31155.15121511999</v>
      </c>
      <c r="I14" s="152">
        <f>G14+H14</f>
        <v>49850.066965119986</v>
      </c>
      <c r="J14" s="119">
        <v>23565</v>
      </c>
      <c r="K14" s="117">
        <v>22741.46</v>
      </c>
      <c r="L14" s="117">
        <v>32020.601052980001</v>
      </c>
      <c r="M14" s="162">
        <f>K14+L14</f>
        <v>54762.061052980003</v>
      </c>
      <c r="N14" s="178">
        <v>75</v>
      </c>
      <c r="O14" s="88">
        <v>70</v>
      </c>
      <c r="P14" s="145">
        <v>70</v>
      </c>
      <c r="Q14" s="181">
        <f>IF(J14=0,((F14/V14)),((J14/V14)))</f>
        <v>561.07142857142856</v>
      </c>
      <c r="V14" s="1">
        <v>42</v>
      </c>
    </row>
    <row r="15" spans="1:27" x14ac:dyDescent="0.3">
      <c r="B15" s="28" t="s">
        <v>42</v>
      </c>
      <c r="C15" s="17">
        <f>39167-6378</f>
        <v>32789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0</v>
      </c>
      <c r="Q15" s="118"/>
    </row>
    <row r="16" spans="1:27" x14ac:dyDescent="0.3">
      <c r="B16" s="43" t="s">
        <v>47</v>
      </c>
      <c r="C16" s="17">
        <v>1355</v>
      </c>
      <c r="E16" s="161" t="s">
        <v>79</v>
      </c>
      <c r="F16" s="119">
        <v>0</v>
      </c>
      <c r="G16" s="117">
        <v>0</v>
      </c>
      <c r="H16" s="117">
        <v>4297.7367488800001</v>
      </c>
      <c r="I16" s="152">
        <f>G16+H16</f>
        <v>4297.7367488800001</v>
      </c>
      <c r="J16" s="119">
        <v>0</v>
      </c>
      <c r="K16" s="117">
        <v>0</v>
      </c>
      <c r="L16" s="117">
        <v>4113.8537980400006</v>
      </c>
      <c r="M16" s="162">
        <f>K16+L16</f>
        <v>4113.8537980400006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7099</v>
      </c>
      <c r="E18" s="84"/>
      <c r="F18" s="149">
        <f t="shared" ref="F18:M18" si="0">SUM(F6:F17)</f>
        <v>81206</v>
      </c>
      <c r="G18" s="149">
        <f t="shared" si="0"/>
        <v>51989.797233333331</v>
      </c>
      <c r="H18" s="149">
        <f t="shared" si="0"/>
        <v>64571.538083560001</v>
      </c>
      <c r="I18" s="157">
        <f t="shared" si="0"/>
        <v>116561.33531689331</v>
      </c>
      <c r="J18" s="149">
        <f t="shared" si="0"/>
        <v>80027</v>
      </c>
      <c r="K18" s="149">
        <f t="shared" si="0"/>
        <v>58187.08398333333</v>
      </c>
      <c r="L18" s="149">
        <f t="shared" si="0"/>
        <v>64899.309647160015</v>
      </c>
      <c r="M18" s="175">
        <f t="shared" si="0"/>
        <v>123086.39363049334</v>
      </c>
      <c r="N18" s="148">
        <f>SUM(N16,N14,N12,N10,N8,N6)</f>
        <v>267</v>
      </c>
      <c r="O18" s="149">
        <f>SUM(O16,O14,O12,O10,O8,O6)</f>
        <v>268</v>
      </c>
      <c r="P18" s="158">
        <f>SUM(P16,P14,P12,P10,P8,P6)</f>
        <v>246</v>
      </c>
      <c r="Q18" s="182"/>
    </row>
    <row r="19" spans="1:28" ht="15" customHeight="1" thickBot="1" x14ac:dyDescent="0.35">
      <c r="B19" s="16" t="s">
        <v>51</v>
      </c>
      <c r="C19" s="17">
        <v>1758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  <c r="Q19" s="183"/>
    </row>
    <row r="20" spans="1:28" x14ac:dyDescent="0.3">
      <c r="B20" s="16" t="s">
        <v>52</v>
      </c>
      <c r="C20" s="17">
        <v>3361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8.2089552238805971E-2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9419</v>
      </c>
      <c r="D25" s="76">
        <f>C13</f>
        <v>8876</v>
      </c>
      <c r="E25" s="77">
        <f t="shared" ref="E25:E33" si="1">D25-C25</f>
        <v>-543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38216</v>
      </c>
      <c r="D28" s="76">
        <f>C9+C14+C15+C16+C17</f>
        <v>38577</v>
      </c>
      <c r="E28" s="77">
        <f t="shared" si="1"/>
        <v>361</v>
      </c>
      <c r="P28" s="4"/>
      <c r="Q28" s="4"/>
    </row>
    <row r="29" spans="1:28" x14ac:dyDescent="0.3">
      <c r="B29" s="74" t="s">
        <v>21</v>
      </c>
      <c r="C29" s="122">
        <v>112</v>
      </c>
      <c r="D29" s="76">
        <f>C6</f>
        <v>112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2282</v>
      </c>
      <c r="D30" s="76">
        <f>C12</f>
        <v>2282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13470</v>
      </c>
      <c r="D31" s="76">
        <f>C18+C19+C20</f>
        <v>12218</v>
      </c>
      <c r="E31" s="77">
        <f t="shared" si="1"/>
        <v>-1252</v>
      </c>
      <c r="K31" s="53"/>
      <c r="P31" s="4"/>
      <c r="Q31" s="4"/>
    </row>
    <row r="32" spans="1:28" x14ac:dyDescent="0.3">
      <c r="B32" s="74" t="s">
        <v>60</v>
      </c>
      <c r="C32" s="122">
        <v>1430</v>
      </c>
      <c r="D32" s="76">
        <f>C10+C11</f>
        <v>1430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Q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44813</v>
      </c>
    </row>
    <row r="3" spans="1:27" ht="18.75" customHeight="1" thickBot="1" x14ac:dyDescent="0.35">
      <c r="B3" t="s">
        <v>1</v>
      </c>
      <c r="C3" s="3">
        <f>C2+1</f>
        <v>44814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142</v>
      </c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25841</v>
      </c>
      <c r="G6" s="117">
        <v>11217.702166666661</v>
      </c>
      <c r="H6" s="117">
        <v>4927.0255924800049</v>
      </c>
      <c r="I6" s="152">
        <f>G6+H6</f>
        <v>16144.727759146666</v>
      </c>
      <c r="J6" s="119">
        <v>25920</v>
      </c>
      <c r="K6" s="117">
        <v>11758.98316666666</v>
      </c>
      <c r="L6" s="117">
        <v>4724.7191406400016</v>
      </c>
      <c r="M6" s="162">
        <f>K6+L6</f>
        <v>16483.702307306659</v>
      </c>
      <c r="N6" s="178">
        <v>83</v>
      </c>
      <c r="O6" s="88">
        <v>82</v>
      </c>
      <c r="P6" s="145">
        <v>74</v>
      </c>
      <c r="Q6" s="181">
        <f>IF(J6=0,((F6/V6)),((J6/V6)))</f>
        <v>602.79069767441865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8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3778.6958511399998</v>
      </c>
      <c r="I8" s="152">
        <f>G8+H8</f>
        <v>3778.6958511399998</v>
      </c>
      <c r="J8" s="119">
        <v>0</v>
      </c>
      <c r="K8" s="117">
        <v>0</v>
      </c>
      <c r="L8" s="117">
        <v>3824.6403861200001</v>
      </c>
      <c r="M8" s="162">
        <f>K8+L8</f>
        <v>3824.6403861200001</v>
      </c>
      <c r="N8" s="178">
        <v>15</v>
      </c>
      <c r="O8" s="88">
        <v>30</v>
      </c>
      <c r="P8" s="145">
        <v>15</v>
      </c>
      <c r="Q8" s="117"/>
    </row>
    <row r="9" spans="1:27" x14ac:dyDescent="0.3">
      <c r="B9" s="16" t="s">
        <v>23</v>
      </c>
      <c r="C9" s="17">
        <v>1688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15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17738</v>
      </c>
      <c r="G10" s="117">
        <v>11524.346</v>
      </c>
      <c r="H10" s="117">
        <v>679.36909199999991</v>
      </c>
      <c r="I10" s="152">
        <f>G10+H10</f>
        <v>12203.715091999999</v>
      </c>
      <c r="J10" s="119">
        <v>17609</v>
      </c>
      <c r="K10" s="117">
        <v>11574.044</v>
      </c>
      <c r="L10" s="117">
        <v>630.53939904000003</v>
      </c>
      <c r="M10" s="162">
        <f>K10+L10</f>
        <v>12204.583399040001</v>
      </c>
      <c r="N10" s="178">
        <v>42</v>
      </c>
      <c r="O10" s="88">
        <v>49</v>
      </c>
      <c r="P10" s="145">
        <v>42</v>
      </c>
      <c r="Q10" s="181">
        <f>IF(J10=0,((F10/V10)),((J10/V10)))</f>
        <v>338.63461538461536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3">
      <c r="A12" s="166"/>
      <c r="B12" s="16" t="s">
        <v>30</v>
      </c>
      <c r="C12" s="17">
        <v>4932</v>
      </c>
      <c r="E12" s="161" t="s">
        <v>35</v>
      </c>
      <c r="F12" s="119">
        <v>11785</v>
      </c>
      <c r="G12" s="117">
        <v>10104.8745</v>
      </c>
      <c r="H12" s="117">
        <v>15215.88401077</v>
      </c>
      <c r="I12" s="152">
        <f>G12+H12</f>
        <v>25320.75851077</v>
      </c>
      <c r="J12" s="119">
        <v>12183</v>
      </c>
      <c r="K12" s="117">
        <v>12164.986500000001</v>
      </c>
      <c r="L12" s="117">
        <v>15562.00319926</v>
      </c>
      <c r="M12" s="162">
        <f>K12+L12</f>
        <v>27726.989699260001</v>
      </c>
      <c r="N12" s="178">
        <v>49</v>
      </c>
      <c r="O12" s="88">
        <v>50</v>
      </c>
      <c r="P12" s="145">
        <v>49</v>
      </c>
      <c r="Q12" s="181">
        <f>IF(J12=0,((F12/V12)),((J12/V12)))</f>
        <v>348.08571428571429</v>
      </c>
      <c r="V12" s="1">
        <v>35</v>
      </c>
    </row>
    <row r="13" spans="1:27" x14ac:dyDescent="0.3">
      <c r="B13" s="16" t="s">
        <v>38</v>
      </c>
      <c r="C13" s="17">
        <v>7804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1700</v>
      </c>
      <c r="E14" s="161" t="s">
        <v>39</v>
      </c>
      <c r="F14" s="119">
        <v>28948</v>
      </c>
      <c r="G14" s="117">
        <v>22418.302500000002</v>
      </c>
      <c r="H14" s="117">
        <v>38342.150490200023</v>
      </c>
      <c r="I14" s="152">
        <f>G14+H14</f>
        <v>60760.452990200021</v>
      </c>
      <c r="J14" s="119">
        <v>29468</v>
      </c>
      <c r="K14" s="117">
        <v>26568.516250000001</v>
      </c>
      <c r="L14" s="117">
        <v>38853.614107279987</v>
      </c>
      <c r="M14" s="162">
        <f>K14+L14</f>
        <v>65422.130357279988</v>
      </c>
      <c r="N14" s="178">
        <v>67</v>
      </c>
      <c r="O14" s="88">
        <v>82</v>
      </c>
      <c r="P14" s="145">
        <v>67</v>
      </c>
      <c r="Q14" s="181">
        <f>IF(J14=0,((F14/V14)),((J14/V14)))</f>
        <v>701.61904761904759</v>
      </c>
      <c r="V14" s="1">
        <v>42</v>
      </c>
    </row>
    <row r="15" spans="1:27" x14ac:dyDescent="0.3">
      <c r="B15" s="28" t="s">
        <v>42</v>
      </c>
      <c r="C15" s="17">
        <f>40436-5348</f>
        <v>35088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15</v>
      </c>
      <c r="Q15" s="118"/>
    </row>
    <row r="16" spans="1:27" x14ac:dyDescent="0.3">
      <c r="B16" s="43" t="s">
        <v>47</v>
      </c>
      <c r="C16" s="17">
        <v>1646</v>
      </c>
      <c r="E16" s="161" t="s">
        <v>79</v>
      </c>
      <c r="F16" s="119">
        <v>0</v>
      </c>
      <c r="G16" s="117">
        <v>0</v>
      </c>
      <c r="H16" s="117">
        <v>7024.4106379799996</v>
      </c>
      <c r="I16" s="152">
        <f>G16+H16</f>
        <v>7024.4106379799996</v>
      </c>
      <c r="J16" s="119">
        <v>0</v>
      </c>
      <c r="K16" s="117">
        <v>0</v>
      </c>
      <c r="L16" s="117">
        <v>6982.2090919599996</v>
      </c>
      <c r="M16" s="162">
        <f>K16+L16</f>
        <v>6982.2090919599996</v>
      </c>
      <c r="N16" s="178">
        <v>10</v>
      </c>
      <c r="O16" s="88">
        <v>11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314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7446</v>
      </c>
      <c r="E18" s="84"/>
      <c r="F18" s="149">
        <f t="shared" ref="F18:M18" si="0">SUM(F6:F17)</f>
        <v>84312</v>
      </c>
      <c r="G18" s="149">
        <f t="shared" si="0"/>
        <v>55265.225166666656</v>
      </c>
      <c r="H18" s="149">
        <f t="shared" si="0"/>
        <v>69967.535674570026</v>
      </c>
      <c r="I18" s="157">
        <f t="shared" si="0"/>
        <v>125232.76084123668</v>
      </c>
      <c r="J18" s="149">
        <f t="shared" si="0"/>
        <v>85180</v>
      </c>
      <c r="K18" s="149">
        <f t="shared" si="0"/>
        <v>62066.529916666659</v>
      </c>
      <c r="L18" s="149">
        <f t="shared" si="0"/>
        <v>70577.725324299987</v>
      </c>
      <c r="M18" s="175">
        <f t="shared" si="0"/>
        <v>132644.25524096662</v>
      </c>
      <c r="N18" s="148">
        <f>SUM(N16,N14,N12,N10,N8,N6)</f>
        <v>266</v>
      </c>
      <c r="O18" s="149">
        <f>SUM(O16,O14,O12,O10,O8,O6)</f>
        <v>304</v>
      </c>
      <c r="P18" s="158">
        <f>SUM(P16,P14,P12,P10,P8,P6)</f>
        <v>257</v>
      </c>
      <c r="Q18" s="182"/>
    </row>
    <row r="19" spans="1:28" ht="15" customHeight="1" thickBot="1" x14ac:dyDescent="0.35">
      <c r="B19" s="16" t="s">
        <v>51</v>
      </c>
      <c r="C19" s="17">
        <v>531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47</v>
      </c>
      <c r="Q19" s="183"/>
    </row>
    <row r="20" spans="1:28" x14ac:dyDescent="0.3">
      <c r="B20" s="16" t="s">
        <v>52</v>
      </c>
      <c r="C20" s="17">
        <v>4080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0.15460526315789475</v>
      </c>
      <c r="Q20" s="139"/>
    </row>
    <row r="21" spans="1:28" ht="15" customHeight="1" thickBot="1" x14ac:dyDescent="0.35">
      <c r="A21" s="123"/>
      <c r="B21" s="168" t="s">
        <v>132</v>
      </c>
      <c r="C21" s="169">
        <v>1321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7956</v>
      </c>
      <c r="D25" s="76">
        <f>C13</f>
        <v>7804</v>
      </c>
      <c r="E25" s="77">
        <f t="shared" ref="E25:E33" si="1">D25-C25</f>
        <v>-152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38036</v>
      </c>
      <c r="D28" s="76">
        <f>C9+C14+C15+C16+C17</f>
        <v>40436</v>
      </c>
      <c r="E28" s="77">
        <f t="shared" si="1"/>
        <v>2400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4932</v>
      </c>
      <c r="D30" s="76">
        <f>C12</f>
        <v>4932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12030</v>
      </c>
      <c r="D31" s="76">
        <f>C18+C19+C20</f>
        <v>12057</v>
      </c>
      <c r="E31" s="77">
        <f t="shared" si="1"/>
        <v>27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1321</v>
      </c>
      <c r="D33" s="80">
        <f>C21</f>
        <v>1321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theme="1"/>
    <pageSetUpPr fitToPage="1"/>
  </sheetPr>
  <dimension ref="A1:AB33"/>
  <sheetViews>
    <sheetView zoomScale="85" zoomScaleNormal="85" zoomScaleSheetLayoutView="70" workbookViewId="0">
      <selection activeCell="I6" sqref="I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44814</v>
      </c>
    </row>
    <row r="3" spans="1:27" ht="18.75" customHeight="1" thickBot="1" x14ac:dyDescent="0.35">
      <c r="B3" t="s">
        <v>1</v>
      </c>
      <c r="C3" s="3">
        <f>C2+1</f>
        <v>44815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58</v>
      </c>
      <c r="E6" s="161" t="s">
        <v>22</v>
      </c>
      <c r="F6" s="119">
        <v>26595</v>
      </c>
      <c r="G6" s="117">
        <v>11364.879883333329</v>
      </c>
      <c r="H6" s="117">
        <v>6096.283609060004</v>
      </c>
      <c r="I6" s="152">
        <f>G6+H6</f>
        <v>17461.163492393334</v>
      </c>
      <c r="J6" s="119">
        <v>26908</v>
      </c>
      <c r="K6" s="117">
        <v>13491.98088333333</v>
      </c>
      <c r="L6" s="117">
        <v>6159.9573278200023</v>
      </c>
      <c r="M6" s="162">
        <f>K6+L6</f>
        <v>19651.938211153334</v>
      </c>
      <c r="N6" s="178">
        <v>91</v>
      </c>
      <c r="O6" s="88">
        <v>88</v>
      </c>
      <c r="P6" s="145">
        <v>72</v>
      </c>
      <c r="Q6" s="181">
        <f>IF(J6=0,((F6/V6)),((J6/V6)))</f>
        <v>625.76744186046517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3606.76537594</v>
      </c>
      <c r="I8" s="152">
        <f>G8+H8</f>
        <v>3606.76537594</v>
      </c>
      <c r="J8" s="119">
        <v>0</v>
      </c>
      <c r="K8" s="117">
        <v>0</v>
      </c>
      <c r="L8" s="117">
        <v>3604.15149548</v>
      </c>
      <c r="M8" s="162">
        <f>K8+L8</f>
        <v>3604.15149548</v>
      </c>
      <c r="N8" s="178">
        <v>22</v>
      </c>
      <c r="O8" s="88">
        <v>29</v>
      </c>
      <c r="P8" s="145">
        <v>11</v>
      </c>
      <c r="Q8" s="117"/>
    </row>
    <row r="9" spans="1:27" x14ac:dyDescent="0.3">
      <c r="B9" s="16" t="s">
        <v>23</v>
      </c>
      <c r="C9" s="17">
        <v>1802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18</v>
      </c>
      <c r="Q9" s="118"/>
    </row>
    <row r="10" spans="1:27" x14ac:dyDescent="0.3">
      <c r="B10" s="28" t="s">
        <v>26</v>
      </c>
      <c r="C10" s="17">
        <v>1146</v>
      </c>
      <c r="E10" s="161" t="s">
        <v>31</v>
      </c>
      <c r="F10" s="119">
        <v>18720</v>
      </c>
      <c r="G10" s="117">
        <v>11504.91575</v>
      </c>
      <c r="H10" s="117">
        <v>1092.01050186</v>
      </c>
      <c r="I10" s="152">
        <f>G10+H10</f>
        <v>12596.926251860001</v>
      </c>
      <c r="J10" s="119">
        <v>18877</v>
      </c>
      <c r="K10" s="117">
        <v>12390.74725</v>
      </c>
      <c r="L10" s="117">
        <v>1113.66374698</v>
      </c>
      <c r="M10" s="162">
        <f>K10+L10</f>
        <v>13504.410996980001</v>
      </c>
      <c r="N10" s="178">
        <v>54</v>
      </c>
      <c r="O10" s="88">
        <v>56</v>
      </c>
      <c r="P10" s="145">
        <v>44</v>
      </c>
      <c r="Q10" s="181">
        <f>IF(J10=0,((F10/V10)),((J10/V10)))</f>
        <v>363.01923076923077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12</v>
      </c>
      <c r="Q11" s="118"/>
    </row>
    <row r="12" spans="1:27" x14ac:dyDescent="0.3">
      <c r="A12" s="166"/>
      <c r="B12" s="16" t="s">
        <v>30</v>
      </c>
      <c r="C12" s="17">
        <v>2659</v>
      </c>
      <c r="E12" s="161" t="s">
        <v>35</v>
      </c>
      <c r="F12" s="119">
        <v>15639</v>
      </c>
      <c r="G12" s="117">
        <v>11524.235083333329</v>
      </c>
      <c r="H12" s="117">
        <v>20941.224212519988</v>
      </c>
      <c r="I12" s="152">
        <f>G12+H12</f>
        <v>32465.459295853318</v>
      </c>
      <c r="J12" s="119">
        <v>15651</v>
      </c>
      <c r="K12" s="117">
        <v>13894.599583333331</v>
      </c>
      <c r="L12" s="117">
        <v>21003.74819292</v>
      </c>
      <c r="M12" s="162">
        <f>K12+L12</f>
        <v>34898.347776253329</v>
      </c>
      <c r="N12" s="178">
        <v>59</v>
      </c>
      <c r="O12" s="88">
        <v>58</v>
      </c>
      <c r="P12" s="145">
        <v>52</v>
      </c>
      <c r="Q12" s="181">
        <f>IF(J12=0,((F12/V12)),((J12/V12)))</f>
        <v>447.17142857142858</v>
      </c>
      <c r="V12" s="1">
        <v>35</v>
      </c>
    </row>
    <row r="13" spans="1:27" x14ac:dyDescent="0.3">
      <c r="B13" s="16" t="s">
        <v>38</v>
      </c>
      <c r="C13" s="17"/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3">
      <c r="B14" s="16" t="s">
        <v>40</v>
      </c>
      <c r="C14" s="17">
        <v>1426</v>
      </c>
      <c r="E14" s="161" t="s">
        <v>39</v>
      </c>
      <c r="F14" s="119">
        <v>20033</v>
      </c>
      <c r="G14" s="117">
        <v>22156.546249999999</v>
      </c>
      <c r="H14" s="117">
        <v>26143.88449602</v>
      </c>
      <c r="I14" s="152">
        <f>G14+H14</f>
        <v>48300.43074602</v>
      </c>
      <c r="J14" s="119">
        <v>19813</v>
      </c>
      <c r="K14" s="117">
        <v>16934.63175</v>
      </c>
      <c r="L14" s="117">
        <v>25811.69539565999</v>
      </c>
      <c r="M14" s="162">
        <f>K14+L14</f>
        <v>42746.32714565999</v>
      </c>
      <c r="N14" s="178">
        <v>76</v>
      </c>
      <c r="O14" s="88">
        <v>75</v>
      </c>
      <c r="P14" s="145">
        <v>60</v>
      </c>
      <c r="Q14" s="181">
        <f>IF(J14=0,((F14/V14)),((J14/V14)))</f>
        <v>471.73809523809524</v>
      </c>
      <c r="V14" s="1">
        <v>42</v>
      </c>
    </row>
    <row r="15" spans="1:27" x14ac:dyDescent="0.3">
      <c r="B15" s="28" t="s">
        <v>42</v>
      </c>
      <c r="C15" s="17"/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15</v>
      </c>
      <c r="Q15" s="118"/>
    </row>
    <row r="16" spans="1:27" x14ac:dyDescent="0.3">
      <c r="B16" s="43" t="s">
        <v>47</v>
      </c>
      <c r="C16" s="17">
        <v>1156</v>
      </c>
      <c r="E16" s="161" t="s">
        <v>79</v>
      </c>
      <c r="F16" s="119">
        <v>0</v>
      </c>
      <c r="G16" s="117">
        <v>0</v>
      </c>
      <c r="H16" s="117">
        <v>4899.4968702799997</v>
      </c>
      <c r="I16" s="152">
        <f>G16+H16</f>
        <v>4899.4968702799997</v>
      </c>
      <c r="J16" s="119">
        <v>0</v>
      </c>
      <c r="K16" s="117">
        <v>0</v>
      </c>
      <c r="L16" s="117">
        <v>4890.9573892999997</v>
      </c>
      <c r="M16" s="162">
        <f>K16+L16</f>
        <v>4890.9573892999997</v>
      </c>
      <c r="N16" s="178">
        <v>9</v>
      </c>
      <c r="O16" s="88">
        <v>10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9654</v>
      </c>
      <c r="E18" s="84"/>
      <c r="F18" s="149">
        <f t="shared" ref="F18:M18" si="0">SUM(F6:F17)</f>
        <v>80987</v>
      </c>
      <c r="G18" s="149">
        <f t="shared" si="0"/>
        <v>56550.57696666666</v>
      </c>
      <c r="H18" s="149">
        <f t="shared" si="0"/>
        <v>62779.66506567999</v>
      </c>
      <c r="I18" s="157">
        <f t="shared" si="0"/>
        <v>119330.24203234665</v>
      </c>
      <c r="J18" s="149">
        <f t="shared" si="0"/>
        <v>81249</v>
      </c>
      <c r="K18" s="149">
        <f t="shared" si="0"/>
        <v>56711.95946666666</v>
      </c>
      <c r="L18" s="149">
        <f t="shared" si="0"/>
        <v>62584.17354815999</v>
      </c>
      <c r="M18" s="175">
        <f t="shared" si="0"/>
        <v>119296.13301482666</v>
      </c>
      <c r="N18" s="148">
        <f>SUM(N16,N14,N12,N10,N8,N6)</f>
        <v>311</v>
      </c>
      <c r="O18" s="149">
        <f>SUM(O16,O14,O12,O10,O8,O6)</f>
        <v>316</v>
      </c>
      <c r="P18" s="158">
        <f>SUM(P16,P14,P12,P10,P8,P6)</f>
        <v>248</v>
      </c>
      <c r="Q18" s="182"/>
    </row>
    <row r="19" spans="1:28" ht="15" customHeight="1" thickBot="1" x14ac:dyDescent="0.35">
      <c r="B19" s="16" t="s">
        <v>51</v>
      </c>
      <c r="C19" s="17">
        <v>1206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68</v>
      </c>
      <c r="Q19" s="183"/>
    </row>
    <row r="20" spans="1:28" x14ac:dyDescent="0.3">
      <c r="B20" s="16" t="s">
        <v>52</v>
      </c>
      <c r="C20" s="17">
        <v>4214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0.21518987341772153</v>
      </c>
      <c r="Q20" s="139"/>
    </row>
    <row r="21" spans="1:28" ht="15" customHeight="1" thickBot="1" x14ac:dyDescent="0.35">
      <c r="A21" s="123"/>
      <c r="B21" s="168" t="s">
        <v>132</v>
      </c>
      <c r="C21" s="169">
        <v>388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8954</v>
      </c>
      <c r="D25" s="76">
        <f>C13</f>
        <v>0</v>
      </c>
      <c r="E25" s="77">
        <f t="shared" ref="E25:E33" si="1">D25-C25</f>
        <v>-8954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36101</v>
      </c>
      <c r="D28" s="76">
        <f>C9+C14+C15+C16+C17</f>
        <v>4430</v>
      </c>
      <c r="E28" s="77">
        <f t="shared" si="1"/>
        <v>-31671</v>
      </c>
      <c r="P28" s="4"/>
      <c r="Q28" s="4"/>
    </row>
    <row r="29" spans="1:28" x14ac:dyDescent="0.3">
      <c r="B29" s="74" t="s">
        <v>21</v>
      </c>
      <c r="C29" s="122">
        <v>58</v>
      </c>
      <c r="D29" s="76">
        <f>C6</f>
        <v>58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2659</v>
      </c>
      <c r="D30" s="76">
        <f>C12</f>
        <v>2659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14345</v>
      </c>
      <c r="D31" s="76">
        <f>C18+C19+C20</f>
        <v>15074</v>
      </c>
      <c r="E31" s="77">
        <f t="shared" si="1"/>
        <v>729</v>
      </c>
      <c r="K31" s="53"/>
      <c r="P31" s="4"/>
      <c r="Q31" s="4"/>
    </row>
    <row r="32" spans="1:28" x14ac:dyDescent="0.3">
      <c r="B32" s="74" t="s">
        <v>60</v>
      </c>
      <c r="C32" s="122">
        <v>1146</v>
      </c>
      <c r="D32" s="76">
        <f>C10+C11</f>
        <v>1146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388</v>
      </c>
      <c r="D33" s="80">
        <f>C21</f>
        <v>388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theme="1"/>
    <pageSetUpPr fitToPage="1"/>
  </sheetPr>
  <dimension ref="A1:AB33"/>
  <sheetViews>
    <sheetView zoomScale="85" zoomScaleNormal="85" zoomScaleSheetLayoutView="70" workbookViewId="0">
      <selection activeCell="H22" sqref="H2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44815</v>
      </c>
    </row>
    <row r="3" spans="1:27" ht="18.75" customHeight="1" thickBot="1" x14ac:dyDescent="0.35">
      <c r="B3" t="s">
        <v>1</v>
      </c>
      <c r="C3" s="3">
        <f>C2+1</f>
        <v>44816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/>
      <c r="E6" s="161" t="s">
        <v>22</v>
      </c>
      <c r="F6" s="119">
        <v>8955</v>
      </c>
      <c r="G6" s="117">
        <v>3043</v>
      </c>
      <c r="H6" s="117">
        <v>5123</v>
      </c>
      <c r="I6" s="152">
        <f>G6+H6</f>
        <v>8166</v>
      </c>
      <c r="J6" s="119">
        <v>9085</v>
      </c>
      <c r="K6" s="117">
        <v>3085</v>
      </c>
      <c r="L6" s="117">
        <v>5218</v>
      </c>
      <c r="M6" s="162">
        <f>K6+L6</f>
        <v>8303</v>
      </c>
      <c r="N6" s="178">
        <v>49</v>
      </c>
      <c r="O6" s="88">
        <v>49</v>
      </c>
      <c r="P6" s="145">
        <v>36</v>
      </c>
      <c r="Q6" s="181">
        <f>IF(J6=0,((F6/V6)),((J6/V6)))</f>
        <v>211.27906976744185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4520</v>
      </c>
      <c r="G10" s="117">
        <v>2359</v>
      </c>
      <c r="H10" s="117">
        <v>801</v>
      </c>
      <c r="I10" s="152">
        <f>G10+H10</f>
        <v>3160</v>
      </c>
      <c r="J10" s="119">
        <v>4371</v>
      </c>
      <c r="K10" s="117">
        <v>2240</v>
      </c>
      <c r="L10" s="117">
        <v>797</v>
      </c>
      <c r="M10" s="162">
        <f>K10+L10</f>
        <v>3037</v>
      </c>
      <c r="N10" s="178">
        <v>0</v>
      </c>
      <c r="O10" s="88">
        <v>0</v>
      </c>
      <c r="P10" s="145">
        <v>0</v>
      </c>
      <c r="Q10" s="181">
        <f>IF(J10=0,((F10/V10)),((J10/V10)))</f>
        <v>84.057692307692307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215</v>
      </c>
      <c r="G12" s="117">
        <v>137</v>
      </c>
      <c r="H12" s="117"/>
      <c r="I12" s="152">
        <f>G12+H12</f>
        <v>137</v>
      </c>
      <c r="J12" s="119">
        <v>230</v>
      </c>
      <c r="K12" s="117">
        <v>148</v>
      </c>
      <c r="L12" s="117"/>
      <c r="M12" s="162">
        <f>K12+L12</f>
        <v>148</v>
      </c>
      <c r="N12" s="178">
        <v>1</v>
      </c>
      <c r="O12" s="88">
        <v>1</v>
      </c>
      <c r="P12" s="145">
        <v>0</v>
      </c>
      <c r="Q12" s="181">
        <f>IF(J12=0,((F12/V12)),((J12/V12)))</f>
        <v>6.5714285714285712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0</v>
      </c>
      <c r="E14" s="161" t="s">
        <v>39</v>
      </c>
      <c r="F14" s="119">
        <v>6514</v>
      </c>
      <c r="G14" s="117">
        <v>7368</v>
      </c>
      <c r="H14" s="117"/>
      <c r="I14" s="152">
        <f>G14+H14</f>
        <v>7368</v>
      </c>
      <c r="J14" s="119">
        <v>5833</v>
      </c>
      <c r="K14" s="117">
        <v>7781</v>
      </c>
      <c r="L14" s="117"/>
      <c r="M14" s="162">
        <f>K14+L14</f>
        <v>7781</v>
      </c>
      <c r="N14" s="178">
        <v>16</v>
      </c>
      <c r="O14" s="88">
        <v>18</v>
      </c>
      <c r="P14" s="145">
        <v>13</v>
      </c>
      <c r="Q14" s="181">
        <f>IF(J14=0,((F14/V14)),((J14/V14)))</f>
        <v>138.88095238095238</v>
      </c>
      <c r="V14" s="1">
        <v>42</v>
      </c>
    </row>
    <row r="15" spans="1:27" x14ac:dyDescent="0.3">
      <c r="B15" s="28" t="s">
        <v>42</v>
      </c>
      <c r="C15" s="17">
        <v>6162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8386</v>
      </c>
      <c r="E18" s="84"/>
      <c r="F18" s="149">
        <f t="shared" ref="F18:M18" si="0">SUM(F6:F17)</f>
        <v>20204</v>
      </c>
      <c r="G18" s="149">
        <f t="shared" si="0"/>
        <v>12907</v>
      </c>
      <c r="H18" s="149">
        <f t="shared" si="0"/>
        <v>5924</v>
      </c>
      <c r="I18" s="157">
        <f t="shared" si="0"/>
        <v>18831</v>
      </c>
      <c r="J18" s="149">
        <f t="shared" si="0"/>
        <v>19519</v>
      </c>
      <c r="K18" s="149">
        <f t="shared" si="0"/>
        <v>13254</v>
      </c>
      <c r="L18" s="149">
        <f t="shared" si="0"/>
        <v>6015</v>
      </c>
      <c r="M18" s="175">
        <f t="shared" si="0"/>
        <v>19269</v>
      </c>
      <c r="N18" s="148">
        <f>SUM(N16,N14,N12,N10,N8,N6)</f>
        <v>67</v>
      </c>
      <c r="O18" s="149">
        <f>SUM(O16,O14,O12,O10,O8,O6)</f>
        <v>69</v>
      </c>
      <c r="P18" s="158">
        <f>SUM(P16,P14,P12,P10,P8,P6)</f>
        <v>50</v>
      </c>
      <c r="Q18" s="182"/>
    </row>
    <row r="19" spans="1:28" ht="15" customHeight="1" thickBot="1" x14ac:dyDescent="0.35">
      <c r="B19" s="16" t="s">
        <v>51</v>
      </c>
      <c r="C19" s="17">
        <v>721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3">
      <c r="B20" s="16" t="s">
        <v>52</v>
      </c>
      <c r="C20" s="17">
        <v>4349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0.27536231884057971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3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3">
      <c r="B28" s="74" t="s">
        <v>56</v>
      </c>
      <c r="C28" s="122">
        <v>6867</v>
      </c>
      <c r="D28" s="76">
        <f>C9+C14+C15+C16+C17</f>
        <v>6162</v>
      </c>
      <c r="E28" s="77">
        <f t="shared" si="1"/>
        <v>-705</v>
      </c>
      <c r="P28" s="4"/>
      <c r="Q28" s="4"/>
    </row>
    <row r="29" spans="1:28" x14ac:dyDescent="0.3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3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59</v>
      </c>
      <c r="C31" s="122">
        <v>13475</v>
      </c>
      <c r="D31" s="76">
        <f>C18+C19+C20</f>
        <v>13456</v>
      </c>
      <c r="E31" s="77">
        <f t="shared" si="1"/>
        <v>-19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theme="1"/>
    <pageSetUpPr fitToPage="1"/>
  </sheetPr>
  <dimension ref="A1:AB33"/>
  <sheetViews>
    <sheetView zoomScale="85" zoomScaleNormal="85" zoomScaleSheetLayoutView="70" workbookViewId="0">
      <selection activeCell="I6" sqref="I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44816</v>
      </c>
    </row>
    <row r="3" spans="1:27" ht="18.75" customHeight="1" thickBot="1" x14ac:dyDescent="0.35">
      <c r="B3" t="s">
        <v>1</v>
      </c>
      <c r="C3" s="3">
        <f>C2+1</f>
        <v>44817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64</v>
      </c>
      <c r="E6" s="161" t="s">
        <v>22</v>
      </c>
      <c r="F6" s="119">
        <v>26679</v>
      </c>
      <c r="G6" s="117">
        <v>13198.46199999999</v>
      </c>
      <c r="H6" s="117">
        <v>4879.8345179999988</v>
      </c>
      <c r="I6" s="152">
        <v>18078.296517999988</v>
      </c>
      <c r="J6" s="119">
        <v>28206</v>
      </c>
      <c r="K6" s="117">
        <v>13709.52099999999</v>
      </c>
      <c r="L6" s="117">
        <v>5001.1025889999992</v>
      </c>
      <c r="M6" s="162">
        <v>18710.623588999992</v>
      </c>
      <c r="N6" s="178">
        <v>84</v>
      </c>
      <c r="O6" s="88">
        <v>87</v>
      </c>
      <c r="P6" s="145">
        <v>75</v>
      </c>
      <c r="Q6" s="181">
        <f>IF(J6=0,((F6/V6)),((J6/V6)))</f>
        <v>655.95348837209303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1219</v>
      </c>
      <c r="G8" s="117">
        <v>5298.2119999999986</v>
      </c>
      <c r="H8" s="117">
        <v>7129.9117529999976</v>
      </c>
      <c r="I8" s="152">
        <v>12428.123753</v>
      </c>
      <c r="J8" s="119">
        <v>1212</v>
      </c>
      <c r="K8" s="117">
        <v>5270.2119999999986</v>
      </c>
      <c r="L8" s="117">
        <v>7239.2963119999977</v>
      </c>
      <c r="M8" s="162">
        <v>12509.508312</v>
      </c>
      <c r="N8" s="178">
        <v>22</v>
      </c>
      <c r="O8" s="88">
        <v>28</v>
      </c>
      <c r="P8" s="145">
        <v>19</v>
      </c>
      <c r="Q8" s="117"/>
    </row>
    <row r="9" spans="1:27" x14ac:dyDescent="0.3">
      <c r="B9" s="16" t="s">
        <v>23</v>
      </c>
      <c r="C9" s="17">
        <v>6652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9</v>
      </c>
      <c r="Q9" s="118"/>
    </row>
    <row r="10" spans="1:27" x14ac:dyDescent="0.3">
      <c r="B10" s="28" t="s">
        <v>26</v>
      </c>
      <c r="C10" s="17">
        <v>660</v>
      </c>
      <c r="E10" s="161" t="s">
        <v>31</v>
      </c>
      <c r="F10" s="119">
        <v>19404</v>
      </c>
      <c r="G10" s="117">
        <v>13922.889499999999</v>
      </c>
      <c r="H10" s="117">
        <v>470.54165</v>
      </c>
      <c r="I10" s="152">
        <v>14393.43115</v>
      </c>
      <c r="J10" s="119">
        <v>19678</v>
      </c>
      <c r="K10" s="117">
        <v>14008.276</v>
      </c>
      <c r="L10" s="117">
        <v>513.64520100000004</v>
      </c>
      <c r="M10" s="162">
        <v>14521.921200999999</v>
      </c>
      <c r="N10" s="178">
        <v>51</v>
      </c>
      <c r="O10" s="88">
        <v>51</v>
      </c>
      <c r="P10" s="145">
        <v>45</v>
      </c>
      <c r="Q10" s="181">
        <f>IF(J10=0,((F10/V10)),((J10/V10)))</f>
        <v>378.42307692307691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  <c r="Q11" s="118"/>
    </row>
    <row r="12" spans="1:27" x14ac:dyDescent="0.3">
      <c r="A12" s="166"/>
      <c r="B12" s="16" t="s">
        <v>30</v>
      </c>
      <c r="C12" s="17">
        <v>2459</v>
      </c>
      <c r="E12" s="161" t="s">
        <v>35</v>
      </c>
      <c r="F12" s="119">
        <v>12929</v>
      </c>
      <c r="G12" s="117">
        <v>12252.244500000001</v>
      </c>
      <c r="H12" s="117">
        <v>16999.565043999992</v>
      </c>
      <c r="I12" s="152">
        <v>29251.809543999989</v>
      </c>
      <c r="J12" s="119">
        <v>13954</v>
      </c>
      <c r="K12" s="117">
        <v>13078.49</v>
      </c>
      <c r="L12" s="117">
        <v>17526.93573099999</v>
      </c>
      <c r="M12" s="162">
        <v>30605.425730999999</v>
      </c>
      <c r="N12" s="178">
        <v>53</v>
      </c>
      <c r="O12" s="88">
        <v>54</v>
      </c>
      <c r="P12" s="145">
        <v>53</v>
      </c>
      <c r="Q12" s="181">
        <f>IF(J12=0,((F12/V12)),((J12/V12)))</f>
        <v>398.68571428571431</v>
      </c>
      <c r="V12" s="1">
        <v>35</v>
      </c>
    </row>
    <row r="13" spans="1:27" x14ac:dyDescent="0.3">
      <c r="B13" s="16" t="s">
        <v>38</v>
      </c>
      <c r="C13" s="17">
        <v>8255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1677</v>
      </c>
      <c r="E14" s="161" t="s">
        <v>39</v>
      </c>
      <c r="F14" s="119">
        <v>22923</v>
      </c>
      <c r="G14" s="117">
        <v>29607.095250000009</v>
      </c>
      <c r="H14" s="117">
        <v>29659.685279999991</v>
      </c>
      <c r="I14" s="152">
        <v>59266.780530000004</v>
      </c>
      <c r="J14" s="119">
        <v>23250</v>
      </c>
      <c r="K14" s="117">
        <v>30497.801500000009</v>
      </c>
      <c r="L14" s="117">
        <v>30511.791807000001</v>
      </c>
      <c r="M14" s="162">
        <v>61009.593307000003</v>
      </c>
      <c r="N14" s="178">
        <v>71</v>
      </c>
      <c r="O14" s="88">
        <v>73</v>
      </c>
      <c r="P14" s="145">
        <v>56</v>
      </c>
      <c r="Q14" s="181">
        <f>IF(J14=0,((F14/V14)),((J14/V14)))</f>
        <v>553.57142857142856</v>
      </c>
      <c r="V14" s="1">
        <v>42</v>
      </c>
    </row>
    <row r="15" spans="1:27" x14ac:dyDescent="0.3">
      <c r="B15" s="28" t="s">
        <v>42</v>
      </c>
      <c r="C15" s="17">
        <v>25275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17</v>
      </c>
      <c r="Q15" s="118"/>
    </row>
    <row r="16" spans="1:27" x14ac:dyDescent="0.3">
      <c r="B16" s="43" t="s">
        <v>47</v>
      </c>
      <c r="C16" s="17">
        <v>1624</v>
      </c>
      <c r="E16" s="161" t="s">
        <v>79</v>
      </c>
      <c r="F16" s="119">
        <v>0</v>
      </c>
      <c r="G16" s="117">
        <v>0</v>
      </c>
      <c r="H16" s="117">
        <v>7294.417751</v>
      </c>
      <c r="I16" s="152">
        <v>7294.417751</v>
      </c>
      <c r="J16" s="119">
        <v>0</v>
      </c>
      <c r="K16" s="117">
        <v>0</v>
      </c>
      <c r="L16" s="117">
        <v>7268.1203330000017</v>
      </c>
      <c r="M16" s="162">
        <v>7268.1203330000017</v>
      </c>
      <c r="N16" s="178">
        <v>10</v>
      </c>
      <c r="O16" s="88">
        <v>9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295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9936</v>
      </c>
      <c r="E18" s="84"/>
      <c r="F18" s="149">
        <f t="shared" ref="F18:M18" si="0">SUM(F6:F17)</f>
        <v>83154</v>
      </c>
      <c r="G18" s="149">
        <f t="shared" si="0"/>
        <v>74278.903250000003</v>
      </c>
      <c r="H18" s="149">
        <f t="shared" si="0"/>
        <v>66433.955995999975</v>
      </c>
      <c r="I18" s="157">
        <f t="shared" si="0"/>
        <v>140712.85924599998</v>
      </c>
      <c r="J18" s="149">
        <f t="shared" si="0"/>
        <v>86300</v>
      </c>
      <c r="K18" s="149">
        <f t="shared" si="0"/>
        <v>76564.300499999998</v>
      </c>
      <c r="L18" s="149">
        <f t="shared" si="0"/>
        <v>68060.891972999991</v>
      </c>
      <c r="M18" s="175">
        <f t="shared" si="0"/>
        <v>144625.192473</v>
      </c>
      <c r="N18" s="148">
        <f>SUM(N16,N14,N12,N10,N8,N6)</f>
        <v>291</v>
      </c>
      <c r="O18" s="149">
        <f>SUM(O16,O14,O12,O10,O8,O6)</f>
        <v>302</v>
      </c>
      <c r="P18" s="158">
        <f>SUM(P16,P14,P12,P10,P8,P6)</f>
        <v>258</v>
      </c>
      <c r="Q18" s="182"/>
    </row>
    <row r="19" spans="1:28" ht="15" customHeight="1" thickBot="1" x14ac:dyDescent="0.35">
      <c r="B19" s="16" t="s">
        <v>51</v>
      </c>
      <c r="C19" s="17">
        <v>1212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44</v>
      </c>
      <c r="Q19" s="183"/>
    </row>
    <row r="20" spans="1:28" x14ac:dyDescent="0.3">
      <c r="B20" s="16" t="s">
        <v>52</v>
      </c>
      <c r="C20" s="17">
        <v>4202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0.14569536423841059</v>
      </c>
      <c r="Q20" s="139"/>
    </row>
    <row r="21" spans="1:28" ht="15" customHeight="1" thickBot="1" x14ac:dyDescent="0.35">
      <c r="A21" s="123"/>
      <c r="B21" s="168" t="s">
        <v>132</v>
      </c>
      <c r="C21" s="169">
        <v>849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9520</v>
      </c>
      <c r="D25" s="76">
        <v>9589</v>
      </c>
      <c r="E25" s="77">
        <f t="shared" ref="E25:E33" si="1">D25-C25</f>
        <v>69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32974</v>
      </c>
      <c r="D27" s="76">
        <v>34114</v>
      </c>
      <c r="E27" s="77">
        <f t="shared" si="1"/>
        <v>1140</v>
      </c>
      <c r="G27" s="53"/>
      <c r="M27" s="53"/>
      <c r="P27" s="4"/>
      <c r="Q27" s="4"/>
    </row>
    <row r="28" spans="1:28" x14ac:dyDescent="0.3">
      <c r="B28" s="74" t="s">
        <v>145</v>
      </c>
      <c r="C28" s="122">
        <v>6476</v>
      </c>
      <c r="D28" s="76">
        <v>6476</v>
      </c>
      <c r="E28" s="77">
        <f t="shared" si="1"/>
        <v>0</v>
      </c>
      <c r="P28" s="4"/>
      <c r="Q28" s="4"/>
    </row>
    <row r="29" spans="1:28" x14ac:dyDescent="0.3">
      <c r="B29" s="74" t="s">
        <v>21</v>
      </c>
      <c r="C29" s="122">
        <v>2262</v>
      </c>
      <c r="D29" s="76">
        <v>2262</v>
      </c>
      <c r="E29" s="77">
        <f t="shared" si="1"/>
        <v>0</v>
      </c>
      <c r="P29" s="4"/>
      <c r="Q29" s="4"/>
    </row>
    <row r="30" spans="1:28" x14ac:dyDescent="0.3">
      <c r="B30" s="74" t="s">
        <v>146</v>
      </c>
      <c r="C30" s="122">
        <v>8522</v>
      </c>
      <c r="D30" s="76">
        <v>8522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14330</v>
      </c>
      <c r="D31" s="76">
        <v>16267</v>
      </c>
      <c r="E31" s="77">
        <f t="shared" si="1"/>
        <v>1937</v>
      </c>
      <c r="K31" s="53"/>
      <c r="P31" s="4"/>
      <c r="Q31" s="4"/>
    </row>
    <row r="32" spans="1:28" x14ac:dyDescent="0.3">
      <c r="B32" s="74" t="s">
        <v>60</v>
      </c>
      <c r="C32" s="122">
        <v>3504</v>
      </c>
      <c r="D32" s="76">
        <v>3504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5574</v>
      </c>
      <c r="D33" s="80">
        <v>5574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theme="1"/>
    <pageSetUpPr fitToPage="1"/>
  </sheetPr>
  <dimension ref="A1:AB33"/>
  <sheetViews>
    <sheetView topLeftCell="B1" zoomScale="85" zoomScaleNormal="85" zoomScaleSheetLayoutView="70" workbookViewId="0">
      <selection activeCell="Q6" sqref="Q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44817</v>
      </c>
    </row>
    <row r="3" spans="1:27" ht="18.75" customHeight="1" thickBot="1" x14ac:dyDescent="0.35">
      <c r="B3" t="s">
        <v>1</v>
      </c>
      <c r="C3" s="3">
        <f>C2+1</f>
        <v>44818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148</v>
      </c>
      <c r="V5" s="4" t="s">
        <v>139</v>
      </c>
    </row>
    <row r="6" spans="1:27" x14ac:dyDescent="0.3">
      <c r="A6" s="166"/>
      <c r="B6" s="16" t="s">
        <v>21</v>
      </c>
      <c r="C6" s="17">
        <v>139</v>
      </c>
      <c r="E6" s="161" t="s">
        <v>22</v>
      </c>
      <c r="F6" s="119">
        <v>29881</v>
      </c>
      <c r="G6" s="117">
        <v>14946.665000000001</v>
      </c>
      <c r="H6" s="117">
        <v>6129.6343390000011</v>
      </c>
      <c r="I6" s="152">
        <f>G6+H6</f>
        <v>21076.299339000001</v>
      </c>
      <c r="J6" s="119">
        <v>29323</v>
      </c>
      <c r="K6" s="117">
        <v>14665.757</v>
      </c>
      <c r="L6" s="117">
        <v>6216.2406709999996</v>
      </c>
      <c r="M6" s="162">
        <f>K6+L6</f>
        <v>20881.997670999997</v>
      </c>
      <c r="N6" s="178">
        <v>84</v>
      </c>
      <c r="O6" s="88">
        <v>88</v>
      </c>
      <c r="P6" s="145">
        <v>76</v>
      </c>
      <c r="Q6" s="181">
        <f>IF(J6=0,((F6/V6)),((J6/V6)))</f>
        <v>681.93023255813955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971</v>
      </c>
      <c r="G8" s="117">
        <v>4107.4659999999994</v>
      </c>
      <c r="H8" s="117">
        <v>5807.6783400000004</v>
      </c>
      <c r="I8" s="152">
        <f>G8+H8</f>
        <v>9915.1443399999989</v>
      </c>
      <c r="J8" s="119">
        <v>889</v>
      </c>
      <c r="K8" s="117">
        <v>3740.944</v>
      </c>
      <c r="L8" s="117">
        <v>5548.8635050000012</v>
      </c>
      <c r="M8" s="162">
        <f>K8+L8</f>
        <v>9289.8075050000007</v>
      </c>
      <c r="N8" s="178">
        <v>21</v>
      </c>
      <c r="O8" s="88">
        <v>30</v>
      </c>
      <c r="P8" s="145">
        <v>16</v>
      </c>
      <c r="Q8" s="117"/>
    </row>
    <row r="9" spans="1:27" x14ac:dyDescent="0.3">
      <c r="B9" s="16" t="s">
        <v>23</v>
      </c>
      <c r="C9" s="17">
        <v>4534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14</v>
      </c>
      <c r="Q9" s="118"/>
    </row>
    <row r="10" spans="1:27" x14ac:dyDescent="0.3">
      <c r="B10" s="28" t="s">
        <v>26</v>
      </c>
      <c r="C10" s="17">
        <v>1130</v>
      </c>
      <c r="E10" s="161" t="s">
        <v>31</v>
      </c>
      <c r="F10" s="119">
        <v>23624</v>
      </c>
      <c r="G10" s="117">
        <v>16367.191000000001</v>
      </c>
      <c r="H10" s="117">
        <v>828.19806500000004</v>
      </c>
      <c r="I10" s="152">
        <f>G10+H10</f>
        <v>17195.389064999999</v>
      </c>
      <c r="J10" s="119">
        <v>23131</v>
      </c>
      <c r="K10" s="117">
        <v>15946.781000000001</v>
      </c>
      <c r="L10" s="117">
        <v>814.77255000000014</v>
      </c>
      <c r="M10" s="162">
        <f>K10+L10</f>
        <v>16761.553550000001</v>
      </c>
      <c r="N10" s="178">
        <v>53</v>
      </c>
      <c r="O10" s="88">
        <v>55</v>
      </c>
      <c r="P10" s="145">
        <v>48</v>
      </c>
      <c r="Q10" s="181">
        <f>IF(J10=0,((F10/V10)),((J10/V10)))</f>
        <v>444.82692307692309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3">
      <c r="A12" s="166"/>
      <c r="B12" s="16" t="s">
        <v>30</v>
      </c>
      <c r="C12" s="17">
        <v>4452</v>
      </c>
      <c r="E12" s="161" t="s">
        <v>35</v>
      </c>
      <c r="F12" s="119">
        <v>12164</v>
      </c>
      <c r="G12" s="117">
        <v>11130.7605</v>
      </c>
      <c r="H12" s="117">
        <v>17755.175028000009</v>
      </c>
      <c r="I12" s="152">
        <f>G12+H12</f>
        <v>28885.935528000009</v>
      </c>
      <c r="J12" s="119">
        <v>12129</v>
      </c>
      <c r="K12" s="117">
        <v>11167.880999999999</v>
      </c>
      <c r="L12" s="117">
        <v>17532.671821999989</v>
      </c>
      <c r="M12" s="162">
        <f>K12+L12</f>
        <v>28700.552821999991</v>
      </c>
      <c r="N12" s="178">
        <v>57</v>
      </c>
      <c r="O12" s="88">
        <v>57</v>
      </c>
      <c r="P12" s="145">
        <v>54</v>
      </c>
      <c r="Q12" s="181">
        <f>IF(J12=0,((F12/V12)),((J12/V12)))</f>
        <v>346.54285714285714</v>
      </c>
      <c r="V12" s="1">
        <v>35</v>
      </c>
    </row>
    <row r="13" spans="1:27" x14ac:dyDescent="0.3">
      <c r="B13" s="16" t="s">
        <v>38</v>
      </c>
      <c r="C13" s="17">
        <v>7623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1884</v>
      </c>
      <c r="E14" s="161" t="s">
        <v>39</v>
      </c>
      <c r="F14" s="119">
        <v>27025</v>
      </c>
      <c r="G14" s="117">
        <v>35015.224499999997</v>
      </c>
      <c r="H14" s="117">
        <v>31500.212535999999</v>
      </c>
      <c r="I14" s="152">
        <f>G14+H14</f>
        <v>66515.437035999988</v>
      </c>
      <c r="J14" s="119">
        <v>23312</v>
      </c>
      <c r="K14" s="117">
        <v>31027.340499999998</v>
      </c>
      <c r="L14" s="117">
        <v>27227.926981000001</v>
      </c>
      <c r="M14" s="162">
        <f>K14+L14</f>
        <v>58255.267481000003</v>
      </c>
      <c r="N14" s="178">
        <v>68</v>
      </c>
      <c r="O14" s="88">
        <v>71</v>
      </c>
      <c r="P14" s="145">
        <v>59</v>
      </c>
      <c r="Q14" s="181">
        <f>IF(J14=0,((F14/V14)),((J14/V14)))</f>
        <v>555.04761904761904</v>
      </c>
      <c r="V14" s="1">
        <v>42</v>
      </c>
    </row>
    <row r="15" spans="1:27" x14ac:dyDescent="0.3">
      <c r="B15" s="28" t="s">
        <v>42</v>
      </c>
      <c r="C15" s="17">
        <v>20928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12</v>
      </c>
      <c r="Q15" s="118"/>
    </row>
    <row r="16" spans="1:27" x14ac:dyDescent="0.3">
      <c r="B16" s="43" t="s">
        <v>47</v>
      </c>
      <c r="C16" s="17">
        <v>1490</v>
      </c>
      <c r="E16" s="161" t="s">
        <v>79</v>
      </c>
      <c r="F16" s="119">
        <v>0</v>
      </c>
      <c r="G16" s="117">
        <v>0</v>
      </c>
      <c r="H16" s="117">
        <v>4771.2025080000003</v>
      </c>
      <c r="I16" s="152">
        <f>G16+H16</f>
        <v>4771.2025080000003</v>
      </c>
      <c r="J16" s="119">
        <v>0</v>
      </c>
      <c r="K16" s="117">
        <v>0</v>
      </c>
      <c r="L16" s="117">
        <v>4624.211319</v>
      </c>
      <c r="M16" s="162">
        <f>K16+L16</f>
        <v>4624.211319</v>
      </c>
      <c r="N16" s="178">
        <v>11</v>
      </c>
      <c r="O16" s="88">
        <v>10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8852</v>
      </c>
      <c r="E18" s="84"/>
      <c r="F18" s="149">
        <f t="shared" ref="F18:M18" si="0">SUM(F6:F17)</f>
        <v>93665</v>
      </c>
      <c r="G18" s="149">
        <f t="shared" si="0"/>
        <v>81567.307000000001</v>
      </c>
      <c r="H18" s="149">
        <f t="shared" si="0"/>
        <v>66792.100816000006</v>
      </c>
      <c r="I18" s="157">
        <f t="shared" si="0"/>
        <v>148359.40781599999</v>
      </c>
      <c r="J18" s="149">
        <f t="shared" si="0"/>
        <v>88784</v>
      </c>
      <c r="K18" s="149">
        <f t="shared" si="0"/>
        <v>76548.703500000003</v>
      </c>
      <c r="L18" s="149">
        <f t="shared" si="0"/>
        <v>61964.68684799999</v>
      </c>
      <c r="M18" s="175">
        <f t="shared" si="0"/>
        <v>138513.39034799999</v>
      </c>
      <c r="N18" s="148">
        <f>SUM(N16,N14,N12,N10,N8,N6)</f>
        <v>294</v>
      </c>
      <c r="O18" s="149">
        <f>SUM(O16,O14,O12,O10,O8,O6)</f>
        <v>311</v>
      </c>
      <c r="P18" s="158">
        <f>SUM(P16,P14,P12,P10,P8,P6)</f>
        <v>264</v>
      </c>
      <c r="Q18" s="182"/>
    </row>
    <row r="19" spans="1:28" ht="15" customHeight="1" thickBot="1" x14ac:dyDescent="0.35">
      <c r="B19" s="16" t="s">
        <v>51</v>
      </c>
      <c r="C19" s="17">
        <v>1183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47</v>
      </c>
      <c r="Q19" s="183"/>
    </row>
    <row r="20" spans="1:28" x14ac:dyDescent="0.3">
      <c r="B20" s="16" t="s">
        <v>52</v>
      </c>
      <c r="C20" s="17">
        <v>4586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0.15112540192926044</v>
      </c>
      <c r="Q20" s="139"/>
    </row>
    <row r="21" spans="1:28" ht="15" customHeight="1" thickBot="1" x14ac:dyDescent="0.35">
      <c r="A21" s="123"/>
      <c r="B21" s="168" t="s">
        <v>132</v>
      </c>
      <c r="C21" s="169">
        <v>846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9671</v>
      </c>
      <c r="D25" s="76">
        <v>9459</v>
      </c>
      <c r="E25" s="77">
        <f t="shared" ref="E25:E33" si="1">D25-C25</f>
        <v>-212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30874</v>
      </c>
      <c r="D27" s="76">
        <v>22789</v>
      </c>
      <c r="E27" s="77">
        <f t="shared" si="1"/>
        <v>-8085</v>
      </c>
      <c r="G27" s="53"/>
      <c r="M27" s="53"/>
      <c r="P27" s="4"/>
      <c r="Q27" s="4"/>
    </row>
    <row r="28" spans="1:28" x14ac:dyDescent="0.3">
      <c r="B28" s="74" t="s">
        <v>145</v>
      </c>
      <c r="C28" s="122">
        <v>9137</v>
      </c>
      <c r="D28" s="76">
        <v>9137</v>
      </c>
      <c r="E28" s="77">
        <f t="shared" si="1"/>
        <v>0</v>
      </c>
      <c r="P28" s="4"/>
      <c r="Q28" s="4"/>
    </row>
    <row r="29" spans="1:28" x14ac:dyDescent="0.3">
      <c r="B29" s="74" t="s">
        <v>21</v>
      </c>
      <c r="C29" s="122">
        <v>4896</v>
      </c>
      <c r="D29" s="76">
        <v>4896</v>
      </c>
      <c r="E29" s="77">
        <f t="shared" si="1"/>
        <v>0</v>
      </c>
      <c r="P29" s="4"/>
      <c r="Q29" s="4"/>
    </row>
    <row r="30" spans="1:28" x14ac:dyDescent="0.3">
      <c r="B30" s="74" t="s">
        <v>146</v>
      </c>
      <c r="C30" s="122">
        <v>15504</v>
      </c>
      <c r="D30" s="76">
        <v>15504</v>
      </c>
      <c r="E30" s="77">
        <f t="shared" si="1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15850</v>
      </c>
      <c r="D31" s="76">
        <v>15509</v>
      </c>
      <c r="E31" s="77">
        <f t="shared" si="1"/>
        <v>-341</v>
      </c>
      <c r="K31" s="53"/>
      <c r="P31" s="4"/>
      <c r="Q31" s="4"/>
    </row>
    <row r="32" spans="1:28" x14ac:dyDescent="0.3">
      <c r="B32" s="74" t="s">
        <v>60</v>
      </c>
      <c r="C32" s="122">
        <v>5956</v>
      </c>
      <c r="D32" s="76">
        <v>5956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71">
        <v>5550</v>
      </c>
      <c r="D33" s="80">
        <v>5550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>
    <tabColor theme="1"/>
    <pageSetUpPr fitToPage="1"/>
  </sheetPr>
  <dimension ref="A1:AB33"/>
  <sheetViews>
    <sheetView zoomScale="85" zoomScaleNormal="85" zoomScaleSheetLayoutView="70" workbookViewId="0">
      <selection activeCell="AC24" sqref="AC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44818</v>
      </c>
    </row>
    <row r="3" spans="1:27" ht="18.75" customHeight="1" thickBot="1" x14ac:dyDescent="0.35">
      <c r="B3" t="s">
        <v>1</v>
      </c>
      <c r="C3" s="3">
        <f>C2+1</f>
        <v>44819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3">
      <c r="A6" s="166"/>
      <c r="B6" s="16" t="s">
        <v>21</v>
      </c>
      <c r="C6" s="17">
        <v>60</v>
      </c>
      <c r="E6" s="161" t="s">
        <v>22</v>
      </c>
      <c r="F6" s="119">
        <v>22899</v>
      </c>
      <c r="G6" s="117">
        <v>10977.641</v>
      </c>
      <c r="H6" s="117">
        <v>3719.2711909999998</v>
      </c>
      <c r="I6" s="152">
        <f>G6+H6</f>
        <v>14696.912190999999</v>
      </c>
      <c r="J6" s="119">
        <v>24918</v>
      </c>
      <c r="K6" s="117">
        <v>11848.681</v>
      </c>
      <c r="L6" s="117">
        <v>4436.3067659999997</v>
      </c>
      <c r="M6" s="162">
        <f>K6+L6</f>
        <v>16284.987766</v>
      </c>
      <c r="N6" s="178">
        <v>77</v>
      </c>
      <c r="O6" s="88">
        <v>81</v>
      </c>
      <c r="P6" s="145">
        <v>76</v>
      </c>
      <c r="Q6" s="181">
        <f>IF(J6=0,((F6/V6)),((J6/V6)))</f>
        <v>579.48837209302326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1114</v>
      </c>
      <c r="G8" s="117">
        <v>5206.47</v>
      </c>
      <c r="H8" s="117">
        <v>6550.0030360000001</v>
      </c>
      <c r="I8" s="152">
        <f>G8+H8</f>
        <v>11756.473035999999</v>
      </c>
      <c r="J8" s="119">
        <v>1106</v>
      </c>
      <c r="K8" s="117">
        <v>5174.47</v>
      </c>
      <c r="L8" s="117">
        <v>6730.9152839999997</v>
      </c>
      <c r="M8" s="162">
        <f>K8+L8</f>
        <v>11905.385284</v>
      </c>
      <c r="N8" s="178">
        <v>19</v>
      </c>
      <c r="O8" s="88">
        <v>24</v>
      </c>
      <c r="P8" s="145">
        <v>15</v>
      </c>
      <c r="Q8" s="117"/>
    </row>
    <row r="9" spans="1:27" x14ac:dyDescent="0.3">
      <c r="B9" s="16" t="s">
        <v>23</v>
      </c>
      <c r="C9" s="17">
        <v>4015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9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17466</v>
      </c>
      <c r="G10" s="117">
        <v>12335.566999999999</v>
      </c>
      <c r="H10" s="117">
        <v>490.61214999999999</v>
      </c>
      <c r="I10" s="152">
        <f>G10+H10</f>
        <v>12826.17915</v>
      </c>
      <c r="J10" s="119">
        <v>17699</v>
      </c>
      <c r="K10" s="117">
        <v>12633.586499999999</v>
      </c>
      <c r="L10" s="117">
        <v>514.47218700000008</v>
      </c>
      <c r="M10" s="162">
        <f>K10+L10</f>
        <v>13148.058686999999</v>
      </c>
      <c r="N10" s="178">
        <v>52</v>
      </c>
      <c r="O10" s="88">
        <v>51</v>
      </c>
      <c r="P10" s="145">
        <v>50</v>
      </c>
      <c r="Q10" s="181">
        <f>IF(J10=0,((F10/V10)),((J10/V10)))</f>
        <v>340.36538461538464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3">
      <c r="A12" s="166"/>
      <c r="B12" s="16" t="s">
        <v>30</v>
      </c>
      <c r="C12" s="17">
        <v>3579</v>
      </c>
      <c r="E12" s="161" t="s">
        <v>35</v>
      </c>
      <c r="F12" s="119">
        <v>11558</v>
      </c>
      <c r="G12" s="117">
        <v>11753.4925</v>
      </c>
      <c r="H12" s="117">
        <v>15939.356546000001</v>
      </c>
      <c r="I12" s="152">
        <f>G12+H12</f>
        <v>27692.849046000003</v>
      </c>
      <c r="J12" s="119">
        <v>11663</v>
      </c>
      <c r="K12" s="117">
        <v>11793.3575</v>
      </c>
      <c r="L12" s="117">
        <v>15832.095656</v>
      </c>
      <c r="M12" s="162">
        <f>K12+L12</f>
        <v>27625.453156</v>
      </c>
      <c r="N12" s="178">
        <v>49</v>
      </c>
      <c r="O12" s="88">
        <v>49</v>
      </c>
      <c r="P12" s="145">
        <v>49</v>
      </c>
      <c r="Q12" s="181">
        <f>IF(J12=0,((F12/V12)),((J12/V12)))</f>
        <v>333.22857142857146</v>
      </c>
      <c r="V12" s="1">
        <v>35</v>
      </c>
    </row>
    <row r="13" spans="1:27" x14ac:dyDescent="0.3">
      <c r="B13" s="16" t="s">
        <v>38</v>
      </c>
      <c r="C13" s="17">
        <v>9371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1744</v>
      </c>
      <c r="E14" s="161" t="s">
        <v>39</v>
      </c>
      <c r="F14" s="119">
        <v>22642</v>
      </c>
      <c r="G14" s="117">
        <v>28462.62624999999</v>
      </c>
      <c r="H14" s="117">
        <v>27101.388488000001</v>
      </c>
      <c r="I14" s="152">
        <f>G14+H14</f>
        <v>55564.014737999991</v>
      </c>
      <c r="J14" s="119">
        <v>23714</v>
      </c>
      <c r="K14" s="117">
        <v>29798.785000000011</v>
      </c>
      <c r="L14" s="117">
        <v>28318.574145999999</v>
      </c>
      <c r="M14" s="162">
        <f>K14+L14</f>
        <v>58117.35914600001</v>
      </c>
      <c r="N14" s="178">
        <v>70</v>
      </c>
      <c r="O14" s="88">
        <v>70</v>
      </c>
      <c r="P14" s="145">
        <v>59</v>
      </c>
      <c r="Q14" s="181">
        <f>IF(J14=0,((F14/V14)),((J14/V14)))</f>
        <v>564.61904761904759</v>
      </c>
      <c r="V14" s="1">
        <v>42</v>
      </c>
    </row>
    <row r="15" spans="1:27" x14ac:dyDescent="0.3">
      <c r="B15" s="28" t="s">
        <v>42</v>
      </c>
      <c r="C15" s="17">
        <v>30139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3">
      <c r="B16" s="43" t="s">
        <v>47</v>
      </c>
      <c r="C16" s="17">
        <v>1671</v>
      </c>
      <c r="E16" s="161" t="s">
        <v>79</v>
      </c>
      <c r="F16" s="119">
        <v>0</v>
      </c>
      <c r="G16" s="117">
        <v>0</v>
      </c>
      <c r="H16" s="117">
        <v>7176.7527640000008</v>
      </c>
      <c r="I16" s="152">
        <f>G16+H16</f>
        <v>7176.7527640000008</v>
      </c>
      <c r="J16" s="119">
        <v>0</v>
      </c>
      <c r="K16" s="117">
        <v>0</v>
      </c>
      <c r="L16" s="117">
        <v>7347.3040659999988</v>
      </c>
      <c r="M16" s="162">
        <f>K16+L16</f>
        <v>7347.3040659999988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345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9870</v>
      </c>
      <c r="E18" s="84"/>
      <c r="F18" s="148">
        <f>SUM(F6:F16)</f>
        <v>75679</v>
      </c>
      <c r="G18" s="148">
        <f>SUM(G6:G16)</f>
        <v>68735.796749999994</v>
      </c>
      <c r="H18" s="148">
        <f>SUM(H6:H16)</f>
        <v>60977.384174999999</v>
      </c>
      <c r="I18" s="157">
        <f>SUM(I6:I17)</f>
        <v>129713.18092499999</v>
      </c>
      <c r="J18" s="149">
        <f>SUM(J6:J17)</f>
        <v>79100</v>
      </c>
      <c r="K18" s="149">
        <f>SUM(K6:K17)</f>
        <v>71248.88</v>
      </c>
      <c r="L18" s="149">
        <f>SUM(L6:L17)</f>
        <v>63179.668104999997</v>
      </c>
      <c r="M18" s="175">
        <f>SUM(M6:M17)</f>
        <v>134428.54810500002</v>
      </c>
      <c r="N18" s="148">
        <f>SUM(N16,N14,N12,N10,N8,N6)</f>
        <v>277</v>
      </c>
      <c r="O18" s="149">
        <f>SUM(O16,O14,O12,O10,O8,O6)</f>
        <v>285</v>
      </c>
      <c r="P18" s="158">
        <f>SUM(P16,P14,P12,P10,P8,P6)</f>
        <v>259</v>
      </c>
      <c r="Q18" s="182"/>
    </row>
    <row r="19" spans="1:28" ht="15" customHeight="1" thickBot="1" x14ac:dyDescent="0.35">
      <c r="B19" s="16" t="s">
        <v>51</v>
      </c>
      <c r="C19" s="17">
        <v>1309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  <c r="Q19" s="183"/>
    </row>
    <row r="20" spans="1:28" x14ac:dyDescent="0.3">
      <c r="B20" s="16" t="s">
        <v>52</v>
      </c>
      <c r="C20" s="17">
        <v>4583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9.1228070175438603E-2</v>
      </c>
      <c r="Q20" s="139"/>
    </row>
    <row r="21" spans="1:28" ht="15" customHeight="1" thickBot="1" x14ac:dyDescent="0.35">
      <c r="A21" s="123"/>
      <c r="B21" s="168" t="s">
        <v>132</v>
      </c>
      <c r="C21" s="169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8208</v>
      </c>
      <c r="D25" s="76">
        <v>9566</v>
      </c>
      <c r="E25" s="77">
        <f t="shared" ref="E25:E33" si="0">D25-C25</f>
        <v>1358</v>
      </c>
    </row>
    <row r="26" spans="1:28" x14ac:dyDescent="0.3">
      <c r="B26" s="74" t="s">
        <v>143</v>
      </c>
      <c r="C26" s="122">
        <v>1200</v>
      </c>
      <c r="D26" s="76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30092</v>
      </c>
      <c r="D27" s="76">
        <v>30840</v>
      </c>
      <c r="E27" s="77">
        <f t="shared" si="0"/>
        <v>748</v>
      </c>
      <c r="G27" s="53"/>
      <c r="M27" s="53"/>
      <c r="P27" s="4"/>
      <c r="Q27" s="4"/>
    </row>
    <row r="28" spans="1:28" x14ac:dyDescent="0.3">
      <c r="B28" s="74" t="s">
        <v>145</v>
      </c>
      <c r="C28" s="122">
        <v>6691</v>
      </c>
      <c r="D28" s="76">
        <v>6691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1920</v>
      </c>
      <c r="D29" s="76">
        <v>1920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12174</v>
      </c>
      <c r="D30" s="76">
        <v>12174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15400</v>
      </c>
      <c r="D31" s="76">
        <v>16715</v>
      </c>
      <c r="E31" s="77">
        <f t="shared" si="0"/>
        <v>1315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71">
        <v>0</v>
      </c>
      <c r="D33" s="80">
        <v>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theme="1"/>
    <pageSetUpPr fitToPage="1"/>
  </sheetPr>
  <dimension ref="A1:AB33"/>
  <sheetViews>
    <sheetView zoomScale="85" zoomScaleNormal="85" zoomScaleSheetLayoutView="70" workbookViewId="0">
      <selection activeCell="K10" sqref="K1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44819</v>
      </c>
    </row>
    <row r="3" spans="1:27" ht="18.75" customHeight="1" thickBot="1" x14ac:dyDescent="0.35">
      <c r="B3" t="s">
        <v>1</v>
      </c>
      <c r="C3" s="3">
        <f>C2+1</f>
        <v>44820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3">
      <c r="A6" s="166"/>
      <c r="B6" s="16" t="s">
        <v>21</v>
      </c>
      <c r="C6" s="17">
        <v>129</v>
      </c>
      <c r="E6" s="161" t="s">
        <v>22</v>
      </c>
      <c r="F6" s="119">
        <v>23041</v>
      </c>
      <c r="G6" s="117">
        <v>10844.669</v>
      </c>
      <c r="H6" s="117">
        <v>5126.7222850000007</v>
      </c>
      <c r="I6" s="152">
        <v>15971.391285</v>
      </c>
      <c r="J6" s="119">
        <v>23205</v>
      </c>
      <c r="K6" s="117">
        <v>10970.977000000001</v>
      </c>
      <c r="L6" s="117">
        <v>5727.7382109999999</v>
      </c>
      <c r="M6" s="162">
        <v>16698.715210999999</v>
      </c>
      <c r="N6" s="178">
        <v>77</v>
      </c>
      <c r="O6" s="88">
        <v>78</v>
      </c>
      <c r="P6" s="145">
        <v>62</v>
      </c>
      <c r="Q6" s="181">
        <f>IF(J6=0,((F6/V6)),((J6/V6)))</f>
        <v>539.65116279069764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986</v>
      </c>
      <c r="G8" s="117">
        <v>4242.1170000000002</v>
      </c>
      <c r="H8" s="117">
        <v>5362.855188999999</v>
      </c>
      <c r="I8" s="152">
        <v>9604.9721890000001</v>
      </c>
      <c r="J8" s="119">
        <v>549</v>
      </c>
      <c r="K8" s="117">
        <v>2721.7350000000001</v>
      </c>
      <c r="L8" s="117">
        <v>3966.8668399999988</v>
      </c>
      <c r="M8" s="162">
        <v>6688.6018399999994</v>
      </c>
      <c r="N8" s="178">
        <v>17</v>
      </c>
      <c r="O8" s="88">
        <v>23</v>
      </c>
      <c r="P8" s="145">
        <v>10</v>
      </c>
      <c r="Q8" s="117"/>
    </row>
    <row r="9" spans="1:27" x14ac:dyDescent="0.3">
      <c r="B9" s="16" t="s">
        <v>23</v>
      </c>
      <c r="C9" s="17">
        <v>4456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13</v>
      </c>
      <c r="Q9" s="118"/>
    </row>
    <row r="10" spans="1:27" x14ac:dyDescent="0.3">
      <c r="B10" s="28" t="s">
        <v>26</v>
      </c>
      <c r="C10" s="17">
        <v>1080</v>
      </c>
      <c r="E10" s="161" t="s">
        <v>31</v>
      </c>
      <c r="F10" s="119">
        <v>22889</v>
      </c>
      <c r="G10" s="117">
        <v>15597.106</v>
      </c>
      <c r="H10" s="117">
        <v>829.12394400000005</v>
      </c>
      <c r="I10" s="152">
        <v>16426.229943999999</v>
      </c>
      <c r="J10" s="119">
        <v>22487</v>
      </c>
      <c r="K10" s="117">
        <v>15463.885</v>
      </c>
      <c r="L10" s="117">
        <v>799.28861100000017</v>
      </c>
      <c r="M10" s="162">
        <v>16263.173611</v>
      </c>
      <c r="N10" s="178">
        <v>53</v>
      </c>
      <c r="O10" s="88">
        <v>55</v>
      </c>
      <c r="P10" s="145">
        <v>48</v>
      </c>
      <c r="Q10" s="181">
        <f>IF(J10=0,((F10/V10)),((J10/V10)))</f>
        <v>432.44230769230768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3">
      <c r="A12" s="166"/>
      <c r="B12" s="16" t="s">
        <v>30</v>
      </c>
      <c r="C12" s="17">
        <v>2236</v>
      </c>
      <c r="E12" s="161" t="s">
        <v>35</v>
      </c>
      <c r="F12" s="119">
        <v>13247</v>
      </c>
      <c r="G12" s="117">
        <v>12551.427</v>
      </c>
      <c r="H12" s="117">
        <v>18797.214393999991</v>
      </c>
      <c r="I12" s="152">
        <v>31348.64139399998</v>
      </c>
      <c r="J12" s="119">
        <v>13400</v>
      </c>
      <c r="K12" s="117">
        <v>12414.482</v>
      </c>
      <c r="L12" s="117">
        <v>18305.020070999999</v>
      </c>
      <c r="M12" s="162">
        <v>30719.502070999999</v>
      </c>
      <c r="N12" s="178">
        <v>51</v>
      </c>
      <c r="O12" s="88">
        <v>51</v>
      </c>
      <c r="P12" s="145">
        <v>51</v>
      </c>
      <c r="Q12" s="181">
        <f>IF(J12=0,((F12/V12)),((J12/V12)))</f>
        <v>382.85714285714283</v>
      </c>
      <c r="V12" s="1">
        <v>35</v>
      </c>
    </row>
    <row r="13" spans="1:27" x14ac:dyDescent="0.3">
      <c r="B13" s="16" t="s">
        <v>38</v>
      </c>
      <c r="C13" s="17">
        <v>9135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1936</v>
      </c>
      <c r="E14" s="161" t="s">
        <v>39</v>
      </c>
      <c r="F14" s="119">
        <v>24417</v>
      </c>
      <c r="G14" s="117">
        <v>28053.948499999991</v>
      </c>
      <c r="H14" s="117">
        <v>28457.662791999988</v>
      </c>
      <c r="I14" s="152">
        <v>56511.611291999987</v>
      </c>
      <c r="J14" s="119">
        <v>25537</v>
      </c>
      <c r="K14" s="117">
        <v>29473.27175</v>
      </c>
      <c r="L14" s="117">
        <v>29930.993880999991</v>
      </c>
      <c r="M14" s="162">
        <v>59404.265630999987</v>
      </c>
      <c r="N14" s="178">
        <v>77</v>
      </c>
      <c r="O14" s="88">
        <v>77</v>
      </c>
      <c r="P14" s="145">
        <v>59</v>
      </c>
      <c r="Q14" s="181">
        <f>IF(J14=0,((F14/V14)),((J14/V14)))</f>
        <v>608.02380952380952</v>
      </c>
      <c r="V14" s="1">
        <v>42</v>
      </c>
    </row>
    <row r="15" spans="1:27" x14ac:dyDescent="0.3">
      <c r="B15" s="28" t="s">
        <v>42</v>
      </c>
      <c r="C15" s="17">
        <v>24041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18</v>
      </c>
      <c r="Q15" s="118"/>
    </row>
    <row r="16" spans="1:27" x14ac:dyDescent="0.3">
      <c r="B16" s="43" t="s">
        <v>47</v>
      </c>
      <c r="C16" s="17">
        <v>1483</v>
      </c>
      <c r="E16" s="161" t="s">
        <v>79</v>
      </c>
      <c r="F16" s="119">
        <v>0</v>
      </c>
      <c r="G16" s="117">
        <v>0</v>
      </c>
      <c r="H16" s="117">
        <v>5115.4462759999997</v>
      </c>
      <c r="I16" s="152">
        <v>5115.4462759999997</v>
      </c>
      <c r="J16" s="119">
        <v>0</v>
      </c>
      <c r="K16" s="117">
        <v>0</v>
      </c>
      <c r="L16" s="117">
        <v>5096.2484690000001</v>
      </c>
      <c r="M16" s="162">
        <v>5096.2484690000001</v>
      </c>
      <c r="N16" s="178">
        <v>10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7406</v>
      </c>
      <c r="E18" s="84"/>
      <c r="F18" s="148">
        <f>SUM(F6:F16)</f>
        <v>84580</v>
      </c>
      <c r="G18" s="148">
        <f>SUM(G6:G16)</f>
        <v>71289.267499999987</v>
      </c>
      <c r="H18" s="148">
        <f>SUM(H6:H16)</f>
        <v>63689.024879999983</v>
      </c>
      <c r="I18" s="157">
        <f>SUM(I6:I17)</f>
        <v>134978.29237999997</v>
      </c>
      <c r="J18" s="149">
        <f>SUM(J6:J17)</f>
        <v>85178</v>
      </c>
      <c r="K18" s="149">
        <f>SUM(K6:K17)</f>
        <v>71044.350749999998</v>
      </c>
      <c r="L18" s="149">
        <f>SUM(L6:L17)</f>
        <v>63826.156082999987</v>
      </c>
      <c r="M18" s="175">
        <f>SUM(M6:M17)</f>
        <v>134870.50683299999</v>
      </c>
      <c r="N18" s="148">
        <f>SUM(N16,N14,N12,N10,N8,N6)</f>
        <v>285</v>
      </c>
      <c r="O18" s="148">
        <f>SUM(O16,O14,O12,O10,O8,O6)</f>
        <v>293</v>
      </c>
      <c r="P18" s="148">
        <f>SUM(P16,P14,P12,P10,P8,P6)</f>
        <v>239</v>
      </c>
      <c r="Q18" s="182"/>
    </row>
    <row r="19" spans="1:28" ht="15" customHeight="1" thickBot="1" x14ac:dyDescent="0.35">
      <c r="B19" s="16" t="s">
        <v>51</v>
      </c>
      <c r="C19" s="17">
        <v>1846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54</v>
      </c>
      <c r="Q19" s="183"/>
    </row>
    <row r="20" spans="1:28" x14ac:dyDescent="0.3">
      <c r="B20" s="16" t="s">
        <v>52</v>
      </c>
      <c r="C20" s="17">
        <v>4040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0.18430034129692832</v>
      </c>
      <c r="Q20" s="139"/>
    </row>
    <row r="21" spans="1:28" ht="15" customHeight="1" thickBot="1" x14ac:dyDescent="0.35">
      <c r="A21" s="123"/>
      <c r="B21" s="168" t="s">
        <v>132</v>
      </c>
      <c r="C21" s="58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9625</v>
      </c>
      <c r="D25" s="76">
        <v>10355</v>
      </c>
      <c r="E25" s="77">
        <f t="shared" ref="E25:E33" si="0">D25-C25</f>
        <v>730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32560</v>
      </c>
      <c r="D27" s="76">
        <v>32879</v>
      </c>
      <c r="E27" s="77">
        <f t="shared" si="0"/>
        <v>319</v>
      </c>
      <c r="G27" s="53"/>
      <c r="M27" s="53"/>
      <c r="P27" s="4"/>
      <c r="Q27" s="4"/>
    </row>
    <row r="28" spans="1:28" x14ac:dyDescent="0.3">
      <c r="B28" s="74" t="s">
        <v>145</v>
      </c>
      <c r="C28" s="122">
        <v>9582</v>
      </c>
      <c r="D28" s="76">
        <v>9582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4766</v>
      </c>
      <c r="D29" s="76">
        <v>4766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7738</v>
      </c>
      <c r="D30" s="76">
        <v>7738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14630</v>
      </c>
      <c r="D31" s="76">
        <v>14179</v>
      </c>
      <c r="E31" s="77">
        <f t="shared" si="0"/>
        <v>-451</v>
      </c>
      <c r="K31" s="53"/>
      <c r="P31" s="4"/>
      <c r="Q31" s="4"/>
    </row>
    <row r="32" spans="1:28" x14ac:dyDescent="0.3">
      <c r="B32" s="74" t="s">
        <v>60</v>
      </c>
      <c r="C32" s="122">
        <v>5702</v>
      </c>
      <c r="D32" s="76">
        <v>5702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theme="1"/>
    <pageSetUpPr fitToPage="1"/>
  </sheetPr>
  <dimension ref="A1:AB33"/>
  <sheetViews>
    <sheetView zoomScale="85" zoomScaleNormal="85" zoomScaleSheetLayoutView="70" workbookViewId="0">
      <selection activeCell="K10" sqref="K1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44820</v>
      </c>
    </row>
    <row r="3" spans="1:27" ht="18.75" customHeight="1" thickBot="1" x14ac:dyDescent="0.35">
      <c r="B3" t="s">
        <v>1</v>
      </c>
      <c r="C3" s="3">
        <f>C2+1</f>
        <v>44821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25797</v>
      </c>
      <c r="G6" s="117">
        <v>12825.163</v>
      </c>
      <c r="H6" s="117">
        <v>3689.677408</v>
      </c>
      <c r="I6" s="152">
        <f>G6+H6</f>
        <v>16514.840408</v>
      </c>
      <c r="J6" s="119">
        <v>27713</v>
      </c>
      <c r="K6" s="117">
        <v>13699.800999999999</v>
      </c>
      <c r="L6" s="117">
        <v>4347.6237289999999</v>
      </c>
      <c r="M6" s="152">
        <f>K6+L6</f>
        <v>18047.424728999998</v>
      </c>
      <c r="N6" s="178">
        <v>74</v>
      </c>
      <c r="O6" s="88">
        <v>84</v>
      </c>
      <c r="P6" s="145">
        <v>69</v>
      </c>
      <c r="Q6" s="181">
        <f>IF(J6=0,((F6/V6)),((J6/V6)))</f>
        <v>644.48837209302326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596</v>
      </c>
      <c r="G8" s="117">
        <v>3270.5369999999998</v>
      </c>
      <c r="H8" s="117">
        <v>5395.9950450000006</v>
      </c>
      <c r="I8" s="152">
        <f>G8+H8</f>
        <v>8666.5320449999999</v>
      </c>
      <c r="J8" s="119">
        <v>605</v>
      </c>
      <c r="K8" s="117">
        <v>3320.4479999999999</v>
      </c>
      <c r="L8" s="117">
        <v>5520.8166030000002</v>
      </c>
      <c r="M8" s="152">
        <f>K8+L8</f>
        <v>8841.2646029999996</v>
      </c>
      <c r="N8" s="178">
        <v>27</v>
      </c>
      <c r="O8" s="88">
        <v>26</v>
      </c>
      <c r="P8" s="145">
        <v>22</v>
      </c>
      <c r="Q8" s="117"/>
    </row>
    <row r="9" spans="1:27" x14ac:dyDescent="0.3">
      <c r="B9" s="16" t="s">
        <v>23</v>
      </c>
      <c r="C9" s="17">
        <v>3692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18023</v>
      </c>
      <c r="G10" s="117">
        <v>13144.503500000001</v>
      </c>
      <c r="H10" s="117">
        <v>393.85714999999999</v>
      </c>
      <c r="I10" s="152">
        <f>G10+H10</f>
        <v>13538.360650000001</v>
      </c>
      <c r="J10" s="119">
        <v>18090</v>
      </c>
      <c r="K10" s="117">
        <v>13339.531999999999</v>
      </c>
      <c r="L10" s="117">
        <v>440.70903499999997</v>
      </c>
      <c r="M10" s="152">
        <f>K10+L10</f>
        <v>13780.241034999999</v>
      </c>
      <c r="N10" s="178">
        <v>54</v>
      </c>
      <c r="O10" s="88">
        <v>53</v>
      </c>
      <c r="P10" s="145">
        <v>51</v>
      </c>
      <c r="Q10" s="181">
        <f>IF(J10=0,((F10/V10)),((J10/V10)))</f>
        <v>347.88461538461536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2411</v>
      </c>
      <c r="E12" s="161" t="s">
        <v>35</v>
      </c>
      <c r="F12" s="119">
        <v>12724</v>
      </c>
      <c r="G12" s="117">
        <v>12761.616</v>
      </c>
      <c r="H12" s="117">
        <v>16535.166367000002</v>
      </c>
      <c r="I12" s="152">
        <f>G12+H12</f>
        <v>29296.782367</v>
      </c>
      <c r="J12" s="119">
        <v>13376</v>
      </c>
      <c r="K12" s="117">
        <v>13195.593500000001</v>
      </c>
      <c r="L12" s="117">
        <v>16973.181833999999</v>
      </c>
      <c r="M12" s="152">
        <f>K12+L12</f>
        <v>30168.775333999998</v>
      </c>
      <c r="N12" s="178">
        <v>56</v>
      </c>
      <c r="O12" s="88">
        <v>53</v>
      </c>
      <c r="P12" s="145">
        <v>53</v>
      </c>
      <c r="Q12" s="181">
        <f>IF(J12=0,((F12/V12)),((J12/V12)))</f>
        <v>382.17142857142858</v>
      </c>
      <c r="V12" s="1">
        <v>35</v>
      </c>
    </row>
    <row r="13" spans="1:27" x14ac:dyDescent="0.3">
      <c r="B13" s="16" t="s">
        <v>38</v>
      </c>
      <c r="C13" s="17">
        <v>8841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1684</v>
      </c>
      <c r="E14" s="161" t="s">
        <v>39</v>
      </c>
      <c r="F14" s="119">
        <v>23093</v>
      </c>
      <c r="G14" s="117">
        <v>27921.999250000001</v>
      </c>
      <c r="H14" s="117">
        <v>27679.391738000009</v>
      </c>
      <c r="I14" s="152">
        <f>G14+H14</f>
        <v>55601.390988000014</v>
      </c>
      <c r="J14" s="119">
        <v>18673</v>
      </c>
      <c r="K14" s="117">
        <v>23894.033749999999</v>
      </c>
      <c r="L14" s="117">
        <v>23464.803283000001</v>
      </c>
      <c r="M14" s="152">
        <f>K14+L14</f>
        <v>47358.837033000003</v>
      </c>
      <c r="N14" s="178">
        <v>87</v>
      </c>
      <c r="O14" s="88">
        <v>82</v>
      </c>
      <c r="P14" s="145">
        <v>74</v>
      </c>
      <c r="Q14" s="181">
        <f>IF(J14=0,((F14/V14)),((J14/V14)))</f>
        <v>444.59523809523807</v>
      </c>
      <c r="V14" s="1">
        <v>42</v>
      </c>
    </row>
    <row r="15" spans="1:27" x14ac:dyDescent="0.3">
      <c r="B15" s="28" t="s">
        <v>42</v>
      </c>
      <c r="C15" s="17">
        <v>26926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  <c r="Q15" s="118"/>
    </row>
    <row r="16" spans="1:27" x14ac:dyDescent="0.3">
      <c r="B16" s="43" t="s">
        <v>47</v>
      </c>
      <c r="C16" s="17">
        <v>1631</v>
      </c>
      <c r="E16" s="161" t="s">
        <v>79</v>
      </c>
      <c r="F16" s="119">
        <v>0</v>
      </c>
      <c r="G16" s="117">
        <v>0</v>
      </c>
      <c r="H16" s="117">
        <v>7037.399327000001</v>
      </c>
      <c r="I16" s="152">
        <f>G16+H16</f>
        <v>7037.399327000001</v>
      </c>
      <c r="J16" s="119">
        <v>0</v>
      </c>
      <c r="K16" s="117">
        <v>0</v>
      </c>
      <c r="L16" s="117">
        <v>7178.149504</v>
      </c>
      <c r="M16" s="152">
        <f>K16+L16</f>
        <v>7178.149504</v>
      </c>
      <c r="N16" s="178">
        <v>13</v>
      </c>
      <c r="O16" s="88">
        <v>12</v>
      </c>
      <c r="P16" s="145">
        <v>13</v>
      </c>
      <c r="Q16" s="180"/>
    </row>
    <row r="17" spans="1:28" s="4" customFormat="1" ht="15" customHeight="1" thickBot="1" x14ac:dyDescent="0.35">
      <c r="B17" s="43" t="s">
        <v>48</v>
      </c>
      <c r="C17" s="50">
        <v>319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8741</v>
      </c>
      <c r="E18" s="84"/>
      <c r="F18" s="148">
        <f>SUM(F6:F16)</f>
        <v>80233</v>
      </c>
      <c r="G18" s="148">
        <f>SUM(G6:G16)</f>
        <v>69923.818750000006</v>
      </c>
      <c r="H18" s="148">
        <f>SUM(H6:H16)</f>
        <v>60731.487035000006</v>
      </c>
      <c r="I18" s="157">
        <f>SUM(I6:I17)</f>
        <v>130655.30578500002</v>
      </c>
      <c r="J18" s="149">
        <f>SUM(J6:J17)</f>
        <v>78457</v>
      </c>
      <c r="K18" s="149">
        <f>SUM(K6:K17)</f>
        <v>67449.408249999993</v>
      </c>
      <c r="L18" s="149">
        <f>SUM(L6:L17)</f>
        <v>57925.283988000003</v>
      </c>
      <c r="M18" s="175">
        <f>SUM(M6:M17)</f>
        <v>125374.692238</v>
      </c>
      <c r="N18" s="148">
        <f>SUM(N16,N14,N12,N10,N8,N6)</f>
        <v>311</v>
      </c>
      <c r="O18" s="148">
        <f>SUM(O16,O14,O12,O10,O8,O6)</f>
        <v>310</v>
      </c>
      <c r="P18" s="148">
        <f>SUM(P16,P14,P12,P10,P8,P6)</f>
        <v>282</v>
      </c>
      <c r="Q18" s="182"/>
    </row>
    <row r="19" spans="1:28" ht="15" customHeight="1" thickBot="1" x14ac:dyDescent="0.35">
      <c r="B19" s="16" t="s">
        <v>51</v>
      </c>
      <c r="C19" s="17">
        <v>650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3">
      <c r="B20" s="16" t="s">
        <v>52</v>
      </c>
      <c r="C20" s="17">
        <v>4093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9.0322580645161285E-2</v>
      </c>
      <c r="Q20" s="139"/>
    </row>
    <row r="21" spans="1:28" ht="15" customHeight="1" thickBot="1" x14ac:dyDescent="0.35">
      <c r="A21" s="123"/>
      <c r="B21" s="168" t="s">
        <v>132</v>
      </c>
      <c r="C21" s="58">
        <v>1307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9700</v>
      </c>
      <c r="D25" s="76">
        <v>10438</v>
      </c>
      <c r="E25" s="77">
        <f t="shared" ref="E25:E33" si="0">D25-C25</f>
        <v>738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34749</v>
      </c>
      <c r="D27" s="76">
        <v>30608</v>
      </c>
      <c r="E27" s="77">
        <f t="shared" si="0"/>
        <v>-4141</v>
      </c>
      <c r="G27" s="53"/>
      <c r="M27" s="53"/>
      <c r="P27" s="4"/>
      <c r="Q27" s="4"/>
    </row>
    <row r="28" spans="1:28" x14ac:dyDescent="0.3">
      <c r="B28" s="74" t="s">
        <v>145</v>
      </c>
      <c r="C28" s="122">
        <v>6497</v>
      </c>
      <c r="D28" s="76">
        <v>6497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8492</v>
      </c>
      <c r="D30" s="76">
        <v>8492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12700</v>
      </c>
      <c r="D31" s="76">
        <v>14327</v>
      </c>
      <c r="E31" s="77">
        <f t="shared" si="0"/>
        <v>1627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8106</v>
      </c>
      <c r="D33" s="80">
        <v>8106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44821</v>
      </c>
    </row>
    <row r="3" spans="1:27" ht="18.75" customHeight="1" thickBot="1" x14ac:dyDescent="0.35">
      <c r="B3" t="s">
        <v>1</v>
      </c>
      <c r="C3" s="3">
        <f>C2+1</f>
        <v>44822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3">
      <c r="A6" s="166"/>
      <c r="B6" s="16" t="s">
        <v>21</v>
      </c>
      <c r="C6" s="17">
        <v>85</v>
      </c>
      <c r="E6" s="161" t="s">
        <v>22</v>
      </c>
      <c r="F6" s="119">
        <v>27758</v>
      </c>
      <c r="G6" s="117">
        <v>13752.925999999999</v>
      </c>
      <c r="H6" s="117">
        <v>4993.5309980000002</v>
      </c>
      <c r="I6" s="152">
        <f>G6+H6</f>
        <v>18746.456998000001</v>
      </c>
      <c r="J6" s="119">
        <v>28093</v>
      </c>
      <c r="K6" s="117">
        <v>13958.261</v>
      </c>
      <c r="L6" s="117">
        <v>5369.429736</v>
      </c>
      <c r="M6" s="152">
        <f>K6+L6</f>
        <v>19327.690736</v>
      </c>
      <c r="N6" s="178">
        <v>75</v>
      </c>
      <c r="O6" s="88">
        <v>86</v>
      </c>
      <c r="P6" s="145">
        <v>69</v>
      </c>
      <c r="Q6" s="181">
        <f>IF(J6=0,((F6/V6)),((J6/V6)))</f>
        <v>653.32558139534888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17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556</v>
      </c>
      <c r="G8" s="117">
        <v>2811.1120000000001</v>
      </c>
      <c r="H8" s="117">
        <v>4939.1731550000004</v>
      </c>
      <c r="I8" s="152">
        <f>G8+H8</f>
        <v>7750.2851550000005</v>
      </c>
      <c r="J8" s="119">
        <v>573</v>
      </c>
      <c r="K8" s="117">
        <v>2874.514999999999</v>
      </c>
      <c r="L8" s="117">
        <v>4977.9650169999986</v>
      </c>
      <c r="M8" s="152">
        <f>K8+L8</f>
        <v>7852.480016999998</v>
      </c>
      <c r="N8" s="178">
        <v>29</v>
      </c>
      <c r="O8" s="88">
        <v>28</v>
      </c>
      <c r="P8" s="145">
        <v>23</v>
      </c>
      <c r="Q8" s="117"/>
    </row>
    <row r="9" spans="1:27" x14ac:dyDescent="0.3">
      <c r="B9" s="16" t="s">
        <v>23</v>
      </c>
      <c r="C9" s="17">
        <v>4514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3">
      <c r="B10" s="28" t="s">
        <v>26</v>
      </c>
      <c r="C10" s="17">
        <v>1111</v>
      </c>
      <c r="E10" s="161" t="s">
        <v>31</v>
      </c>
      <c r="F10" s="119">
        <v>18134</v>
      </c>
      <c r="G10" s="117">
        <v>12912.673500000001</v>
      </c>
      <c r="H10" s="117">
        <v>722.47516600000006</v>
      </c>
      <c r="I10" s="152">
        <f>G10+H10</f>
        <v>13635.148666000001</v>
      </c>
      <c r="J10" s="119">
        <v>18901</v>
      </c>
      <c r="K10" s="117">
        <v>13494.346</v>
      </c>
      <c r="L10" s="117">
        <v>733.26111900000001</v>
      </c>
      <c r="M10" s="152">
        <f>K10+L10</f>
        <v>14227.607119</v>
      </c>
      <c r="N10" s="178">
        <v>55</v>
      </c>
      <c r="O10" s="88">
        <v>53</v>
      </c>
      <c r="P10" s="145">
        <v>52</v>
      </c>
      <c r="Q10" s="181">
        <f>IF(J10=0,((F10/V10)),((J10/V10)))</f>
        <v>363.48076923076923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3">
      <c r="A12" s="166"/>
      <c r="B12" s="16" t="s">
        <v>30</v>
      </c>
      <c r="C12" s="17">
        <v>1030</v>
      </c>
      <c r="E12" s="161" t="s">
        <v>35</v>
      </c>
      <c r="F12" s="119">
        <v>14503</v>
      </c>
      <c r="G12" s="117">
        <v>13409.965</v>
      </c>
      <c r="H12" s="117">
        <v>18397.421213000009</v>
      </c>
      <c r="I12" s="152">
        <f>G12+H12</f>
        <v>31807.386213000009</v>
      </c>
      <c r="J12" s="119">
        <v>14685</v>
      </c>
      <c r="K12" s="117">
        <v>13498.413</v>
      </c>
      <c r="L12" s="117">
        <v>18740.532859999988</v>
      </c>
      <c r="M12" s="152">
        <f>K12+L12</f>
        <v>32238.945859999989</v>
      </c>
      <c r="N12" s="178">
        <v>57</v>
      </c>
      <c r="O12" s="88">
        <v>53</v>
      </c>
      <c r="P12" s="145">
        <v>55</v>
      </c>
      <c r="Q12" s="181">
        <f>IF(J12=0,((F12/V12)),((J12/V12)))</f>
        <v>419.57142857142856</v>
      </c>
      <c r="V12" s="1">
        <v>35</v>
      </c>
    </row>
    <row r="13" spans="1:27" x14ac:dyDescent="0.3">
      <c r="B13" s="16" t="s">
        <v>38</v>
      </c>
      <c r="C13" s="17">
        <v>7340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-2</v>
      </c>
      <c r="Q13" s="118"/>
    </row>
    <row r="14" spans="1:27" x14ac:dyDescent="0.3">
      <c r="B14" s="16" t="s">
        <v>40</v>
      </c>
      <c r="C14" s="17">
        <v>1346</v>
      </c>
      <c r="E14" s="161" t="s">
        <v>39</v>
      </c>
      <c r="F14" s="119">
        <v>11442</v>
      </c>
      <c r="G14" s="117">
        <v>14027.289000000001</v>
      </c>
      <c r="H14" s="117">
        <v>14016.23496199999</v>
      </c>
      <c r="I14" s="152">
        <f>G14+H14</f>
        <v>28043.523961999992</v>
      </c>
      <c r="J14" s="119">
        <v>10625</v>
      </c>
      <c r="K14" s="117">
        <v>13037.695750000001</v>
      </c>
      <c r="L14" s="117">
        <v>12972.497926</v>
      </c>
      <c r="M14" s="152">
        <f>K14+L14</f>
        <v>26010.193676000003</v>
      </c>
      <c r="N14" s="178">
        <v>82</v>
      </c>
      <c r="O14" s="88">
        <v>76</v>
      </c>
      <c r="P14" s="145">
        <v>66</v>
      </c>
      <c r="Q14" s="181">
        <f>IF(J14=0,((F14/V14)),((J14/V14)))</f>
        <v>252.97619047619048</v>
      </c>
      <c r="V14" s="1">
        <v>42</v>
      </c>
    </row>
    <row r="15" spans="1:27" x14ac:dyDescent="0.3">
      <c r="B15" s="28" t="s">
        <v>42</v>
      </c>
      <c r="C15" s="17">
        <v>25217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3">
      <c r="B16" s="43" t="s">
        <v>47</v>
      </c>
      <c r="C16" s="17">
        <v>1035</v>
      </c>
      <c r="E16" s="161" t="s">
        <v>79</v>
      </c>
      <c r="F16" s="119">
        <v>0</v>
      </c>
      <c r="G16" s="117">
        <v>0</v>
      </c>
      <c r="H16" s="117">
        <v>4483.4596699999993</v>
      </c>
      <c r="I16" s="152">
        <f>G16+H16</f>
        <v>4483.4596699999993</v>
      </c>
      <c r="J16" s="119">
        <v>0</v>
      </c>
      <c r="K16" s="117">
        <v>0</v>
      </c>
      <c r="L16" s="117">
        <v>4693.6462670000001</v>
      </c>
      <c r="M16" s="152">
        <f>K16+L16</f>
        <v>4693.6462670000001</v>
      </c>
      <c r="N16" s="178">
        <v>11</v>
      </c>
      <c r="O16" s="88">
        <v>10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8578</v>
      </c>
      <c r="E18" s="84"/>
      <c r="F18" s="148">
        <f>SUM(F6:F16)</f>
        <v>72393</v>
      </c>
      <c r="G18" s="148">
        <f>SUM(G6:G16)</f>
        <v>56913.965500000006</v>
      </c>
      <c r="H18" s="148">
        <f>SUM(H6:H16)</f>
        <v>47552.295163999996</v>
      </c>
      <c r="I18" s="157">
        <f>SUM(I6:I17)</f>
        <v>104466.260664</v>
      </c>
      <c r="J18" s="149">
        <f>SUM(J6:J17)</f>
        <v>72877</v>
      </c>
      <c r="K18" s="149">
        <f>SUM(K6:K17)</f>
        <v>56863.230749999995</v>
      </c>
      <c r="L18" s="149">
        <f>SUM(L6:L17)</f>
        <v>47487.332924999995</v>
      </c>
      <c r="M18" s="175">
        <f>SUM(M6:M17)</f>
        <v>104350.56367499998</v>
      </c>
      <c r="N18" s="148">
        <f>SUM(N16,N14,N12,N10,N8,N6)</f>
        <v>309</v>
      </c>
      <c r="O18" s="148">
        <f>SUM(O16,O14,O12,O10,O8,O6)</f>
        <v>306</v>
      </c>
      <c r="P18" s="148">
        <f>SUM(P16,P14,P12,P10,P8,P6)</f>
        <v>276</v>
      </c>
      <c r="Q18" s="182"/>
    </row>
    <row r="19" spans="1:28" ht="15" customHeight="1" thickBot="1" x14ac:dyDescent="0.35">
      <c r="B19" s="16" t="s">
        <v>51</v>
      </c>
      <c r="C19" s="17">
        <v>1565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4343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9.8039215686274508E-2</v>
      </c>
      <c r="Q20" s="139"/>
    </row>
    <row r="21" spans="1:28" ht="15" customHeight="1" thickBot="1" x14ac:dyDescent="0.35">
      <c r="A21" s="123"/>
      <c r="B21" s="168" t="s">
        <v>132</v>
      </c>
      <c r="C21" s="58">
        <v>385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9733</v>
      </c>
      <c r="D25" s="76">
        <v>9899</v>
      </c>
      <c r="E25" s="77">
        <f t="shared" ref="E25:E33" si="0">D25-C25</f>
        <v>166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24633</v>
      </c>
      <c r="D27" s="76">
        <v>24634</v>
      </c>
      <c r="E27" s="77">
        <f t="shared" si="0"/>
        <v>1</v>
      </c>
      <c r="G27" s="53"/>
      <c r="M27" s="53"/>
      <c r="P27" s="4"/>
      <c r="Q27" s="4"/>
    </row>
    <row r="28" spans="1:28" x14ac:dyDescent="0.3">
      <c r="B28" s="74" t="s">
        <v>145</v>
      </c>
      <c r="C28" s="122">
        <v>7083</v>
      </c>
      <c r="D28" s="76">
        <v>7083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2966</v>
      </c>
      <c r="D29" s="76">
        <v>2966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3922</v>
      </c>
      <c r="D30" s="76">
        <v>3922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15100</v>
      </c>
      <c r="D31" s="76">
        <v>15417</v>
      </c>
      <c r="E31" s="77">
        <f t="shared" si="0"/>
        <v>317</v>
      </c>
      <c r="K31" s="53"/>
      <c r="P31" s="4"/>
      <c r="Q31" s="4"/>
    </row>
    <row r="32" spans="1:28" x14ac:dyDescent="0.3">
      <c r="B32" s="74" t="s">
        <v>60</v>
      </c>
      <c r="C32" s="122">
        <v>5898</v>
      </c>
      <c r="D32" s="76">
        <v>5898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3080</v>
      </c>
      <c r="D33" s="80">
        <v>3080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hidden="1" customWidth="1"/>
    <col min="20" max="28" width="4.6640625" style="1" hidden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44822</v>
      </c>
    </row>
    <row r="3" spans="1:27" ht="18.75" customHeight="1" thickBot="1" x14ac:dyDescent="0.35">
      <c r="B3" t="s">
        <v>1</v>
      </c>
      <c r="C3" s="3">
        <f>C2+1</f>
        <v>44823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3">
      <c r="A6" s="166"/>
      <c r="B6" s="16" t="s">
        <v>21</v>
      </c>
      <c r="C6" s="17" t="s">
        <v>150</v>
      </c>
      <c r="E6" s="161" t="s">
        <v>22</v>
      </c>
      <c r="F6" s="119">
        <v>10060</v>
      </c>
      <c r="G6" s="117">
        <v>3512</v>
      </c>
      <c r="H6" s="117">
        <v>147</v>
      </c>
      <c r="I6" s="152">
        <f>G6+H6</f>
        <v>3659</v>
      </c>
      <c r="J6" s="119">
        <v>11220</v>
      </c>
      <c r="K6" s="117">
        <v>3875</v>
      </c>
      <c r="L6" s="117">
        <v>171</v>
      </c>
      <c r="M6" s="152">
        <f>K6+L6</f>
        <v>4046</v>
      </c>
      <c r="N6" s="178">
        <v>46</v>
      </c>
      <c r="O6" s="88">
        <v>46</v>
      </c>
      <c r="P6" s="145">
        <v>38</v>
      </c>
      <c r="Q6" s="181">
        <f>IF(J6=0,((F6/V6)),((J6/V6)))</f>
        <v>260.93023255813955</v>
      </c>
      <c r="V6" s="1">
        <v>43</v>
      </c>
    </row>
    <row r="7" spans="1:27" x14ac:dyDescent="0.3">
      <c r="A7" s="166"/>
      <c r="B7" s="16" t="s">
        <v>43</v>
      </c>
      <c r="C7" s="17" t="s">
        <v>150</v>
      </c>
      <c r="E7" s="161" t="s">
        <v>24</v>
      </c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8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 t="s">
        <v>150</v>
      </c>
      <c r="E8" s="161" t="s">
        <v>27</v>
      </c>
      <c r="F8" s="119">
        <v>14</v>
      </c>
      <c r="G8" s="117">
        <v>90</v>
      </c>
      <c r="H8" s="117">
        <v>546</v>
      </c>
      <c r="I8" s="152">
        <f>G8+H8</f>
        <v>636</v>
      </c>
      <c r="J8" s="119">
        <v>16</v>
      </c>
      <c r="K8" s="117">
        <v>114</v>
      </c>
      <c r="L8" s="117">
        <v>583</v>
      </c>
      <c r="M8" s="152">
        <f>K8+L8</f>
        <v>697</v>
      </c>
      <c r="N8" s="178">
        <v>1</v>
      </c>
      <c r="O8" s="88">
        <v>1</v>
      </c>
      <c r="P8" s="145">
        <v>1</v>
      </c>
      <c r="Q8" s="117"/>
    </row>
    <row r="9" spans="1:27" x14ac:dyDescent="0.3">
      <c r="B9" s="16" t="s">
        <v>23</v>
      </c>
      <c r="C9" s="17">
        <v>2756</v>
      </c>
      <c r="E9" s="161" t="s">
        <v>29</v>
      </c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 t="s">
        <v>150</v>
      </c>
      <c r="E10" s="161" t="s">
        <v>31</v>
      </c>
      <c r="F10" s="119">
        <v>4641</v>
      </c>
      <c r="G10" s="117">
        <v>2439</v>
      </c>
      <c r="H10" s="117">
        <v>461</v>
      </c>
      <c r="I10" s="152">
        <f>G10+H10</f>
        <v>2900</v>
      </c>
      <c r="J10" s="119">
        <v>5107</v>
      </c>
      <c r="K10" s="117">
        <v>2710</v>
      </c>
      <c r="L10" s="117">
        <v>501</v>
      </c>
      <c r="M10" s="152">
        <f>K10+L10</f>
        <v>3211</v>
      </c>
      <c r="N10" s="178">
        <v>0</v>
      </c>
      <c r="O10" s="88">
        <v>0</v>
      </c>
      <c r="P10" s="145">
        <v>0</v>
      </c>
      <c r="Q10" s="181">
        <f>IF(J10=0,((F10/V10)),((J10/V10)))</f>
        <v>98.211538461538467</v>
      </c>
      <c r="V10" s="1">
        <v>52</v>
      </c>
    </row>
    <row r="11" spans="1:27" x14ac:dyDescent="0.3">
      <c r="B11" s="28" t="s">
        <v>28</v>
      </c>
      <c r="C11" s="17" t="s">
        <v>150</v>
      </c>
      <c r="E11" s="161" t="s">
        <v>33</v>
      </c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 t="s">
        <v>150</v>
      </c>
      <c r="E12" s="161" t="s">
        <v>35</v>
      </c>
      <c r="F12" s="119">
        <v>131</v>
      </c>
      <c r="G12" s="117">
        <v>133</v>
      </c>
      <c r="H12" s="117">
        <v>358</v>
      </c>
      <c r="I12" s="152">
        <f>G12+H12</f>
        <v>491</v>
      </c>
      <c r="J12" s="119">
        <v>542</v>
      </c>
      <c r="K12" s="117">
        <v>504</v>
      </c>
      <c r="L12" s="117">
        <v>813</v>
      </c>
      <c r="M12" s="152">
        <f>K12+L12</f>
        <v>1317</v>
      </c>
      <c r="N12" s="178">
        <v>1</v>
      </c>
      <c r="O12" s="88">
        <v>1</v>
      </c>
      <c r="P12" s="145">
        <v>0</v>
      </c>
      <c r="Q12" s="181">
        <f>IF(J12=0,((F12/V12)),((J12/V12)))</f>
        <v>15.485714285714286</v>
      </c>
      <c r="V12" s="1">
        <v>35</v>
      </c>
    </row>
    <row r="13" spans="1:27" x14ac:dyDescent="0.3">
      <c r="B13" s="16" t="s">
        <v>38</v>
      </c>
      <c r="C13" s="17" t="s">
        <v>150</v>
      </c>
      <c r="E13" s="161" t="s">
        <v>37</v>
      </c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 t="s">
        <v>150</v>
      </c>
      <c r="E14" s="161" t="s">
        <v>39</v>
      </c>
      <c r="F14" s="119">
        <v>1996</v>
      </c>
      <c r="G14" s="117">
        <v>2009</v>
      </c>
      <c r="H14" s="117">
        <v>2090</v>
      </c>
      <c r="I14" s="152">
        <f>G14+H14</f>
        <v>4099</v>
      </c>
      <c r="J14" s="119">
        <v>4745</v>
      </c>
      <c r="K14" s="117">
        <v>5014</v>
      </c>
      <c r="L14" s="117">
        <v>5191</v>
      </c>
      <c r="M14" s="152">
        <f>K14+L14</f>
        <v>10205</v>
      </c>
      <c r="N14" s="178">
        <v>18</v>
      </c>
      <c r="O14" s="88">
        <v>18</v>
      </c>
      <c r="P14" s="145">
        <v>15</v>
      </c>
      <c r="Q14" s="181">
        <f>IF(J14=0,((F14/V14)),((J14/V14)))</f>
        <v>112.97619047619048</v>
      </c>
      <c r="V14" s="1">
        <v>42</v>
      </c>
    </row>
    <row r="15" spans="1:27" x14ac:dyDescent="0.3">
      <c r="B15" s="28" t="s">
        <v>42</v>
      </c>
      <c r="C15" s="17">
        <v>27526</v>
      </c>
      <c r="E15" s="161" t="s">
        <v>41</v>
      </c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3</v>
      </c>
      <c r="Q15" s="118"/>
    </row>
    <row r="16" spans="1:27" x14ac:dyDescent="0.3">
      <c r="B16" s="43" t="s">
        <v>47</v>
      </c>
      <c r="C16" s="17" t="s">
        <v>150</v>
      </c>
      <c r="E16" s="161" t="s">
        <v>79</v>
      </c>
      <c r="F16" s="119">
        <v>0</v>
      </c>
      <c r="G16" s="117">
        <v>0</v>
      </c>
      <c r="H16" s="117">
        <v>28</v>
      </c>
      <c r="I16" s="152">
        <f>G16+H16</f>
        <v>28</v>
      </c>
      <c r="J16" s="119">
        <v>0</v>
      </c>
      <c r="K16" s="117">
        <v>0</v>
      </c>
      <c r="L16" s="117">
        <v>35</v>
      </c>
      <c r="M16" s="152">
        <f>K16+L16</f>
        <v>35</v>
      </c>
      <c r="N16" s="178">
        <v>11</v>
      </c>
      <c r="O16" s="88">
        <v>10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 t="s">
        <v>150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9764</v>
      </c>
      <c r="E18" s="84"/>
      <c r="F18" s="148">
        <f>SUM(F6:F16)</f>
        <v>16842</v>
      </c>
      <c r="G18" s="148">
        <f>SUM(G6:G16)</f>
        <v>8183</v>
      </c>
      <c r="H18" s="148">
        <f>SUM(H6:H16)</f>
        <v>3630</v>
      </c>
      <c r="I18" s="157">
        <f>SUM(I6:I17)</f>
        <v>11813</v>
      </c>
      <c r="J18" s="149">
        <f>SUM(J6:J17)</f>
        <v>21630</v>
      </c>
      <c r="K18" s="149">
        <f>SUM(K6:K17)</f>
        <v>12217</v>
      </c>
      <c r="L18" s="149">
        <f>SUM(L6:L17)</f>
        <v>7294</v>
      </c>
      <c r="M18" s="175">
        <f>SUM(M6:M17)</f>
        <v>19511</v>
      </c>
      <c r="N18" s="148">
        <f>SUM(N16,N14,N12,N10,N8,N6)</f>
        <v>77</v>
      </c>
      <c r="O18" s="148">
        <f>SUM(O16,O14,O12,O10,O8,O6)</f>
        <v>76</v>
      </c>
      <c r="P18" s="148">
        <f>SUM(P16,P14,P12,P10,P8,P6)</f>
        <v>65</v>
      </c>
      <c r="Q18" s="182"/>
    </row>
    <row r="19" spans="1:28" ht="15" customHeight="1" thickBot="1" x14ac:dyDescent="0.35">
      <c r="B19" s="16" t="s">
        <v>51</v>
      </c>
      <c r="C19" s="17">
        <v>766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  <c r="Q19" s="183"/>
    </row>
    <row r="20" spans="1:28" x14ac:dyDescent="0.3">
      <c r="B20" s="16" t="s">
        <v>52</v>
      </c>
      <c r="C20" s="17">
        <v>4371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0.14473684210526316</v>
      </c>
      <c r="Q20" s="139"/>
    </row>
    <row r="21" spans="1:28" ht="15" customHeight="1" thickBot="1" x14ac:dyDescent="0.35">
      <c r="A21" s="123"/>
      <c r="B21" s="168" t="s">
        <v>132</v>
      </c>
      <c r="C21" s="58" t="s">
        <v>150</v>
      </c>
    </row>
    <row r="22" spans="1:28" ht="15" customHeight="1" thickBot="1" x14ac:dyDescent="0.35"/>
    <row r="23" spans="1:28" ht="15" customHeight="1" thickBot="1" x14ac:dyDescent="0.35">
      <c r="C23" s="185" t="s">
        <v>2</v>
      </c>
      <c r="D23" s="186" t="s">
        <v>3</v>
      </c>
      <c r="E23" s="187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6" t="s">
        <v>151</v>
      </c>
      <c r="E25" s="77">
        <f t="shared" ref="E25:E33" si="0">IFERROR(D25-C25,0)</f>
        <v>0</v>
      </c>
    </row>
    <row r="26" spans="1:28" x14ac:dyDescent="0.3">
      <c r="B26" s="74" t="s">
        <v>143</v>
      </c>
      <c r="C26" s="122">
        <v>0</v>
      </c>
      <c r="D26" s="76" t="s">
        <v>151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2834</v>
      </c>
      <c r="D27" s="76">
        <v>5941</v>
      </c>
      <c r="E27" s="77">
        <f t="shared" si="0"/>
        <v>3107</v>
      </c>
      <c r="G27" s="53"/>
      <c r="M27" s="53"/>
      <c r="P27" s="4"/>
      <c r="Q27" s="4"/>
    </row>
    <row r="28" spans="1:28" x14ac:dyDescent="0.3">
      <c r="B28" s="74" t="s">
        <v>145</v>
      </c>
      <c r="C28" s="122">
        <v>0</v>
      </c>
      <c r="D28" s="76" t="s">
        <v>151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0</v>
      </c>
      <c r="D29" s="76" t="s">
        <v>151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0</v>
      </c>
      <c r="D30" s="76" t="s">
        <v>151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14015</v>
      </c>
      <c r="D31" s="76">
        <v>15696</v>
      </c>
      <c r="E31" s="77">
        <f t="shared" si="0"/>
        <v>1681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 t="s">
        <v>151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 t="s">
        <v>151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546875" style="1" customWidth="1" collapsed="1"/>
    <col min="15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44823</v>
      </c>
    </row>
    <row r="3" spans="1:27" ht="18.75" customHeight="1" thickBot="1" x14ac:dyDescent="0.35">
      <c r="B3" t="s">
        <v>1</v>
      </c>
      <c r="C3" s="3">
        <f>C2+1</f>
        <v>44824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82</v>
      </c>
      <c r="E6" s="161" t="s">
        <v>22</v>
      </c>
      <c r="F6" s="119">
        <v>26997</v>
      </c>
      <c r="G6" s="117">
        <v>14175.575999999999</v>
      </c>
      <c r="H6" s="117">
        <v>4945.4592589999984</v>
      </c>
      <c r="I6" s="152">
        <f>G6+H6</f>
        <v>19121.035258999997</v>
      </c>
      <c r="J6" s="119">
        <v>27298</v>
      </c>
      <c r="K6" s="117">
        <v>14387.822</v>
      </c>
      <c r="L6" s="117">
        <v>5292.276629</v>
      </c>
      <c r="M6" s="152">
        <f>K6+L6</f>
        <v>19680.098629</v>
      </c>
      <c r="N6" s="178">
        <v>73</v>
      </c>
      <c r="O6" s="88">
        <v>73</v>
      </c>
      <c r="P6" s="145">
        <v>62</v>
      </c>
      <c r="Q6" s="181">
        <f>IF(J6=0,((F6/V6)),((J6/V6)))</f>
        <v>634.83720930232562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11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496</v>
      </c>
      <c r="G8" s="117">
        <v>2585.0639999999999</v>
      </c>
      <c r="H8" s="117">
        <v>4722.9152819999999</v>
      </c>
      <c r="I8" s="152">
        <f>G8+H8</f>
        <v>7307.9792820000002</v>
      </c>
      <c r="J8" s="119">
        <v>499</v>
      </c>
      <c r="K8" s="117">
        <v>2594.2469999999998</v>
      </c>
      <c r="L8" s="117">
        <v>4829.7431929999993</v>
      </c>
      <c r="M8" s="152">
        <f>K8+L8</f>
        <v>7423.9901929999996</v>
      </c>
      <c r="N8" s="178">
        <v>26</v>
      </c>
      <c r="O8" s="88">
        <v>27</v>
      </c>
      <c r="P8" s="145">
        <v>21</v>
      </c>
      <c r="Q8" s="117"/>
    </row>
    <row r="9" spans="1:27" x14ac:dyDescent="0.3">
      <c r="B9" s="16" t="s">
        <v>23</v>
      </c>
      <c r="C9" s="17">
        <v>4153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6</v>
      </c>
      <c r="Q9" s="118"/>
    </row>
    <row r="10" spans="1:27" x14ac:dyDescent="0.3">
      <c r="B10" s="28" t="s">
        <v>26</v>
      </c>
      <c r="C10" s="17">
        <v>568</v>
      </c>
      <c r="E10" s="161" t="s">
        <v>31</v>
      </c>
      <c r="F10" s="119">
        <v>17366</v>
      </c>
      <c r="G10" s="117">
        <v>12266.745999999999</v>
      </c>
      <c r="H10" s="117">
        <v>484.8596</v>
      </c>
      <c r="I10" s="152">
        <f>G10+H10</f>
        <v>12751.605599999999</v>
      </c>
      <c r="J10" s="119">
        <v>17651</v>
      </c>
      <c r="K10" s="117">
        <v>12471.981</v>
      </c>
      <c r="L10" s="117">
        <v>472.28353299999998</v>
      </c>
      <c r="M10" s="152">
        <f>K10+L10</f>
        <v>12944.264533</v>
      </c>
      <c r="N10" s="178">
        <v>51</v>
      </c>
      <c r="O10" s="88">
        <v>49</v>
      </c>
      <c r="P10" s="145">
        <v>47</v>
      </c>
      <c r="Q10" s="181">
        <f>IF(J10=0,((F10/V10)),((J10/V10)))</f>
        <v>339.44230769230768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1350</v>
      </c>
      <c r="E12" s="161" t="s">
        <v>35</v>
      </c>
      <c r="F12" s="119">
        <v>11617</v>
      </c>
      <c r="G12" s="117">
        <v>11025.211499999999</v>
      </c>
      <c r="H12" s="117">
        <v>14977.946630000009</v>
      </c>
      <c r="I12" s="152">
        <f>G12+H12</f>
        <v>26003.158130000011</v>
      </c>
      <c r="J12" s="119">
        <v>12690</v>
      </c>
      <c r="K12" s="117">
        <v>11721.0195</v>
      </c>
      <c r="L12" s="117">
        <v>16009.691868</v>
      </c>
      <c r="M12" s="152">
        <f>K12+L12</f>
        <v>27730.711368</v>
      </c>
      <c r="N12" s="178">
        <v>53</v>
      </c>
      <c r="O12" s="88">
        <v>52</v>
      </c>
      <c r="P12" s="145">
        <v>50</v>
      </c>
      <c r="Q12" s="181">
        <f>IF(J12=0,((F12/V12)),((J12/V12)))</f>
        <v>362.57142857142856</v>
      </c>
      <c r="V12" s="1">
        <v>35</v>
      </c>
    </row>
    <row r="13" spans="1:27" x14ac:dyDescent="0.3">
      <c r="B13" s="16" t="s">
        <v>38</v>
      </c>
      <c r="C13" s="17">
        <v>8307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3">
      <c r="B14" s="16" t="s">
        <v>40</v>
      </c>
      <c r="C14" s="17">
        <v>1570</v>
      </c>
      <c r="E14" s="161" t="s">
        <v>39</v>
      </c>
      <c r="F14" s="119">
        <v>15437</v>
      </c>
      <c r="G14" s="117">
        <v>18565.384249999999</v>
      </c>
      <c r="H14" s="117">
        <v>18036.732762</v>
      </c>
      <c r="I14" s="152">
        <f>G14+H14</f>
        <v>36602.117012000002</v>
      </c>
      <c r="J14" s="119">
        <v>16511</v>
      </c>
      <c r="K14" s="117">
        <v>19767.5285</v>
      </c>
      <c r="L14" s="117">
        <v>19195.48977299999</v>
      </c>
      <c r="M14" s="152">
        <f>K14+L14</f>
        <v>38963.018272999994</v>
      </c>
      <c r="N14" s="178">
        <v>74</v>
      </c>
      <c r="O14" s="88">
        <v>74</v>
      </c>
      <c r="P14" s="145">
        <v>62</v>
      </c>
      <c r="Q14" s="181">
        <f>IF(J14=0,((F14/V14)),((J14/V14)))</f>
        <v>393.11904761904759</v>
      </c>
      <c r="V14" s="1">
        <v>42</v>
      </c>
    </row>
    <row r="15" spans="1:27" x14ac:dyDescent="0.3">
      <c r="B15" s="28" t="s">
        <v>42</v>
      </c>
      <c r="C15" s="17">
        <v>23415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12</v>
      </c>
      <c r="Q15" s="118"/>
    </row>
    <row r="16" spans="1:27" x14ac:dyDescent="0.3">
      <c r="B16" s="43" t="s">
        <v>47</v>
      </c>
      <c r="C16" s="17">
        <v>1356</v>
      </c>
      <c r="E16" s="161" t="s">
        <v>79</v>
      </c>
      <c r="F16" s="119">
        <v>0</v>
      </c>
      <c r="G16" s="117">
        <v>0</v>
      </c>
      <c r="H16" s="117">
        <v>5182.4217619999999</v>
      </c>
      <c r="I16" s="152">
        <f>G16+H16</f>
        <v>5182.4217619999999</v>
      </c>
      <c r="J16" s="119">
        <v>0</v>
      </c>
      <c r="K16" s="117">
        <v>0</v>
      </c>
      <c r="L16" s="117">
        <v>5223.4876910000012</v>
      </c>
      <c r="M16" s="152">
        <f>K16+L16</f>
        <v>5223.4876910000012</v>
      </c>
      <c r="N16" s="178">
        <v>10</v>
      </c>
      <c r="O16" s="88">
        <v>9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280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8598</v>
      </c>
      <c r="E18" s="84"/>
      <c r="F18" s="148">
        <f>SUM(F6:F16)</f>
        <v>71913</v>
      </c>
      <c r="G18" s="148">
        <f>SUM(G6:G16)</f>
        <v>58617.981749999992</v>
      </c>
      <c r="H18" s="148">
        <f>SUM(H6:H16)</f>
        <v>48350.335295000004</v>
      </c>
      <c r="I18" s="157">
        <f>SUM(I6:I17)</f>
        <v>106968.317045</v>
      </c>
      <c r="J18" s="149">
        <f>SUM(J6:J17)</f>
        <v>74649</v>
      </c>
      <c r="K18" s="149">
        <f>SUM(K6:K17)</f>
        <v>60942.597999999998</v>
      </c>
      <c r="L18" s="149">
        <f>SUM(L6:L17)</f>
        <v>51022.972686999987</v>
      </c>
      <c r="M18" s="175">
        <f>SUM(M6:M17)</f>
        <v>111965.570687</v>
      </c>
      <c r="N18" s="148">
        <f>SUM(N16,N14,N12,N10,N8,N6)</f>
        <v>287</v>
      </c>
      <c r="O18" s="148">
        <f>SUM(O16,O14,O12,O10,O8,O6)</f>
        <v>284</v>
      </c>
      <c r="P18" s="148">
        <f>SUM(P16,P14,P12,P10,P8,P6)</f>
        <v>252</v>
      </c>
      <c r="Q18" s="182"/>
    </row>
    <row r="19" spans="1:28" ht="15" customHeight="1" thickBot="1" x14ac:dyDescent="0.35">
      <c r="B19" s="16" t="s">
        <v>51</v>
      </c>
      <c r="C19" s="17">
        <v>1247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  <c r="Q19" s="183"/>
    </row>
    <row r="20" spans="1:28" x14ac:dyDescent="0.3">
      <c r="B20" s="16" t="s">
        <v>52</v>
      </c>
      <c r="C20" s="17">
        <v>4235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0.11267605633802817</v>
      </c>
      <c r="Q20" s="139"/>
    </row>
    <row r="21" spans="1:28" ht="15" customHeight="1" thickBot="1" x14ac:dyDescent="0.35">
      <c r="A21" s="123"/>
      <c r="B21" s="168" t="s">
        <v>132</v>
      </c>
      <c r="C21" s="58">
        <v>833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8961</v>
      </c>
      <c r="D25" s="76">
        <v>9244</v>
      </c>
      <c r="E25" s="77">
        <f t="shared" ref="E25:E33" si="0">IFERROR(D25-C25,0)</f>
        <v>283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25770</v>
      </c>
      <c r="D27" s="76">
        <v>28485</v>
      </c>
      <c r="E27" s="77">
        <f t="shared" si="0"/>
        <v>2715</v>
      </c>
      <c r="G27" s="53"/>
      <c r="M27" s="53"/>
      <c r="P27" s="4"/>
      <c r="Q27" s="4"/>
    </row>
    <row r="28" spans="1:28" x14ac:dyDescent="0.3">
      <c r="B28" s="74" t="s">
        <v>145</v>
      </c>
      <c r="C28" s="122">
        <v>5788</v>
      </c>
      <c r="D28" s="76">
        <v>5788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2876</v>
      </c>
      <c r="D29" s="76">
        <v>2876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4914</v>
      </c>
      <c r="D30" s="76">
        <v>4914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15175</v>
      </c>
      <c r="D31" s="76">
        <v>14913</v>
      </c>
      <c r="E31" s="77">
        <f t="shared" si="0"/>
        <v>-262</v>
      </c>
      <c r="K31" s="53"/>
      <c r="P31" s="4"/>
      <c r="Q31" s="4"/>
    </row>
    <row r="32" spans="1:28" x14ac:dyDescent="0.3">
      <c r="B32" s="74" t="s">
        <v>60</v>
      </c>
      <c r="C32" s="122">
        <v>2986</v>
      </c>
      <c r="D32" s="76">
        <v>2986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5456</v>
      </c>
      <c r="D33" s="80">
        <v>5456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1.44140625" style="1" bestFit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44824</v>
      </c>
    </row>
    <row r="3" spans="1:27" ht="18.75" customHeight="1" thickBot="1" x14ac:dyDescent="0.35">
      <c r="B3" t="s">
        <v>1</v>
      </c>
      <c r="C3" s="3">
        <f>C2+1</f>
        <v>44825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145</v>
      </c>
      <c r="E6" s="161" t="s">
        <v>22</v>
      </c>
      <c r="F6" s="119">
        <v>30932</v>
      </c>
      <c r="G6" s="117">
        <v>16311.94</v>
      </c>
      <c r="H6" s="117">
        <v>5757.3442310000009</v>
      </c>
      <c r="I6" s="152">
        <f>G6+H6</f>
        <v>22069.284231000001</v>
      </c>
      <c r="J6" s="119">
        <v>32928</v>
      </c>
      <c r="K6" s="117">
        <v>17298.787</v>
      </c>
      <c r="L6" s="117">
        <v>6638.2654300000022</v>
      </c>
      <c r="M6" s="152">
        <f>K6+L6</f>
        <v>23937.052430000003</v>
      </c>
      <c r="N6" s="178">
        <v>75</v>
      </c>
      <c r="O6" s="88">
        <v>75</v>
      </c>
      <c r="P6" s="145">
        <v>67</v>
      </c>
      <c r="Q6" s="181">
        <f>IF(J6=0,((F6/V6)),((J6/V6)))</f>
        <v>765.76744186046517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8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554</v>
      </c>
      <c r="G8" s="117">
        <v>2887.858999999999</v>
      </c>
      <c r="H8" s="117">
        <v>4818.0331759999999</v>
      </c>
      <c r="I8" s="152">
        <f>G8+H8</f>
        <v>7705.8921759999994</v>
      </c>
      <c r="J8" s="119">
        <v>556</v>
      </c>
      <c r="K8" s="117">
        <v>2908.817</v>
      </c>
      <c r="L8" s="117">
        <v>5109.6012570000003</v>
      </c>
      <c r="M8" s="152">
        <f>K8+L8</f>
        <v>8018.4182570000003</v>
      </c>
      <c r="N8" s="178">
        <v>29</v>
      </c>
      <c r="O8" s="88">
        <v>29</v>
      </c>
      <c r="P8" s="145">
        <v>23</v>
      </c>
      <c r="Q8" s="117"/>
    </row>
    <row r="9" spans="1:27" x14ac:dyDescent="0.3">
      <c r="B9" s="16" t="s">
        <v>23</v>
      </c>
      <c r="C9" s="17">
        <v>6101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6</v>
      </c>
      <c r="Q9" s="118"/>
    </row>
    <row r="10" spans="1:27" x14ac:dyDescent="0.3">
      <c r="B10" s="28" t="s">
        <v>26</v>
      </c>
      <c r="C10" s="17">
        <v>1065</v>
      </c>
      <c r="E10" s="161" t="s">
        <v>31</v>
      </c>
      <c r="F10" s="119">
        <v>23073</v>
      </c>
      <c r="G10" s="117">
        <v>15816.471</v>
      </c>
      <c r="H10" s="117">
        <v>870.8325450000001</v>
      </c>
      <c r="I10" s="152">
        <f>G10+H10</f>
        <v>16687.303544999999</v>
      </c>
      <c r="J10" s="119">
        <v>24022</v>
      </c>
      <c r="K10" s="117">
        <v>16438.933000000001</v>
      </c>
      <c r="L10" s="117">
        <v>903.07382700000016</v>
      </c>
      <c r="M10" s="152">
        <f>K10+L10</f>
        <v>17342.006827000001</v>
      </c>
      <c r="N10" s="178">
        <v>55</v>
      </c>
      <c r="O10" s="88">
        <v>54</v>
      </c>
      <c r="P10" s="145">
        <v>52</v>
      </c>
      <c r="Q10" s="181">
        <f>IF(J10=0,((F10/V10)),((J10/V10)))</f>
        <v>461.96153846153845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1625</v>
      </c>
      <c r="E12" s="161" t="s">
        <v>35</v>
      </c>
      <c r="F12" s="119">
        <v>13055</v>
      </c>
      <c r="G12" s="117">
        <v>11592.3</v>
      </c>
      <c r="H12" s="117">
        <v>17447.172237999999</v>
      </c>
      <c r="I12" s="152">
        <f>G12+H12</f>
        <v>29039.472237999998</v>
      </c>
      <c r="J12" s="119">
        <v>14437</v>
      </c>
      <c r="K12" s="117">
        <v>12688.476500000001</v>
      </c>
      <c r="L12" s="117">
        <v>18881.333777</v>
      </c>
      <c r="M12" s="152">
        <f>K12+L12</f>
        <v>31569.810277</v>
      </c>
      <c r="N12" s="178">
        <v>56</v>
      </c>
      <c r="O12" s="88">
        <v>54</v>
      </c>
      <c r="P12" s="145">
        <v>56</v>
      </c>
      <c r="Q12" s="181">
        <f>IF(J12=0,((F12/V12)),((J12/V12)))</f>
        <v>412.48571428571427</v>
      </c>
      <c r="V12" s="1">
        <v>35</v>
      </c>
    </row>
    <row r="13" spans="1:27" x14ac:dyDescent="0.3">
      <c r="B13" s="16" t="s">
        <v>38</v>
      </c>
      <c r="C13" s="17">
        <v>9393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-2</v>
      </c>
      <c r="Q13" s="118"/>
    </row>
    <row r="14" spans="1:27" x14ac:dyDescent="0.3">
      <c r="B14" s="16" t="s">
        <v>40</v>
      </c>
      <c r="C14" s="17">
        <v>1948</v>
      </c>
      <c r="E14" s="161" t="s">
        <v>39</v>
      </c>
      <c r="F14" s="119">
        <v>18176</v>
      </c>
      <c r="G14" s="117">
        <v>21059.195500000002</v>
      </c>
      <c r="H14" s="117">
        <v>21098.635751000002</v>
      </c>
      <c r="I14" s="152">
        <f>G14+H14</f>
        <v>42157.831251000003</v>
      </c>
      <c r="J14" s="119">
        <v>20091</v>
      </c>
      <c r="K14" s="117">
        <v>23152.80125</v>
      </c>
      <c r="L14" s="117">
        <v>23219.904922999998</v>
      </c>
      <c r="M14" s="152">
        <f>K14+L14</f>
        <v>46372.706172999999</v>
      </c>
      <c r="N14" s="178">
        <v>73</v>
      </c>
      <c r="O14" s="88">
        <v>72</v>
      </c>
      <c r="P14" s="145">
        <v>61</v>
      </c>
      <c r="Q14" s="181">
        <f>IF(J14=0,((F14/V14)),((J14/V14)))</f>
        <v>478.35714285714283</v>
      </c>
      <c r="V14" s="1">
        <v>42</v>
      </c>
    </row>
    <row r="15" spans="1:27" x14ac:dyDescent="0.3">
      <c r="B15" s="28" t="s">
        <v>42</v>
      </c>
      <c r="C15" s="17">
        <v>23534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3">
      <c r="B16" s="43" t="s">
        <v>47</v>
      </c>
      <c r="C16" s="17">
        <v>1652</v>
      </c>
      <c r="E16" s="161" t="s">
        <v>79</v>
      </c>
      <c r="F16" s="119">
        <v>0</v>
      </c>
      <c r="G16" s="117">
        <v>0</v>
      </c>
      <c r="H16" s="117">
        <v>6351.4143329999997</v>
      </c>
      <c r="I16" s="152">
        <f>G16+H16</f>
        <v>6351.4143329999997</v>
      </c>
      <c r="J16" s="119">
        <v>0</v>
      </c>
      <c r="K16" s="117">
        <v>0</v>
      </c>
      <c r="L16" s="117">
        <v>6550.6274519999997</v>
      </c>
      <c r="M16" s="152">
        <f>K16+L16</f>
        <v>6550.6274519999997</v>
      </c>
      <c r="N16" s="178">
        <v>11</v>
      </c>
      <c r="O16" s="88">
        <v>11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66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10270</v>
      </c>
      <c r="E18" s="84"/>
      <c r="F18" s="148">
        <f>SUM(F6:F16)</f>
        <v>85790</v>
      </c>
      <c r="G18" s="148">
        <f>SUM(G6:G16)</f>
        <v>67667.765499999994</v>
      </c>
      <c r="H18" s="148">
        <f>SUM(H6:H16)</f>
        <v>56343.432273999999</v>
      </c>
      <c r="I18" s="157">
        <f>SUM(I6:I17)</f>
        <v>124011.197774</v>
      </c>
      <c r="J18" s="149">
        <f>SUM(J6:J17)</f>
        <v>92034</v>
      </c>
      <c r="K18" s="149">
        <f>SUM(K6:K17)</f>
        <v>72487.814750000005</v>
      </c>
      <c r="L18" s="149">
        <f>SUM(L6:L17)</f>
        <v>61302.806666000004</v>
      </c>
      <c r="M18" s="175">
        <f>SUM(M6:M17)</f>
        <v>133790.62141600001</v>
      </c>
      <c r="N18" s="148">
        <f>SUM(N16,N14,N12,N10,N8,N6)</f>
        <v>299</v>
      </c>
      <c r="O18" s="148">
        <f>SUM(O16,O14,O12,O10,O8,O6)</f>
        <v>295</v>
      </c>
      <c r="P18" s="148">
        <f>SUM(P16,P14,P12,P10,P8,P6)</f>
        <v>270</v>
      </c>
      <c r="Q18" s="182"/>
    </row>
    <row r="19" spans="1:28" ht="15" customHeight="1" thickBot="1" x14ac:dyDescent="0.35">
      <c r="B19" s="16" t="s">
        <v>51</v>
      </c>
      <c r="C19" s="17">
        <v>1025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  <c r="Q19" s="183"/>
    </row>
    <row r="20" spans="1:28" x14ac:dyDescent="0.3">
      <c r="B20" s="16" t="s">
        <v>52</v>
      </c>
      <c r="C20" s="17">
        <v>4710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8.4745762711864403E-2</v>
      </c>
      <c r="Q20" s="139"/>
    </row>
    <row r="21" spans="1:28" ht="15" customHeight="1" thickBot="1" x14ac:dyDescent="0.35">
      <c r="A21" s="123"/>
      <c r="B21" s="168" t="s">
        <v>132</v>
      </c>
      <c r="C21" s="58">
        <v>841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10110</v>
      </c>
      <c r="D25" s="122">
        <v>11668</v>
      </c>
      <c r="E25" s="77">
        <f t="shared" ref="E25:E33" si="0">IFERROR(D25-C25,0)</f>
        <v>1558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28046</v>
      </c>
      <c r="D27" s="76">
        <v>31721</v>
      </c>
      <c r="E27" s="77">
        <f t="shared" si="0"/>
        <v>3675</v>
      </c>
      <c r="G27" s="53"/>
      <c r="M27" s="53"/>
      <c r="P27" s="4"/>
      <c r="Q27" s="4"/>
    </row>
    <row r="28" spans="1:28" x14ac:dyDescent="0.3">
      <c r="B28" s="74" t="s">
        <v>145</v>
      </c>
      <c r="C28" s="122">
        <v>9664</v>
      </c>
      <c r="D28" s="76">
        <v>9664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5066</v>
      </c>
      <c r="D29" s="76">
        <v>5066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5726</v>
      </c>
      <c r="D30" s="76">
        <v>5726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15850</v>
      </c>
      <c r="D31" s="76">
        <v>16861</v>
      </c>
      <c r="E31" s="77">
        <f t="shared" si="0"/>
        <v>1011</v>
      </c>
      <c r="K31" s="53"/>
      <c r="P31" s="4"/>
      <c r="Q31" s="4"/>
    </row>
    <row r="32" spans="1:28" x14ac:dyDescent="0.3">
      <c r="B32" s="74" t="s">
        <v>60</v>
      </c>
      <c r="C32" s="122">
        <v>5810</v>
      </c>
      <c r="D32" s="76">
        <v>5810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5524</v>
      </c>
      <c r="D33" s="80">
        <v>5524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44825</v>
      </c>
    </row>
    <row r="3" spans="1:27" ht="18.75" customHeight="1" thickBot="1" x14ac:dyDescent="0.35">
      <c r="B3" t="s">
        <v>1</v>
      </c>
      <c r="C3" s="3">
        <f>C2+1</f>
        <v>44826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62</v>
      </c>
      <c r="E6" s="161" t="s">
        <v>22</v>
      </c>
      <c r="F6" s="119">
        <v>26452</v>
      </c>
      <c r="G6" s="117">
        <v>14130.630999999999</v>
      </c>
      <c r="H6" s="117">
        <v>5511.4579579999991</v>
      </c>
      <c r="I6" s="152">
        <f>G6+H6</f>
        <v>19642.088958</v>
      </c>
      <c r="J6" s="119">
        <v>25558</v>
      </c>
      <c r="K6" s="117">
        <v>13717.362999999999</v>
      </c>
      <c r="L6" s="117">
        <v>5171.9696360000007</v>
      </c>
      <c r="M6" s="152">
        <f>K6+L6</f>
        <v>18889.332635999999</v>
      </c>
      <c r="N6" s="178">
        <v>68</v>
      </c>
      <c r="O6" s="88">
        <v>69</v>
      </c>
      <c r="P6" s="145">
        <v>63</v>
      </c>
      <c r="Q6" s="181">
        <f>IF(J6=0,((F6/V6)),((J6/V6)))</f>
        <v>594.37209302325584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678</v>
      </c>
      <c r="G8" s="117">
        <v>3407.880000000001</v>
      </c>
      <c r="H8" s="117">
        <v>5229.7243579999986</v>
      </c>
      <c r="I8" s="152">
        <v>8639.7478080000001</v>
      </c>
      <c r="J8" s="119">
        <v>645</v>
      </c>
      <c r="K8" s="117">
        <v>3276.8220000000001</v>
      </c>
      <c r="L8" s="117">
        <v>5087.3719290000008</v>
      </c>
      <c r="M8" s="152">
        <f>K8+L8</f>
        <v>8364.1939290000009</v>
      </c>
      <c r="N8" s="178">
        <v>24</v>
      </c>
      <c r="O8" s="88">
        <v>25</v>
      </c>
      <c r="P8" s="145">
        <v>21</v>
      </c>
      <c r="Q8" s="117"/>
    </row>
    <row r="9" spans="1:27" x14ac:dyDescent="0.3">
      <c r="B9" s="16" t="s">
        <v>23</v>
      </c>
      <c r="C9" s="17">
        <v>5011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19330</v>
      </c>
      <c r="G10" s="117">
        <v>14151.223</v>
      </c>
      <c r="H10" s="117">
        <v>494.489912</v>
      </c>
      <c r="I10" s="152">
        <v>14645.712912000001</v>
      </c>
      <c r="J10" s="119">
        <v>19397</v>
      </c>
      <c r="K10" s="117">
        <v>14177.853999999999</v>
      </c>
      <c r="L10" s="117">
        <v>490.78702800000002</v>
      </c>
      <c r="M10" s="152">
        <f>K10+L10</f>
        <v>14668.641028</v>
      </c>
      <c r="N10" s="178">
        <v>55</v>
      </c>
      <c r="O10" s="88">
        <v>53</v>
      </c>
      <c r="P10" s="145">
        <v>51</v>
      </c>
      <c r="Q10" s="181">
        <f>IF(J10=0,((F10/V10)),((J10/V10)))</f>
        <v>373.01923076923077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2219</v>
      </c>
      <c r="E12" s="161" t="s">
        <v>35</v>
      </c>
      <c r="F12" s="119">
        <v>12227</v>
      </c>
      <c r="G12" s="117">
        <v>11403.483999999989</v>
      </c>
      <c r="H12" s="117">
        <v>15573.867101</v>
      </c>
      <c r="I12" s="152">
        <v>26975.343656000001</v>
      </c>
      <c r="J12" s="119">
        <v>13045</v>
      </c>
      <c r="K12" s="117">
        <v>11901.495500000001</v>
      </c>
      <c r="L12" s="117">
        <v>16254.013629999999</v>
      </c>
      <c r="M12" s="152">
        <f>K12+L12</f>
        <v>28155.509129999999</v>
      </c>
      <c r="N12" s="178">
        <v>52</v>
      </c>
      <c r="O12" s="88">
        <v>51</v>
      </c>
      <c r="P12" s="145">
        <v>51</v>
      </c>
      <c r="Q12" s="181">
        <f>IF(J12=0,((F12/V12)),((J12/V12)))</f>
        <v>372.71428571428572</v>
      </c>
      <c r="V12" s="1">
        <v>35</v>
      </c>
    </row>
    <row r="13" spans="1:27" x14ac:dyDescent="0.3">
      <c r="B13" s="16" t="s">
        <v>38</v>
      </c>
      <c r="C13" s="17">
        <v>8636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1887</v>
      </c>
      <c r="E14" s="161" t="s">
        <v>39</v>
      </c>
      <c r="F14" s="119">
        <v>20938</v>
      </c>
      <c r="G14" s="117">
        <v>24722.330249999999</v>
      </c>
      <c r="H14" s="117">
        <v>24545.579134000011</v>
      </c>
      <c r="I14" s="152">
        <v>49267.909384000013</v>
      </c>
      <c r="J14" s="119">
        <v>24012</v>
      </c>
      <c r="K14" s="117">
        <v>27986.238250000009</v>
      </c>
      <c r="L14" s="117">
        <v>27967.873914999989</v>
      </c>
      <c r="M14" s="152">
        <f>K14+L14</f>
        <v>55954.112164999999</v>
      </c>
      <c r="N14" s="178">
        <v>67</v>
      </c>
      <c r="O14" s="88">
        <v>69</v>
      </c>
      <c r="P14" s="145">
        <v>64</v>
      </c>
      <c r="Q14" s="181">
        <f>IF(J14=0,((F14/V14)),((J14/V14)))</f>
        <v>571.71428571428567</v>
      </c>
      <c r="V14" s="1">
        <v>42</v>
      </c>
    </row>
    <row r="15" spans="1:27" x14ac:dyDescent="0.3">
      <c r="B15" s="28" t="s">
        <v>42</v>
      </c>
      <c r="C15" s="17">
        <v>29805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3">
      <c r="B16" s="43" t="s">
        <v>47</v>
      </c>
      <c r="C16" s="17">
        <v>1800</v>
      </c>
      <c r="E16" s="161" t="s">
        <v>79</v>
      </c>
      <c r="F16" s="119">
        <v>0</v>
      </c>
      <c r="G16" s="117">
        <v>0</v>
      </c>
      <c r="H16" s="117">
        <v>7760.8854620000002</v>
      </c>
      <c r="I16" s="152">
        <v>7760.8854620000002</v>
      </c>
      <c r="J16" s="119">
        <v>0</v>
      </c>
      <c r="K16" s="117">
        <v>0</v>
      </c>
      <c r="L16" s="117">
        <v>7576.2974899999999</v>
      </c>
      <c r="M16" s="152">
        <f>K16+L16</f>
        <v>7576.2974899999999</v>
      </c>
      <c r="N16" s="178">
        <v>11</v>
      </c>
      <c r="O16" s="88">
        <v>11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365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8627</v>
      </c>
      <c r="E18" s="84"/>
      <c r="F18" s="148">
        <f>SUM(F6:F16)</f>
        <v>79625</v>
      </c>
      <c r="G18" s="148">
        <f>SUM(G6:G16)</f>
        <v>67815.548249999993</v>
      </c>
      <c r="H18" s="148">
        <f>SUM(H6:H16)</f>
        <v>59116.003925000005</v>
      </c>
      <c r="I18" s="157">
        <f>SUM(I6:I17)</f>
        <v>126931.68818000003</v>
      </c>
      <c r="J18" s="149">
        <f>SUM(J6:J17)</f>
        <v>82657</v>
      </c>
      <c r="K18" s="149">
        <f>SUM(K6:K17)</f>
        <v>71059.772750000004</v>
      </c>
      <c r="L18" s="149">
        <f>SUM(L6:L17)</f>
        <v>62548.313627999989</v>
      </c>
      <c r="M18" s="175">
        <f>SUM(M6:M17)</f>
        <v>133608.08637800001</v>
      </c>
      <c r="N18" s="148">
        <f>SUM(N16,N14,N12,N10,N8,N6)</f>
        <v>277</v>
      </c>
      <c r="O18" s="148">
        <f>SUM(O16,O14,O12,O10,O8,O6)</f>
        <v>278</v>
      </c>
      <c r="P18" s="148">
        <f>SUM(P16,P14,P12,P10,P8,P6)</f>
        <v>261</v>
      </c>
      <c r="Q18" s="182"/>
    </row>
    <row r="19" spans="1:28" ht="15" customHeight="1" thickBot="1" x14ac:dyDescent="0.35">
      <c r="B19" s="16" t="s">
        <v>51</v>
      </c>
      <c r="C19" s="17">
        <v>1148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  <c r="Q19" s="183"/>
    </row>
    <row r="20" spans="1:28" x14ac:dyDescent="0.3">
      <c r="B20" s="16" t="s">
        <v>52</v>
      </c>
      <c r="C20" s="17">
        <v>4512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6.1151079136690649E-2</v>
      </c>
      <c r="Q20" s="139"/>
    </row>
    <row r="21" spans="1:28" ht="15" customHeight="1" thickBot="1" x14ac:dyDescent="0.35">
      <c r="A21" s="123"/>
      <c r="B21" s="168" t="s">
        <v>132</v>
      </c>
      <c r="C21" s="58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11827</v>
      </c>
      <c r="D25" s="122">
        <v>11595</v>
      </c>
      <c r="E25" s="77">
        <f t="shared" ref="E25:E33" si="0">IFERROR(D25-C25,0)</f>
        <v>-232</v>
      </c>
    </row>
    <row r="26" spans="1:28" x14ac:dyDescent="0.3">
      <c r="B26" s="74" t="s">
        <v>143</v>
      </c>
      <c r="C26" s="122">
        <v>1200</v>
      </c>
      <c r="D26" s="76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33551</v>
      </c>
      <c r="D27" s="122">
        <v>37474</v>
      </c>
      <c r="E27" s="77">
        <f t="shared" si="0"/>
        <v>3923</v>
      </c>
      <c r="G27" s="53"/>
      <c r="M27" s="53"/>
      <c r="P27" s="4"/>
      <c r="Q27" s="4"/>
    </row>
    <row r="28" spans="1:28" x14ac:dyDescent="0.3">
      <c r="B28" s="74" t="s">
        <v>145</v>
      </c>
      <c r="C28" s="122">
        <v>7241</v>
      </c>
      <c r="D28" s="122">
        <v>7241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1984</v>
      </c>
      <c r="D29" s="76">
        <v>1984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8012</v>
      </c>
      <c r="D30" s="76">
        <v>8012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15831</v>
      </c>
      <c r="D31" s="76">
        <v>15172</v>
      </c>
      <c r="E31" s="77">
        <f t="shared" si="0"/>
        <v>-659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theme="1"/>
    <pageSetUpPr fitToPage="1"/>
  </sheetPr>
  <dimension ref="A1:AB33"/>
  <sheetViews>
    <sheetView zoomScale="85" zoomScaleNormal="85" zoomScaleSheetLayoutView="70" workbookViewId="0">
      <selection activeCell="I34" sqref="I3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44826</v>
      </c>
    </row>
    <row r="3" spans="1:27" ht="18.75" customHeight="1" thickBot="1" x14ac:dyDescent="0.35">
      <c r="B3" t="s">
        <v>1</v>
      </c>
      <c r="C3" s="3">
        <f>C2+1</f>
        <v>44827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119</v>
      </c>
      <c r="E6" s="161" t="s">
        <v>22</v>
      </c>
      <c r="F6" s="119">
        <v>22423</v>
      </c>
      <c r="G6" s="117">
        <v>10559.353999999999</v>
      </c>
      <c r="H6" s="117">
        <v>5805.406825</v>
      </c>
      <c r="I6" s="152">
        <f>G6+H6</f>
        <v>16364.760824999999</v>
      </c>
      <c r="J6" s="119">
        <v>23576</v>
      </c>
      <c r="K6" s="117">
        <v>10894.207</v>
      </c>
      <c r="L6" s="117">
        <v>5545.2150159999992</v>
      </c>
      <c r="M6" s="152">
        <f>K6+L6</f>
        <v>16439.422016</v>
      </c>
      <c r="N6" s="178">
        <v>67</v>
      </c>
      <c r="O6" s="88">
        <v>67</v>
      </c>
      <c r="P6" s="145">
        <v>63</v>
      </c>
      <c r="Q6" s="181">
        <f>IF(J6=0,((F6/V6)),((J6/V6)))</f>
        <v>548.27906976744191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498</v>
      </c>
      <c r="G8" s="117">
        <v>2503.2269999999999</v>
      </c>
      <c r="H8" s="117">
        <v>3809.884774000001</v>
      </c>
      <c r="I8" s="152">
        <f>G8+H8</f>
        <v>6313.1117740000009</v>
      </c>
      <c r="J8" s="119">
        <v>470</v>
      </c>
      <c r="K8" s="117">
        <v>2347.8009999999999</v>
      </c>
      <c r="L8" s="117">
        <v>3882.1383370000008</v>
      </c>
      <c r="M8" s="152">
        <f>K8+L8</f>
        <v>6229.9393370000007</v>
      </c>
      <c r="N8" s="178">
        <v>26</v>
      </c>
      <c r="O8" s="88">
        <v>26</v>
      </c>
      <c r="P8" s="145">
        <v>22</v>
      </c>
      <c r="Q8" s="117"/>
    </row>
    <row r="9" spans="1:27" x14ac:dyDescent="0.3">
      <c r="B9" s="16" t="s">
        <v>23</v>
      </c>
      <c r="C9" s="17">
        <v>5463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3">
      <c r="B10" s="28" t="s">
        <v>26</v>
      </c>
      <c r="C10" s="17">
        <v>1230</v>
      </c>
      <c r="E10" s="161" t="s">
        <v>31</v>
      </c>
      <c r="F10" s="119">
        <v>22012</v>
      </c>
      <c r="G10" s="117">
        <v>15329.004999999999</v>
      </c>
      <c r="H10" s="117">
        <v>786.41331200000013</v>
      </c>
      <c r="I10" s="152">
        <f>G10+H10</f>
        <v>16115.418312</v>
      </c>
      <c r="J10" s="119">
        <v>22153</v>
      </c>
      <c r="K10" s="117">
        <v>15427.8195</v>
      </c>
      <c r="L10" s="117">
        <v>819.44922600000007</v>
      </c>
      <c r="M10" s="152">
        <f>K10+L10</f>
        <v>16247.268726</v>
      </c>
      <c r="N10" s="178">
        <v>55</v>
      </c>
      <c r="O10" s="88">
        <v>54</v>
      </c>
      <c r="P10" s="145">
        <v>52</v>
      </c>
      <c r="Q10" s="181">
        <f>IF(J10=0,((F10/V10)),((J10/V10)))</f>
        <v>426.01923076923077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2431</v>
      </c>
      <c r="E12" s="161" t="s">
        <v>35</v>
      </c>
      <c r="F12" s="119">
        <v>13601</v>
      </c>
      <c r="G12" s="117">
        <v>12887.720499999999</v>
      </c>
      <c r="H12" s="117">
        <v>19086.252344000011</v>
      </c>
      <c r="I12" s="152">
        <f>G12+H12</f>
        <v>31973.972844000011</v>
      </c>
      <c r="J12" s="119">
        <v>13627</v>
      </c>
      <c r="K12" s="117">
        <v>12975.1765</v>
      </c>
      <c r="L12" s="117">
        <v>19115.696027000002</v>
      </c>
      <c r="M12" s="152">
        <f>K12+L12</f>
        <v>32090.872527</v>
      </c>
      <c r="N12" s="178">
        <v>54</v>
      </c>
      <c r="O12" s="88">
        <v>53</v>
      </c>
      <c r="P12" s="145">
        <v>53</v>
      </c>
      <c r="Q12" s="181">
        <f>IF(J12=0,((F12/V12)),((J12/V12)))</f>
        <v>389.34285714285716</v>
      </c>
      <c r="V12" s="1">
        <v>35</v>
      </c>
    </row>
    <row r="13" spans="1:27" x14ac:dyDescent="0.3">
      <c r="B13" s="16" t="s">
        <v>38</v>
      </c>
      <c r="C13" s="17">
        <v>8894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1958</v>
      </c>
      <c r="E14" s="161" t="s">
        <v>39</v>
      </c>
      <c r="F14" s="119">
        <v>22343</v>
      </c>
      <c r="G14" s="117">
        <v>26198.5285</v>
      </c>
      <c r="H14" s="117">
        <v>26438.46398</v>
      </c>
      <c r="I14" s="152">
        <f>G14+H14</f>
        <v>52636.992480000001</v>
      </c>
      <c r="J14" s="119">
        <v>20389</v>
      </c>
      <c r="K14" s="117">
        <v>24460.506249999999</v>
      </c>
      <c r="L14" s="117">
        <v>24628.024193000001</v>
      </c>
      <c r="M14" s="152">
        <f>K14+L14</f>
        <v>49088.530442999996</v>
      </c>
      <c r="N14" s="178">
        <v>79</v>
      </c>
      <c r="O14" s="88">
        <v>79</v>
      </c>
      <c r="P14" s="145">
        <v>68</v>
      </c>
      <c r="Q14" s="181">
        <f>IF(J14=0,((F14/V14)),((J14/V14)))</f>
        <v>485.45238095238096</v>
      </c>
      <c r="V14" s="1">
        <v>42</v>
      </c>
    </row>
    <row r="15" spans="1:27" x14ac:dyDescent="0.3">
      <c r="B15" s="28" t="s">
        <v>42</v>
      </c>
      <c r="C15" s="17">
        <v>23266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3">
      <c r="B16" s="43" t="s">
        <v>47</v>
      </c>
      <c r="C16" s="17">
        <v>1493</v>
      </c>
      <c r="E16" s="161" t="s">
        <v>79</v>
      </c>
      <c r="F16" s="119">
        <v>0</v>
      </c>
      <c r="G16" s="117">
        <v>0</v>
      </c>
      <c r="H16" s="117">
        <v>4919.6407479999998</v>
      </c>
      <c r="I16" s="152">
        <f>G16+H16</f>
        <v>4919.6407479999998</v>
      </c>
      <c r="J16" s="119">
        <v>0</v>
      </c>
      <c r="K16" s="117">
        <v>0</v>
      </c>
      <c r="L16" s="117">
        <v>5037.5945599999995</v>
      </c>
      <c r="M16" s="152">
        <f>K16+L16</f>
        <v>5037.5945599999995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57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8583</v>
      </c>
      <c r="E18" s="84"/>
      <c r="F18" s="148">
        <f>SUM(F6:F16)</f>
        <v>80877</v>
      </c>
      <c r="G18" s="148">
        <f>SUM(G6:G16)</f>
        <v>67477.834999999992</v>
      </c>
      <c r="H18" s="148">
        <f>SUM(H6:H16)</f>
        <v>60846.061983000014</v>
      </c>
      <c r="I18" s="157">
        <f>SUM(I6:I17)</f>
        <v>128323.89698300003</v>
      </c>
      <c r="J18" s="149">
        <f>SUM(J6:J17)</f>
        <v>80215</v>
      </c>
      <c r="K18" s="149">
        <f>SUM(K6:K17)</f>
        <v>66105.510249999992</v>
      </c>
      <c r="L18" s="149">
        <f>SUM(L6:L17)</f>
        <v>59028.117358999996</v>
      </c>
      <c r="M18" s="175">
        <f>SUM(M6:M17)</f>
        <v>125133.62760899999</v>
      </c>
      <c r="N18" s="148">
        <f>SUM(N16,N14,N12,N10,N8,N6)</f>
        <v>290</v>
      </c>
      <c r="O18" s="148">
        <f>SUM(O16,O14,O12,O10,O8,O6)</f>
        <v>288</v>
      </c>
      <c r="P18" s="148">
        <f>SUM(P16,P14,P12,P10,P8,P6)</f>
        <v>267</v>
      </c>
      <c r="Q18" s="182"/>
    </row>
    <row r="19" spans="1:28" ht="15" customHeight="1" thickBot="1" x14ac:dyDescent="0.35">
      <c r="B19" s="16" t="s">
        <v>51</v>
      </c>
      <c r="C19" s="17">
        <v>1664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  <c r="Q19" s="183"/>
    </row>
    <row r="20" spans="1:28" x14ac:dyDescent="0.3">
      <c r="B20" s="16" t="s">
        <v>52</v>
      </c>
      <c r="C20" s="17">
        <v>4028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7.2916666666666671E-2</v>
      </c>
      <c r="Q20" s="139"/>
    </row>
    <row r="21" spans="1:28" ht="15" customHeight="1" thickBot="1" x14ac:dyDescent="0.35">
      <c r="A21" s="123"/>
      <c r="B21" s="168" t="s">
        <v>132</v>
      </c>
      <c r="C21" s="58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7885</v>
      </c>
      <c r="D25" s="77">
        <v>8031</v>
      </c>
      <c r="E25" s="77">
        <f t="shared" ref="E25:E33" si="0">IFERROR(D25-C25,0)</f>
        <v>146</v>
      </c>
    </row>
    <row r="26" spans="1:28" x14ac:dyDescent="0.3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29982</v>
      </c>
      <c r="D27" s="77">
        <v>27978</v>
      </c>
      <c r="E27" s="77">
        <f t="shared" si="0"/>
        <v>-2004</v>
      </c>
      <c r="G27" s="53"/>
      <c r="M27" s="53"/>
      <c r="P27" s="4"/>
      <c r="Q27" s="4"/>
    </row>
    <row r="28" spans="1:28" x14ac:dyDescent="0.3">
      <c r="B28" s="74" t="s">
        <v>145</v>
      </c>
      <c r="C28" s="77">
        <v>9644</v>
      </c>
      <c r="D28" s="77">
        <v>9644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77">
        <v>4380</v>
      </c>
      <c r="D29" s="77">
        <v>4380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77">
        <v>8662</v>
      </c>
      <c r="D30" s="77">
        <v>8662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77">
        <v>13943</v>
      </c>
      <c r="D31" s="77">
        <v>15139</v>
      </c>
      <c r="E31" s="77">
        <f t="shared" si="0"/>
        <v>1196</v>
      </c>
      <c r="K31" s="53"/>
      <c r="P31" s="4"/>
      <c r="Q31" s="4"/>
    </row>
    <row r="32" spans="1:28" x14ac:dyDescent="0.3">
      <c r="B32" s="74" t="s">
        <v>60</v>
      </c>
      <c r="C32" s="77">
        <v>6400</v>
      </c>
      <c r="D32" s="77">
        <v>6400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77">
        <v>0</v>
      </c>
      <c r="D33" s="77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44827</v>
      </c>
    </row>
    <row r="3" spans="1:27" ht="18.75" customHeight="1" thickBot="1" x14ac:dyDescent="0.35">
      <c r="B3" t="s">
        <v>1</v>
      </c>
      <c r="C3" s="3">
        <f>C2+1</f>
        <v>44828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28783</v>
      </c>
      <c r="G6" s="117">
        <v>14214.647000000001</v>
      </c>
      <c r="H6" s="117">
        <v>4310.063763000001</v>
      </c>
      <c r="I6" s="152">
        <f>G6+H6</f>
        <v>18524.710763000003</v>
      </c>
      <c r="J6" s="119">
        <v>26816</v>
      </c>
      <c r="K6" s="117">
        <v>13320.597</v>
      </c>
      <c r="L6" s="117">
        <v>3777.2111839999998</v>
      </c>
      <c r="M6" s="152">
        <f>K6+L6</f>
        <v>17097.808184000001</v>
      </c>
      <c r="N6" s="178">
        <v>71</v>
      </c>
      <c r="O6" s="88">
        <v>70</v>
      </c>
      <c r="P6" s="145">
        <v>68</v>
      </c>
      <c r="Q6" s="181">
        <f>IF(J6=0,((F6/V6)),((J6/V6)))</f>
        <v>623.62790697674416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530</v>
      </c>
      <c r="G8" s="117">
        <v>2682.904</v>
      </c>
      <c r="H8" s="117">
        <v>5520.5562749999999</v>
      </c>
      <c r="I8" s="152">
        <f>G8+H8</f>
        <v>8203.4602749999995</v>
      </c>
      <c r="J8" s="119">
        <v>522</v>
      </c>
      <c r="K8" s="117">
        <v>2624.8400000000011</v>
      </c>
      <c r="L8" s="117">
        <v>5414.6394859999982</v>
      </c>
      <c r="M8" s="152">
        <f>K8+L8</f>
        <v>8039.4794859999993</v>
      </c>
      <c r="N8" s="178">
        <v>26</v>
      </c>
      <c r="O8" s="88">
        <v>27</v>
      </c>
      <c r="P8" s="145">
        <v>23</v>
      </c>
      <c r="Q8" s="117"/>
    </row>
    <row r="9" spans="1:27" x14ac:dyDescent="0.3">
      <c r="B9" s="16" t="s">
        <v>23</v>
      </c>
      <c r="C9" s="17">
        <v>6162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20646</v>
      </c>
      <c r="G10" s="117">
        <v>15277.313</v>
      </c>
      <c r="H10" s="117">
        <v>469.28168899999997</v>
      </c>
      <c r="I10" s="152">
        <f>G10+H10</f>
        <v>15746.594689</v>
      </c>
      <c r="J10" s="119">
        <v>19814</v>
      </c>
      <c r="K10" s="117">
        <v>14625.205</v>
      </c>
      <c r="L10" s="117">
        <v>405.99149000000011</v>
      </c>
      <c r="M10" s="152">
        <f>K10+L10</f>
        <v>15031.19649</v>
      </c>
      <c r="N10" s="178">
        <v>52</v>
      </c>
      <c r="O10" s="88">
        <v>51</v>
      </c>
      <c r="P10" s="145">
        <v>49</v>
      </c>
      <c r="Q10" s="181">
        <f>IF(J10=0,((F10/V10)),((J10/V10)))</f>
        <v>381.03846153846155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4865</v>
      </c>
      <c r="E12" s="161" t="s">
        <v>35</v>
      </c>
      <c r="F12" s="119">
        <v>13912</v>
      </c>
      <c r="G12" s="117">
        <v>13364.3565</v>
      </c>
      <c r="H12" s="117">
        <v>17083.108680000001</v>
      </c>
      <c r="I12" s="152">
        <f>G12+H12</f>
        <v>30447.465179999999</v>
      </c>
      <c r="J12" s="119">
        <v>13013</v>
      </c>
      <c r="K12" s="117">
        <v>12786.861000000001</v>
      </c>
      <c r="L12" s="117">
        <v>16276.925098999989</v>
      </c>
      <c r="M12" s="152">
        <f>K12+L12</f>
        <v>29063.78609899999</v>
      </c>
      <c r="N12" s="178">
        <v>54</v>
      </c>
      <c r="O12" s="88">
        <v>54</v>
      </c>
      <c r="P12" s="145">
        <v>53</v>
      </c>
      <c r="Q12" s="181">
        <f>IF(J12=0,((F12/V12)),((J12/V12)))</f>
        <v>371.8</v>
      </c>
      <c r="V12" s="1">
        <v>35</v>
      </c>
    </row>
    <row r="13" spans="1:27" x14ac:dyDescent="0.3">
      <c r="B13" s="16" t="s">
        <v>38</v>
      </c>
      <c r="C13" s="17">
        <v>8377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3">
      <c r="B14" s="16" t="s">
        <v>40</v>
      </c>
      <c r="C14" s="17">
        <v>1845</v>
      </c>
      <c r="E14" s="161" t="s">
        <v>39</v>
      </c>
      <c r="F14" s="119">
        <v>28285</v>
      </c>
      <c r="G14" s="117">
        <v>35743.232250000008</v>
      </c>
      <c r="H14" s="117">
        <v>34014.338917000001</v>
      </c>
      <c r="I14" s="152">
        <f>G14+H14</f>
        <v>69757.571167000016</v>
      </c>
      <c r="J14" s="119">
        <v>28115</v>
      </c>
      <c r="K14" s="117">
        <v>35786.771249999998</v>
      </c>
      <c r="L14" s="117">
        <v>34149.223276999997</v>
      </c>
      <c r="M14" s="152">
        <f>K14+L14</f>
        <v>69935.994527000003</v>
      </c>
      <c r="N14" s="178">
        <v>82</v>
      </c>
      <c r="O14" s="88">
        <v>82</v>
      </c>
      <c r="P14" s="145">
        <v>73</v>
      </c>
      <c r="Q14" s="181">
        <f>IF(J14=0,((F14/V14)),((J14/V14)))</f>
        <v>669.40476190476193</v>
      </c>
      <c r="V14" s="1">
        <v>42</v>
      </c>
    </row>
    <row r="15" spans="1:27" x14ac:dyDescent="0.3">
      <c r="B15" s="28" t="s">
        <v>42</v>
      </c>
      <c r="C15" s="17">
        <v>31596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3">
      <c r="B16" s="43" t="s">
        <v>47</v>
      </c>
      <c r="C16" s="17">
        <v>1763</v>
      </c>
      <c r="E16" s="161" t="s">
        <v>79</v>
      </c>
      <c r="F16" s="119">
        <v>0</v>
      </c>
      <c r="G16" s="117">
        <v>0</v>
      </c>
      <c r="H16" s="117">
        <v>7716.0136770000008</v>
      </c>
      <c r="I16" s="152">
        <f>G16+H16</f>
        <v>7716.0136770000008</v>
      </c>
      <c r="J16" s="119">
        <v>0</v>
      </c>
      <c r="K16" s="117">
        <v>0</v>
      </c>
      <c r="L16" s="117">
        <v>7595.0753039999981</v>
      </c>
      <c r="M16" s="152">
        <f>K16+L16</f>
        <v>7595.0753039999981</v>
      </c>
      <c r="N16" s="178">
        <v>12</v>
      </c>
      <c r="O16" s="88">
        <v>13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50">
        <v>324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7519</v>
      </c>
      <c r="E18" s="84"/>
      <c r="F18" s="148">
        <f>SUM(F6:F16)</f>
        <v>92156</v>
      </c>
      <c r="G18" s="148">
        <f>SUM(G6:G16)</f>
        <v>81282.452750000011</v>
      </c>
      <c r="H18" s="148">
        <f>SUM(H6:H16)</f>
        <v>69113.363001000005</v>
      </c>
      <c r="I18" s="157">
        <f>SUM(I6:I17)</f>
        <v>150395.81575100002</v>
      </c>
      <c r="J18" s="149">
        <f>SUM(J6:J17)</f>
        <v>88280</v>
      </c>
      <c r="K18" s="149">
        <f>SUM(K6:K17)</f>
        <v>79144.274249999988</v>
      </c>
      <c r="L18" s="149">
        <f>SUM(L6:L17)</f>
        <v>67619.065839999981</v>
      </c>
      <c r="M18" s="175">
        <f>SUM(M6:M17)</f>
        <v>146763.34008999998</v>
      </c>
      <c r="N18" s="148">
        <f>SUM(N16,N14,N12,N10,N8,N6)</f>
        <v>297</v>
      </c>
      <c r="O18" s="148">
        <f>SUM(O16,O14,O12,O10,O8,O6)</f>
        <v>297</v>
      </c>
      <c r="P18" s="148">
        <f>SUM(P16,P14,P12,P10,P8,P6)</f>
        <v>277</v>
      </c>
      <c r="Q18" s="182"/>
    </row>
    <row r="19" spans="1:28" ht="15" customHeight="1" thickBot="1" x14ac:dyDescent="0.35">
      <c r="B19" s="16" t="s">
        <v>51</v>
      </c>
      <c r="C19" s="17">
        <v>547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  <c r="Q19" s="183"/>
    </row>
    <row r="20" spans="1:28" x14ac:dyDescent="0.3">
      <c r="B20" s="16" t="s">
        <v>52</v>
      </c>
      <c r="C20" s="17">
        <v>4279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6.7340067340067339E-2</v>
      </c>
      <c r="Q20" s="139"/>
    </row>
    <row r="21" spans="1:28" ht="15" customHeight="1" thickBot="1" x14ac:dyDescent="0.35">
      <c r="A21" s="123"/>
      <c r="B21" s="168" t="s">
        <v>132</v>
      </c>
      <c r="C21" s="58">
        <v>1302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9683</v>
      </c>
      <c r="D25" s="77">
        <v>9203</v>
      </c>
      <c r="E25" s="77">
        <f t="shared" ref="E25:E33" si="0">IFERROR(D25-C25,0)</f>
        <v>-480</v>
      </c>
    </row>
    <row r="26" spans="1:28" x14ac:dyDescent="0.3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35014</v>
      </c>
      <c r="D27" s="77">
        <v>33492</v>
      </c>
      <c r="E27" s="77">
        <f t="shared" si="0"/>
        <v>-1522</v>
      </c>
      <c r="G27" s="53"/>
      <c r="M27" s="53"/>
      <c r="P27" s="4"/>
      <c r="Q27" s="4"/>
    </row>
    <row r="28" spans="1:28" x14ac:dyDescent="0.3">
      <c r="B28" s="74" t="s">
        <v>145</v>
      </c>
      <c r="C28" s="77">
        <v>7056</v>
      </c>
      <c r="D28" s="77">
        <v>7056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77">
        <v>0</v>
      </c>
      <c r="D29" s="77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77">
        <v>17390</v>
      </c>
      <c r="D30" s="77">
        <v>17390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77">
        <v>14957</v>
      </c>
      <c r="D31" s="77">
        <v>13083</v>
      </c>
      <c r="E31" s="77">
        <f t="shared" si="0"/>
        <v>-1874</v>
      </c>
      <c r="K31" s="53"/>
      <c r="P31" s="4"/>
      <c r="Q31" s="4"/>
    </row>
    <row r="32" spans="1:28" x14ac:dyDescent="0.3">
      <c r="B32" s="74" t="s">
        <v>60</v>
      </c>
      <c r="C32" s="77">
        <v>0</v>
      </c>
      <c r="D32" s="77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77">
        <v>8076</v>
      </c>
      <c r="D33" s="77">
        <v>8076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>
    <tabColor theme="1"/>
    <pageSetUpPr fitToPage="1"/>
  </sheetPr>
  <dimension ref="A1:AB33"/>
  <sheetViews>
    <sheetView topLeftCell="B1" zoomScaleNormal="100" zoomScaleSheetLayoutView="70" workbookViewId="0">
      <selection activeCell="J25" sqref="J2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44830</v>
      </c>
    </row>
    <row r="3" spans="1:27" ht="18.75" customHeight="1" thickBot="1" x14ac:dyDescent="0.35">
      <c r="B3" t="s">
        <v>1</v>
      </c>
      <c r="C3" s="3">
        <f>C2+1</f>
        <v>44831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70</v>
      </c>
      <c r="E6" s="161" t="s">
        <v>22</v>
      </c>
      <c r="F6" s="119">
        <v>28772</v>
      </c>
      <c r="G6" s="117">
        <v>14377.683000000001</v>
      </c>
      <c r="H6" s="117">
        <v>5463.3994589999993</v>
      </c>
      <c r="I6" s="152">
        <f>SUM(H6,G6)</f>
        <v>19841.082459000001</v>
      </c>
      <c r="J6" s="119">
        <v>30100</v>
      </c>
      <c r="K6" s="117">
        <v>14955.949000000001</v>
      </c>
      <c r="L6" s="117">
        <v>4952.8171730000013</v>
      </c>
      <c r="M6" s="152">
        <f>K6+L6</f>
        <v>19908.766173000004</v>
      </c>
      <c r="N6" s="178">
        <v>69</v>
      </c>
      <c r="O6" s="88">
        <v>71</v>
      </c>
      <c r="P6" s="145">
        <v>65</v>
      </c>
      <c r="Q6" s="181">
        <f>IF(J6=0,((F6/V6)),((J6/V6)))</f>
        <v>700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1032</v>
      </c>
      <c r="G8" s="117">
        <v>6301.1059999999998</v>
      </c>
      <c r="H8" s="117">
        <v>5504.7119380000004</v>
      </c>
      <c r="I8" s="152">
        <f>SUM(H8,G8)</f>
        <v>11805.817938</v>
      </c>
      <c r="J8" s="119">
        <v>1342</v>
      </c>
      <c r="K8" s="117">
        <v>7962.1949999999997</v>
      </c>
      <c r="L8" s="117">
        <v>6368.4446990000006</v>
      </c>
      <c r="M8" s="152">
        <f>K8+L8</f>
        <v>14330.639698999999</v>
      </c>
      <c r="N8" s="178">
        <v>24</v>
      </c>
      <c r="O8" s="88">
        <v>27</v>
      </c>
      <c r="P8" s="145">
        <v>22</v>
      </c>
      <c r="Q8" s="117"/>
    </row>
    <row r="9" spans="1:27" x14ac:dyDescent="0.3">
      <c r="B9" s="16" t="s">
        <v>23</v>
      </c>
      <c r="C9" s="17">
        <v>5271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3">
      <c r="B10" s="28" t="s">
        <v>26</v>
      </c>
      <c r="C10" s="17">
        <v>635</v>
      </c>
      <c r="E10" s="161" t="s">
        <v>31</v>
      </c>
      <c r="F10" s="119">
        <v>19763</v>
      </c>
      <c r="G10" s="117">
        <v>13780.9575</v>
      </c>
      <c r="H10" s="117">
        <v>464.65329400000002</v>
      </c>
      <c r="I10" s="152">
        <f>SUM(H10,G10)</f>
        <v>14245.610794</v>
      </c>
      <c r="J10" s="119">
        <v>20055</v>
      </c>
      <c r="K10" s="117">
        <v>13918.268</v>
      </c>
      <c r="L10" s="117">
        <v>536.23014699999999</v>
      </c>
      <c r="M10" s="152">
        <f>K10+L10</f>
        <v>14454.498147</v>
      </c>
      <c r="N10" s="178">
        <v>50</v>
      </c>
      <c r="O10" s="88">
        <v>48</v>
      </c>
      <c r="P10" s="145">
        <v>46</v>
      </c>
      <c r="Q10" s="181">
        <f>IF(J10=0,((F10/V10)),((J10/V10)))</f>
        <v>385.67307692307691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1162</v>
      </c>
      <c r="E12" s="161" t="s">
        <v>35</v>
      </c>
      <c r="F12" s="119">
        <v>14051</v>
      </c>
      <c r="G12" s="117">
        <v>12266.380999999999</v>
      </c>
      <c r="H12" s="117">
        <v>17252.279921999991</v>
      </c>
      <c r="I12" s="152">
        <f>SUM(H12,G12)</f>
        <v>29518.660921999988</v>
      </c>
      <c r="J12" s="119">
        <v>13860</v>
      </c>
      <c r="K12" s="117">
        <v>12531.354499999999</v>
      </c>
      <c r="L12" s="117">
        <v>17433.130268000001</v>
      </c>
      <c r="M12" s="152">
        <f>K12+L12</f>
        <v>29964.484768000002</v>
      </c>
      <c r="N12" s="178">
        <v>52</v>
      </c>
      <c r="O12" s="88">
        <v>52</v>
      </c>
      <c r="P12" s="145">
        <v>50</v>
      </c>
      <c r="Q12" s="181">
        <f>IF(J12=0,((F12/V12)),((J12/V12)))</f>
        <v>396</v>
      </c>
      <c r="V12" s="1">
        <v>35</v>
      </c>
    </row>
    <row r="13" spans="1:27" x14ac:dyDescent="0.3">
      <c r="B13" s="16" t="s">
        <v>38</v>
      </c>
      <c r="C13" s="17">
        <v>7415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3">
      <c r="B14" s="16" t="s">
        <v>40</v>
      </c>
      <c r="C14" s="17">
        <v>1747</v>
      </c>
      <c r="E14" s="161" t="s">
        <v>39</v>
      </c>
      <c r="F14" s="119">
        <v>18629</v>
      </c>
      <c r="G14" s="117">
        <v>22740.570500000002</v>
      </c>
      <c r="H14" s="117">
        <v>20741.536469999999</v>
      </c>
      <c r="I14" s="152">
        <f>SUM(H14,G14)</f>
        <v>43482.106970000001</v>
      </c>
      <c r="J14" s="119">
        <v>19271</v>
      </c>
      <c r="K14" s="117">
        <v>23203.1705</v>
      </c>
      <c r="L14" s="117">
        <v>21274.036205</v>
      </c>
      <c r="M14" s="152">
        <f>K14+L14</f>
        <v>44477.206705000004</v>
      </c>
      <c r="N14" s="178">
        <v>72</v>
      </c>
      <c r="O14" s="88">
        <v>73</v>
      </c>
      <c r="P14" s="145">
        <v>59</v>
      </c>
      <c r="Q14" s="181">
        <f>IF(J14=0,((F14/V14)),((J14/V14)))</f>
        <v>458.83333333333331</v>
      </c>
      <c r="V14" s="1">
        <v>42</v>
      </c>
    </row>
    <row r="15" spans="1:27" x14ac:dyDescent="0.3">
      <c r="B15" s="28" t="s">
        <v>42</v>
      </c>
      <c r="C15" s="17">
        <v>30690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14</v>
      </c>
      <c r="Q15" s="118"/>
    </row>
    <row r="16" spans="1:27" x14ac:dyDescent="0.3">
      <c r="B16" s="43" t="s">
        <v>47</v>
      </c>
      <c r="C16" s="17">
        <v>1445</v>
      </c>
      <c r="E16" s="161" t="s">
        <v>79</v>
      </c>
      <c r="F16" s="119">
        <v>0</v>
      </c>
      <c r="G16" s="117">
        <v>0</v>
      </c>
      <c r="H16" s="117">
        <v>6045.6631669999979</v>
      </c>
      <c r="I16" s="152">
        <f>SUM(H16,G16)</f>
        <v>6045.6631669999979</v>
      </c>
      <c r="J16" s="119">
        <v>0</v>
      </c>
      <c r="K16" s="117">
        <v>0</v>
      </c>
      <c r="L16" s="117">
        <v>6215.2843909999983</v>
      </c>
      <c r="M16" s="152">
        <f>K16+L16</f>
        <v>6215.2843909999983</v>
      </c>
      <c r="N16" s="178">
        <v>10</v>
      </c>
      <c r="O16" s="88">
        <v>10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50">
        <v>272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10361</v>
      </c>
      <c r="E18" s="84"/>
      <c r="F18" s="148">
        <f>SUM(F6:F16)</f>
        <v>82247</v>
      </c>
      <c r="G18" s="148">
        <f>SUM(G6:G16)</f>
        <v>69466.698000000004</v>
      </c>
      <c r="H18" s="148">
        <f>SUM(H6:H16)</f>
        <v>55472.244249999989</v>
      </c>
      <c r="I18" s="157">
        <f>SUM(I6:I17)</f>
        <v>124938.94224999996</v>
      </c>
      <c r="J18" s="149">
        <f>SUM(J6:J17)</f>
        <v>84628</v>
      </c>
      <c r="K18" s="149">
        <f>SUM(K6:K17)</f>
        <v>72570.937000000005</v>
      </c>
      <c r="L18" s="149">
        <f>SUM(L6:L17)</f>
        <v>56779.942883000003</v>
      </c>
      <c r="M18" s="175">
        <f>SUM(M6:M17)</f>
        <v>129350.879883</v>
      </c>
      <c r="N18" s="148">
        <f>SUM(N16,N14,N12,N10,N8,N6)</f>
        <v>277</v>
      </c>
      <c r="O18" s="148">
        <f>SUM(O16,O14,O12,O10,O8,O6)</f>
        <v>281</v>
      </c>
      <c r="P18" s="148">
        <f>SUM(P16,P14,P12,P10,P8,P6)</f>
        <v>251</v>
      </c>
      <c r="Q18" s="182"/>
    </row>
    <row r="19" spans="1:28" ht="15" customHeight="1" thickBot="1" x14ac:dyDescent="0.35">
      <c r="B19" s="16" t="s">
        <v>51</v>
      </c>
      <c r="C19" s="17">
        <v>1231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4318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0.10676156583629894</v>
      </c>
      <c r="Q20" s="139"/>
    </row>
    <row r="21" spans="1:28" ht="15" customHeight="1" thickBot="1" x14ac:dyDescent="0.35">
      <c r="A21" s="123"/>
      <c r="B21" s="168" t="s">
        <v>132</v>
      </c>
      <c r="C21" s="58">
        <v>824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8497</v>
      </c>
      <c r="D25" s="77">
        <v>7502</v>
      </c>
      <c r="E25" s="77">
        <f t="shared" ref="E25:E33" si="0">IFERROR(D25-C25,0)</f>
        <v>-995</v>
      </c>
    </row>
    <row r="26" spans="1:28" x14ac:dyDescent="0.3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36912</v>
      </c>
      <c r="D27" s="77">
        <v>37985</v>
      </c>
      <c r="E27" s="77">
        <f t="shared" si="0"/>
        <v>1073</v>
      </c>
      <c r="G27" s="53"/>
      <c r="M27" s="53"/>
      <c r="P27" s="4"/>
      <c r="Q27" s="4"/>
    </row>
    <row r="28" spans="1:28" x14ac:dyDescent="0.3">
      <c r="B28" s="74" t="s">
        <v>145</v>
      </c>
      <c r="C28" s="77">
        <v>6681</v>
      </c>
      <c r="D28" s="76">
        <v>6681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77">
        <v>2432</v>
      </c>
      <c r="D29" s="76">
        <v>2432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77">
        <v>4504</v>
      </c>
      <c r="D30" s="76">
        <v>4504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77">
        <v>14460</v>
      </c>
      <c r="D31" s="77">
        <v>16762</v>
      </c>
      <c r="E31" s="77">
        <f t="shared" si="0"/>
        <v>2302</v>
      </c>
      <c r="K31" s="53"/>
      <c r="P31" s="4"/>
      <c r="Q31" s="4"/>
    </row>
    <row r="32" spans="1:28" x14ac:dyDescent="0.3">
      <c r="B32" s="74" t="s">
        <v>60</v>
      </c>
      <c r="C32" s="77">
        <v>3390</v>
      </c>
      <c r="D32" s="76">
        <v>3390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81">
        <v>5384</v>
      </c>
      <c r="D33" s="80">
        <v>5384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>
    <tabColor theme="1"/>
    <pageSetUpPr fitToPage="1"/>
  </sheetPr>
  <dimension ref="A1:AB33"/>
  <sheetViews>
    <sheetView topLeftCell="A3" zoomScaleNormal="100" zoomScaleSheetLayoutView="70" workbookViewId="0">
      <selection activeCell="N31" sqref="N31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44831</v>
      </c>
    </row>
    <row r="3" spans="1:27" ht="18.75" customHeight="1" thickBot="1" x14ac:dyDescent="0.35">
      <c r="B3" t="s">
        <v>1</v>
      </c>
      <c r="C3" s="3">
        <f>C2+1</f>
        <v>44832</v>
      </c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143</v>
      </c>
      <c r="E6" s="161" t="s">
        <v>22</v>
      </c>
      <c r="F6" s="119">
        <v>32030</v>
      </c>
      <c r="G6" s="117">
        <v>16093.955</v>
      </c>
      <c r="H6" s="117">
        <v>5976.9310690000011</v>
      </c>
      <c r="I6" s="152">
        <f>SUM(H6,G6)</f>
        <v>22070.886069</v>
      </c>
      <c r="J6" s="119">
        <v>32656</v>
      </c>
      <c r="K6" s="117">
        <v>16764.356</v>
      </c>
      <c r="L6" s="117">
        <v>6129.8884040000003</v>
      </c>
      <c r="M6" s="152">
        <f>K6+L6</f>
        <v>22894.244404000001</v>
      </c>
      <c r="N6" s="178">
        <v>72</v>
      </c>
      <c r="O6" s="88">
        <v>71</v>
      </c>
      <c r="P6" s="145">
        <v>68</v>
      </c>
      <c r="Q6" s="181">
        <f>IF(J6=0,((F6/V6)),((J6/V6)))</f>
        <v>759.44186046511629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615</v>
      </c>
      <c r="G8" s="117">
        <v>3059.0349999999999</v>
      </c>
      <c r="H8" s="117">
        <v>5297.9219360000006</v>
      </c>
      <c r="I8" s="152">
        <f>SUM(H8,G8)</f>
        <v>8356.9569360000005</v>
      </c>
      <c r="J8" s="119">
        <v>622</v>
      </c>
      <c r="K8" s="117">
        <v>3058.9409999999998</v>
      </c>
      <c r="L8" s="117">
        <v>5275.6411210000006</v>
      </c>
      <c r="M8" s="152">
        <f>K8+L8</f>
        <v>8334.5821209999995</v>
      </c>
      <c r="N8" s="178">
        <v>27</v>
      </c>
      <c r="O8" s="88">
        <v>28</v>
      </c>
      <c r="P8" s="145">
        <v>24</v>
      </c>
      <c r="Q8" s="117"/>
    </row>
    <row r="9" spans="1:27" x14ac:dyDescent="0.3">
      <c r="B9" s="16" t="s">
        <v>23</v>
      </c>
      <c r="C9" s="17">
        <v>6125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3">
      <c r="B10" s="28" t="s">
        <v>26</v>
      </c>
      <c r="C10" s="17">
        <v>1000</v>
      </c>
      <c r="E10" s="161" t="s">
        <v>31</v>
      </c>
      <c r="F10" s="119">
        <v>24003</v>
      </c>
      <c r="G10" s="117">
        <v>16794.386500000001</v>
      </c>
      <c r="H10" s="117">
        <v>866.96747900000014</v>
      </c>
      <c r="I10" s="152">
        <f>SUM(H10,G10)</f>
        <v>17661.353979</v>
      </c>
      <c r="J10" s="119">
        <v>23860</v>
      </c>
      <c r="K10" s="117">
        <v>16816.442999999999</v>
      </c>
      <c r="L10" s="117">
        <v>871.65809100000001</v>
      </c>
      <c r="M10" s="152">
        <f>K10+L10</f>
        <v>17688.101091</v>
      </c>
      <c r="N10" s="178">
        <v>53</v>
      </c>
      <c r="O10" s="88">
        <v>51</v>
      </c>
      <c r="P10" s="145">
        <v>51</v>
      </c>
      <c r="Q10" s="181">
        <f>IF(J10=0,((F10/V10)),((J10/V10)))</f>
        <v>458.84615384615387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2294</v>
      </c>
      <c r="E12" s="161" t="s">
        <v>35</v>
      </c>
      <c r="F12" s="119">
        <v>14122</v>
      </c>
      <c r="G12" s="117">
        <v>12107.794</v>
      </c>
      <c r="H12" s="117">
        <v>17464.256196999999</v>
      </c>
      <c r="I12" s="152">
        <f>SUM(H12,G12)</f>
        <v>29572.050196999997</v>
      </c>
      <c r="J12" s="119">
        <v>13959</v>
      </c>
      <c r="K12" s="117">
        <v>11943.788</v>
      </c>
      <c r="L12" s="117">
        <v>17248.181383999989</v>
      </c>
      <c r="M12" s="152">
        <f>K12+L12</f>
        <v>29191.969383999989</v>
      </c>
      <c r="N12" s="178">
        <v>57</v>
      </c>
      <c r="O12" s="88">
        <v>54</v>
      </c>
      <c r="P12" s="145">
        <v>51</v>
      </c>
      <c r="Q12" s="181">
        <f>IF(J12=0,((F12/V12)),((J12/V12)))</f>
        <v>398.82857142857142</v>
      </c>
      <c r="V12" s="1">
        <v>35</v>
      </c>
    </row>
    <row r="13" spans="1:27" x14ac:dyDescent="0.3">
      <c r="B13" s="16" t="s">
        <v>38</v>
      </c>
      <c r="C13" s="17">
        <v>9033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9879</v>
      </c>
      <c r="E14" s="161" t="s">
        <v>39</v>
      </c>
      <c r="F14" s="119">
        <v>22836</v>
      </c>
      <c r="G14" s="117">
        <v>27201.194</v>
      </c>
      <c r="H14" s="117">
        <v>26659.70183400001</v>
      </c>
      <c r="I14" s="152">
        <f>SUM(H14,G14)</f>
        <v>53860.89583400001</v>
      </c>
      <c r="J14" s="119">
        <v>21896</v>
      </c>
      <c r="K14" s="117">
        <v>26344.269749999999</v>
      </c>
      <c r="L14" s="117">
        <v>25837.042552999999</v>
      </c>
      <c r="M14" s="152">
        <f>K14+L14</f>
        <v>52181.312302999999</v>
      </c>
      <c r="N14" s="178">
        <v>71</v>
      </c>
      <c r="O14" s="88">
        <v>72</v>
      </c>
      <c r="P14" s="145">
        <v>65</v>
      </c>
      <c r="Q14" s="181">
        <f>IF(J14=0,((F14/V14)),((J14/V14)))</f>
        <v>521.33333333333337</v>
      </c>
      <c r="V14" s="1">
        <v>42</v>
      </c>
    </row>
    <row r="15" spans="1:27" x14ac:dyDescent="0.3">
      <c r="B15" s="28" t="s">
        <v>42</v>
      </c>
      <c r="C15" s="17">
        <v>24976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3">
      <c r="B16" s="43" t="s">
        <v>47</v>
      </c>
      <c r="C16" s="17">
        <v>1711</v>
      </c>
      <c r="E16" s="161" t="s">
        <v>79</v>
      </c>
      <c r="F16" s="119">
        <v>0</v>
      </c>
      <c r="G16" s="117">
        <v>0</v>
      </c>
      <c r="H16" s="117">
        <v>5692.832652000001</v>
      </c>
      <c r="I16" s="152">
        <f>SUM(H16,G16)</f>
        <v>5692.832652000001</v>
      </c>
      <c r="J16" s="119">
        <v>0</v>
      </c>
      <c r="K16" s="117">
        <v>0</v>
      </c>
      <c r="L16" s="117">
        <v>5744.6355659999999</v>
      </c>
      <c r="M16" s="152">
        <f>K16+L16</f>
        <v>5744.6355659999999</v>
      </c>
      <c r="N16" s="178">
        <v>11</v>
      </c>
      <c r="O16" s="88">
        <v>12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1524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9252</v>
      </c>
      <c r="E18" s="84"/>
      <c r="F18" s="148">
        <f>SUM(F6:F16)</f>
        <v>93606</v>
      </c>
      <c r="G18" s="148">
        <f>SUM(G6:G16)</f>
        <v>75256.364499999996</v>
      </c>
      <c r="H18" s="148">
        <f>SUM(H6:H16)</f>
        <v>61958.61116700001</v>
      </c>
      <c r="I18" s="157">
        <f>SUM(I6:I17)</f>
        <v>137214.97566700002</v>
      </c>
      <c r="J18" s="149">
        <f>SUM(J6:J17)</f>
        <v>92993</v>
      </c>
      <c r="K18" s="149">
        <f>SUM(K6:K17)</f>
        <v>74927.797749999998</v>
      </c>
      <c r="L18" s="149">
        <f>SUM(L6:L17)</f>
        <v>61107.047118999988</v>
      </c>
      <c r="M18" s="175">
        <f>SUM(M6:M17)</f>
        <v>136034.84486899999</v>
      </c>
      <c r="N18" s="148">
        <f>SUM(N16,N14,N12,N10,N8,N6)</f>
        <v>291</v>
      </c>
      <c r="O18" s="148">
        <f>SUM(O16,O14,O12,O10,O8,O6)</f>
        <v>288</v>
      </c>
      <c r="P18" s="148">
        <f>SUM(P16,P14,P12,P10,P8,P6)</f>
        <v>269</v>
      </c>
      <c r="Q18" s="182"/>
    </row>
    <row r="19" spans="1:28" ht="15" customHeight="1" thickBot="1" x14ac:dyDescent="0.35">
      <c r="B19" s="16" t="s">
        <v>51</v>
      </c>
      <c r="C19" s="17">
        <v>1058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3">
      <c r="B20" s="16" t="s">
        <v>52</v>
      </c>
      <c r="C20" s="17">
        <v>4635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6.5972222222222224E-2</v>
      </c>
      <c r="Q20" s="139"/>
    </row>
    <row r="21" spans="1:28" ht="15" customHeight="1" thickBot="1" x14ac:dyDescent="0.35">
      <c r="A21" s="123"/>
      <c r="B21" s="168" t="s">
        <v>132</v>
      </c>
      <c r="C21" s="58">
        <v>543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10621</v>
      </c>
      <c r="D25" s="77">
        <v>10675</v>
      </c>
      <c r="E25" s="77">
        <f t="shared" ref="E25:E33" si="0">IFERROR(D25-C25,0)</f>
        <v>54</v>
      </c>
    </row>
    <row r="26" spans="1:28" x14ac:dyDescent="0.3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36342</v>
      </c>
      <c r="D27" s="77">
        <v>35384</v>
      </c>
      <c r="E27" s="77">
        <f t="shared" si="0"/>
        <v>-958</v>
      </c>
      <c r="G27" s="53"/>
      <c r="M27" s="53"/>
      <c r="P27" s="4"/>
      <c r="Q27" s="4"/>
    </row>
    <row r="28" spans="1:28" x14ac:dyDescent="0.3">
      <c r="B28" s="74" t="s">
        <v>145</v>
      </c>
      <c r="C28" s="77">
        <v>9423</v>
      </c>
      <c r="D28" s="76">
        <v>9423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77">
        <v>4994</v>
      </c>
      <c r="D29" s="76">
        <v>4994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77">
        <v>7826</v>
      </c>
      <c r="D30" s="76">
        <v>7826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77">
        <v>15503</v>
      </c>
      <c r="D31" s="77">
        <v>15794</v>
      </c>
      <c r="E31" s="77">
        <f t="shared" si="0"/>
        <v>291</v>
      </c>
      <c r="K31" s="53"/>
      <c r="P31" s="4"/>
      <c r="Q31" s="4"/>
    </row>
    <row r="32" spans="1:28" x14ac:dyDescent="0.3">
      <c r="B32" s="74" t="s">
        <v>60</v>
      </c>
      <c r="C32" s="77">
        <v>5330</v>
      </c>
      <c r="D32" s="76">
        <v>5330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81">
        <v>3582</v>
      </c>
      <c r="D33" s="80">
        <v>3582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>
    <tabColor theme="1"/>
    <pageSetUpPr fitToPage="1"/>
  </sheetPr>
  <dimension ref="A1:AB33"/>
  <sheetViews>
    <sheetView zoomScaleNormal="100" zoomScaleSheetLayoutView="70" workbookViewId="0">
      <selection activeCell="S18" sqref="S18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44832</v>
      </c>
    </row>
    <row r="3" spans="1:27" ht="18.75" customHeight="1" thickBot="1" x14ac:dyDescent="0.35">
      <c r="B3" t="s">
        <v>1</v>
      </c>
      <c r="C3" s="3">
        <f>C2+1</f>
        <v>44833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59</v>
      </c>
      <c r="E6" s="161" t="s">
        <v>22</v>
      </c>
      <c r="F6" s="119">
        <v>27838</v>
      </c>
      <c r="G6" s="117">
        <v>14369.486000000001</v>
      </c>
      <c r="H6" s="117">
        <v>6287.092987</v>
      </c>
      <c r="I6" s="152">
        <f>SUM(H6,G6)</f>
        <v>20656.578987000001</v>
      </c>
      <c r="J6" s="119">
        <v>30174</v>
      </c>
      <c r="K6" s="117">
        <v>15428.868000000009</v>
      </c>
      <c r="L6" s="117">
        <v>6712.298316999998</v>
      </c>
      <c r="M6" s="152">
        <f>K6+L6</f>
        <v>22141.166317000007</v>
      </c>
      <c r="N6" s="178">
        <v>68</v>
      </c>
      <c r="O6" s="88">
        <v>68</v>
      </c>
      <c r="P6" s="145">
        <v>63</v>
      </c>
      <c r="Q6" s="181">
        <f>IF(J6=0,((F6/V6)),((J6/V6)))</f>
        <v>701.72093023255809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1346</v>
      </c>
      <c r="G8" s="117">
        <v>8323.268</v>
      </c>
      <c r="H8" s="117">
        <v>9083.2754049999949</v>
      </c>
      <c r="I8" s="152">
        <f>SUM(H8,G8)</f>
        <v>17406.543404999997</v>
      </c>
      <c r="J8" s="119">
        <v>1338</v>
      </c>
      <c r="K8" s="117">
        <v>8322.83</v>
      </c>
      <c r="L8" s="117">
        <v>9312.9719789999963</v>
      </c>
      <c r="M8" s="152">
        <f>K8+L8</f>
        <v>17635.801978999996</v>
      </c>
      <c r="N8" s="178">
        <v>23</v>
      </c>
      <c r="O8" s="88">
        <v>24</v>
      </c>
      <c r="P8" s="145">
        <v>16</v>
      </c>
      <c r="Q8" s="117"/>
    </row>
    <row r="9" spans="1:27" x14ac:dyDescent="0.3">
      <c r="B9" s="16" t="s">
        <v>23</v>
      </c>
      <c r="C9" s="17">
        <v>5615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19460</v>
      </c>
      <c r="G10" s="117">
        <v>14277.529500000001</v>
      </c>
      <c r="H10" s="117">
        <v>484.74130000000008</v>
      </c>
      <c r="I10" s="152">
        <f>SUM(H10,G10)</f>
        <v>14762.2708</v>
      </c>
      <c r="J10" s="119">
        <v>20074</v>
      </c>
      <c r="K10" s="117">
        <v>14596.004999999999</v>
      </c>
      <c r="L10" s="117">
        <v>512.01830900000004</v>
      </c>
      <c r="M10" s="152">
        <f>K10+L10</f>
        <v>15108.023309</v>
      </c>
      <c r="N10" s="178">
        <v>53</v>
      </c>
      <c r="O10" s="88">
        <v>51</v>
      </c>
      <c r="P10" s="145">
        <v>51</v>
      </c>
      <c r="Q10" s="181">
        <f>IF(J10=0,((F10/V10)),((J10/V10)))</f>
        <v>386.03846153846155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2461</v>
      </c>
      <c r="E12" s="161" t="s">
        <v>35</v>
      </c>
      <c r="F12" s="119">
        <v>12414</v>
      </c>
      <c r="G12" s="117">
        <v>11607.0175</v>
      </c>
      <c r="H12" s="117">
        <v>15790.27766199999</v>
      </c>
      <c r="I12" s="152">
        <f>SUM(H12,G12)</f>
        <v>27397.295161999988</v>
      </c>
      <c r="J12" s="119">
        <v>13625</v>
      </c>
      <c r="K12" s="117">
        <v>12524.476000000001</v>
      </c>
      <c r="L12" s="117">
        <v>17080.004007999989</v>
      </c>
      <c r="M12" s="152">
        <f>K12+L12</f>
        <v>29604.480007999991</v>
      </c>
      <c r="N12" s="178">
        <v>50</v>
      </c>
      <c r="O12" s="88">
        <v>49</v>
      </c>
      <c r="P12" s="145">
        <v>43</v>
      </c>
      <c r="Q12" s="181">
        <f>IF(J12=0,((F12/V12)),((J12/V12)))</f>
        <v>389.28571428571428</v>
      </c>
      <c r="V12" s="1">
        <v>35</v>
      </c>
    </row>
    <row r="13" spans="1:27" x14ac:dyDescent="0.3">
      <c r="B13" s="16" t="s">
        <v>38</v>
      </c>
      <c r="C13" s="17">
        <v>9381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3">
      <c r="B14" s="16" t="s">
        <v>40</v>
      </c>
      <c r="C14" s="17">
        <v>1858</v>
      </c>
      <c r="E14" s="161" t="s">
        <v>39</v>
      </c>
      <c r="F14" s="119">
        <v>19053</v>
      </c>
      <c r="G14" s="117">
        <v>23378.7585</v>
      </c>
      <c r="H14" s="117">
        <v>22992.164611</v>
      </c>
      <c r="I14" s="152">
        <f>SUM(H14,G14)</f>
        <v>46370.923110999996</v>
      </c>
      <c r="J14" s="119">
        <v>20015</v>
      </c>
      <c r="K14" s="117">
        <v>24564.334750000002</v>
      </c>
      <c r="L14" s="117">
        <v>24115.934758999989</v>
      </c>
      <c r="M14" s="152">
        <f>K14+L14</f>
        <v>48680.269508999991</v>
      </c>
      <c r="N14" s="178">
        <v>70</v>
      </c>
      <c r="O14" s="88">
        <v>71</v>
      </c>
      <c r="P14" s="145">
        <v>62</v>
      </c>
      <c r="Q14" s="181">
        <f>IF(J14=0,((F14/V14)),((J14/V14)))</f>
        <v>476.54761904761904</v>
      </c>
      <c r="V14" s="1">
        <v>42</v>
      </c>
    </row>
    <row r="15" spans="1:27" x14ac:dyDescent="0.3">
      <c r="B15" s="28" t="s">
        <v>42</v>
      </c>
      <c r="C15" s="17">
        <v>34510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3">
      <c r="B16" s="43" t="s">
        <v>47</v>
      </c>
      <c r="C16" s="17">
        <v>1780</v>
      </c>
      <c r="E16" s="161" t="s">
        <v>79</v>
      </c>
      <c r="F16" s="119">
        <v>0</v>
      </c>
      <c r="G16" s="117">
        <v>0</v>
      </c>
      <c r="H16" s="117">
        <v>7707.3359949999985</v>
      </c>
      <c r="I16" s="152">
        <f>SUM(H16,G16)</f>
        <v>7707.3359949999985</v>
      </c>
      <c r="J16" s="119">
        <v>0</v>
      </c>
      <c r="K16" s="117">
        <v>0</v>
      </c>
      <c r="L16" s="117">
        <v>7718.6055489999999</v>
      </c>
      <c r="M16" s="152">
        <f>K16+L16</f>
        <v>7718.6055489999999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50">
        <v>363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9859</v>
      </c>
      <c r="E18" s="84"/>
      <c r="F18" s="148">
        <f>SUM(F6:F16)</f>
        <v>80111</v>
      </c>
      <c r="G18" s="148">
        <f>SUM(G6:G16)</f>
        <v>71956.059500000003</v>
      </c>
      <c r="H18" s="148">
        <f>SUM(H6:H16)</f>
        <v>62344.887959999985</v>
      </c>
      <c r="I18" s="157">
        <f>SUM(I6:I17)</f>
        <v>134300.94745999997</v>
      </c>
      <c r="J18" s="149">
        <f>SUM(J6:J17)</f>
        <v>85226</v>
      </c>
      <c r="K18" s="149">
        <f>SUM(K6:K17)</f>
        <v>75436.513750000013</v>
      </c>
      <c r="L18" s="149">
        <f>SUM(L6:L17)</f>
        <v>65451.832920999972</v>
      </c>
      <c r="M18" s="175">
        <f>SUM(M6:M17)</f>
        <v>140888.34667099998</v>
      </c>
      <c r="N18" s="148">
        <f>SUM(N16,N14,N12,N10,N8,N6)</f>
        <v>274</v>
      </c>
      <c r="O18" s="148">
        <f>SUM(O16,O14,O12,O10,O8,O6)</f>
        <v>273</v>
      </c>
      <c r="P18" s="148">
        <f>SUM(P16,P14,P12,P10,P8,P6)</f>
        <v>245</v>
      </c>
      <c r="Q18" s="182"/>
    </row>
    <row r="19" spans="1:28" ht="15" customHeight="1" thickBot="1" x14ac:dyDescent="0.35">
      <c r="B19" s="16" t="s">
        <v>51</v>
      </c>
      <c r="C19" s="17">
        <v>1111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3">
      <c r="B20" s="16" t="s">
        <v>52</v>
      </c>
      <c r="C20" s="17">
        <v>4538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0.10256410256410256</v>
      </c>
      <c r="Q20" s="139"/>
    </row>
    <row r="21" spans="1:28" ht="15" customHeight="1" thickBot="1" x14ac:dyDescent="0.35">
      <c r="A21" s="123"/>
      <c r="B21" s="168" t="s">
        <v>132</v>
      </c>
      <c r="C21" s="58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10678</v>
      </c>
      <c r="D25" s="77">
        <v>11371</v>
      </c>
      <c r="E25" s="77">
        <f t="shared" ref="E25:E33" si="0">IFERROR(D25-C25,0)</f>
        <v>693</v>
      </c>
    </row>
    <row r="26" spans="1:28" x14ac:dyDescent="0.3">
      <c r="B26" s="74" t="s">
        <v>143</v>
      </c>
      <c r="C26" s="77">
        <v>1200</v>
      </c>
      <c r="D26" s="77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35699</v>
      </c>
      <c r="D27" s="77">
        <v>38630</v>
      </c>
      <c r="E27" s="77">
        <f t="shared" si="0"/>
        <v>2931</v>
      </c>
      <c r="G27" s="53"/>
      <c r="M27" s="53"/>
      <c r="P27" s="4"/>
      <c r="Q27" s="4"/>
    </row>
    <row r="28" spans="1:28" x14ac:dyDescent="0.3">
      <c r="B28" s="74" t="s">
        <v>145</v>
      </c>
      <c r="C28" s="77">
        <v>7148</v>
      </c>
      <c r="D28" s="76">
        <v>7148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77">
        <v>1888</v>
      </c>
      <c r="D29" s="76">
        <v>1888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77">
        <v>8494</v>
      </c>
      <c r="D30" s="76">
        <v>8494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77">
        <v>15020</v>
      </c>
      <c r="D31" s="77">
        <v>16511</v>
      </c>
      <c r="E31" s="77">
        <f t="shared" si="0"/>
        <v>1491</v>
      </c>
      <c r="K31" s="53"/>
      <c r="P31" s="4"/>
      <c r="Q31" s="4"/>
    </row>
    <row r="32" spans="1:28" x14ac:dyDescent="0.3">
      <c r="B32" s="74" t="s">
        <v>60</v>
      </c>
      <c r="C32" s="77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8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theme="1"/>
    <pageSetUpPr fitToPage="1"/>
  </sheetPr>
  <dimension ref="A1:AB33"/>
  <sheetViews>
    <sheetView zoomScaleNormal="100" zoomScaleSheetLayoutView="70" workbookViewId="0">
      <selection activeCell="R7" sqref="R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44833</v>
      </c>
    </row>
    <row r="3" spans="1:27" ht="18.75" customHeight="1" thickBot="1" x14ac:dyDescent="0.35">
      <c r="B3" t="s">
        <v>1</v>
      </c>
      <c r="C3" s="3">
        <f>C2+1</f>
        <v>44834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128</v>
      </c>
      <c r="E6" s="161" t="s">
        <v>22</v>
      </c>
      <c r="F6" s="119">
        <v>24852</v>
      </c>
      <c r="G6" s="117">
        <v>11993.494000000001</v>
      </c>
      <c r="H6" s="117">
        <v>4993.3396699999994</v>
      </c>
      <c r="I6" s="152">
        <f>SUM(H6,G6)</f>
        <v>16986.83367</v>
      </c>
      <c r="J6" s="119">
        <v>26048</v>
      </c>
      <c r="K6" s="117">
        <v>13093.919</v>
      </c>
      <c r="L6" s="117">
        <v>5518.7408770000011</v>
      </c>
      <c r="M6" s="152">
        <f>K6+L6</f>
        <v>18612.659877000002</v>
      </c>
      <c r="N6" s="178">
        <v>67</v>
      </c>
      <c r="O6" s="88">
        <v>66</v>
      </c>
      <c r="P6" s="145">
        <v>62</v>
      </c>
      <c r="Q6" s="181">
        <f>IF(J6=0,((F6/V6)),((J6/V6)))</f>
        <v>605.76744186046517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1165</v>
      </c>
      <c r="G8" s="117">
        <v>6053.107</v>
      </c>
      <c r="H8" s="117">
        <v>5788.5969919999998</v>
      </c>
      <c r="I8" s="152">
        <f>SUM(H8,G8)</f>
        <v>11841.703991999999</v>
      </c>
      <c r="J8" s="119">
        <v>1161</v>
      </c>
      <c r="K8" s="117">
        <v>6103.6139999999996</v>
      </c>
      <c r="L8" s="117">
        <v>5818.3090739999998</v>
      </c>
      <c r="M8" s="152">
        <f>K8+L8</f>
        <v>11921.923073999998</v>
      </c>
      <c r="N8" s="178">
        <v>39</v>
      </c>
      <c r="O8" s="88">
        <v>24</v>
      </c>
      <c r="P8" s="145">
        <v>36</v>
      </c>
      <c r="Q8" s="117"/>
    </row>
    <row r="9" spans="1:27" x14ac:dyDescent="0.3">
      <c r="B9" s="16" t="s">
        <v>23</v>
      </c>
      <c r="C9" s="17">
        <v>6313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-12</v>
      </c>
      <c r="Q9" s="118"/>
    </row>
    <row r="10" spans="1:27" x14ac:dyDescent="0.3">
      <c r="B10" s="28" t="s">
        <v>26</v>
      </c>
      <c r="C10" s="17">
        <v>1065</v>
      </c>
      <c r="E10" s="161" t="s">
        <v>31</v>
      </c>
      <c r="F10" s="119">
        <v>23817</v>
      </c>
      <c r="G10" s="117">
        <v>16873.272499999999</v>
      </c>
      <c r="H10" s="117">
        <v>793.23561400000006</v>
      </c>
      <c r="I10" s="152">
        <f>SUM(H10,G10)</f>
        <v>17666.508114</v>
      </c>
      <c r="J10" s="119">
        <v>23858</v>
      </c>
      <c r="K10" s="117">
        <v>16862.3825</v>
      </c>
      <c r="L10" s="117">
        <v>801.96888200000012</v>
      </c>
      <c r="M10" s="152">
        <f>K10+L10</f>
        <v>17664.351382000001</v>
      </c>
      <c r="N10" s="178">
        <v>51</v>
      </c>
      <c r="O10" s="88">
        <v>52</v>
      </c>
      <c r="P10" s="145">
        <v>50</v>
      </c>
      <c r="Q10" s="181">
        <f>IF(J10=0,((F10/V10)),((J10/V10)))</f>
        <v>458.80769230769232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2228</v>
      </c>
      <c r="E12" s="161" t="s">
        <v>35</v>
      </c>
      <c r="F12" s="119">
        <v>12536</v>
      </c>
      <c r="G12" s="117">
        <v>10286.532999999999</v>
      </c>
      <c r="H12" s="117">
        <v>15802.234569</v>
      </c>
      <c r="I12" s="152">
        <f>SUM(H12,G12)</f>
        <v>26088.767569</v>
      </c>
      <c r="J12" s="119">
        <v>13032</v>
      </c>
      <c r="K12" s="117">
        <v>10549.3585</v>
      </c>
      <c r="L12" s="117">
        <v>16128.634636000001</v>
      </c>
      <c r="M12" s="152">
        <f>K12+L12</f>
        <v>26677.993136000001</v>
      </c>
      <c r="N12" s="178">
        <v>49</v>
      </c>
      <c r="O12" s="88">
        <v>52</v>
      </c>
      <c r="P12" s="145">
        <v>46</v>
      </c>
      <c r="Q12" s="181">
        <f>IF(J12=0,((F12/V12)),((J12/V12)))</f>
        <v>372.34285714285716</v>
      </c>
      <c r="V12" s="1">
        <v>35</v>
      </c>
    </row>
    <row r="13" spans="1:27" x14ac:dyDescent="0.3">
      <c r="B13" s="16" t="s">
        <v>38</v>
      </c>
      <c r="C13" s="17">
        <v>8983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3">
      <c r="B14" s="16" t="s">
        <v>40</v>
      </c>
      <c r="C14" s="17">
        <v>14043</v>
      </c>
      <c r="E14" s="161" t="s">
        <v>39</v>
      </c>
      <c r="F14" s="119">
        <v>23401</v>
      </c>
      <c r="G14" s="117">
        <v>26914.092250000002</v>
      </c>
      <c r="H14" s="117">
        <v>28520.51505300001</v>
      </c>
      <c r="I14" s="152">
        <f>SUM(H14,G14)</f>
        <v>55434.607303000012</v>
      </c>
      <c r="J14" s="119">
        <v>23673</v>
      </c>
      <c r="K14" s="117">
        <v>27217.85225</v>
      </c>
      <c r="L14" s="117">
        <v>28814.224069</v>
      </c>
      <c r="M14" s="152">
        <f>K14+L14</f>
        <v>56032.076319</v>
      </c>
      <c r="N14" s="178">
        <v>77</v>
      </c>
      <c r="O14" s="88">
        <v>77</v>
      </c>
      <c r="P14" s="145">
        <v>68</v>
      </c>
      <c r="Q14" s="181">
        <f>IF(J14=0,((F14/V14)),((J14/V14)))</f>
        <v>563.64285714285711</v>
      </c>
      <c r="V14" s="1">
        <v>42</v>
      </c>
    </row>
    <row r="15" spans="1:27" x14ac:dyDescent="0.3">
      <c r="B15" s="28" t="s">
        <v>42</v>
      </c>
      <c r="C15" s="17">
        <v>24359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3">
      <c r="B16" s="43" t="s">
        <v>47</v>
      </c>
      <c r="C16" s="17">
        <v>1491</v>
      </c>
      <c r="E16" s="161" t="s">
        <v>79</v>
      </c>
      <c r="F16" s="119">
        <v>0</v>
      </c>
      <c r="G16" s="117">
        <v>0</v>
      </c>
      <c r="H16" s="117">
        <v>4165.6276429999998</v>
      </c>
      <c r="I16" s="152">
        <f>SUM(H16,G16)</f>
        <v>4165.6276429999998</v>
      </c>
      <c r="J16" s="119">
        <v>0</v>
      </c>
      <c r="K16" s="117">
        <v>0</v>
      </c>
      <c r="L16" s="117">
        <v>4008.5434460000001</v>
      </c>
      <c r="M16" s="152">
        <f>K16+L16</f>
        <v>4008.5434460000001</v>
      </c>
      <c r="N16" s="178">
        <v>9</v>
      </c>
      <c r="O16" s="88">
        <v>9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50">
        <v>2146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7618</v>
      </c>
      <c r="E18" s="84"/>
      <c r="F18" s="148">
        <f>SUM(F6:F16)</f>
        <v>85771</v>
      </c>
      <c r="G18" s="148">
        <f>SUM(G6:G16)</f>
        <v>72120.498749999999</v>
      </c>
      <c r="H18" s="148">
        <f>SUM(H6:H16)</f>
        <v>60063.549541000008</v>
      </c>
      <c r="I18" s="157">
        <f>SUM(I6:I17)</f>
        <v>132184.04829100001</v>
      </c>
      <c r="J18" s="149">
        <f>SUM(J6:J17)</f>
        <v>87772</v>
      </c>
      <c r="K18" s="149">
        <f>SUM(K6:K17)</f>
        <v>73827.126250000001</v>
      </c>
      <c r="L18" s="149">
        <f>SUM(L6:L17)</f>
        <v>61090.420984000004</v>
      </c>
      <c r="M18" s="175">
        <f>SUM(M6:M17)</f>
        <v>134917.547234</v>
      </c>
      <c r="N18" s="148">
        <f>SUM(N16,N14,N12,N10,N8,N6)</f>
        <v>292</v>
      </c>
      <c r="O18" s="148">
        <f>SUM(O16,O14,O12,O10,O8,O6)</f>
        <v>280</v>
      </c>
      <c r="P18" s="148">
        <f>SUM(P16,P14,P12,P10,P8,P6)</f>
        <v>270</v>
      </c>
      <c r="Q18" s="182"/>
    </row>
    <row r="19" spans="1:28" ht="15" customHeight="1" thickBot="1" x14ac:dyDescent="0.35">
      <c r="B19" s="16" t="s">
        <v>51</v>
      </c>
      <c r="C19" s="17">
        <v>1807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10</v>
      </c>
      <c r="Q19" s="183"/>
    </row>
    <row r="20" spans="1:28" x14ac:dyDescent="0.3">
      <c r="B20" s="16" t="s">
        <v>52</v>
      </c>
      <c r="C20" s="17">
        <v>3937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3.5714285714285712E-2</v>
      </c>
      <c r="Q20" s="139"/>
    </row>
    <row r="21" spans="1:28" ht="15" customHeight="1" thickBot="1" x14ac:dyDescent="0.35">
      <c r="A21" s="123"/>
      <c r="B21" s="168" t="s">
        <v>132</v>
      </c>
      <c r="C21" s="58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11492</v>
      </c>
      <c r="D25" s="77">
        <v>11699</v>
      </c>
      <c r="E25" s="77">
        <f t="shared" ref="E25:E33" si="0">IFERROR(D25-C25,0)</f>
        <v>207</v>
      </c>
    </row>
    <row r="26" spans="1:28" x14ac:dyDescent="0.3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31329</v>
      </c>
      <c r="D27" s="77">
        <v>32653</v>
      </c>
      <c r="E27" s="77">
        <f t="shared" si="0"/>
        <v>1324</v>
      </c>
      <c r="G27" s="53"/>
      <c r="M27" s="53"/>
      <c r="P27" s="4"/>
      <c r="Q27" s="4"/>
    </row>
    <row r="28" spans="1:28" x14ac:dyDescent="0.3">
      <c r="B28" s="74" t="s">
        <v>145</v>
      </c>
      <c r="C28" s="77">
        <v>11224</v>
      </c>
      <c r="D28" s="76">
        <v>11224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77">
        <v>4542</v>
      </c>
      <c r="D29" s="76">
        <v>4702</v>
      </c>
      <c r="E29" s="77">
        <f t="shared" si="0"/>
        <v>160</v>
      </c>
      <c r="P29" s="4"/>
      <c r="Q29" s="4"/>
    </row>
    <row r="30" spans="1:28" x14ac:dyDescent="0.3">
      <c r="B30" s="74" t="s">
        <v>146</v>
      </c>
      <c r="C30" s="77">
        <v>7562</v>
      </c>
      <c r="D30" s="76">
        <v>7562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77">
        <v>13995</v>
      </c>
      <c r="D31" s="77">
        <v>14305</v>
      </c>
      <c r="E31" s="77">
        <f t="shared" si="0"/>
        <v>310</v>
      </c>
      <c r="K31" s="53"/>
      <c r="P31" s="4"/>
      <c r="Q31" s="4"/>
    </row>
    <row r="32" spans="1:28" x14ac:dyDescent="0.3">
      <c r="B32" s="74" t="s">
        <v>60</v>
      </c>
      <c r="C32" s="77">
        <v>5650</v>
      </c>
      <c r="D32" s="76">
        <v>5650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8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theme="1"/>
    <pageSetUpPr fitToPage="1"/>
  </sheetPr>
  <dimension ref="A1:AB33"/>
  <sheetViews>
    <sheetView topLeftCell="A3" zoomScaleNormal="100" zoomScaleSheetLayoutView="70" workbookViewId="0">
      <selection activeCell="K22" sqref="K2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44834</v>
      </c>
    </row>
    <row r="3" spans="1:27" ht="18.75" customHeight="1" thickBot="1" x14ac:dyDescent="0.35">
      <c r="B3" t="s">
        <v>1</v>
      </c>
      <c r="C3" s="3">
        <f>C2+1</f>
        <v>44835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34577</v>
      </c>
      <c r="G6" s="117">
        <v>17851.85200000001</v>
      </c>
      <c r="H6" s="117">
        <v>4484.9617360000011</v>
      </c>
      <c r="I6" s="152">
        <f>SUM(H6,G6)</f>
        <v>22336.813736000011</v>
      </c>
      <c r="J6" s="119">
        <v>26048</v>
      </c>
      <c r="K6" s="117">
        <v>13093.919</v>
      </c>
      <c r="L6" s="117">
        <v>5518.7408770000011</v>
      </c>
      <c r="M6" s="152">
        <f>K6+L6</f>
        <v>18612.659877000002</v>
      </c>
      <c r="N6" s="178">
        <v>72</v>
      </c>
      <c r="O6" s="88">
        <v>69</v>
      </c>
      <c r="P6" s="145">
        <v>64</v>
      </c>
      <c r="Q6" s="181">
        <f>IF(J6=0,((F6/V6)),((J6/V6)))</f>
        <v>605.76744186046517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1815</v>
      </c>
      <c r="G8" s="117">
        <v>11564.624</v>
      </c>
      <c r="H8" s="117">
        <v>11346.151992999999</v>
      </c>
      <c r="I8" s="152">
        <f>SUM(H8,G8)</f>
        <v>22910.775992999999</v>
      </c>
      <c r="J8" s="119">
        <v>1161</v>
      </c>
      <c r="K8" s="117">
        <v>6103.6139999999996</v>
      </c>
      <c r="L8" s="117">
        <v>5818.3090739999998</v>
      </c>
      <c r="M8" s="152">
        <f>K8+L8</f>
        <v>11921.923073999998</v>
      </c>
      <c r="N8" s="178">
        <v>42</v>
      </c>
      <c r="O8" s="88">
        <v>25</v>
      </c>
      <c r="P8" s="145">
        <v>35</v>
      </c>
      <c r="Q8" s="117"/>
    </row>
    <row r="9" spans="1:27" x14ac:dyDescent="0.3">
      <c r="B9" s="16" t="s">
        <v>23</v>
      </c>
      <c r="C9" s="17">
        <v>5989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-10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19809</v>
      </c>
      <c r="G10" s="117">
        <v>14179.593500000001</v>
      </c>
      <c r="H10" s="117">
        <v>393.25709999999998</v>
      </c>
      <c r="I10" s="152">
        <f>SUM(H10,G10)</f>
        <v>14572.850600000002</v>
      </c>
      <c r="J10" s="119">
        <v>23858</v>
      </c>
      <c r="K10" s="117">
        <v>16862.3825</v>
      </c>
      <c r="L10" s="117">
        <v>801.96888200000012</v>
      </c>
      <c r="M10" s="152">
        <f>K10+L10</f>
        <v>17664.351382000001</v>
      </c>
      <c r="N10" s="178">
        <v>48</v>
      </c>
      <c r="O10" s="88">
        <v>49</v>
      </c>
      <c r="P10" s="145">
        <v>40</v>
      </c>
      <c r="Q10" s="181">
        <f>IF(J10=0,((F10/V10)),((J10/V10)))</f>
        <v>458.80769230769232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9</v>
      </c>
      <c r="Q11" s="118"/>
    </row>
    <row r="12" spans="1:27" x14ac:dyDescent="0.3">
      <c r="A12" s="166"/>
      <c r="B12" s="16" t="s">
        <v>30</v>
      </c>
      <c r="C12" s="17">
        <v>4123</v>
      </c>
      <c r="E12" s="161" t="s">
        <v>35</v>
      </c>
      <c r="F12" s="119">
        <v>12593</v>
      </c>
      <c r="G12" s="117">
        <v>12499.3765</v>
      </c>
      <c r="H12" s="117">
        <v>16944.69943600001</v>
      </c>
      <c r="I12" s="152">
        <f>SUM(H12,G12)</f>
        <v>29444.075936000008</v>
      </c>
      <c r="J12" s="119">
        <v>13032</v>
      </c>
      <c r="K12" s="117">
        <v>10549.3585</v>
      </c>
      <c r="L12" s="117">
        <v>16128.634636000001</v>
      </c>
      <c r="M12" s="152">
        <f>K12+L12</f>
        <v>26677.993136000001</v>
      </c>
      <c r="N12" s="178">
        <v>49</v>
      </c>
      <c r="O12" s="88">
        <v>53</v>
      </c>
      <c r="P12" s="145">
        <v>45</v>
      </c>
      <c r="Q12" s="181">
        <f>IF(J12=0,((F12/V12)),((J12/V12)))</f>
        <v>372.34285714285716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8</v>
      </c>
      <c r="Q13" s="118"/>
    </row>
    <row r="14" spans="1:27" x14ac:dyDescent="0.3">
      <c r="B14" s="16" t="s">
        <v>40</v>
      </c>
      <c r="C14" s="17">
        <v>11609</v>
      </c>
      <c r="E14" s="161" t="s">
        <v>39</v>
      </c>
      <c r="F14" s="119">
        <v>27847</v>
      </c>
      <c r="G14" s="117">
        <v>32621.495500000001</v>
      </c>
      <c r="H14" s="117">
        <v>34177.471425000011</v>
      </c>
      <c r="I14" s="152">
        <f>SUM(H14,G14)</f>
        <v>66798.966925000015</v>
      </c>
      <c r="J14" s="119">
        <v>23673</v>
      </c>
      <c r="K14" s="117">
        <v>27217.85225</v>
      </c>
      <c r="L14" s="117">
        <v>28814.224069</v>
      </c>
      <c r="M14" s="152">
        <f>K14+L14</f>
        <v>56032.076319</v>
      </c>
      <c r="N14" s="178">
        <v>77</v>
      </c>
      <c r="O14" s="88">
        <v>81</v>
      </c>
      <c r="P14" s="145">
        <v>64</v>
      </c>
      <c r="Q14" s="181">
        <f>IF(J14=0,((F14/V14)),((J14/V14)))</f>
        <v>563.64285714285711</v>
      </c>
      <c r="V14" s="1">
        <v>42</v>
      </c>
    </row>
    <row r="15" spans="1:27" x14ac:dyDescent="0.3">
      <c r="B15" s="28" t="s">
        <v>42</v>
      </c>
      <c r="C15" s="17">
        <v>14751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17</v>
      </c>
      <c r="Q15" s="118"/>
    </row>
    <row r="16" spans="1:27" x14ac:dyDescent="0.3">
      <c r="B16" s="43" t="s">
        <v>47</v>
      </c>
      <c r="C16" s="17">
        <v>1749</v>
      </c>
      <c r="E16" s="161" t="s">
        <v>79</v>
      </c>
      <c r="F16" s="119">
        <v>0</v>
      </c>
      <c r="G16" s="117">
        <v>0</v>
      </c>
      <c r="H16" s="117">
        <v>8607.7248339999969</v>
      </c>
      <c r="I16" s="152">
        <f>SUM(H16,G16)</f>
        <v>8607.7248339999969</v>
      </c>
      <c r="J16" s="119">
        <v>0</v>
      </c>
      <c r="K16" s="117">
        <v>0</v>
      </c>
      <c r="L16" s="117">
        <v>4008.5434460000001</v>
      </c>
      <c r="M16" s="152">
        <f>K16+L16</f>
        <v>4008.5434460000001</v>
      </c>
      <c r="N16" s="178">
        <v>13</v>
      </c>
      <c r="O16" s="88">
        <v>13</v>
      </c>
      <c r="P16" s="145">
        <v>12</v>
      </c>
      <c r="Q16" s="180"/>
    </row>
    <row r="17" spans="1:28" s="4" customFormat="1" ht="15" customHeight="1" thickBot="1" x14ac:dyDescent="0.35">
      <c r="B17" s="43" t="s">
        <v>48</v>
      </c>
      <c r="C17" s="50">
        <v>3696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0</v>
      </c>
      <c r="E18" s="84"/>
      <c r="F18" s="148">
        <f>SUM(F6:F16)</f>
        <v>96641</v>
      </c>
      <c r="G18" s="148">
        <f>SUM(G6:G16)</f>
        <v>88716.941500000015</v>
      </c>
      <c r="H18" s="148">
        <f>SUM(H6:H16)</f>
        <v>75954.266524000006</v>
      </c>
      <c r="I18" s="157">
        <f>SUM(I6:I17)</f>
        <v>164671.20802400005</v>
      </c>
      <c r="J18" s="149">
        <f>SUM(J6:J17)</f>
        <v>87772</v>
      </c>
      <c r="K18" s="149">
        <f>SUM(K6:K17)</f>
        <v>73827.126250000001</v>
      </c>
      <c r="L18" s="149">
        <f>SUM(L6:L17)</f>
        <v>61090.420984000004</v>
      </c>
      <c r="M18" s="175">
        <f>SUM(M6:M17)</f>
        <v>134917.547234</v>
      </c>
      <c r="N18" s="148">
        <f>SUM(N16,N14,N12,N10,N8,N6)</f>
        <v>301</v>
      </c>
      <c r="O18" s="148">
        <f>SUM(O16,O14,O12,O10,O8,O6)</f>
        <v>290</v>
      </c>
      <c r="P18" s="148">
        <f>SUM(P16,P14,P12,P10,P8,P6)</f>
        <v>260</v>
      </c>
      <c r="Q18" s="182"/>
    </row>
    <row r="19" spans="1:28" ht="15" customHeight="1" thickBot="1" x14ac:dyDescent="0.35">
      <c r="B19" s="16" t="s">
        <v>51</v>
      </c>
      <c r="C19" s="17">
        <v>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0.10344827586206896</v>
      </c>
      <c r="Q20" s="139"/>
    </row>
    <row r="21" spans="1:28" ht="15" customHeight="1" thickBot="1" x14ac:dyDescent="0.35">
      <c r="A21" s="123"/>
      <c r="B21" s="168" t="s">
        <v>132</v>
      </c>
      <c r="C21" s="58">
        <v>1280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77">
        <v>6908</v>
      </c>
      <c r="D25" s="77">
        <v>0</v>
      </c>
      <c r="E25" s="77">
        <f t="shared" ref="E25:E33" si="0">IFERROR(D25-C25,0)</f>
        <v>-6908</v>
      </c>
    </row>
    <row r="26" spans="1:28" x14ac:dyDescent="0.3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77">
        <v>47153</v>
      </c>
      <c r="D27" s="77">
        <v>0</v>
      </c>
      <c r="E27" s="77">
        <f t="shared" si="0"/>
        <v>-47153</v>
      </c>
      <c r="G27" s="53"/>
      <c r="M27" s="53"/>
      <c r="P27" s="4"/>
      <c r="Q27" s="4"/>
    </row>
    <row r="28" spans="1:28" x14ac:dyDescent="0.3">
      <c r="B28" s="74" t="s">
        <v>145</v>
      </c>
      <c r="C28" s="77">
        <v>7058</v>
      </c>
      <c r="D28" s="76">
        <v>0</v>
      </c>
      <c r="E28" s="77">
        <f t="shared" si="0"/>
        <v>-7058</v>
      </c>
      <c r="P28" s="4"/>
      <c r="Q28" s="4"/>
    </row>
    <row r="29" spans="1:28" x14ac:dyDescent="0.3">
      <c r="B29" s="74" t="s">
        <v>21</v>
      </c>
      <c r="C29" s="77">
        <v>0</v>
      </c>
      <c r="D29" s="76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77">
        <v>14808</v>
      </c>
      <c r="D30" s="76">
        <v>0</v>
      </c>
      <c r="E30" s="77">
        <f t="shared" si="0"/>
        <v>-14808</v>
      </c>
      <c r="J30" s="53"/>
      <c r="K30" s="53"/>
      <c r="P30" s="4"/>
      <c r="Q30" s="4"/>
    </row>
    <row r="31" spans="1:28" x14ac:dyDescent="0.3">
      <c r="B31" s="74" t="s">
        <v>147</v>
      </c>
      <c r="C31" s="77">
        <v>12770</v>
      </c>
      <c r="D31" s="77">
        <v>0</v>
      </c>
      <c r="E31" s="77">
        <f t="shared" si="0"/>
        <v>-12770</v>
      </c>
      <c r="K31" s="53"/>
      <c r="P31" s="4"/>
      <c r="Q31" s="4"/>
    </row>
    <row r="32" spans="1:28" x14ac:dyDescent="0.3">
      <c r="B32" s="74" t="s">
        <v>60</v>
      </c>
      <c r="C32" s="77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81">
        <v>7956</v>
      </c>
      <c r="D33" s="80">
        <v>0</v>
      </c>
      <c r="E33" s="81">
        <f t="shared" si="0"/>
        <v>-7956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theme="1"/>
    <pageSetUpPr fitToPage="1"/>
  </sheetPr>
  <dimension ref="A1:AB33"/>
  <sheetViews>
    <sheetView topLeftCell="A4" zoomScaleNormal="100" zoomScaleSheetLayoutView="70" workbookViewId="0">
      <selection activeCell="B2" sqref="B2:Q3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44835</v>
      </c>
    </row>
    <row r="3" spans="1:27" ht="18.75" customHeight="1" thickBot="1" x14ac:dyDescent="0.35">
      <c r="B3" t="s">
        <v>1</v>
      </c>
      <c r="C3" s="3">
        <f>C2+1</f>
        <v>44836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81</v>
      </c>
      <c r="E6" s="161" t="s">
        <v>22</v>
      </c>
      <c r="F6" s="119">
        <v>32064</v>
      </c>
      <c r="G6" s="117">
        <v>16505.828000000001</v>
      </c>
      <c r="H6" s="117">
        <v>4566.7150159999983</v>
      </c>
      <c r="I6" s="152">
        <f>SUM(H6,G6)</f>
        <v>21072.543016</v>
      </c>
      <c r="J6" s="119">
        <v>30876</v>
      </c>
      <c r="K6" s="117">
        <v>15915.531999999999</v>
      </c>
      <c r="L6" s="117">
        <v>4359.2883969999993</v>
      </c>
      <c r="M6" s="152">
        <f>K6+L6</f>
        <v>20274.820397</v>
      </c>
      <c r="N6" s="178">
        <v>74</v>
      </c>
      <c r="O6" s="88">
        <v>69</v>
      </c>
      <c r="P6" s="145">
        <v>65</v>
      </c>
      <c r="Q6" s="181">
        <f>IF(J6=0,((F6/V6)),((J6/V6)))</f>
        <v>718.04651162790697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945</v>
      </c>
      <c r="G8" s="117">
        <v>5190.348</v>
      </c>
      <c r="H8" s="117">
        <v>7311.5042350000003</v>
      </c>
      <c r="I8" s="152">
        <f>SUM(H8,G8)</f>
        <v>12501.852235</v>
      </c>
      <c r="J8" s="119">
        <v>917</v>
      </c>
      <c r="K8" s="117">
        <v>5040.2569999999996</v>
      </c>
      <c r="L8" s="117">
        <v>6870.2613730000003</v>
      </c>
      <c r="M8" s="152">
        <f>K8+L8</f>
        <v>11910.518372999999</v>
      </c>
      <c r="N8" s="178">
        <v>45</v>
      </c>
      <c r="O8" s="88">
        <v>49</v>
      </c>
      <c r="P8" s="145">
        <v>35</v>
      </c>
      <c r="Q8" s="117"/>
    </row>
    <row r="9" spans="1:27" x14ac:dyDescent="0.3">
      <c r="B9" s="16" t="s">
        <v>23</v>
      </c>
      <c r="C9" s="17">
        <v>5232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14</v>
      </c>
      <c r="Q9" s="118"/>
    </row>
    <row r="10" spans="1:27" x14ac:dyDescent="0.3">
      <c r="B10" s="28" t="s">
        <v>26</v>
      </c>
      <c r="C10" s="17">
        <v>1288</v>
      </c>
      <c r="E10" s="161" t="s">
        <v>31</v>
      </c>
      <c r="F10" s="119">
        <v>22429</v>
      </c>
      <c r="G10" s="117">
        <v>15909.785</v>
      </c>
      <c r="H10" s="117">
        <v>749.34029099999998</v>
      </c>
      <c r="I10" s="152">
        <f>SUM(H10,G10)</f>
        <v>16659.125291</v>
      </c>
      <c r="J10" s="119">
        <v>21825</v>
      </c>
      <c r="K10" s="117">
        <v>15563.916499999999</v>
      </c>
      <c r="L10" s="117">
        <v>739.03347600000006</v>
      </c>
      <c r="M10" s="152">
        <f>K10+L10</f>
        <v>16302.949976</v>
      </c>
      <c r="N10" s="178">
        <v>51</v>
      </c>
      <c r="O10" s="88">
        <v>48</v>
      </c>
      <c r="P10" s="145">
        <v>49</v>
      </c>
      <c r="Q10" s="181">
        <f>IF(J10=0,((F10/V10)),((J10/V10)))</f>
        <v>419.71153846153845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-1</v>
      </c>
      <c r="Q11" s="118"/>
    </row>
    <row r="12" spans="1:27" x14ac:dyDescent="0.3">
      <c r="A12" s="166"/>
      <c r="B12" s="16" t="s">
        <v>30</v>
      </c>
      <c r="C12" s="17">
        <v>2212</v>
      </c>
      <c r="E12" s="161" t="s">
        <v>35</v>
      </c>
      <c r="F12" s="119">
        <v>17891</v>
      </c>
      <c r="G12" s="117">
        <v>15469.9</v>
      </c>
      <c r="H12" s="117">
        <v>21159.994553</v>
      </c>
      <c r="I12" s="152">
        <f>SUM(H12,G12)</f>
        <v>36629.894552999998</v>
      </c>
      <c r="J12" s="119">
        <v>17041</v>
      </c>
      <c r="K12" s="117">
        <v>14719.4815</v>
      </c>
      <c r="L12" s="117">
        <v>20188.314665000009</v>
      </c>
      <c r="M12" s="152">
        <f>K12+L12</f>
        <v>34907.796165000007</v>
      </c>
      <c r="N12" s="178">
        <v>52</v>
      </c>
      <c r="O12" s="88">
        <v>54</v>
      </c>
      <c r="P12" s="145">
        <v>50</v>
      </c>
      <c r="Q12" s="181">
        <f>IF(J12=0,((F12/V12)),((J12/V12)))</f>
        <v>486.8857142857143</v>
      </c>
      <c r="V12" s="1">
        <v>35</v>
      </c>
    </row>
    <row r="13" spans="1:27" x14ac:dyDescent="0.3">
      <c r="B13" s="16" t="s">
        <v>38</v>
      </c>
      <c r="C13" s="17">
        <v>5889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3">
      <c r="B14" s="16" t="s">
        <v>40</v>
      </c>
      <c r="C14" s="17">
        <v>7998</v>
      </c>
      <c r="E14" s="161" t="s">
        <v>39</v>
      </c>
      <c r="F14" s="119">
        <v>16745</v>
      </c>
      <c r="G14" s="117">
        <v>19465.909250000001</v>
      </c>
      <c r="H14" s="117">
        <v>20588.795936999999</v>
      </c>
      <c r="I14" s="152">
        <f>SUM(H14,G14)</f>
        <v>40054.705187</v>
      </c>
      <c r="J14" s="119">
        <v>15330</v>
      </c>
      <c r="K14" s="117">
        <v>18118.296750000001</v>
      </c>
      <c r="L14" s="117">
        <v>19199.690934999999</v>
      </c>
      <c r="M14" s="152">
        <f>K14+L14</f>
        <v>37317.987685</v>
      </c>
      <c r="N14" s="178">
        <v>73</v>
      </c>
      <c r="O14" s="88">
        <v>75</v>
      </c>
      <c r="P14" s="145">
        <v>59</v>
      </c>
      <c r="Q14" s="181">
        <f>IF(J14=0,((F14/V14)),((J14/V14)))</f>
        <v>365</v>
      </c>
      <c r="V14" s="1">
        <v>42</v>
      </c>
    </row>
    <row r="15" spans="1:27" x14ac:dyDescent="0.3">
      <c r="B15" s="28" t="s">
        <v>42</v>
      </c>
      <c r="C15" s="17">
        <v>28147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16</v>
      </c>
      <c r="Q15" s="118"/>
    </row>
    <row r="16" spans="1:27" x14ac:dyDescent="0.3">
      <c r="B16" s="43" t="s">
        <v>47</v>
      </c>
      <c r="C16" s="17">
        <v>1042</v>
      </c>
      <c r="E16" s="161" t="s">
        <v>79</v>
      </c>
      <c r="F16" s="119">
        <v>0</v>
      </c>
      <c r="G16" s="117">
        <v>0</v>
      </c>
      <c r="H16" s="117">
        <v>5222.3017739999996</v>
      </c>
      <c r="I16" s="152">
        <f>SUM(H16,G16)</f>
        <v>5222.3017739999996</v>
      </c>
      <c r="J16" s="119">
        <v>0</v>
      </c>
      <c r="K16" s="117">
        <v>0</v>
      </c>
      <c r="L16" s="117">
        <v>4976.3116889999992</v>
      </c>
      <c r="M16" s="152">
        <f>K16+L16</f>
        <v>4976.3116889999992</v>
      </c>
      <c r="N16" s="178">
        <v>11</v>
      </c>
      <c r="O16" s="88">
        <v>11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17">
        <v>1920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8475</v>
      </c>
      <c r="E18" s="84"/>
      <c r="F18" s="148">
        <f>SUM(F6:F16)</f>
        <v>90074</v>
      </c>
      <c r="G18" s="148">
        <f>SUM(G6:G16)</f>
        <v>72541.770250000001</v>
      </c>
      <c r="H18" s="148">
        <f>SUM(H6:H16)</f>
        <v>59598.651806000002</v>
      </c>
      <c r="I18" s="157">
        <f>SUM(I6:I17)</f>
        <v>132140.42205600001</v>
      </c>
      <c r="J18" s="149">
        <f>SUM(J6:J17)</f>
        <v>85989</v>
      </c>
      <c r="K18" s="149">
        <f>SUM(K6:K17)</f>
        <v>69357.483749999999</v>
      </c>
      <c r="L18" s="149">
        <f>SUM(L6:L17)</f>
        <v>56332.900535000008</v>
      </c>
      <c r="M18" s="175">
        <f>SUM(M6:M17)</f>
        <v>125690.38428500001</v>
      </c>
      <c r="N18" s="148">
        <f>SUM(N16,N14,N12,N10,N8,N6)</f>
        <v>306</v>
      </c>
      <c r="O18" s="148">
        <f>SUM(O16,O14,O12,O10,O8,O6)</f>
        <v>306</v>
      </c>
      <c r="P18" s="148">
        <f>SUM(P16,P14,P12,P10,P8,P6)</f>
        <v>268</v>
      </c>
      <c r="Q18" s="182"/>
    </row>
    <row r="19" spans="1:28" ht="15" customHeight="1" thickBot="1" x14ac:dyDescent="0.35">
      <c r="B19" s="16" t="s">
        <v>51</v>
      </c>
      <c r="C19" s="17">
        <v>1571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  <c r="Q19" s="183"/>
    </row>
    <row r="20" spans="1:28" x14ac:dyDescent="0.3">
      <c r="B20" s="16" t="s">
        <v>52</v>
      </c>
      <c r="C20" s="17">
        <v>4191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0.12418300653594772</v>
      </c>
      <c r="Q20" s="139"/>
    </row>
    <row r="21" spans="1:28" ht="15" customHeight="1" thickBot="1" x14ac:dyDescent="0.35">
      <c r="A21" s="123"/>
      <c r="B21" s="168" t="s">
        <v>132</v>
      </c>
      <c r="C21" s="17">
        <v>176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9376</v>
      </c>
      <c r="D25" s="77">
        <v>8678</v>
      </c>
      <c r="E25" s="77">
        <f t="shared" ref="E25:E33" si="0">IFERROR(D25-C25,0)</f>
        <v>-698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38035</v>
      </c>
      <c r="D27" s="77">
        <v>34628</v>
      </c>
      <c r="E27" s="77">
        <f t="shared" si="0"/>
        <v>-3407</v>
      </c>
      <c r="G27" s="53"/>
      <c r="M27" s="53"/>
      <c r="P27" s="4"/>
      <c r="Q27" s="4"/>
    </row>
    <row r="28" spans="1:28" x14ac:dyDescent="0.3">
      <c r="B28" s="74" t="s">
        <v>145</v>
      </c>
      <c r="C28" s="122">
        <v>8642</v>
      </c>
      <c r="D28" s="76">
        <v>8642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2848</v>
      </c>
      <c r="D29" s="76">
        <v>2848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7876</v>
      </c>
      <c r="D30" s="76">
        <v>7876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15050</v>
      </c>
      <c r="D31" s="77">
        <v>15070</v>
      </c>
      <c r="E31" s="77">
        <f t="shared" si="0"/>
        <v>20</v>
      </c>
      <c r="K31" s="53"/>
      <c r="P31" s="4"/>
      <c r="Q31" s="4"/>
    </row>
    <row r="32" spans="1:28" x14ac:dyDescent="0.3">
      <c r="B32" s="74" t="s">
        <v>60</v>
      </c>
      <c r="C32" s="122">
        <v>6848</v>
      </c>
      <c r="D32" s="76">
        <v>6848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1408</v>
      </c>
      <c r="D33" s="80">
        <v>1408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theme="1"/>
    <pageSetUpPr fitToPage="1"/>
  </sheetPr>
  <dimension ref="A1:AB33"/>
  <sheetViews>
    <sheetView zoomScaleNormal="100" zoomScaleSheetLayoutView="70" workbookViewId="0">
      <selection activeCell="C19" sqref="C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44836</v>
      </c>
    </row>
    <row r="3" spans="1:27" ht="18.75" customHeight="1" thickBot="1" x14ac:dyDescent="0.35">
      <c r="B3" t="s">
        <v>1</v>
      </c>
      <c r="C3" s="3">
        <f>C2+1</f>
        <v>44837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18455</v>
      </c>
      <c r="G6" s="117">
        <v>7926.2730000000001</v>
      </c>
      <c r="H6" s="117">
        <v>596.1685020000001</v>
      </c>
      <c r="I6" s="152">
        <f>SUM(H6,G6)</f>
        <v>8522.4415019999997</v>
      </c>
      <c r="J6" s="119">
        <v>20090</v>
      </c>
      <c r="K6" s="117">
        <v>8412.6149999999998</v>
      </c>
      <c r="L6" s="117">
        <v>617.35233599999992</v>
      </c>
      <c r="M6" s="152">
        <f>K6+L6</f>
        <v>9029.9673359999997</v>
      </c>
      <c r="N6" s="178">
        <v>58</v>
      </c>
      <c r="O6" s="88">
        <v>43</v>
      </c>
      <c r="P6" s="145">
        <v>55</v>
      </c>
      <c r="Q6" s="181">
        <f>IF(J6=0,((F6/V6)),((J6/V6)))</f>
        <v>467.2093023255814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-12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2</v>
      </c>
      <c r="G8" s="117">
        <v>3.1880000000000002</v>
      </c>
      <c r="H8" s="117">
        <v>2516.5143109999999</v>
      </c>
      <c r="I8" s="152">
        <f>SUM(H8,G8)</f>
        <v>2519.702311</v>
      </c>
      <c r="J8" s="119">
        <v>8</v>
      </c>
      <c r="K8" s="117">
        <v>10.978999999999999</v>
      </c>
      <c r="L8" s="117">
        <v>2549.9098570000001</v>
      </c>
      <c r="M8" s="152">
        <f>K8+L8</f>
        <v>2560.8888569999999</v>
      </c>
      <c r="N8" s="178">
        <v>35</v>
      </c>
      <c r="O8" s="88">
        <v>24</v>
      </c>
      <c r="P8" s="145">
        <v>30</v>
      </c>
      <c r="Q8" s="117"/>
    </row>
    <row r="9" spans="1:27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-6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6178</v>
      </c>
      <c r="G10" s="117">
        <v>3441.06</v>
      </c>
      <c r="H10" s="117">
        <v>365.51560000000012</v>
      </c>
      <c r="I10" s="152">
        <f>SUM(H10,G10)</f>
        <v>3806.5756000000001</v>
      </c>
      <c r="J10" s="119">
        <v>7235</v>
      </c>
      <c r="K10" s="117">
        <v>3938.0475000000001</v>
      </c>
      <c r="L10" s="117">
        <v>504.70413799999989</v>
      </c>
      <c r="M10" s="152">
        <f>K10+L10</f>
        <v>4442.7516379999997</v>
      </c>
      <c r="N10" s="178">
        <v>6</v>
      </c>
      <c r="O10" s="88">
        <v>0</v>
      </c>
      <c r="P10" s="145">
        <v>6</v>
      </c>
      <c r="Q10" s="181">
        <f>IF(J10=0,((F10/V10)),((J10/V10)))</f>
        <v>139.13461538461539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-6</v>
      </c>
      <c r="Q11" s="118"/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6486</v>
      </c>
      <c r="G12" s="117">
        <v>6921.0330000000004</v>
      </c>
      <c r="H12" s="117">
        <v>7731.1773470000026</v>
      </c>
      <c r="I12" s="152">
        <f>SUM(H12,G12)</f>
        <v>14652.210347000004</v>
      </c>
      <c r="J12" s="119">
        <v>6157</v>
      </c>
      <c r="K12" s="117">
        <v>6411.7739999999994</v>
      </c>
      <c r="L12" s="117">
        <v>7196.1753499999977</v>
      </c>
      <c r="M12" s="152">
        <f>K12+L12</f>
        <v>13607.949349999997</v>
      </c>
      <c r="N12" s="178">
        <v>6</v>
      </c>
      <c r="O12" s="88">
        <v>0</v>
      </c>
      <c r="P12" s="145">
        <v>6</v>
      </c>
      <c r="Q12" s="181">
        <f>IF(J12=0,((F12/V12)),((J12/V12)))</f>
        <v>175.91428571428571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-6</v>
      </c>
      <c r="Q13" s="118"/>
    </row>
    <row r="14" spans="1:27" x14ac:dyDescent="0.3">
      <c r="B14" s="16" t="s">
        <v>40</v>
      </c>
      <c r="C14" s="17">
        <v>0</v>
      </c>
      <c r="E14" s="161" t="s">
        <v>39</v>
      </c>
      <c r="F14" s="119">
        <v>7312</v>
      </c>
      <c r="G14" s="117">
        <v>8224.1927500000002</v>
      </c>
      <c r="H14" s="117">
        <v>8461.9583819999989</v>
      </c>
      <c r="I14" s="152">
        <f>SUM(H14,G14)</f>
        <v>16686.151131999999</v>
      </c>
      <c r="J14" s="119">
        <v>6072</v>
      </c>
      <c r="K14" s="117">
        <v>6657.6639999999998</v>
      </c>
      <c r="L14" s="117">
        <v>6899.7349560000002</v>
      </c>
      <c r="M14" s="152">
        <f>K14+L14</f>
        <v>13557.398956000001</v>
      </c>
      <c r="N14" s="178">
        <v>18</v>
      </c>
      <c r="O14" s="88">
        <v>19</v>
      </c>
      <c r="P14" s="145">
        <v>14</v>
      </c>
      <c r="Q14" s="181">
        <f>IF(J14=0,((F14/V14)),((J14/V14)))</f>
        <v>144.57142857142858</v>
      </c>
      <c r="V14" s="1">
        <v>42</v>
      </c>
    </row>
    <row r="15" spans="1:27" x14ac:dyDescent="0.3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1968.3696339999999</v>
      </c>
      <c r="I16" s="152">
        <f>SUM(H16,G16)</f>
        <v>1968.3696339999999</v>
      </c>
      <c r="J16" s="119">
        <v>0</v>
      </c>
      <c r="K16" s="117">
        <v>0</v>
      </c>
      <c r="L16" s="117">
        <v>1846.901627</v>
      </c>
      <c r="M16" s="152">
        <f>K16+L16</f>
        <v>1846.901627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35">
      <c r="B17" s="43" t="s">
        <v>48</v>
      </c>
      <c r="C17" s="17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9944</v>
      </c>
      <c r="E18" s="84"/>
      <c r="F18" s="148">
        <f>SUM(F6:F16)</f>
        <v>38433</v>
      </c>
      <c r="G18" s="148">
        <f>SUM(G6:G16)</f>
        <v>26515.746749999998</v>
      </c>
      <c r="H18" s="148">
        <f>SUM(H6:H16)</f>
        <v>21639.703775999998</v>
      </c>
      <c r="I18" s="157">
        <f>SUM(I6:I17)</f>
        <v>48155.450526000001</v>
      </c>
      <c r="J18" s="149">
        <f>SUM(J6:J17)</f>
        <v>39562</v>
      </c>
      <c r="K18" s="149">
        <f>SUM(K6:K17)</f>
        <v>25431.0795</v>
      </c>
      <c r="L18" s="149">
        <f>SUM(L6:L17)</f>
        <v>19614.778263999997</v>
      </c>
      <c r="M18" s="175">
        <f>SUM(M6:M17)</f>
        <v>45045.857764</v>
      </c>
      <c r="N18" s="148">
        <f>SUM(N16,N14,N12,N10,N8,N6)</f>
        <v>123</v>
      </c>
      <c r="O18" s="148">
        <f>SUM(O16,O14,O12,O10,O8,O6)</f>
        <v>86</v>
      </c>
      <c r="P18" s="148">
        <f>SUM(P16,P14,P12,P10,P8,P6)</f>
        <v>111</v>
      </c>
      <c r="Q18" s="182"/>
    </row>
    <row r="19" spans="1:28" ht="15" customHeight="1" thickBot="1" x14ac:dyDescent="0.35">
      <c r="B19" s="16" t="s">
        <v>51</v>
      </c>
      <c r="C19" s="17">
        <v>675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-25</v>
      </c>
      <c r="Q19" s="183"/>
    </row>
    <row r="20" spans="1:28" x14ac:dyDescent="0.3">
      <c r="B20" s="16" t="s">
        <v>52</v>
      </c>
      <c r="C20" s="17">
        <v>4455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-0.29069767441860467</v>
      </c>
      <c r="Q20" s="139"/>
    </row>
    <row r="21" spans="1:28" ht="15" customHeight="1" thickBot="1" x14ac:dyDescent="0.35">
      <c r="A21" s="123"/>
      <c r="B21" s="168" t="s">
        <v>132</v>
      </c>
      <c r="C21" s="17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7">
        <v>0</v>
      </c>
      <c r="E25" s="77">
        <f t="shared" ref="E25:E33" si="0">IFERROR(D25-C25,0)</f>
        <v>0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25661</v>
      </c>
      <c r="D27" s="77">
        <v>23663</v>
      </c>
      <c r="E27" s="77">
        <f t="shared" si="0"/>
        <v>-1998</v>
      </c>
      <c r="G27" s="53"/>
      <c r="M27" s="53"/>
      <c r="P27" s="4"/>
      <c r="Q27" s="4"/>
    </row>
    <row r="28" spans="1:28" x14ac:dyDescent="0.3">
      <c r="B28" s="74" t="s">
        <v>145</v>
      </c>
      <c r="C28" s="122">
        <v>0</v>
      </c>
      <c r="D28" s="76">
        <v>0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0</v>
      </c>
      <c r="D30" s="76">
        <v>0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12785</v>
      </c>
      <c r="D31" s="77">
        <v>15911</v>
      </c>
      <c r="E31" s="77">
        <f t="shared" si="0"/>
        <v>3126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theme="1"/>
    <pageSetUpPr fitToPage="1"/>
  </sheetPr>
  <dimension ref="A1:AB33"/>
  <sheetViews>
    <sheetView zoomScaleNormal="100" zoomScaleSheetLayoutView="70" workbookViewId="0">
      <selection activeCell="O19" sqref="O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44837</v>
      </c>
    </row>
    <row r="3" spans="1:27" ht="18.75" customHeight="1" thickBot="1" x14ac:dyDescent="0.35">
      <c r="B3" t="s">
        <v>1</v>
      </c>
      <c r="C3" s="3">
        <f>C2+1</f>
        <v>44838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71</v>
      </c>
      <c r="E6" s="161" t="s">
        <v>22</v>
      </c>
      <c r="F6" s="119">
        <v>34525</v>
      </c>
      <c r="G6" s="117">
        <v>17461.190999999999</v>
      </c>
      <c r="H6" s="117">
        <v>5115.9368590000013</v>
      </c>
      <c r="I6" s="152">
        <f>SUM(H6,G6)</f>
        <v>22577.127859</v>
      </c>
      <c r="J6" s="119">
        <v>34837</v>
      </c>
      <c r="K6" s="117">
        <v>17512.919999999998</v>
      </c>
      <c r="L6" s="117">
        <v>5146.3367420000004</v>
      </c>
      <c r="M6" s="152">
        <f>K6+L6</f>
        <v>22659.256741999998</v>
      </c>
      <c r="N6" s="178">
        <v>70</v>
      </c>
      <c r="O6" s="88">
        <v>69</v>
      </c>
      <c r="P6" s="145">
        <v>60</v>
      </c>
      <c r="Q6" s="181">
        <f>IF(J6=0,((F6/V6)),((J6/V6)))</f>
        <v>810.16279069767438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9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2427</v>
      </c>
      <c r="G8" s="117">
        <v>15157.518</v>
      </c>
      <c r="H8" s="117">
        <v>15234.307175</v>
      </c>
      <c r="I8" s="152">
        <f>SUM(H8,G8)</f>
        <v>30391.825174999998</v>
      </c>
      <c r="J8" s="119">
        <v>1422</v>
      </c>
      <c r="K8" s="117">
        <v>9238.8850000000002</v>
      </c>
      <c r="L8" s="117">
        <v>10394.312075</v>
      </c>
      <c r="M8" s="152">
        <f>K8+L8</f>
        <v>19633.197075</v>
      </c>
      <c r="N8" s="178">
        <v>36</v>
      </c>
      <c r="O8" s="88">
        <v>38</v>
      </c>
      <c r="P8" s="145">
        <v>26</v>
      </c>
      <c r="Q8" s="117"/>
    </row>
    <row r="9" spans="1:27" x14ac:dyDescent="0.3">
      <c r="B9" s="16" t="s">
        <v>23</v>
      </c>
      <c r="C9" s="17">
        <v>5361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12</v>
      </c>
      <c r="Q9" s="118"/>
    </row>
    <row r="10" spans="1:27" x14ac:dyDescent="0.3">
      <c r="B10" s="28" t="s">
        <v>26</v>
      </c>
      <c r="C10" s="17">
        <v>725</v>
      </c>
      <c r="E10" s="161" t="s">
        <v>31</v>
      </c>
      <c r="F10" s="119">
        <v>19598</v>
      </c>
      <c r="G10" s="117">
        <v>13994.716</v>
      </c>
      <c r="H10" s="117">
        <v>474.16514999999998</v>
      </c>
      <c r="I10" s="152">
        <f>SUM(H10,G10)</f>
        <v>14468.881150000001</v>
      </c>
      <c r="J10" s="119">
        <v>19661</v>
      </c>
      <c r="K10" s="117">
        <v>13432.120999999999</v>
      </c>
      <c r="L10" s="117">
        <v>475.19379099999998</v>
      </c>
      <c r="M10" s="152">
        <f>K10+L10</f>
        <v>13907.314790999999</v>
      </c>
      <c r="N10" s="178">
        <v>48</v>
      </c>
      <c r="O10" s="88">
        <v>47</v>
      </c>
      <c r="P10" s="145">
        <v>43</v>
      </c>
      <c r="Q10" s="181">
        <f>IF(J10=0,((F10/V10)),((J10/V10)))</f>
        <v>378.09615384615387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3">
      <c r="A12" s="166"/>
      <c r="B12" s="16" t="s">
        <v>30</v>
      </c>
      <c r="C12" s="17">
        <v>1454</v>
      </c>
      <c r="E12" s="161" t="s">
        <v>35</v>
      </c>
      <c r="F12" s="119">
        <v>14002</v>
      </c>
      <c r="G12" s="117">
        <v>12450.227999999999</v>
      </c>
      <c r="H12" s="117">
        <v>17751.860472</v>
      </c>
      <c r="I12" s="152">
        <f>SUM(H12,G12)</f>
        <v>30202.088471999999</v>
      </c>
      <c r="J12" s="119">
        <v>13941</v>
      </c>
      <c r="K12" s="117">
        <v>12302.031499999999</v>
      </c>
      <c r="L12" s="117">
        <v>18127.842055000001</v>
      </c>
      <c r="M12" s="152">
        <f>K12+L12</f>
        <v>30429.873554999998</v>
      </c>
      <c r="N12" s="178">
        <v>47</v>
      </c>
      <c r="O12" s="88">
        <v>49</v>
      </c>
      <c r="P12" s="145">
        <v>40</v>
      </c>
      <c r="Q12" s="181">
        <f>IF(J12=0,((F12/V12)),((J12/V12)))</f>
        <v>398.31428571428569</v>
      </c>
      <c r="V12" s="1">
        <v>35</v>
      </c>
    </row>
    <row r="13" spans="1:27" x14ac:dyDescent="0.3">
      <c r="B13" s="16" t="s">
        <v>38</v>
      </c>
      <c r="C13" s="17">
        <v>7912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3">
      <c r="B14" s="16" t="s">
        <v>40</v>
      </c>
      <c r="C14" s="17">
        <v>11363</v>
      </c>
      <c r="E14" s="161" t="s">
        <v>39</v>
      </c>
      <c r="F14" s="119">
        <v>16942</v>
      </c>
      <c r="G14" s="117">
        <v>19789.2745</v>
      </c>
      <c r="H14" s="117">
        <v>21263.774879000001</v>
      </c>
      <c r="I14" s="152">
        <f>SUM(H14,G14)</f>
        <v>41053.049379000004</v>
      </c>
      <c r="J14" s="119">
        <v>17099</v>
      </c>
      <c r="K14" s="117">
        <v>19810.411250000001</v>
      </c>
      <c r="L14" s="117">
        <v>21164.833319000001</v>
      </c>
      <c r="M14" s="152">
        <f>K14+L14</f>
        <v>40975.244569000002</v>
      </c>
      <c r="N14" s="178">
        <v>68</v>
      </c>
      <c r="O14" s="88">
        <v>71</v>
      </c>
      <c r="P14" s="145">
        <v>61</v>
      </c>
      <c r="Q14" s="181">
        <f>IF(J14=0,((F14/V14)),((J14/V14)))</f>
        <v>407.11904761904759</v>
      </c>
      <c r="V14" s="1">
        <v>42</v>
      </c>
    </row>
    <row r="15" spans="1:27" x14ac:dyDescent="0.3">
      <c r="B15" s="28" t="s">
        <v>42</v>
      </c>
      <c r="C15" s="17">
        <v>25653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3">
      <c r="B16" s="43" t="s">
        <v>47</v>
      </c>
      <c r="C16" s="17">
        <v>1340</v>
      </c>
      <c r="E16" s="161" t="s">
        <v>79</v>
      </c>
      <c r="F16" s="119">
        <v>0</v>
      </c>
      <c r="G16" s="117">
        <v>0</v>
      </c>
      <c r="H16" s="117">
        <v>8485.9641409999986</v>
      </c>
      <c r="I16" s="152">
        <f>SUM(H16,G16)</f>
        <v>8485.9641409999986</v>
      </c>
      <c r="J16" s="119">
        <v>0</v>
      </c>
      <c r="K16" s="117">
        <v>0</v>
      </c>
      <c r="L16" s="117">
        <v>5280.0482209999973</v>
      </c>
      <c r="M16" s="152">
        <f>K16+L16</f>
        <v>5280.0482209999973</v>
      </c>
      <c r="N16" s="178">
        <v>10</v>
      </c>
      <c r="O16" s="88">
        <v>10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17">
        <v>3414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8605</v>
      </c>
      <c r="E18" s="84"/>
      <c r="F18" s="148">
        <f>SUM(F6:F16)</f>
        <v>87494</v>
      </c>
      <c r="G18" s="148">
        <f>SUM(G6:G16)</f>
        <v>78852.927500000005</v>
      </c>
      <c r="H18" s="148">
        <f>SUM(H6:H16)</f>
        <v>68326.008676000012</v>
      </c>
      <c r="I18" s="157">
        <f>SUM(I6:I17)</f>
        <v>147178.93617600002</v>
      </c>
      <c r="J18" s="149">
        <f>SUM(J6:J17)</f>
        <v>86960</v>
      </c>
      <c r="K18" s="149">
        <f>SUM(K6:K17)</f>
        <v>72296.368749999994</v>
      </c>
      <c r="L18" s="149">
        <f>SUM(L6:L17)</f>
        <v>60588.566203000002</v>
      </c>
      <c r="M18" s="175">
        <f>SUM(M6:M17)</f>
        <v>132884.93495299999</v>
      </c>
      <c r="N18" s="148">
        <f>SUM(N16,N14,N12,N10,N8,N6)</f>
        <v>279</v>
      </c>
      <c r="O18" s="148">
        <f>SUM(O16,O14,O12,O10,O8,O6)</f>
        <v>284</v>
      </c>
      <c r="P18" s="148">
        <f>SUM(P16,P14,P12,P10,P8,P6)</f>
        <v>239</v>
      </c>
      <c r="Q18" s="182"/>
    </row>
    <row r="19" spans="1:28" ht="15" customHeight="1" thickBot="1" x14ac:dyDescent="0.35">
      <c r="B19" s="16" t="s">
        <v>51</v>
      </c>
      <c r="C19" s="17">
        <v>1056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  <c r="Q19" s="183"/>
    </row>
    <row r="20" spans="1:28" x14ac:dyDescent="0.3">
      <c r="B20" s="16" t="s">
        <v>52</v>
      </c>
      <c r="C20" s="17">
        <v>4150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0.15845070422535212</v>
      </c>
      <c r="Q20" s="139"/>
    </row>
    <row r="21" spans="1:28" ht="15" customHeight="1" thickBot="1" x14ac:dyDescent="0.35">
      <c r="A21" s="123"/>
      <c r="B21" s="168" t="s">
        <v>132</v>
      </c>
      <c r="C21" s="17">
        <v>783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7279</v>
      </c>
      <c r="D25" s="77">
        <v>7720</v>
      </c>
      <c r="E25" s="77">
        <f t="shared" ref="E25:E33" si="0">IFERROR(D25-C25,0)</f>
        <v>441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42578</v>
      </c>
      <c r="D27" s="77">
        <v>41315</v>
      </c>
      <c r="E27" s="77">
        <f t="shared" si="0"/>
        <v>-1263</v>
      </c>
      <c r="G27" s="53"/>
      <c r="M27" s="53"/>
      <c r="P27" s="4"/>
      <c r="Q27" s="4"/>
    </row>
    <row r="28" spans="1:28" x14ac:dyDescent="0.3">
      <c r="B28" s="74" t="s">
        <v>145</v>
      </c>
      <c r="C28" s="122">
        <v>6993</v>
      </c>
      <c r="D28" s="76">
        <v>6806</v>
      </c>
      <c r="E28" s="77">
        <f t="shared" si="0"/>
        <v>-187</v>
      </c>
      <c r="P28" s="4"/>
      <c r="Q28" s="4"/>
    </row>
    <row r="29" spans="1:28" x14ac:dyDescent="0.3">
      <c r="B29" s="74" t="s">
        <v>21</v>
      </c>
      <c r="C29" s="122">
        <v>2484</v>
      </c>
      <c r="D29" s="76">
        <v>2484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5126</v>
      </c>
      <c r="D30" s="76">
        <v>5366</v>
      </c>
      <c r="E30" s="77">
        <f t="shared" si="0"/>
        <v>240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14080</v>
      </c>
      <c r="D31" s="77">
        <v>14315</v>
      </c>
      <c r="E31" s="77">
        <f t="shared" si="0"/>
        <v>235</v>
      </c>
      <c r="K31" s="53"/>
      <c r="P31" s="4"/>
      <c r="Q31" s="4"/>
    </row>
    <row r="32" spans="1:28" x14ac:dyDescent="0.3">
      <c r="B32" s="74" t="s">
        <v>60</v>
      </c>
      <c r="C32" s="122">
        <v>3860</v>
      </c>
      <c r="D32" s="76">
        <v>3860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5118</v>
      </c>
      <c r="D33" s="80">
        <v>5118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>
    <tabColor theme="1"/>
    <pageSetUpPr fitToPage="1"/>
  </sheetPr>
  <dimension ref="A1:AB33"/>
  <sheetViews>
    <sheetView zoomScaleNormal="100" zoomScaleSheetLayoutView="70" workbookViewId="0">
      <selection activeCell="R24" sqref="R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44838</v>
      </c>
    </row>
    <row r="3" spans="1:27" ht="18.75" customHeight="1" thickBot="1" x14ac:dyDescent="0.35">
      <c r="B3" t="s">
        <v>1</v>
      </c>
      <c r="C3" s="3">
        <f>C2+1</f>
        <v>44839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149</v>
      </c>
      <c r="E6" s="161" t="s">
        <v>22</v>
      </c>
      <c r="F6" s="119">
        <v>31939</v>
      </c>
      <c r="G6" s="117">
        <v>16548.339</v>
      </c>
      <c r="H6" s="117">
        <v>6510.3519939999987</v>
      </c>
      <c r="I6" s="152">
        <f>SUM(H6,G6)</f>
        <v>23058.690993999997</v>
      </c>
      <c r="J6" s="119">
        <v>34467</v>
      </c>
      <c r="K6" s="117">
        <v>17654.326000000001</v>
      </c>
      <c r="L6" s="117">
        <v>6547.4116689999992</v>
      </c>
      <c r="M6" s="152">
        <f>K6+L6</f>
        <v>24201.737669000002</v>
      </c>
      <c r="N6" s="178">
        <v>73</v>
      </c>
      <c r="O6" s="88">
        <v>71</v>
      </c>
      <c r="P6" s="145">
        <v>69</v>
      </c>
      <c r="Q6" s="181">
        <f>IF(J6=0,((F6/V6)),((J6/V6)))</f>
        <v>801.55813953488371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1457</v>
      </c>
      <c r="G8" s="117">
        <v>9446.5759999999991</v>
      </c>
      <c r="H8" s="117">
        <v>9526.0522559999972</v>
      </c>
      <c r="I8" s="152">
        <f>SUM(H8,G8)</f>
        <v>18972.628255999996</v>
      </c>
      <c r="J8" s="119">
        <v>1541</v>
      </c>
      <c r="K8" s="117">
        <v>7555.73</v>
      </c>
      <c r="L8" s="117">
        <v>9691.4304239999983</v>
      </c>
      <c r="M8" s="152">
        <f>K8+L8</f>
        <v>17247.160423999998</v>
      </c>
      <c r="N8" s="178">
        <v>36</v>
      </c>
      <c r="O8" s="88">
        <v>39</v>
      </c>
      <c r="P8" s="145">
        <v>31</v>
      </c>
      <c r="Q8" s="117"/>
    </row>
    <row r="9" spans="1:27" x14ac:dyDescent="0.3">
      <c r="B9" s="16" t="s">
        <v>23</v>
      </c>
      <c r="C9" s="17">
        <v>6343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3">
      <c r="B10" s="28" t="s">
        <v>26</v>
      </c>
      <c r="C10" s="17">
        <v>830</v>
      </c>
      <c r="E10" s="161" t="s">
        <v>31</v>
      </c>
      <c r="F10" s="119">
        <v>24800</v>
      </c>
      <c r="G10" s="117">
        <v>17770.809000000001</v>
      </c>
      <c r="H10" s="117">
        <v>860.83608200000003</v>
      </c>
      <c r="I10" s="152">
        <f>SUM(H10,G10)</f>
        <v>18631.645082000003</v>
      </c>
      <c r="J10" s="119">
        <v>25233</v>
      </c>
      <c r="K10" s="117">
        <v>17923.631999999991</v>
      </c>
      <c r="L10" s="117">
        <v>908.73957000000019</v>
      </c>
      <c r="M10" s="152">
        <f>K10+L10</f>
        <v>18832.371569999992</v>
      </c>
      <c r="N10" s="178">
        <v>48</v>
      </c>
      <c r="O10" s="88">
        <v>48</v>
      </c>
      <c r="P10" s="145">
        <v>45</v>
      </c>
      <c r="Q10" s="181">
        <f>IF(J10=0,((F10/V10)),((J10/V10)))</f>
        <v>485.25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3">
      <c r="A12" s="166"/>
      <c r="B12" s="16" t="s">
        <v>30</v>
      </c>
      <c r="C12" s="17">
        <v>2150</v>
      </c>
      <c r="E12" s="161" t="s">
        <v>35</v>
      </c>
      <c r="F12" s="119">
        <v>12963</v>
      </c>
      <c r="G12" s="117">
        <v>11240.031499999999</v>
      </c>
      <c r="H12" s="117">
        <v>16083.472871</v>
      </c>
      <c r="I12" s="152">
        <f>SUM(H12,G12)</f>
        <v>27323.504370999999</v>
      </c>
      <c r="J12" s="119">
        <v>15208</v>
      </c>
      <c r="K12" s="117">
        <v>13141.7245</v>
      </c>
      <c r="L12" s="117">
        <v>17632.775282999999</v>
      </c>
      <c r="M12" s="152">
        <f>K12+L12</f>
        <v>30774.499782999999</v>
      </c>
      <c r="N12" s="178">
        <v>56</v>
      </c>
      <c r="O12" s="88">
        <v>53</v>
      </c>
      <c r="P12" s="145">
        <v>48</v>
      </c>
      <c r="Q12" s="181">
        <f>IF(J12=0,((F12/V12)),((J12/V12)))</f>
        <v>434.51428571428573</v>
      </c>
      <c r="V12" s="1">
        <v>35</v>
      </c>
    </row>
    <row r="13" spans="1:27" x14ac:dyDescent="0.3">
      <c r="B13" s="16" t="s">
        <v>38</v>
      </c>
      <c r="C13" s="17">
        <v>8901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5</v>
      </c>
      <c r="Q13" s="118"/>
    </row>
    <row r="14" spans="1:27" x14ac:dyDescent="0.3">
      <c r="B14" s="16" t="s">
        <v>40</v>
      </c>
      <c r="C14" s="17">
        <v>10381</v>
      </c>
      <c r="E14" s="161" t="s">
        <v>39</v>
      </c>
      <c r="F14" s="119">
        <v>21620</v>
      </c>
      <c r="G14" s="117">
        <v>24928.53225</v>
      </c>
      <c r="H14" s="117">
        <v>26432.855258000011</v>
      </c>
      <c r="I14" s="152">
        <f>SUM(H14,G14)</f>
        <v>51361.387508000014</v>
      </c>
      <c r="J14" s="119">
        <v>23782</v>
      </c>
      <c r="K14" s="117">
        <v>27370.637500000012</v>
      </c>
      <c r="L14" s="117">
        <v>28879.842031</v>
      </c>
      <c r="M14" s="152">
        <f>K14+L14</f>
        <v>56250.479531000012</v>
      </c>
      <c r="N14" s="178">
        <v>67</v>
      </c>
      <c r="O14" s="88">
        <v>70</v>
      </c>
      <c r="P14" s="145">
        <v>60</v>
      </c>
      <c r="Q14" s="181">
        <f>IF(J14=0,((F14/V14)),((J14/V14)))</f>
        <v>566.23809523809518</v>
      </c>
      <c r="V14" s="1">
        <v>42</v>
      </c>
    </row>
    <row r="15" spans="1:27" x14ac:dyDescent="0.3">
      <c r="B15" s="28" t="s">
        <v>42</v>
      </c>
      <c r="C15" s="17">
        <v>28711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3">
      <c r="B16" s="43" t="s">
        <v>47</v>
      </c>
      <c r="C16" s="17">
        <v>1798</v>
      </c>
      <c r="E16" s="161" t="s">
        <v>79</v>
      </c>
      <c r="F16" s="119">
        <v>0</v>
      </c>
      <c r="G16" s="117">
        <v>0</v>
      </c>
      <c r="H16" s="117">
        <v>7834.8397540000014</v>
      </c>
      <c r="I16" s="152">
        <f>SUM(H16,G16)</f>
        <v>7834.8397540000014</v>
      </c>
      <c r="J16" s="119">
        <v>0</v>
      </c>
      <c r="K16" s="117">
        <v>0</v>
      </c>
      <c r="L16" s="117">
        <v>7709.5608190000021</v>
      </c>
      <c r="M16" s="152">
        <f>K16+L16</f>
        <v>7709.5608190000021</v>
      </c>
      <c r="N16" s="178">
        <v>11</v>
      </c>
      <c r="O16" s="88">
        <v>12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17">
        <v>802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10065</v>
      </c>
      <c r="E18" s="84"/>
      <c r="F18" s="148">
        <f>SUM(F6:F16)</f>
        <v>92779</v>
      </c>
      <c r="G18" s="148">
        <f>SUM(G6:G16)</f>
        <v>79934.287750000003</v>
      </c>
      <c r="H18" s="148">
        <f>SUM(H6:H16)</f>
        <v>67248.408215000018</v>
      </c>
      <c r="I18" s="157">
        <f>SUM(I6:I17)</f>
        <v>147182.69596500002</v>
      </c>
      <c r="J18" s="149">
        <f>SUM(J6:J17)</f>
        <v>100231</v>
      </c>
      <c r="K18" s="149">
        <f>SUM(K6:K17)</f>
        <v>83646.05</v>
      </c>
      <c r="L18" s="149">
        <f>SUM(L6:L17)</f>
        <v>71369.759795999998</v>
      </c>
      <c r="M18" s="175">
        <f>SUM(M6:M17)</f>
        <v>155015.80979600002</v>
      </c>
      <c r="N18" s="148">
        <f>SUM(N16,N14,N12,N10,N8,N6)</f>
        <v>291</v>
      </c>
      <c r="O18" s="148">
        <f>SUM(O16,O14,O12,O10,O8,O6)</f>
        <v>293</v>
      </c>
      <c r="P18" s="148">
        <f>SUM(P16,P14,P12,P10,P8,P6)</f>
        <v>263</v>
      </c>
      <c r="Q18" s="182"/>
    </row>
    <row r="19" spans="1:28" ht="15" customHeight="1" thickBot="1" x14ac:dyDescent="0.35">
      <c r="B19" s="16" t="s">
        <v>51</v>
      </c>
      <c r="C19" s="17">
        <v>1108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4441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0.10238907849829351</v>
      </c>
      <c r="Q20" s="139"/>
    </row>
    <row r="21" spans="1:28" ht="15" customHeight="1" thickBot="1" x14ac:dyDescent="0.35">
      <c r="A21" s="123"/>
      <c r="B21" s="168" t="s">
        <v>132</v>
      </c>
      <c r="C21" s="17">
        <v>826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10926</v>
      </c>
      <c r="D25" s="77">
        <v>10680</v>
      </c>
      <c r="E25" s="77">
        <f t="shared" ref="E25:E33" si="0">IFERROR(D25-C25,0)</f>
        <v>-246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34443</v>
      </c>
      <c r="D27" s="77">
        <v>40264</v>
      </c>
      <c r="E27" s="77">
        <f t="shared" si="0"/>
        <v>5821</v>
      </c>
      <c r="G27" s="53"/>
      <c r="M27" s="53"/>
      <c r="P27" s="4"/>
      <c r="Q27" s="4"/>
    </row>
    <row r="28" spans="1:28" x14ac:dyDescent="0.3">
      <c r="B28" s="74" t="s">
        <v>145</v>
      </c>
      <c r="C28" s="122">
        <v>10947</v>
      </c>
      <c r="D28" s="76">
        <v>10947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5284</v>
      </c>
      <c r="D29" s="76">
        <v>5284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7304</v>
      </c>
      <c r="D30" s="76">
        <v>7304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14085</v>
      </c>
      <c r="D31" s="77">
        <v>15962</v>
      </c>
      <c r="E31" s="77">
        <f t="shared" si="0"/>
        <v>1877</v>
      </c>
      <c r="K31" s="53"/>
      <c r="P31" s="4"/>
      <c r="Q31" s="4"/>
    </row>
    <row r="32" spans="1:28" x14ac:dyDescent="0.3">
      <c r="B32" s="74" t="s">
        <v>60</v>
      </c>
      <c r="C32" s="122">
        <v>4370</v>
      </c>
      <c r="D32" s="76">
        <v>4370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5434</v>
      </c>
      <c r="D33" s="80">
        <v>5434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>
    <tabColor theme="1"/>
    <pageSetUpPr fitToPage="1"/>
  </sheetPr>
  <dimension ref="A1:AB33"/>
  <sheetViews>
    <sheetView zoomScaleNormal="100" zoomScaleSheetLayoutView="70" workbookViewId="0">
      <selection activeCell="K27" sqref="K2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44839</v>
      </c>
    </row>
    <row r="3" spans="1:27" ht="18.75" customHeight="1" thickBot="1" x14ac:dyDescent="0.35">
      <c r="B3" t="s">
        <v>1</v>
      </c>
      <c r="C3" s="3">
        <f>C2+1</f>
        <v>44840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40</v>
      </c>
      <c r="E6" s="161" t="s">
        <v>22</v>
      </c>
      <c r="F6" s="119">
        <v>27644</v>
      </c>
      <c r="G6" s="117">
        <v>14498.619000000001</v>
      </c>
      <c r="H6" s="117">
        <v>4970.8203230000008</v>
      </c>
      <c r="I6" s="152">
        <f>SUM(H6,G6)</f>
        <v>19469.439323000002</v>
      </c>
      <c r="J6" s="119">
        <v>25949</v>
      </c>
      <c r="K6" s="117">
        <v>13120.245999999999</v>
      </c>
      <c r="L6" s="117">
        <v>4629.5625930000006</v>
      </c>
      <c r="M6" s="152">
        <f>K6+L6</f>
        <v>17749.808593000002</v>
      </c>
      <c r="N6" s="178">
        <v>71</v>
      </c>
      <c r="O6" s="88">
        <v>67</v>
      </c>
      <c r="P6" s="145">
        <v>65</v>
      </c>
      <c r="Q6" s="181">
        <f>IF(J6=0,((F6/V6)),((J6/V6)))</f>
        <v>603.46511627906978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1883</v>
      </c>
      <c r="G8" s="117">
        <v>9749.1829999999991</v>
      </c>
      <c r="H8" s="117">
        <v>11818.990852000001</v>
      </c>
      <c r="I8" s="152">
        <f>SUM(H8,G8)</f>
        <v>21568.173852</v>
      </c>
      <c r="J8" s="119">
        <v>1970</v>
      </c>
      <c r="K8" s="117">
        <v>9824.1579999999994</v>
      </c>
      <c r="L8" s="117">
        <v>10526.435976999999</v>
      </c>
      <c r="M8" s="152">
        <f>K8+L8</f>
        <v>20350.593976999997</v>
      </c>
      <c r="N8" s="178">
        <v>32</v>
      </c>
      <c r="O8" s="88">
        <v>34</v>
      </c>
      <c r="P8" s="145">
        <v>26</v>
      </c>
      <c r="Q8" s="117"/>
    </row>
    <row r="9" spans="1:27" x14ac:dyDescent="0.3">
      <c r="B9" s="16" t="s">
        <v>23</v>
      </c>
      <c r="C9" s="17">
        <v>5855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19215</v>
      </c>
      <c r="G10" s="117">
        <v>13844.3475</v>
      </c>
      <c r="H10" s="117">
        <v>484.74130000000008</v>
      </c>
      <c r="I10" s="152">
        <f>SUM(H10,G10)</f>
        <v>14329.0888</v>
      </c>
      <c r="J10" s="119">
        <v>18740</v>
      </c>
      <c r="K10" s="117">
        <v>13632.281999999999</v>
      </c>
      <c r="L10" s="117">
        <v>484.63254400000011</v>
      </c>
      <c r="M10" s="152">
        <f>K10+L10</f>
        <v>14116.914543999999</v>
      </c>
      <c r="N10" s="178">
        <v>52</v>
      </c>
      <c r="O10" s="88">
        <v>49</v>
      </c>
      <c r="P10" s="145">
        <v>47</v>
      </c>
      <c r="Q10" s="181">
        <f>IF(J10=0,((F10/V10)),((J10/V10)))</f>
        <v>360.38461538461536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3">
      <c r="A12" s="166"/>
      <c r="B12" s="16" t="s">
        <v>30</v>
      </c>
      <c r="C12" s="17">
        <v>2304</v>
      </c>
      <c r="E12" s="161" t="s">
        <v>35</v>
      </c>
      <c r="F12" s="119">
        <v>14144</v>
      </c>
      <c r="G12" s="117">
        <v>13207.336499999999</v>
      </c>
      <c r="H12" s="117">
        <v>17325.939052999998</v>
      </c>
      <c r="I12" s="152">
        <f>SUM(H12,G12)</f>
        <v>30533.275552999999</v>
      </c>
      <c r="J12" s="119">
        <v>16618</v>
      </c>
      <c r="K12" s="117">
        <v>15085.003500000001</v>
      </c>
      <c r="L12" s="117">
        <v>19380.307806000001</v>
      </c>
      <c r="M12" s="152">
        <f>K12+L12</f>
        <v>34465.311306000003</v>
      </c>
      <c r="N12" s="178">
        <v>53</v>
      </c>
      <c r="O12" s="88">
        <v>47</v>
      </c>
      <c r="P12" s="145">
        <v>45</v>
      </c>
      <c r="Q12" s="181">
        <f>IF(J12=0,((F12/V12)),((J12/V12)))</f>
        <v>474.8</v>
      </c>
      <c r="V12" s="1">
        <v>35</v>
      </c>
    </row>
    <row r="13" spans="1:27" x14ac:dyDescent="0.3">
      <c r="B13" s="16" t="s">
        <v>38</v>
      </c>
      <c r="C13" s="17">
        <v>8415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3">
      <c r="B14" s="16" t="s">
        <v>40</v>
      </c>
      <c r="C14" s="17">
        <v>10004</v>
      </c>
      <c r="E14" s="161" t="s">
        <v>39</v>
      </c>
      <c r="F14" s="119">
        <v>19114</v>
      </c>
      <c r="G14" s="117">
        <v>22262.9015</v>
      </c>
      <c r="H14" s="117">
        <v>23364.334836000002</v>
      </c>
      <c r="I14" s="152">
        <f>SUM(H14,G14)</f>
        <v>45627.236336000002</v>
      </c>
      <c r="J14" s="119">
        <v>21457</v>
      </c>
      <c r="K14" s="117">
        <v>25331.415750000011</v>
      </c>
      <c r="L14" s="117">
        <v>26272.435829999991</v>
      </c>
      <c r="M14" s="152">
        <f>K14+L14</f>
        <v>51603.851580000002</v>
      </c>
      <c r="N14" s="178">
        <v>64</v>
      </c>
      <c r="O14" s="88">
        <v>70</v>
      </c>
      <c r="P14" s="145">
        <v>57</v>
      </c>
      <c r="Q14" s="181">
        <f>IF(J14=0,((F14/V14)),((J14/V14)))</f>
        <v>510.88095238095241</v>
      </c>
      <c r="V14" s="1">
        <v>42</v>
      </c>
    </row>
    <row r="15" spans="1:27" x14ac:dyDescent="0.3">
      <c r="B15" s="28" t="s">
        <v>42</v>
      </c>
      <c r="C15" s="17">
        <v>33072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3">
      <c r="B16" s="43" t="s">
        <v>47</v>
      </c>
      <c r="C16" s="17">
        <v>1762</v>
      </c>
      <c r="E16" s="161" t="s">
        <v>79</v>
      </c>
      <c r="F16" s="119">
        <v>0</v>
      </c>
      <c r="G16" s="117">
        <v>0</v>
      </c>
      <c r="H16" s="117">
        <v>8821.5364960000006</v>
      </c>
      <c r="I16" s="152">
        <f>SUM(H16,G16)</f>
        <v>8821.5364960000006</v>
      </c>
      <c r="J16" s="119">
        <v>0</v>
      </c>
      <c r="K16" s="117">
        <v>0</v>
      </c>
      <c r="L16" s="117">
        <v>8384.2407080000012</v>
      </c>
      <c r="M16" s="152">
        <f>K16+L16</f>
        <v>8384.2407080000012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17">
        <v>1488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8205</v>
      </c>
      <c r="E18" s="84"/>
      <c r="F18" s="148">
        <f>SUM(F6:F16)</f>
        <v>82000</v>
      </c>
      <c r="G18" s="148">
        <f>SUM(G6:G16)</f>
        <v>73562.387499999997</v>
      </c>
      <c r="H18" s="148">
        <f>SUM(H6:H16)</f>
        <v>66786.362859999994</v>
      </c>
      <c r="I18" s="157">
        <f>SUM(I6:I17)</f>
        <v>140348.75036000001</v>
      </c>
      <c r="J18" s="149">
        <f>SUM(J6:J17)</f>
        <v>84734</v>
      </c>
      <c r="K18" s="149">
        <f>SUM(K6:K17)</f>
        <v>76993.105250000008</v>
      </c>
      <c r="L18" s="149">
        <f>SUM(L6:L17)</f>
        <v>69677.615457999986</v>
      </c>
      <c r="M18" s="175">
        <f>SUM(M6:M17)</f>
        <v>146670.72070799998</v>
      </c>
      <c r="N18" s="148">
        <f>SUM(N16,N14,N12,N10,N8,N6)</f>
        <v>282</v>
      </c>
      <c r="O18" s="148">
        <f>SUM(O16,O14,O12,O10,O8,O6)</f>
        <v>277</v>
      </c>
      <c r="P18" s="148">
        <f>SUM(P16,P14,P12,P10,P8,P6)</f>
        <v>250</v>
      </c>
      <c r="Q18" s="182"/>
    </row>
    <row r="19" spans="1:28" ht="15" customHeight="1" thickBot="1" x14ac:dyDescent="0.35">
      <c r="B19" s="16" t="s">
        <v>51</v>
      </c>
      <c r="C19" s="17">
        <v>1188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  <c r="Q19" s="183"/>
    </row>
    <row r="20" spans="1:28" x14ac:dyDescent="0.3">
      <c r="B20" s="16" t="s">
        <v>52</v>
      </c>
      <c r="C20" s="17">
        <v>4375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9.7472924187725629E-2</v>
      </c>
      <c r="Q20" s="139"/>
    </row>
    <row r="21" spans="1:28" ht="15" customHeight="1" thickBot="1" x14ac:dyDescent="0.35">
      <c r="A21" s="123"/>
      <c r="B21" s="168" t="s">
        <v>132</v>
      </c>
      <c r="C21" s="17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9773</v>
      </c>
      <c r="D25" s="77">
        <v>9576</v>
      </c>
      <c r="E25" s="77">
        <f t="shared" ref="E25:E33" si="0">IFERROR(D25-C25,0)</f>
        <v>-197</v>
      </c>
    </row>
    <row r="26" spans="1:28" x14ac:dyDescent="0.3">
      <c r="B26" s="74" t="s">
        <v>143</v>
      </c>
      <c r="C26" s="122">
        <v>1200</v>
      </c>
      <c r="D26" s="77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40705</v>
      </c>
      <c r="D27" s="77">
        <v>43477</v>
      </c>
      <c r="E27" s="77">
        <f t="shared" si="0"/>
        <v>2772</v>
      </c>
      <c r="G27" s="53"/>
      <c r="M27" s="53"/>
      <c r="P27" s="4"/>
      <c r="Q27" s="4"/>
    </row>
    <row r="28" spans="1:28" x14ac:dyDescent="0.3">
      <c r="B28" s="74" t="s">
        <v>145</v>
      </c>
      <c r="C28" s="122">
        <v>7150</v>
      </c>
      <c r="D28" s="76">
        <v>7150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1280</v>
      </c>
      <c r="D29" s="76">
        <v>1280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7974</v>
      </c>
      <c r="D30" s="76">
        <v>7974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13935</v>
      </c>
      <c r="D31" s="77">
        <v>14094</v>
      </c>
      <c r="E31" s="77">
        <f t="shared" si="0"/>
        <v>159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>
    <tabColor theme="1"/>
    <pageSetUpPr fitToPage="1"/>
  </sheetPr>
  <dimension ref="A1:AB33"/>
  <sheetViews>
    <sheetView zoomScaleNormal="100" zoomScaleSheetLayoutView="70" workbookViewId="0">
      <selection activeCell="R12" sqref="R1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44840</v>
      </c>
    </row>
    <row r="3" spans="1:27" ht="18.75" customHeight="1" thickBot="1" x14ac:dyDescent="0.35">
      <c r="B3" t="s">
        <v>1</v>
      </c>
      <c r="C3" s="3">
        <f>C2+1</f>
        <v>44841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113</v>
      </c>
      <c r="E6" s="161" t="s">
        <v>22</v>
      </c>
      <c r="F6" s="119">
        <v>29028</v>
      </c>
      <c r="G6" s="117">
        <v>13921.172</v>
      </c>
      <c r="H6" s="117">
        <v>5801.1326540000018</v>
      </c>
      <c r="I6" s="152">
        <f>SUM(H6,G6)</f>
        <v>19722.304654000003</v>
      </c>
      <c r="J6" s="119">
        <v>30318</v>
      </c>
      <c r="K6" s="117">
        <v>14677.177</v>
      </c>
      <c r="L6" s="117">
        <v>6097.4269329999997</v>
      </c>
      <c r="M6" s="152">
        <f>K6+L6</f>
        <v>20774.603932999999</v>
      </c>
      <c r="N6" s="178">
        <v>73</v>
      </c>
      <c r="O6" s="88">
        <v>67</v>
      </c>
      <c r="P6" s="145">
        <v>68</v>
      </c>
      <c r="Q6" s="181">
        <f>IF(J6=0,((F6/V6)),((J6/V6)))</f>
        <v>705.06976744186045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-1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2139</v>
      </c>
      <c r="G8" s="117">
        <v>11555.138999999999</v>
      </c>
      <c r="H8" s="117">
        <v>9046.7197030000025</v>
      </c>
      <c r="I8" s="152">
        <f>SUM(H8,G8)</f>
        <v>20601.858703000002</v>
      </c>
      <c r="J8" s="119">
        <v>2101</v>
      </c>
      <c r="K8" s="117">
        <v>11122.257</v>
      </c>
      <c r="L8" s="117">
        <v>10082.595146</v>
      </c>
      <c r="M8" s="152">
        <f>K8+L8</f>
        <v>21204.852145999997</v>
      </c>
      <c r="N8" s="178">
        <v>31</v>
      </c>
      <c r="O8" s="88">
        <v>30</v>
      </c>
      <c r="P8" s="145">
        <v>25</v>
      </c>
      <c r="Q8" s="117"/>
    </row>
    <row r="9" spans="1:27" x14ac:dyDescent="0.3">
      <c r="B9" s="16" t="s">
        <v>23</v>
      </c>
      <c r="C9" s="17">
        <v>5990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3">
      <c r="B10" s="28" t="s">
        <v>26</v>
      </c>
      <c r="C10" s="17">
        <v>1335</v>
      </c>
      <c r="E10" s="161" t="s">
        <v>31</v>
      </c>
      <c r="F10" s="119">
        <v>24822</v>
      </c>
      <c r="G10" s="117">
        <v>17571.296999999999</v>
      </c>
      <c r="H10" s="117">
        <v>807.83322600000008</v>
      </c>
      <c r="I10" s="152">
        <f>SUM(H10,G10)</f>
        <v>18379.130225999997</v>
      </c>
      <c r="J10" s="119">
        <v>25295</v>
      </c>
      <c r="K10" s="117">
        <v>17742.174999999999</v>
      </c>
      <c r="L10" s="117">
        <v>823.58613300000002</v>
      </c>
      <c r="M10" s="152">
        <f>K10+L10</f>
        <v>18565.761133</v>
      </c>
      <c r="N10" s="178">
        <v>54</v>
      </c>
      <c r="O10" s="88">
        <v>51</v>
      </c>
      <c r="P10" s="145">
        <v>53</v>
      </c>
      <c r="Q10" s="181">
        <f>IF(J10=0,((F10/V10)),((J10/V10)))</f>
        <v>486.44230769230768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-2</v>
      </c>
      <c r="Q11" s="118"/>
    </row>
    <row r="12" spans="1:27" x14ac:dyDescent="0.3">
      <c r="A12" s="166"/>
      <c r="B12" s="16" t="s">
        <v>30</v>
      </c>
      <c r="C12" s="17">
        <v>2422</v>
      </c>
      <c r="E12" s="161" t="s">
        <v>35</v>
      </c>
      <c r="F12" s="119">
        <v>15829</v>
      </c>
      <c r="G12" s="117">
        <v>13309.249</v>
      </c>
      <c r="H12" s="117">
        <v>20187.521433999998</v>
      </c>
      <c r="I12" s="152">
        <f>SUM(H12,G12)</f>
        <v>33496.770433999998</v>
      </c>
      <c r="J12" s="119">
        <v>16787</v>
      </c>
      <c r="K12" s="117">
        <v>14440.748000000011</v>
      </c>
      <c r="L12" s="117">
        <v>21548.85739300002</v>
      </c>
      <c r="M12" s="152">
        <f>K12+L12</f>
        <v>35989.605393000034</v>
      </c>
      <c r="N12" s="178">
        <v>56</v>
      </c>
      <c r="O12" s="88">
        <v>49</v>
      </c>
      <c r="P12" s="145">
        <v>46</v>
      </c>
      <c r="Q12" s="181">
        <f>IF(J12=0,((F12/V12)),((J12/V12)))</f>
        <v>479.62857142857143</v>
      </c>
      <c r="V12" s="1">
        <v>35</v>
      </c>
    </row>
    <row r="13" spans="1:27" x14ac:dyDescent="0.3">
      <c r="B13" s="16" t="s">
        <v>38</v>
      </c>
      <c r="C13" s="17">
        <v>8719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15466</v>
      </c>
      <c r="E14" s="161" t="s">
        <v>39</v>
      </c>
      <c r="F14" s="119">
        <v>23942</v>
      </c>
      <c r="G14" s="117">
        <v>27847.172999999999</v>
      </c>
      <c r="H14" s="117">
        <v>29400.908934999999</v>
      </c>
      <c r="I14" s="152">
        <f>SUM(H14,G14)</f>
        <v>57248.081934999995</v>
      </c>
      <c r="J14" s="119">
        <v>25840</v>
      </c>
      <c r="K14" s="117">
        <v>30084.958500000001</v>
      </c>
      <c r="L14" s="117">
        <v>31748.907561</v>
      </c>
      <c r="M14" s="152">
        <f>K14+L14</f>
        <v>61833.866061000001</v>
      </c>
      <c r="N14" s="178">
        <v>72</v>
      </c>
      <c r="O14" s="88">
        <v>74</v>
      </c>
      <c r="P14" s="145">
        <v>61</v>
      </c>
      <c r="Q14" s="181">
        <f>IF(J14=0,((F14/V14)),((J14/V14)))</f>
        <v>615.23809523809518</v>
      </c>
      <c r="V14" s="1">
        <v>42</v>
      </c>
    </row>
    <row r="15" spans="1:27" x14ac:dyDescent="0.3">
      <c r="B15" s="28" t="s">
        <v>42</v>
      </c>
      <c r="C15" s="17">
        <v>26377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3">
      <c r="B16" s="43" t="s">
        <v>47</v>
      </c>
      <c r="C16" s="17">
        <v>1492</v>
      </c>
      <c r="E16" s="161" t="s">
        <v>79</v>
      </c>
      <c r="F16" s="119">
        <v>0</v>
      </c>
      <c r="G16" s="117">
        <v>0</v>
      </c>
      <c r="H16" s="117">
        <v>4812.0613430000003</v>
      </c>
      <c r="I16" s="152">
        <f>SUM(H16,G16)</f>
        <v>4812.0613430000003</v>
      </c>
      <c r="J16" s="119">
        <v>0</v>
      </c>
      <c r="K16" s="117">
        <v>0</v>
      </c>
      <c r="L16" s="117">
        <v>5301.7931790000011</v>
      </c>
      <c r="M16" s="152">
        <f>K16+L16</f>
        <v>5301.7931790000011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35">
      <c r="B17" s="43" t="s">
        <v>48</v>
      </c>
      <c r="C17" s="17">
        <v>1283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8557</v>
      </c>
      <c r="E18" s="84"/>
      <c r="F18" s="148">
        <f>SUM(F6:F16)</f>
        <v>95760</v>
      </c>
      <c r="G18" s="148">
        <f>SUM(G6:G16)</f>
        <v>84204.03</v>
      </c>
      <c r="H18" s="148">
        <f>SUM(H6:H16)</f>
        <v>70056.177295000001</v>
      </c>
      <c r="I18" s="157">
        <f>SUM(I6:I17)</f>
        <v>154260.207295</v>
      </c>
      <c r="J18" s="149">
        <f>SUM(J6:J17)</f>
        <v>100341</v>
      </c>
      <c r="K18" s="149">
        <f>SUM(K6:K17)</f>
        <v>88067.315499999997</v>
      </c>
      <c r="L18" s="149">
        <f>SUM(L6:L17)</f>
        <v>75603.16634500002</v>
      </c>
      <c r="M18" s="175">
        <f>SUM(M6:M17)</f>
        <v>163670.48184500003</v>
      </c>
      <c r="N18" s="148">
        <f>SUM(N16,N14,N12,N10,N8,N6)</f>
        <v>295</v>
      </c>
      <c r="O18" s="148">
        <f>SUM(O16,O14,O12,O10,O8,O6)</f>
        <v>280</v>
      </c>
      <c r="P18" s="148">
        <f>SUM(P16,P14,P12,P10,P8,P6)</f>
        <v>262</v>
      </c>
      <c r="Q18" s="182"/>
    </row>
    <row r="19" spans="1:28" ht="15" customHeight="1" thickBot="1" x14ac:dyDescent="0.35">
      <c r="B19" s="16" t="s">
        <v>51</v>
      </c>
      <c r="C19" s="17">
        <v>1702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  <c r="Q19" s="183"/>
    </row>
    <row r="20" spans="1:28" x14ac:dyDescent="0.3">
      <c r="B20" s="16" t="s">
        <v>52</v>
      </c>
      <c r="C20" s="17">
        <v>3926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6.4285714285714279E-2</v>
      </c>
      <c r="Q20" s="139"/>
    </row>
    <row r="21" spans="1:28" ht="15" customHeight="1" thickBot="1" x14ac:dyDescent="0.35">
      <c r="A21" s="123"/>
      <c r="B21" s="168" t="s">
        <v>132</v>
      </c>
      <c r="C21" s="17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9408</v>
      </c>
      <c r="D25" s="77">
        <v>9675</v>
      </c>
      <c r="E25" s="77">
        <f t="shared" ref="E25:E33" si="0">IFERROR(D25-C25,0)</f>
        <v>267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41408</v>
      </c>
      <c r="D27" s="77">
        <v>44594</v>
      </c>
      <c r="E27" s="77">
        <f t="shared" si="0"/>
        <v>3186</v>
      </c>
      <c r="G27" s="53"/>
      <c r="M27" s="53"/>
      <c r="P27" s="4"/>
      <c r="Q27" s="4"/>
    </row>
    <row r="28" spans="1:28" x14ac:dyDescent="0.3">
      <c r="B28" s="74" t="s">
        <v>145</v>
      </c>
      <c r="C28" s="122">
        <v>11395</v>
      </c>
      <c r="D28" s="76">
        <v>11395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4162</v>
      </c>
      <c r="D29" s="76">
        <v>4162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8338</v>
      </c>
      <c r="D30" s="76">
        <v>8338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13975</v>
      </c>
      <c r="D31" s="77">
        <v>15103</v>
      </c>
      <c r="E31" s="77">
        <f t="shared" si="0"/>
        <v>1128</v>
      </c>
      <c r="K31" s="53"/>
      <c r="P31" s="4"/>
      <c r="Q31" s="4"/>
    </row>
    <row r="32" spans="1:28" x14ac:dyDescent="0.3">
      <c r="B32" s="74" t="s">
        <v>60</v>
      </c>
      <c r="C32" s="122">
        <v>7090</v>
      </c>
      <c r="D32" s="76">
        <v>7090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>
    <tabColor theme="1"/>
    <pageSetUpPr fitToPage="1"/>
  </sheetPr>
  <dimension ref="A1:AB33"/>
  <sheetViews>
    <sheetView zoomScaleNormal="100" zoomScaleSheetLayoutView="70" workbookViewId="0">
      <selection activeCell="R17" sqref="R1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44841</v>
      </c>
    </row>
    <row r="3" spans="1:27" ht="18.75" customHeight="1" thickBot="1" x14ac:dyDescent="0.35">
      <c r="B3" t="s">
        <v>1</v>
      </c>
      <c r="C3" s="3">
        <f>C2+1</f>
        <v>44842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30933</v>
      </c>
      <c r="G6" s="117">
        <v>15820.444</v>
      </c>
      <c r="H6" s="117">
        <v>4288.4442679999993</v>
      </c>
      <c r="I6" s="152">
        <f>SUM(H6,G6)</f>
        <v>20108.888267999999</v>
      </c>
      <c r="J6" s="119">
        <v>30489</v>
      </c>
      <c r="K6" s="117">
        <v>15714.64</v>
      </c>
      <c r="L6" s="117">
        <v>4579.502074</v>
      </c>
      <c r="M6" s="152">
        <f>K6+L6</f>
        <v>20294.142073999999</v>
      </c>
      <c r="N6" s="178">
        <v>76</v>
      </c>
      <c r="O6" s="88">
        <v>71</v>
      </c>
      <c r="P6" s="145">
        <v>73</v>
      </c>
      <c r="Q6" s="181">
        <f>IF(J6=0,((F6/V6)),((J6/V6)))</f>
        <v>709.04651162790697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1731</v>
      </c>
      <c r="G8" s="117">
        <v>8970.4860000000008</v>
      </c>
      <c r="H8" s="117">
        <v>10852.319502</v>
      </c>
      <c r="I8" s="152">
        <f>SUM(H8,G8)</f>
        <v>19822.805502000003</v>
      </c>
      <c r="J8" s="119">
        <v>1577</v>
      </c>
      <c r="K8" s="117">
        <v>8521.1</v>
      </c>
      <c r="L8" s="117">
        <v>10592.039741000001</v>
      </c>
      <c r="M8" s="152">
        <f>K8+L8</f>
        <v>19113.139740999999</v>
      </c>
      <c r="N8" s="178">
        <v>31</v>
      </c>
      <c r="O8" s="88">
        <v>31</v>
      </c>
      <c r="P8" s="145">
        <v>26</v>
      </c>
      <c r="Q8" s="117"/>
    </row>
    <row r="9" spans="1:27" x14ac:dyDescent="0.3">
      <c r="B9" s="16" t="s">
        <v>23</v>
      </c>
      <c r="C9" s="17">
        <v>4239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22682</v>
      </c>
      <c r="G10" s="117">
        <v>15702.877500000001</v>
      </c>
      <c r="H10" s="117">
        <v>393.25709999999998</v>
      </c>
      <c r="I10" s="152">
        <f>SUM(H10,G10)</f>
        <v>16096.134600000001</v>
      </c>
      <c r="J10" s="119">
        <v>22196</v>
      </c>
      <c r="K10" s="117">
        <v>15401.87</v>
      </c>
      <c r="L10" s="117">
        <v>397.57133700000003</v>
      </c>
      <c r="M10" s="152">
        <f>K10+L10</f>
        <v>15799.441337</v>
      </c>
      <c r="N10" s="178">
        <v>49</v>
      </c>
      <c r="O10" s="88">
        <v>47</v>
      </c>
      <c r="P10" s="145">
        <v>44</v>
      </c>
      <c r="Q10" s="181">
        <f>IF(J10=0,((F10/V10)),((J10/V10)))</f>
        <v>426.84615384615387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3">
      <c r="A12" s="166"/>
      <c r="B12" s="16" t="s">
        <v>30</v>
      </c>
      <c r="C12" s="17">
        <v>4357</v>
      </c>
      <c r="E12" s="161" t="s">
        <v>35</v>
      </c>
      <c r="F12" s="119">
        <v>14442</v>
      </c>
      <c r="G12" s="117">
        <v>13512.825999999999</v>
      </c>
      <c r="H12" s="117">
        <v>17683.558764000001</v>
      </c>
      <c r="I12" s="152">
        <f>SUM(H12,G12)</f>
        <v>31196.384764000002</v>
      </c>
      <c r="J12" s="119">
        <v>14726</v>
      </c>
      <c r="K12" s="117">
        <v>13620.5455</v>
      </c>
      <c r="L12" s="117">
        <v>17860.91546</v>
      </c>
      <c r="M12" s="152">
        <f>K12+L12</f>
        <v>31481.46096</v>
      </c>
      <c r="N12" s="178">
        <v>51</v>
      </c>
      <c r="O12" s="88">
        <v>53</v>
      </c>
      <c r="P12" s="145">
        <v>44</v>
      </c>
      <c r="Q12" s="181">
        <f>IF(J12=0,((F12/V12)),((J12/V12)))</f>
        <v>420.74285714285713</v>
      </c>
      <c r="V12" s="1">
        <v>35</v>
      </c>
    </row>
    <row r="13" spans="1:27" x14ac:dyDescent="0.3">
      <c r="B13" s="16" t="s">
        <v>38</v>
      </c>
      <c r="C13" s="17">
        <v>8308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3">
      <c r="B14" s="16" t="s">
        <v>40</v>
      </c>
      <c r="C14" s="17">
        <v>13386</v>
      </c>
      <c r="E14" s="161" t="s">
        <v>39</v>
      </c>
      <c r="F14" s="119">
        <v>27330</v>
      </c>
      <c r="G14" s="117">
        <v>32892.87025</v>
      </c>
      <c r="H14" s="117">
        <v>34378.786526999997</v>
      </c>
      <c r="I14" s="152">
        <f>SUM(H14,G14)</f>
        <v>67271.656776999997</v>
      </c>
      <c r="J14" s="119">
        <v>30392</v>
      </c>
      <c r="K14" s="117">
        <v>36421.80775</v>
      </c>
      <c r="L14" s="117">
        <v>38065.489014999999</v>
      </c>
      <c r="M14" s="152">
        <f>K14+L14</f>
        <v>74487.296765000006</v>
      </c>
      <c r="N14" s="178">
        <v>74</v>
      </c>
      <c r="O14" s="88">
        <v>79</v>
      </c>
      <c r="P14" s="145">
        <v>66</v>
      </c>
      <c r="Q14" s="181">
        <f>IF(J14=0,((F14/V14)),((J14/V14)))</f>
        <v>723.61904761904759</v>
      </c>
      <c r="V14" s="1">
        <v>42</v>
      </c>
    </row>
    <row r="15" spans="1:27" x14ac:dyDescent="0.3">
      <c r="B15" s="28" t="s">
        <v>42</v>
      </c>
      <c r="C15" s="17">
        <v>34714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3">
      <c r="B16" s="43" t="s">
        <v>47</v>
      </c>
      <c r="C16" s="17">
        <v>1734</v>
      </c>
      <c r="E16" s="161" t="s">
        <v>79</v>
      </c>
      <c r="F16" s="119">
        <v>0</v>
      </c>
      <c r="G16" s="117">
        <v>0</v>
      </c>
      <c r="H16" s="117">
        <v>8081.2886209999988</v>
      </c>
      <c r="I16" s="152">
        <f>SUM(H16,G16)</f>
        <v>8081.2886209999988</v>
      </c>
      <c r="J16" s="119">
        <v>0</v>
      </c>
      <c r="K16" s="117">
        <v>0</v>
      </c>
      <c r="L16" s="117">
        <v>8128.2126219999982</v>
      </c>
      <c r="M16" s="152">
        <f>K16+L16</f>
        <v>8128.2126219999982</v>
      </c>
      <c r="N16" s="178">
        <v>12</v>
      </c>
      <c r="O16" s="88">
        <v>13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17">
        <v>1555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7444</v>
      </c>
      <c r="E18" s="84"/>
      <c r="F18" s="148">
        <f>SUM(F6:F16)</f>
        <v>97118</v>
      </c>
      <c r="G18" s="148">
        <f>SUM(G6:G16)</f>
        <v>86899.503750000003</v>
      </c>
      <c r="H18" s="148">
        <f>SUM(H6:H16)</f>
        <v>75677.654781999998</v>
      </c>
      <c r="I18" s="157">
        <f>SUM(I6:I17)</f>
        <v>162577.158532</v>
      </c>
      <c r="J18" s="149">
        <f>SUM(J6:J17)</f>
        <v>99380</v>
      </c>
      <c r="K18" s="149">
        <f>SUM(K6:K17)</f>
        <v>89679.963250000001</v>
      </c>
      <c r="L18" s="149">
        <f>SUM(L6:L17)</f>
        <v>79623.730248999986</v>
      </c>
      <c r="M18" s="175">
        <f>SUM(M6:M17)</f>
        <v>169303.69349899999</v>
      </c>
      <c r="N18" s="148">
        <f>SUM(N16,N14,N12,N10,N8,N6)</f>
        <v>293</v>
      </c>
      <c r="O18" s="148">
        <f>SUM(O16,O14,O12,O10,O8,O6)</f>
        <v>294</v>
      </c>
      <c r="P18" s="148">
        <f>SUM(P16,P14,P12,P10,P8,P6)</f>
        <v>264</v>
      </c>
      <c r="Q18" s="182"/>
    </row>
    <row r="19" spans="1:28" ht="15" customHeight="1" thickBot="1" x14ac:dyDescent="0.35">
      <c r="B19" s="16" t="s">
        <v>51</v>
      </c>
      <c r="C19" s="17">
        <v>343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4205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0.10204081632653061</v>
      </c>
      <c r="Q20" s="139"/>
    </row>
    <row r="21" spans="1:28" ht="15" customHeight="1" thickBot="1" x14ac:dyDescent="0.35">
      <c r="A21" s="123"/>
      <c r="B21" s="168" t="s">
        <v>132</v>
      </c>
      <c r="C21" s="17">
        <v>1280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8145</v>
      </c>
      <c r="D25" s="77">
        <v>8457</v>
      </c>
      <c r="E25" s="77">
        <f t="shared" ref="E25:E33" si="0">IFERROR(D25-C25,0)</f>
        <v>312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46163</v>
      </c>
      <c r="D27" s="77">
        <v>48300</v>
      </c>
      <c r="E27" s="77">
        <f t="shared" si="0"/>
        <v>2137</v>
      </c>
      <c r="G27" s="53"/>
      <c r="M27" s="53"/>
      <c r="P27" s="4"/>
      <c r="Q27" s="4"/>
    </row>
    <row r="28" spans="1:28" x14ac:dyDescent="0.3">
      <c r="B28" s="74" t="s">
        <v>145</v>
      </c>
      <c r="C28" s="122">
        <v>6986</v>
      </c>
      <c r="D28" s="76">
        <v>6986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15034</v>
      </c>
      <c r="D30" s="76">
        <v>15034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12845</v>
      </c>
      <c r="D31" s="77">
        <v>12658</v>
      </c>
      <c r="E31" s="77">
        <f t="shared" si="0"/>
        <v>-187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7956</v>
      </c>
      <c r="D33" s="80">
        <v>7956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>
    <tabColor theme="1"/>
    <pageSetUpPr fitToPage="1"/>
  </sheetPr>
  <dimension ref="A1:AB33"/>
  <sheetViews>
    <sheetView zoomScaleNormal="100" zoomScaleSheetLayoutView="70" workbookViewId="0">
      <selection activeCell="R3" sqref="R3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44842</v>
      </c>
    </row>
    <row r="3" spans="1:27" ht="18.75" customHeight="1" thickBot="1" x14ac:dyDescent="0.35">
      <c r="B3" t="s">
        <v>1</v>
      </c>
      <c r="C3" s="3">
        <f>C2+1</f>
        <v>44843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87</v>
      </c>
      <c r="E6" s="161" t="s">
        <v>22</v>
      </c>
      <c r="F6" s="119">
        <v>36279</v>
      </c>
      <c r="G6" s="117">
        <v>19088.919000000002</v>
      </c>
      <c r="H6" s="117">
        <v>5703.2844620000014</v>
      </c>
      <c r="I6" s="152">
        <f>SUM(H6,G6)</f>
        <v>24792.203462000005</v>
      </c>
      <c r="J6" s="119">
        <v>37031</v>
      </c>
      <c r="K6" s="117">
        <v>19307.955000000002</v>
      </c>
      <c r="L6" s="117">
        <v>5807.2126659999994</v>
      </c>
      <c r="M6" s="152">
        <f>K6+L6</f>
        <v>25115.167666000001</v>
      </c>
      <c r="N6" s="178">
        <v>85</v>
      </c>
      <c r="O6" s="88">
        <v>69</v>
      </c>
      <c r="P6" s="145">
        <v>73</v>
      </c>
      <c r="Q6" s="181">
        <f>IF(J6=0,((F6/V6)),((J6/V6)))</f>
        <v>861.18604651162786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-4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1819</v>
      </c>
      <c r="G8" s="117">
        <v>9830.4740000000002</v>
      </c>
      <c r="H8" s="117">
        <v>11472.199424</v>
      </c>
      <c r="I8" s="152">
        <f>SUM(H8,G8)</f>
        <v>21302.673424000001</v>
      </c>
      <c r="J8" s="119">
        <v>1704</v>
      </c>
      <c r="K8" s="117">
        <v>8538.2360000000008</v>
      </c>
      <c r="L8" s="117">
        <v>11047.9781</v>
      </c>
      <c r="M8" s="152">
        <f>K8+L8</f>
        <v>19586.214100000001</v>
      </c>
      <c r="N8" s="178">
        <v>35</v>
      </c>
      <c r="O8" s="88">
        <v>49</v>
      </c>
      <c r="P8" s="145">
        <v>31</v>
      </c>
      <c r="Q8" s="117"/>
    </row>
    <row r="9" spans="1:27" x14ac:dyDescent="0.3">
      <c r="B9" s="16" t="s">
        <v>23</v>
      </c>
      <c r="C9" s="17">
        <v>5446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18</v>
      </c>
      <c r="Q9" s="118"/>
    </row>
    <row r="10" spans="1:27" x14ac:dyDescent="0.3">
      <c r="B10" s="28" t="s">
        <v>26</v>
      </c>
      <c r="C10" s="17">
        <v>1045</v>
      </c>
      <c r="E10" s="161" t="s">
        <v>31</v>
      </c>
      <c r="F10" s="119">
        <v>21331</v>
      </c>
      <c r="G10" s="117">
        <v>15098.372499999999</v>
      </c>
      <c r="H10" s="117">
        <v>719.37598800000001</v>
      </c>
      <c r="I10" s="152">
        <f>SUM(H10,G10)</f>
        <v>15817.748487999999</v>
      </c>
      <c r="J10" s="119">
        <v>21934</v>
      </c>
      <c r="K10" s="117">
        <v>15380.8745</v>
      </c>
      <c r="L10" s="117">
        <v>754.78263500000003</v>
      </c>
      <c r="M10" s="152">
        <f>K10+L10</f>
        <v>16135.657134999999</v>
      </c>
      <c r="N10" s="178">
        <v>54</v>
      </c>
      <c r="O10" s="88">
        <v>48</v>
      </c>
      <c r="P10" s="145">
        <v>52</v>
      </c>
      <c r="Q10" s="181">
        <f>IF(J10=0,((F10/V10)),((J10/V10)))</f>
        <v>421.80769230769232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-4</v>
      </c>
      <c r="Q11" s="118"/>
    </row>
    <row r="12" spans="1:27" x14ac:dyDescent="0.3">
      <c r="A12" s="166"/>
      <c r="B12" s="16" t="s">
        <v>30</v>
      </c>
      <c r="C12" s="17">
        <v>1793</v>
      </c>
      <c r="E12" s="161" t="s">
        <v>35</v>
      </c>
      <c r="F12" s="119">
        <v>17300</v>
      </c>
      <c r="G12" s="117">
        <v>15798.037</v>
      </c>
      <c r="H12" s="117">
        <v>22060.338861</v>
      </c>
      <c r="I12" s="152">
        <f>SUM(H12,G12)</f>
        <v>37858.375861</v>
      </c>
      <c r="J12" s="119">
        <v>17836</v>
      </c>
      <c r="K12" s="117">
        <v>16224.1065</v>
      </c>
      <c r="L12" s="117">
        <v>22379.850923999998</v>
      </c>
      <c r="M12" s="152">
        <f>K12+L12</f>
        <v>38603.957424</v>
      </c>
      <c r="N12" s="178">
        <v>56</v>
      </c>
      <c r="O12" s="88">
        <v>54</v>
      </c>
      <c r="P12" s="145">
        <v>48</v>
      </c>
      <c r="Q12" s="181">
        <f>IF(J12=0,((F12/V12)),((J12/V12)))</f>
        <v>509.6</v>
      </c>
      <c r="V12" s="1">
        <v>35</v>
      </c>
    </row>
    <row r="13" spans="1:27" x14ac:dyDescent="0.3">
      <c r="B13" s="16" t="s">
        <v>38</v>
      </c>
      <c r="C13" s="17">
        <v>7301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3">
      <c r="B14" s="16" t="s">
        <v>40</v>
      </c>
      <c r="C14" s="17">
        <v>13721</v>
      </c>
      <c r="E14" s="161" t="s">
        <v>39</v>
      </c>
      <c r="F14" s="119">
        <v>16150</v>
      </c>
      <c r="G14" s="117">
        <v>18865.137999999999</v>
      </c>
      <c r="H14" s="117">
        <v>19946.443813999998</v>
      </c>
      <c r="I14" s="152">
        <f>SUM(H14,G14)</f>
        <v>38811.581813999997</v>
      </c>
      <c r="J14" s="119">
        <v>17984</v>
      </c>
      <c r="K14" s="117">
        <v>21150.679499999998</v>
      </c>
      <c r="L14" s="117">
        <v>22314.407971000001</v>
      </c>
      <c r="M14" s="152">
        <f>K14+L14</f>
        <v>43465.087470999999</v>
      </c>
      <c r="N14" s="178">
        <v>68</v>
      </c>
      <c r="O14" s="88">
        <v>75</v>
      </c>
      <c r="P14" s="145">
        <v>58</v>
      </c>
      <c r="Q14" s="181">
        <f>IF(J14=0,((F14/V14)),((J14/V14)))</f>
        <v>428.1904761904762</v>
      </c>
      <c r="V14" s="1">
        <v>42</v>
      </c>
    </row>
    <row r="15" spans="1:27" x14ac:dyDescent="0.3">
      <c r="B15" s="28" t="s">
        <v>42</v>
      </c>
      <c r="C15" s="17">
        <v>30432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17</v>
      </c>
      <c r="Q15" s="118"/>
    </row>
    <row r="16" spans="1:27" x14ac:dyDescent="0.3">
      <c r="B16" s="43" t="s">
        <v>47</v>
      </c>
      <c r="C16" s="17">
        <v>1042</v>
      </c>
      <c r="E16" s="161" t="s">
        <v>79</v>
      </c>
      <c r="F16" s="119">
        <v>0</v>
      </c>
      <c r="G16" s="117">
        <v>0</v>
      </c>
      <c r="H16" s="117">
        <v>5547.9739260000006</v>
      </c>
      <c r="I16" s="152">
        <f>SUM(H16,G16)</f>
        <v>5547.9739260000006</v>
      </c>
      <c r="J16" s="119">
        <v>0</v>
      </c>
      <c r="K16" s="117">
        <v>0</v>
      </c>
      <c r="L16" s="117">
        <v>5481.1947510000009</v>
      </c>
      <c r="M16" s="152">
        <f>K16+L16</f>
        <v>5481.1947510000009</v>
      </c>
      <c r="N16" s="178">
        <v>10</v>
      </c>
      <c r="O16" s="88">
        <v>11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17">
        <v>1472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9696</v>
      </c>
      <c r="E18" s="84"/>
      <c r="F18" s="148">
        <f>SUM(F6:F16)</f>
        <v>92879</v>
      </c>
      <c r="G18" s="148">
        <f>SUM(G6:G16)</f>
        <v>78680.940499999997</v>
      </c>
      <c r="H18" s="148">
        <f>SUM(H6:H16)</f>
        <v>65449.616474999995</v>
      </c>
      <c r="I18" s="157">
        <f>SUM(I6:I17)</f>
        <v>144130.55697500001</v>
      </c>
      <c r="J18" s="149">
        <f>SUM(J6:J17)</f>
        <v>96489</v>
      </c>
      <c r="K18" s="149">
        <f>SUM(K6:K17)</f>
        <v>80601.851500000004</v>
      </c>
      <c r="L18" s="149">
        <f>SUM(L6:L17)</f>
        <v>67785.42704699999</v>
      </c>
      <c r="M18" s="175">
        <f>SUM(M6:M17)</f>
        <v>148387.27854700002</v>
      </c>
      <c r="N18" s="148">
        <f>SUM(N16,N14,N12,N10,N8,N6)</f>
        <v>308</v>
      </c>
      <c r="O18" s="148">
        <f>SUM(O16,O14,O12,O10,O8,O6)</f>
        <v>306</v>
      </c>
      <c r="P18" s="148">
        <f>SUM(P16,P14,P12,P10,P8,P6)</f>
        <v>272</v>
      </c>
      <c r="Q18" s="182"/>
    </row>
    <row r="19" spans="1:28" ht="15" customHeight="1" thickBot="1" x14ac:dyDescent="0.35">
      <c r="B19" s="16" t="s">
        <v>51</v>
      </c>
      <c r="C19" s="17">
        <v>1595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  <c r="Q19" s="183"/>
    </row>
    <row r="20" spans="1:28" x14ac:dyDescent="0.3">
      <c r="B20" s="16" t="s">
        <v>52</v>
      </c>
      <c r="C20" s="17">
        <v>4212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0.1111111111111111</v>
      </c>
      <c r="Q20" s="139"/>
    </row>
    <row r="21" spans="1:28" ht="15" customHeight="1" thickBot="1" x14ac:dyDescent="0.35">
      <c r="A21" s="123"/>
      <c r="B21" s="168" t="s">
        <v>132</v>
      </c>
      <c r="C21" s="17">
        <v>374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10028</v>
      </c>
      <c r="D25" s="77">
        <v>10170</v>
      </c>
      <c r="E25" s="77">
        <f t="shared" ref="E25:E33" si="0">IFERROR(D25-C25,0)</f>
        <v>142</v>
      </c>
    </row>
    <row r="26" spans="1:28" x14ac:dyDescent="0.3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41433</v>
      </c>
      <c r="D27" s="77">
        <v>43679</v>
      </c>
      <c r="E27" s="77">
        <f t="shared" si="0"/>
        <v>2246</v>
      </c>
      <c r="G27" s="53"/>
      <c r="M27" s="53"/>
      <c r="P27" s="4"/>
      <c r="Q27" s="4"/>
    </row>
    <row r="28" spans="1:28" x14ac:dyDescent="0.3">
      <c r="B28" s="74" t="s">
        <v>145</v>
      </c>
      <c r="C28" s="122">
        <v>8513</v>
      </c>
      <c r="D28" s="76">
        <v>8513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3468</v>
      </c>
      <c r="D29" s="76">
        <v>2988</v>
      </c>
      <c r="E29" s="77">
        <f t="shared" si="0"/>
        <v>-480</v>
      </c>
      <c r="P29" s="4"/>
      <c r="Q29" s="4"/>
    </row>
    <row r="30" spans="1:28" x14ac:dyDescent="0.3">
      <c r="B30" s="74" t="s">
        <v>146</v>
      </c>
      <c r="C30" s="122">
        <v>6110</v>
      </c>
      <c r="D30" s="76">
        <v>6110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14675</v>
      </c>
      <c r="D31" s="77">
        <v>16377</v>
      </c>
      <c r="E31" s="77">
        <f t="shared" si="0"/>
        <v>1702</v>
      </c>
      <c r="K31" s="53"/>
      <c r="P31" s="4"/>
      <c r="Q31" s="4"/>
    </row>
    <row r="32" spans="1:28" x14ac:dyDescent="0.3">
      <c r="B32" s="74" t="s">
        <v>60</v>
      </c>
      <c r="C32" s="122">
        <v>5680</v>
      </c>
      <c r="D32" s="76">
        <v>5680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2992</v>
      </c>
      <c r="D33" s="80">
        <v>2992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>
    <tabColor theme="1"/>
    <pageSetUpPr fitToPage="1"/>
  </sheetPr>
  <dimension ref="A1:AB33"/>
  <sheetViews>
    <sheetView zoomScaleNormal="100" zoomScaleSheetLayoutView="70" workbookViewId="0">
      <selection activeCell="J29" sqref="J2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44843</v>
      </c>
    </row>
    <row r="3" spans="1:27" ht="18.75" customHeight="1" thickBot="1" x14ac:dyDescent="0.35">
      <c r="B3" t="s">
        <v>1</v>
      </c>
      <c r="C3" s="3">
        <f>C2+1</f>
        <v>44844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21636</v>
      </c>
      <c r="G6" s="117">
        <v>9565.5809999999983</v>
      </c>
      <c r="H6" s="117">
        <v>721.75724100000014</v>
      </c>
      <c r="I6" s="152">
        <f>SUM(H6,G6)</f>
        <v>10287.338240999998</v>
      </c>
      <c r="J6" s="119">
        <v>20342</v>
      </c>
      <c r="K6" s="117">
        <v>8964.2499999999982</v>
      </c>
      <c r="L6" s="117">
        <v>675.968977</v>
      </c>
      <c r="M6" s="152">
        <f>K6+L6</f>
        <v>9640.2189769999986</v>
      </c>
      <c r="N6" s="178">
        <v>73</v>
      </c>
      <c r="O6" s="88">
        <v>74</v>
      </c>
      <c r="P6" s="145">
        <v>52</v>
      </c>
      <c r="Q6" s="181">
        <f>IF(J6=0,((F6/V6)),((J6/V6)))</f>
        <v>473.06976744186045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1670</v>
      </c>
      <c r="G8" s="117">
        <v>8480.9759999999987</v>
      </c>
      <c r="H8" s="117">
        <v>8988.465892000002</v>
      </c>
      <c r="I8" s="152">
        <f>SUM(H8,G8)</f>
        <v>17469.441892000003</v>
      </c>
      <c r="J8" s="119">
        <v>1680</v>
      </c>
      <c r="K8" s="117">
        <v>8533.3019999999997</v>
      </c>
      <c r="L8" s="117">
        <v>8810.1909819999964</v>
      </c>
      <c r="M8" s="152">
        <f>K8+L8</f>
        <v>17343.492981999996</v>
      </c>
      <c r="N8" s="178">
        <v>17</v>
      </c>
      <c r="O8" s="88">
        <v>19</v>
      </c>
      <c r="P8" s="145">
        <v>19</v>
      </c>
      <c r="Q8" s="117"/>
    </row>
    <row r="9" spans="1:27" x14ac:dyDescent="0.3">
      <c r="B9" s="16" t="s">
        <v>23</v>
      </c>
      <c r="C9" s="17">
        <v>3617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6514</v>
      </c>
      <c r="G10" s="117">
        <v>3563.4385000000002</v>
      </c>
      <c r="H10" s="117">
        <v>461.57873999999998</v>
      </c>
      <c r="I10" s="152">
        <f>SUM(H10,G10)</f>
        <v>4025.0172400000001</v>
      </c>
      <c r="J10" s="119">
        <v>5833</v>
      </c>
      <c r="K10" s="117">
        <v>3227.9245000000001</v>
      </c>
      <c r="L10" s="117">
        <v>442.47971200000001</v>
      </c>
      <c r="M10" s="152">
        <f>K10+L10</f>
        <v>3670.4042119999999</v>
      </c>
      <c r="N10" s="178">
        <v>9</v>
      </c>
      <c r="O10" s="88">
        <v>9</v>
      </c>
      <c r="P10" s="145">
        <v>4</v>
      </c>
      <c r="Q10" s="181">
        <f>IF(J10=0,((F10/V10)),((J10/V10)))</f>
        <v>112.17307692307692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5</v>
      </c>
      <c r="Q11" s="118"/>
    </row>
    <row r="12" spans="1:27" x14ac:dyDescent="0.3">
      <c r="A12" s="166"/>
      <c r="B12" s="16" t="s">
        <v>30</v>
      </c>
      <c r="C12" s="17">
        <v>0</v>
      </c>
      <c r="E12" s="161" t="s">
        <v>35</v>
      </c>
      <c r="F12" s="119">
        <v>7275</v>
      </c>
      <c r="G12" s="117">
        <v>7887.9985000000006</v>
      </c>
      <c r="H12" s="117">
        <v>9090.1167100000021</v>
      </c>
      <c r="I12" s="152">
        <f>SUM(H12,G12)</f>
        <v>16978.115210000004</v>
      </c>
      <c r="J12" s="119">
        <v>7799</v>
      </c>
      <c r="K12" s="117">
        <v>8555.5224999999991</v>
      </c>
      <c r="L12" s="117">
        <v>9967.7919770000026</v>
      </c>
      <c r="M12" s="152">
        <f>K12+L12</f>
        <v>18523.314477</v>
      </c>
      <c r="N12" s="178">
        <v>20</v>
      </c>
      <c r="O12" s="88">
        <v>20</v>
      </c>
      <c r="P12" s="145">
        <v>20</v>
      </c>
      <c r="Q12" s="181">
        <f>IF(J12=0,((F12/V12)),((J12/V12)))</f>
        <v>222.82857142857142</v>
      </c>
      <c r="V12" s="1">
        <v>35</v>
      </c>
    </row>
    <row r="13" spans="1:27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3">
      <c r="B14" s="16" t="s">
        <v>40</v>
      </c>
      <c r="C14" s="17">
        <v>10012</v>
      </c>
      <c r="E14" s="161" t="s">
        <v>39</v>
      </c>
      <c r="F14" s="119">
        <v>6990</v>
      </c>
      <c r="G14" s="117">
        <v>8169.789499999999</v>
      </c>
      <c r="H14" s="117">
        <v>8598.5016440000036</v>
      </c>
      <c r="I14" s="152">
        <f>SUM(H14,G14)</f>
        <v>16768.291144000003</v>
      </c>
      <c r="J14" s="119">
        <v>5314</v>
      </c>
      <c r="K14" s="117">
        <v>6317.8592500000004</v>
      </c>
      <c r="L14" s="117">
        <v>6692.5056560000012</v>
      </c>
      <c r="M14" s="152">
        <f>K14+L14</f>
        <v>13010.364906000003</v>
      </c>
      <c r="N14" s="178">
        <v>17</v>
      </c>
      <c r="O14" s="88">
        <v>18</v>
      </c>
      <c r="P14" s="145">
        <v>15</v>
      </c>
      <c r="Q14" s="181">
        <f>IF(J14=0,((F14/V14)),((J14/V14)))</f>
        <v>126.52380952380952</v>
      </c>
      <c r="V14" s="1">
        <v>42</v>
      </c>
    </row>
    <row r="15" spans="1:27" x14ac:dyDescent="0.3">
      <c r="B15" s="28" t="s">
        <v>42</v>
      </c>
      <c r="C15" s="17">
        <v>30681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3</v>
      </c>
      <c r="Q15" s="118"/>
    </row>
    <row r="16" spans="1:27" x14ac:dyDescent="0.3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2968.7189109999999</v>
      </c>
      <c r="I16" s="152">
        <f>SUM(H16,G16)</f>
        <v>2968.7189109999999</v>
      </c>
      <c r="J16" s="119">
        <v>0</v>
      </c>
      <c r="K16" s="117">
        <v>0</v>
      </c>
      <c r="L16" s="117">
        <v>2907.9305429999999</v>
      </c>
      <c r="M16" s="152">
        <f>K16+L16</f>
        <v>2907.9305429999999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35">
      <c r="B17" s="43" t="s">
        <v>48</v>
      </c>
      <c r="C17" s="17">
        <v>1370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0</v>
      </c>
      <c r="E18" s="84"/>
      <c r="F18" s="148">
        <f>SUM(F6:F16)</f>
        <v>44085</v>
      </c>
      <c r="G18" s="148">
        <f>SUM(G6:G16)</f>
        <v>37667.783499999998</v>
      </c>
      <c r="H18" s="148">
        <f>SUM(H6:H16)</f>
        <v>30829.13913800001</v>
      </c>
      <c r="I18" s="157">
        <f>SUM(I6:I17)</f>
        <v>68496.922638000004</v>
      </c>
      <c r="J18" s="149">
        <f>SUM(J6:J17)</f>
        <v>40968</v>
      </c>
      <c r="K18" s="149">
        <f>SUM(K6:K17)</f>
        <v>35598.858249999997</v>
      </c>
      <c r="L18" s="149">
        <f>SUM(L6:L17)</f>
        <v>29496.867846999998</v>
      </c>
      <c r="M18" s="175">
        <f>SUM(M6:M17)</f>
        <v>65095.726096999999</v>
      </c>
      <c r="N18" s="148">
        <f>SUM(N16,N14,N12,N10,N8,N6)</f>
        <v>136</v>
      </c>
      <c r="O18" s="148">
        <f>SUM(O16,O14,O12,O10,O8,O6)</f>
        <v>140</v>
      </c>
      <c r="P18" s="148">
        <f>SUM(P16,P14,P12,P10,P8,P6)</f>
        <v>110</v>
      </c>
      <c r="Q18" s="182"/>
    </row>
    <row r="19" spans="1:28" ht="15" customHeight="1" thickBot="1" x14ac:dyDescent="0.35">
      <c r="B19" s="16" t="s">
        <v>51</v>
      </c>
      <c r="C19" s="17">
        <v>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3">
      <c r="B20" s="16" t="s">
        <v>52</v>
      </c>
      <c r="C20" s="17">
        <v>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0.21428571428571427</v>
      </c>
      <c r="Q20" s="139"/>
    </row>
    <row r="21" spans="1:28" ht="15" customHeight="1" thickBot="1" x14ac:dyDescent="0.35">
      <c r="A21" s="123"/>
      <c r="B21" s="168" t="s">
        <v>132</v>
      </c>
      <c r="C21" s="17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0</v>
      </c>
      <c r="D25" s="76">
        <v>0</v>
      </c>
      <c r="E25" s="77">
        <f t="shared" ref="E25:E33" si="0">IFERROR(D25-C25,0)</f>
        <v>0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30069</v>
      </c>
      <c r="D27" s="76">
        <v>27491</v>
      </c>
      <c r="E27" s="77">
        <f t="shared" si="0"/>
        <v>-2578</v>
      </c>
      <c r="G27" s="53"/>
      <c r="M27" s="53"/>
      <c r="P27" s="4"/>
      <c r="Q27" s="4"/>
    </row>
    <row r="28" spans="1:28" x14ac:dyDescent="0.3">
      <c r="B28" s="74" t="s">
        <v>145</v>
      </c>
      <c r="C28" s="122">
        <v>0</v>
      </c>
      <c r="D28" s="76">
        <v>0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0</v>
      </c>
      <c r="D30" s="76">
        <v>0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14030</v>
      </c>
      <c r="D31" s="76">
        <v>13491</v>
      </c>
      <c r="E31" s="77">
        <f t="shared" si="0"/>
        <v>-539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>
    <tabColor theme="1"/>
    <pageSetUpPr fitToPage="1"/>
  </sheetPr>
  <dimension ref="A1:AB33"/>
  <sheetViews>
    <sheetView zoomScaleNormal="100" zoomScaleSheetLayoutView="70" workbookViewId="0">
      <selection activeCell="M29" sqref="M2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44844</v>
      </c>
    </row>
    <row r="3" spans="1:27" ht="18.75" customHeight="1" thickBot="1" x14ac:dyDescent="0.35">
      <c r="B3" t="s">
        <v>1</v>
      </c>
      <c r="C3" s="3">
        <f>C2+1</f>
        <v>44845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77</v>
      </c>
      <c r="E6" s="161" t="s">
        <v>22</v>
      </c>
      <c r="F6" s="119">
        <v>33417</v>
      </c>
      <c r="G6" s="117">
        <v>16927.018</v>
      </c>
      <c r="H6" s="117">
        <v>4982.3393259999993</v>
      </c>
      <c r="I6" s="152">
        <f>SUM(H6,G6)</f>
        <v>21909.357325999998</v>
      </c>
      <c r="J6" s="119">
        <v>35413</v>
      </c>
      <c r="K6" s="117">
        <v>17689.96699999999</v>
      </c>
      <c r="L6" s="117">
        <v>5157.4762150000006</v>
      </c>
      <c r="M6" s="152">
        <f>K6+L6</f>
        <v>22847.443214999992</v>
      </c>
      <c r="N6" s="178">
        <v>77</v>
      </c>
      <c r="O6" s="88">
        <v>79</v>
      </c>
      <c r="P6" s="145">
        <v>67</v>
      </c>
      <c r="Q6" s="181">
        <f>IF(J6=0,((F6/V6)),((J6/V6)))</f>
        <v>823.55813953488371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1834</v>
      </c>
      <c r="G8" s="117">
        <v>9526.7090000000007</v>
      </c>
      <c r="H8" s="117">
        <v>11225.645112</v>
      </c>
      <c r="I8" s="152">
        <f>SUM(H8,G8)</f>
        <v>20752.354112000001</v>
      </c>
      <c r="J8" s="119">
        <v>1657</v>
      </c>
      <c r="K8" s="117">
        <v>8635.4759999999987</v>
      </c>
      <c r="L8" s="117">
        <v>10533.499069</v>
      </c>
      <c r="M8" s="152">
        <f>K8+L8</f>
        <v>19168.975069</v>
      </c>
      <c r="N8" s="178">
        <v>29</v>
      </c>
      <c r="O8" s="88">
        <v>32</v>
      </c>
      <c r="P8" s="145">
        <v>25</v>
      </c>
      <c r="Q8" s="117"/>
    </row>
    <row r="9" spans="1:27" x14ac:dyDescent="0.3">
      <c r="B9" s="16" t="s">
        <v>23</v>
      </c>
      <c r="C9" s="17">
        <v>5215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7</v>
      </c>
      <c r="Q9" s="118"/>
    </row>
    <row r="10" spans="1:27" x14ac:dyDescent="0.3">
      <c r="B10" s="28" t="s">
        <v>26</v>
      </c>
      <c r="C10" s="17">
        <v>495</v>
      </c>
      <c r="E10" s="161" t="s">
        <v>31</v>
      </c>
      <c r="F10" s="119">
        <v>19544</v>
      </c>
      <c r="G10" s="117">
        <v>13934.952499999999</v>
      </c>
      <c r="H10" s="117">
        <v>457.51560999999998</v>
      </c>
      <c r="I10" s="152">
        <f>SUM(H10,G10)</f>
        <v>14392.46811</v>
      </c>
      <c r="J10" s="119">
        <v>20331</v>
      </c>
      <c r="K10" s="117">
        <v>14416.796</v>
      </c>
      <c r="L10" s="117">
        <v>517.45324699999992</v>
      </c>
      <c r="M10" s="152">
        <f>K10+L10</f>
        <v>14934.249247</v>
      </c>
      <c r="N10" s="178">
        <v>53</v>
      </c>
      <c r="O10" s="88">
        <v>50</v>
      </c>
      <c r="P10" s="145">
        <v>47</v>
      </c>
      <c r="Q10" s="181">
        <f>IF(J10=0,((F10/V10)),((J10/V10)))</f>
        <v>390.98076923076923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3">
      <c r="A12" s="166"/>
      <c r="B12" s="16" t="s">
        <v>30</v>
      </c>
      <c r="C12" s="17">
        <v>2176</v>
      </c>
      <c r="E12" s="161" t="s">
        <v>35</v>
      </c>
      <c r="F12" s="119">
        <v>13662</v>
      </c>
      <c r="G12" s="117">
        <v>12278.103999999999</v>
      </c>
      <c r="H12" s="117">
        <v>16439.42774000001</v>
      </c>
      <c r="I12" s="152">
        <f>SUM(H12,G12)</f>
        <v>28717.531740000009</v>
      </c>
      <c r="J12" s="119">
        <v>13909</v>
      </c>
      <c r="K12" s="117">
        <v>12340.68449999999</v>
      </c>
      <c r="L12" s="117">
        <v>16659.15877200001</v>
      </c>
      <c r="M12" s="152">
        <f>K12+L12</f>
        <v>28999.843271999998</v>
      </c>
      <c r="N12" s="178">
        <v>48</v>
      </c>
      <c r="O12" s="88">
        <v>48</v>
      </c>
      <c r="P12" s="145">
        <v>44</v>
      </c>
      <c r="Q12" s="181">
        <f>IF(J12=0,((F12/V12)),((J12/V12)))</f>
        <v>397.4</v>
      </c>
      <c r="V12" s="1">
        <v>35</v>
      </c>
    </row>
    <row r="13" spans="1:27" x14ac:dyDescent="0.3">
      <c r="B13" s="16" t="s">
        <v>38</v>
      </c>
      <c r="C13" s="17">
        <v>8679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3">
      <c r="B14" s="16" t="s">
        <v>40</v>
      </c>
      <c r="C14" s="17">
        <v>11424</v>
      </c>
      <c r="E14" s="161" t="s">
        <v>39</v>
      </c>
      <c r="F14" s="119">
        <v>21361</v>
      </c>
      <c r="G14" s="117">
        <v>24737.963</v>
      </c>
      <c r="H14" s="117">
        <v>25851.580285</v>
      </c>
      <c r="I14" s="152">
        <f>SUM(H14,G14)</f>
        <v>50589.543285</v>
      </c>
      <c r="J14" s="119">
        <v>20944</v>
      </c>
      <c r="K14" s="117">
        <v>24517.363249999999</v>
      </c>
      <c r="L14" s="117">
        <v>25600.319209000001</v>
      </c>
      <c r="M14" s="152">
        <f>K14+L14</f>
        <v>50117.682459000003</v>
      </c>
      <c r="N14" s="178">
        <v>64</v>
      </c>
      <c r="O14" s="88">
        <v>66</v>
      </c>
      <c r="P14" s="145">
        <v>51</v>
      </c>
      <c r="Q14" s="181">
        <f>IF(J14=0,((F14/V14)),((J14/V14)))</f>
        <v>498.66666666666669</v>
      </c>
      <c r="V14" s="1">
        <v>42</v>
      </c>
    </row>
    <row r="15" spans="1:27" x14ac:dyDescent="0.3">
      <c r="B15" s="28" t="s">
        <v>42</v>
      </c>
      <c r="C15" s="17">
        <v>24939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15</v>
      </c>
      <c r="Q15" s="118"/>
    </row>
    <row r="16" spans="1:27" x14ac:dyDescent="0.3">
      <c r="B16" s="43" t="s">
        <v>47</v>
      </c>
      <c r="C16" s="17">
        <v>1714</v>
      </c>
      <c r="E16" s="161" t="s">
        <v>79</v>
      </c>
      <c r="F16" s="119">
        <v>0</v>
      </c>
      <c r="G16" s="117">
        <v>0</v>
      </c>
      <c r="H16" s="117">
        <v>7686.0683890000009</v>
      </c>
      <c r="I16" s="152">
        <f>SUM(H16,G16)</f>
        <v>7686.0683890000009</v>
      </c>
      <c r="J16" s="119">
        <v>0</v>
      </c>
      <c r="K16" s="117">
        <v>0</v>
      </c>
      <c r="L16" s="117">
        <v>7663.0340390000001</v>
      </c>
      <c r="M16" s="152">
        <f>K16+L16</f>
        <v>7663.0340390000001</v>
      </c>
      <c r="N16" s="178">
        <v>9</v>
      </c>
      <c r="O16" s="88">
        <v>9</v>
      </c>
      <c r="P16" s="145">
        <v>8</v>
      </c>
      <c r="Q16" s="180"/>
    </row>
    <row r="17" spans="1:28" s="4" customFormat="1" ht="15" customHeight="1" thickBot="1" x14ac:dyDescent="0.35">
      <c r="B17" s="43" t="s">
        <v>48</v>
      </c>
      <c r="C17" s="17">
        <v>1427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10347</v>
      </c>
      <c r="E18" s="84"/>
      <c r="F18" s="148">
        <f>SUM(F6:F16)</f>
        <v>89818</v>
      </c>
      <c r="G18" s="148">
        <f>SUM(G6:G16)</f>
        <v>77404.746499999994</v>
      </c>
      <c r="H18" s="148">
        <f>SUM(H6:H16)</f>
        <v>66642.576462000012</v>
      </c>
      <c r="I18" s="157">
        <f>SUM(I6:I17)</f>
        <v>144047.32296200001</v>
      </c>
      <c r="J18" s="149">
        <f>SUM(J6:J17)</f>
        <v>92254</v>
      </c>
      <c r="K18" s="149">
        <f>SUM(K6:K17)</f>
        <v>77600.28674999997</v>
      </c>
      <c r="L18" s="149">
        <f>SUM(L6:L17)</f>
        <v>66130.940551000007</v>
      </c>
      <c r="M18" s="175">
        <f>SUM(M6:M17)</f>
        <v>143731.22730099998</v>
      </c>
      <c r="N18" s="148">
        <f>SUM(N16,N14,N12,N10,N8,N6)</f>
        <v>280</v>
      </c>
      <c r="O18" s="148">
        <f>SUM(O16,O14,O12,O10,O8,O6)</f>
        <v>284</v>
      </c>
      <c r="P18" s="148">
        <f>SUM(P16,P14,P12,P10,P8,P6)</f>
        <v>242</v>
      </c>
      <c r="Q18" s="182"/>
    </row>
    <row r="19" spans="1:28" ht="15" customHeight="1" thickBot="1" x14ac:dyDescent="0.35">
      <c r="B19" s="16" t="s">
        <v>51</v>
      </c>
      <c r="C19" s="17">
        <v>1260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42</v>
      </c>
      <c r="Q19" s="183"/>
    </row>
    <row r="20" spans="1:28" x14ac:dyDescent="0.3">
      <c r="B20" s="16" t="s">
        <v>52</v>
      </c>
      <c r="C20" s="17">
        <v>4385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0.14788732394366197</v>
      </c>
      <c r="Q20" s="139"/>
    </row>
    <row r="21" spans="1:28" ht="15" customHeight="1" thickBot="1" x14ac:dyDescent="0.35">
      <c r="A21" s="123"/>
      <c r="B21" s="168" t="s">
        <v>132</v>
      </c>
      <c r="C21" s="17">
        <v>820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8741</v>
      </c>
      <c r="D25" s="76">
        <v>9608</v>
      </c>
      <c r="E25" s="77">
        <f t="shared" ref="E25:E33" si="0">IFERROR(D25-C25,0)</f>
        <v>867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41440</v>
      </c>
      <c r="D27" s="76">
        <v>40657</v>
      </c>
      <c r="E27" s="77">
        <f t="shared" si="0"/>
        <v>-783</v>
      </c>
      <c r="G27" s="53"/>
      <c r="M27" s="53"/>
      <c r="P27" s="4"/>
      <c r="Q27" s="4"/>
    </row>
    <row r="28" spans="1:28" x14ac:dyDescent="0.3">
      <c r="B28" s="74" t="s">
        <v>145</v>
      </c>
      <c r="C28" s="122">
        <v>6909</v>
      </c>
      <c r="D28" s="76">
        <v>6909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2674</v>
      </c>
      <c r="D29" s="76">
        <v>2674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7606</v>
      </c>
      <c r="D30" s="76">
        <v>7606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14490</v>
      </c>
      <c r="D31" s="76">
        <v>16842</v>
      </c>
      <c r="E31" s="77">
        <f t="shared" si="0"/>
        <v>2352</v>
      </c>
      <c r="K31" s="53"/>
      <c r="P31" s="4"/>
      <c r="Q31" s="4"/>
    </row>
    <row r="32" spans="1:28" x14ac:dyDescent="0.3">
      <c r="B32" s="74" t="s">
        <v>60</v>
      </c>
      <c r="C32" s="122">
        <v>2610</v>
      </c>
      <c r="D32" s="76">
        <v>2610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5358</v>
      </c>
      <c r="D33" s="80">
        <v>5358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>
    <tabColor theme="1"/>
    <pageSetUpPr fitToPage="1"/>
  </sheetPr>
  <dimension ref="A1:AB33"/>
  <sheetViews>
    <sheetView topLeftCell="C1" zoomScaleNormal="100" zoomScaleSheetLayoutView="70" workbookViewId="0">
      <selection activeCell="W7" sqref="W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44845</v>
      </c>
    </row>
    <row r="3" spans="1:27" ht="18.75" customHeight="1" thickBot="1" x14ac:dyDescent="0.35">
      <c r="B3" t="s">
        <v>1</v>
      </c>
      <c r="C3" s="3">
        <f>C2+1</f>
        <v>44846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138</v>
      </c>
      <c r="E6" s="161" t="s">
        <v>22</v>
      </c>
      <c r="F6" s="119">
        <v>36752</v>
      </c>
      <c r="G6" s="117">
        <v>19086.526000000002</v>
      </c>
      <c r="H6" s="117">
        <v>6787.4289189999981</v>
      </c>
      <c r="I6" s="152">
        <f>SUM(H6,G6)</f>
        <v>25873.954919</v>
      </c>
      <c r="J6" s="119">
        <v>37035</v>
      </c>
      <c r="K6" s="117">
        <v>19136.989000000009</v>
      </c>
      <c r="L6" s="117">
        <v>6514.1241870000013</v>
      </c>
      <c r="M6" s="152">
        <f>K6+L6</f>
        <v>25651.11318700001</v>
      </c>
      <c r="N6" s="178">
        <v>70</v>
      </c>
      <c r="O6" s="88">
        <v>67</v>
      </c>
      <c r="P6" s="145">
        <v>64</v>
      </c>
      <c r="Q6" s="181">
        <f>IF(J6=0,((F6/V6)),((J6/V6)))</f>
        <v>861.27906976744191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5</v>
      </c>
      <c r="E8" s="161" t="s">
        <v>27</v>
      </c>
      <c r="F8" s="119">
        <v>1379</v>
      </c>
      <c r="G8" s="117">
        <v>6995.6970000000001</v>
      </c>
      <c r="H8" s="117">
        <v>8695.0797649999968</v>
      </c>
      <c r="I8" s="152">
        <f>SUM(H8,G8)</f>
        <v>15690.776764999997</v>
      </c>
      <c r="J8" s="119">
        <v>1431</v>
      </c>
      <c r="K8" s="117">
        <v>7670.5019999999986</v>
      </c>
      <c r="L8" s="117">
        <v>9504.8999279999989</v>
      </c>
      <c r="M8" s="152">
        <f>K8+L8</f>
        <v>17175.401927999999</v>
      </c>
      <c r="N8" s="178">
        <v>32</v>
      </c>
      <c r="O8" s="88">
        <v>35</v>
      </c>
      <c r="P8" s="145">
        <v>29</v>
      </c>
      <c r="Q8" s="117"/>
    </row>
    <row r="9" spans="1:27" x14ac:dyDescent="0.3">
      <c r="B9" s="16" t="s">
        <v>23</v>
      </c>
      <c r="C9" s="17">
        <v>6803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6</v>
      </c>
      <c r="Q9" s="118"/>
    </row>
    <row r="10" spans="1:27" x14ac:dyDescent="0.3">
      <c r="B10" s="28" t="s">
        <v>26</v>
      </c>
      <c r="C10" s="17">
        <v>1045</v>
      </c>
      <c r="E10" s="161" t="s">
        <v>31</v>
      </c>
      <c r="F10" s="119">
        <v>26081</v>
      </c>
      <c r="G10" s="117">
        <v>17930.407500000001</v>
      </c>
      <c r="H10" s="117">
        <v>1709.320082</v>
      </c>
      <c r="I10" s="152">
        <f>SUM(H10,G10)</f>
        <v>19639.727582</v>
      </c>
      <c r="J10" s="119">
        <v>25907</v>
      </c>
      <c r="K10" s="117">
        <v>17734.508000000009</v>
      </c>
      <c r="L10" s="117">
        <v>1712.640868</v>
      </c>
      <c r="M10" s="152">
        <f>K10+L10</f>
        <v>19447.148868000007</v>
      </c>
      <c r="N10" s="178">
        <v>55</v>
      </c>
      <c r="O10" s="88">
        <v>52</v>
      </c>
      <c r="P10" s="145">
        <v>52</v>
      </c>
      <c r="Q10" s="181">
        <f>IF(J10=0,((F10/V10)),((J10/V10)))</f>
        <v>498.21153846153845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3">
      <c r="A12" s="166"/>
      <c r="B12" s="16" t="s">
        <v>30</v>
      </c>
      <c r="C12" s="17">
        <v>2315</v>
      </c>
      <c r="E12" s="161" t="s">
        <v>35</v>
      </c>
      <c r="F12" s="119">
        <v>15902</v>
      </c>
      <c r="G12" s="117">
        <v>13745.692499999999</v>
      </c>
      <c r="H12" s="117">
        <v>20235.221417000012</v>
      </c>
      <c r="I12" s="152">
        <f>SUM(H12,G12)</f>
        <v>33980.913917000013</v>
      </c>
      <c r="J12" s="119">
        <v>15353</v>
      </c>
      <c r="K12" s="117">
        <v>13449.570999999991</v>
      </c>
      <c r="L12" s="117">
        <v>19865.681574000009</v>
      </c>
      <c r="M12" s="152">
        <f>K12+L12</f>
        <v>33315.252573999998</v>
      </c>
      <c r="N12" s="178">
        <v>45</v>
      </c>
      <c r="O12" s="88">
        <v>48</v>
      </c>
      <c r="P12" s="145">
        <v>44</v>
      </c>
      <c r="Q12" s="181">
        <f>IF(J12=0,((F12/V12)),((J12/V12)))</f>
        <v>438.65714285714284</v>
      </c>
      <c r="V12" s="1">
        <v>35</v>
      </c>
    </row>
    <row r="13" spans="1:27" x14ac:dyDescent="0.3">
      <c r="B13" s="16" t="s">
        <v>38</v>
      </c>
      <c r="C13" s="17">
        <v>8835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3">
      <c r="B14" s="16" t="s">
        <v>40</v>
      </c>
      <c r="C14" s="17">
        <v>12252</v>
      </c>
      <c r="E14" s="161" t="s">
        <v>39</v>
      </c>
      <c r="F14" s="119">
        <v>23699</v>
      </c>
      <c r="G14" s="117">
        <v>27192.839499999998</v>
      </c>
      <c r="H14" s="117">
        <v>28404.414001000001</v>
      </c>
      <c r="I14" s="152">
        <f>SUM(H14,G14)</f>
        <v>55597.253500999999</v>
      </c>
      <c r="J14" s="119">
        <v>22503</v>
      </c>
      <c r="K14" s="117">
        <v>26185.830750000001</v>
      </c>
      <c r="L14" s="117">
        <v>27349.014560999989</v>
      </c>
      <c r="M14" s="152">
        <f>K14+L14</f>
        <v>53534.84531099999</v>
      </c>
      <c r="N14" s="178">
        <v>59</v>
      </c>
      <c r="O14" s="88">
        <v>63</v>
      </c>
      <c r="P14" s="145">
        <v>55</v>
      </c>
      <c r="Q14" s="181">
        <f>IF(J14=0,((F14/V14)),((J14/V14)))</f>
        <v>535.78571428571433</v>
      </c>
      <c r="V14" s="1">
        <v>42</v>
      </c>
    </row>
    <row r="15" spans="1:27" x14ac:dyDescent="0.3">
      <c r="B15" s="28" t="s">
        <v>42</v>
      </c>
      <c r="C15" s="17">
        <v>25407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  <c r="Q15" s="118"/>
    </row>
    <row r="16" spans="1:27" x14ac:dyDescent="0.3">
      <c r="B16" s="43" t="s">
        <v>47</v>
      </c>
      <c r="C16" s="17">
        <v>1409</v>
      </c>
      <c r="E16" s="161" t="s">
        <v>79</v>
      </c>
      <c r="F16" s="119">
        <v>0</v>
      </c>
      <c r="G16" s="117">
        <v>0</v>
      </c>
      <c r="H16" s="117">
        <v>5371.0021140000008</v>
      </c>
      <c r="I16" s="152">
        <f>SUM(H16,G16)</f>
        <v>5371.0021140000008</v>
      </c>
      <c r="J16" s="119">
        <v>0</v>
      </c>
      <c r="K16" s="117">
        <v>0</v>
      </c>
      <c r="L16" s="117">
        <v>5357.678377000002</v>
      </c>
      <c r="M16" s="152">
        <f>K16+L16</f>
        <v>5357.678377000002</v>
      </c>
      <c r="N16" s="178">
        <v>11</v>
      </c>
      <c r="O16" s="88">
        <v>11</v>
      </c>
      <c r="P16" s="145">
        <v>11</v>
      </c>
      <c r="Q16" s="180"/>
    </row>
    <row r="17" spans="1:28" s="4" customFormat="1" ht="15" customHeight="1" thickBot="1" x14ac:dyDescent="0.35">
      <c r="B17" s="43" t="s">
        <v>48</v>
      </c>
      <c r="C17" s="17">
        <v>2004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8823</v>
      </c>
      <c r="E18" s="84"/>
      <c r="F18" s="148">
        <f>SUM(F6:F16)</f>
        <v>103813</v>
      </c>
      <c r="G18" s="148">
        <f>SUM(G6:G16)</f>
        <v>84951.162499999991</v>
      </c>
      <c r="H18" s="148">
        <f>SUM(H6:H16)</f>
        <v>71202.466298000014</v>
      </c>
      <c r="I18" s="157">
        <f>SUM(I6:I17)</f>
        <v>156153.62879800002</v>
      </c>
      <c r="J18" s="149">
        <f>SUM(J6:J17)</f>
        <v>102229</v>
      </c>
      <c r="K18" s="149">
        <f>SUM(K6:K17)</f>
        <v>84177.400750000001</v>
      </c>
      <c r="L18" s="149">
        <f>SUM(L6:L17)</f>
        <v>70304.039495000005</v>
      </c>
      <c r="M18" s="175">
        <f>SUM(M6:M17)</f>
        <v>154481.44024500001</v>
      </c>
      <c r="N18" s="148">
        <f>SUM(N16,N14,N12,N10,N8,N6)</f>
        <v>272</v>
      </c>
      <c r="O18" s="148">
        <f>SUM(O16,O14,O12,O10,O8,O6)</f>
        <v>276</v>
      </c>
      <c r="P18" s="148">
        <f>SUM(P16,P14,P12,P10,P8,P6)</f>
        <v>255</v>
      </c>
      <c r="Q18" s="182"/>
    </row>
    <row r="19" spans="1:28" ht="15" customHeight="1" thickBot="1" x14ac:dyDescent="0.35">
      <c r="B19" s="16" t="s">
        <v>51</v>
      </c>
      <c r="C19" s="17">
        <v>1175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  <c r="Q19" s="183"/>
    </row>
    <row r="20" spans="1:28" x14ac:dyDescent="0.3">
      <c r="B20" s="16" t="s">
        <v>52</v>
      </c>
      <c r="C20" s="17">
        <v>4583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7.6086956521739135E-2</v>
      </c>
      <c r="Q20" s="139"/>
    </row>
    <row r="21" spans="1:28" ht="15" customHeight="1" thickBot="1" x14ac:dyDescent="0.35">
      <c r="A21" s="123"/>
      <c r="B21" s="168" t="s">
        <v>132</v>
      </c>
      <c r="C21" s="17">
        <v>820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10653</v>
      </c>
      <c r="D25" s="76">
        <v>10519</v>
      </c>
      <c r="E25" s="77">
        <f t="shared" ref="E25:E33" si="0">IFERROR(D25-C25,0)</f>
        <v>-134</v>
      </c>
    </row>
    <row r="26" spans="1:28" x14ac:dyDescent="0.3">
      <c r="B26" s="74" t="s">
        <v>143</v>
      </c>
      <c r="C26" s="122">
        <v>250</v>
      </c>
      <c r="D26" s="76">
        <v>250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43171</v>
      </c>
      <c r="D27" s="76">
        <v>41446</v>
      </c>
      <c r="E27" s="77">
        <f t="shared" si="0"/>
        <v>-1725</v>
      </c>
      <c r="G27" s="53"/>
      <c r="M27" s="53"/>
      <c r="P27" s="4"/>
      <c r="Q27" s="4"/>
    </row>
    <row r="28" spans="1:28" x14ac:dyDescent="0.3">
      <c r="B28" s="74" t="s">
        <v>145</v>
      </c>
      <c r="C28" s="122">
        <v>10747</v>
      </c>
      <c r="D28" s="76">
        <v>10747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4822</v>
      </c>
      <c r="D29" s="76">
        <v>4822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8180</v>
      </c>
      <c r="D30" s="76">
        <v>8180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15085</v>
      </c>
      <c r="D31" s="76">
        <v>15363</v>
      </c>
      <c r="E31" s="77">
        <f t="shared" si="0"/>
        <v>278</v>
      </c>
      <c r="K31" s="53"/>
      <c r="P31" s="4"/>
      <c r="Q31" s="4"/>
    </row>
    <row r="32" spans="1:28" x14ac:dyDescent="0.3">
      <c r="B32" s="74" t="s">
        <v>60</v>
      </c>
      <c r="C32" s="122">
        <v>5520</v>
      </c>
      <c r="D32" s="76">
        <v>5520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5392</v>
      </c>
      <c r="D33" s="80">
        <v>5392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>
    <tabColor theme="1"/>
    <pageSetUpPr fitToPage="1"/>
  </sheetPr>
  <dimension ref="A1:AB33"/>
  <sheetViews>
    <sheetView zoomScaleNormal="100" zoomScaleSheetLayoutView="70" workbookViewId="0">
      <selection activeCell="R24" sqref="R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44846</v>
      </c>
    </row>
    <row r="3" spans="1:27" ht="18.75" customHeight="1" thickBot="1" x14ac:dyDescent="0.35">
      <c r="B3" t="s">
        <v>1</v>
      </c>
      <c r="C3" s="3">
        <f>C2+1</f>
        <v>44847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62</v>
      </c>
      <c r="E6" s="161" t="s">
        <v>22</v>
      </c>
      <c r="F6" s="119">
        <v>31880</v>
      </c>
      <c r="G6" s="117">
        <v>16433.081999999999</v>
      </c>
      <c r="H6" s="117">
        <v>5903.1794819999977</v>
      </c>
      <c r="I6" s="152">
        <f>SUM(H6,G6)</f>
        <v>22336.261481999994</v>
      </c>
      <c r="J6" s="119">
        <v>33039</v>
      </c>
      <c r="K6" s="117">
        <v>16977.668000000001</v>
      </c>
      <c r="L6" s="117">
        <v>5659.2690450000009</v>
      </c>
      <c r="M6" s="152">
        <f>K6+L6</f>
        <v>22636.937045000002</v>
      </c>
      <c r="N6" s="178">
        <v>74</v>
      </c>
      <c r="O6" s="88">
        <v>63</v>
      </c>
      <c r="P6" s="145">
        <v>65</v>
      </c>
      <c r="Q6" s="181">
        <f>IF(J6=0,((F6/V6)),((J6/V6)))</f>
        <v>768.34883720930236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24</v>
      </c>
      <c r="E8" s="161" t="s">
        <v>27</v>
      </c>
      <c r="F8" s="119">
        <v>1632</v>
      </c>
      <c r="G8" s="117">
        <v>8408.9779999999992</v>
      </c>
      <c r="H8" s="117">
        <v>10335.679142999999</v>
      </c>
      <c r="I8" s="152">
        <f>SUM(H8,G8)</f>
        <v>18744.657142999997</v>
      </c>
      <c r="J8" s="119">
        <v>1643</v>
      </c>
      <c r="K8" s="117">
        <v>8596.86</v>
      </c>
      <c r="L8" s="117">
        <v>10552.220196</v>
      </c>
      <c r="M8" s="152">
        <f>K8+L8</f>
        <v>19149.080196000003</v>
      </c>
      <c r="N8" s="178">
        <v>24</v>
      </c>
      <c r="O8" s="88">
        <v>25</v>
      </c>
      <c r="P8" s="145">
        <v>21</v>
      </c>
      <c r="Q8" s="117"/>
    </row>
    <row r="9" spans="1:27" x14ac:dyDescent="0.3">
      <c r="B9" s="16" t="s">
        <v>23</v>
      </c>
      <c r="C9" s="17">
        <v>5944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21013</v>
      </c>
      <c r="G10" s="117">
        <v>15285.977000000001</v>
      </c>
      <c r="H10" s="117">
        <v>469.82330000000002</v>
      </c>
      <c r="I10" s="152">
        <f>SUM(H10,G10)</f>
        <v>15755.800300000001</v>
      </c>
      <c r="J10" s="119">
        <v>21148</v>
      </c>
      <c r="K10" s="117">
        <v>15334.958000000001</v>
      </c>
      <c r="L10" s="117">
        <v>478.05390799999998</v>
      </c>
      <c r="M10" s="152">
        <f>K10+L10</f>
        <v>15813.011908</v>
      </c>
      <c r="N10" s="178">
        <v>51</v>
      </c>
      <c r="O10" s="88">
        <v>47</v>
      </c>
      <c r="P10" s="145">
        <v>51</v>
      </c>
      <c r="Q10" s="181">
        <f>IF(J10=0,((F10/V10)),((J10/V10)))</f>
        <v>406.69230769230768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-4</v>
      </c>
      <c r="Q11" s="118"/>
    </row>
    <row r="12" spans="1:27" x14ac:dyDescent="0.3">
      <c r="A12" s="166"/>
      <c r="B12" s="16" t="s">
        <v>30</v>
      </c>
      <c r="C12" s="17">
        <v>2434</v>
      </c>
      <c r="E12" s="161" t="s">
        <v>35</v>
      </c>
      <c r="F12" s="119">
        <v>13160</v>
      </c>
      <c r="G12" s="117">
        <v>12114.752500000001</v>
      </c>
      <c r="H12" s="117">
        <v>16476.129251999992</v>
      </c>
      <c r="I12" s="152">
        <f>SUM(H12,G12)</f>
        <v>28590.881751999994</v>
      </c>
      <c r="J12" s="119">
        <v>13430</v>
      </c>
      <c r="K12" s="117">
        <v>12258.416499999999</v>
      </c>
      <c r="L12" s="117">
        <v>16613.237447</v>
      </c>
      <c r="M12" s="152">
        <f>K12+L12</f>
        <v>28871.653946999999</v>
      </c>
      <c r="N12" s="178">
        <v>43</v>
      </c>
      <c r="O12" s="88">
        <v>44</v>
      </c>
      <c r="P12" s="145">
        <v>41</v>
      </c>
      <c r="Q12" s="181">
        <f>IF(J12=0,((F12/V12)),((J12/V12)))</f>
        <v>383.71428571428572</v>
      </c>
      <c r="V12" s="1">
        <v>35</v>
      </c>
    </row>
    <row r="13" spans="1:27" x14ac:dyDescent="0.3">
      <c r="B13" s="16" t="s">
        <v>38</v>
      </c>
      <c r="C13" s="17">
        <v>9032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3">
      <c r="B14" s="16" t="s">
        <v>40</v>
      </c>
      <c r="C14" s="17">
        <v>11778</v>
      </c>
      <c r="E14" s="161" t="s">
        <v>39</v>
      </c>
      <c r="F14" s="119">
        <v>20583</v>
      </c>
      <c r="G14" s="117">
        <v>24050.548999999999</v>
      </c>
      <c r="H14" s="117">
        <v>24886.642379000001</v>
      </c>
      <c r="I14" s="152">
        <f>SUM(H14,G14)</f>
        <v>48937.191378999996</v>
      </c>
      <c r="J14" s="119">
        <v>20947</v>
      </c>
      <c r="K14" s="117">
        <v>24601.44125</v>
      </c>
      <c r="L14" s="117">
        <v>25478.738181000001</v>
      </c>
      <c r="M14" s="152">
        <f>K14+L14</f>
        <v>50080.179430999997</v>
      </c>
      <c r="N14" s="178">
        <v>65</v>
      </c>
      <c r="O14" s="88">
        <v>62</v>
      </c>
      <c r="P14" s="145">
        <v>59</v>
      </c>
      <c r="Q14" s="181">
        <f>IF(J14=0,((F14/V14)),((J14/V14)))</f>
        <v>498.73809523809524</v>
      </c>
      <c r="V14" s="1">
        <v>42</v>
      </c>
    </row>
    <row r="15" spans="1:27" x14ac:dyDescent="0.3">
      <c r="B15" s="28" t="s">
        <v>42</v>
      </c>
      <c r="C15" s="17">
        <v>29782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3</v>
      </c>
      <c r="Q15" s="118"/>
    </row>
    <row r="16" spans="1:27" x14ac:dyDescent="0.3">
      <c r="B16" s="43" t="s">
        <v>47</v>
      </c>
      <c r="C16" s="17">
        <v>1929</v>
      </c>
      <c r="E16" s="161" t="s">
        <v>79</v>
      </c>
      <c r="F16" s="119">
        <v>0</v>
      </c>
      <c r="G16" s="117">
        <v>0</v>
      </c>
      <c r="H16" s="117">
        <v>8557.005089000002</v>
      </c>
      <c r="I16" s="152">
        <f>SUM(H16,G16)</f>
        <v>8557.005089000002</v>
      </c>
      <c r="J16" s="119">
        <v>0</v>
      </c>
      <c r="K16" s="117">
        <v>0</v>
      </c>
      <c r="L16" s="117">
        <v>8513.6582749999998</v>
      </c>
      <c r="M16" s="152">
        <f>K16+L16</f>
        <v>8513.6582749999998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35">
      <c r="B17" s="43" t="s">
        <v>48</v>
      </c>
      <c r="C17" s="17">
        <v>2836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9221</v>
      </c>
      <c r="E18" s="84"/>
      <c r="F18" s="148">
        <f>SUM(F6:F16)</f>
        <v>88268</v>
      </c>
      <c r="G18" s="148">
        <f>SUM(G6:G16)</f>
        <v>76293.338499999998</v>
      </c>
      <c r="H18" s="148">
        <f>SUM(H6:H16)</f>
        <v>66628.458644999992</v>
      </c>
      <c r="I18" s="157">
        <f>SUM(I6:I17)</f>
        <v>142921.79714499999</v>
      </c>
      <c r="J18" s="149">
        <f>SUM(J6:J17)</f>
        <v>90207</v>
      </c>
      <c r="K18" s="149">
        <f>SUM(K6:K17)</f>
        <v>77769.34375</v>
      </c>
      <c r="L18" s="149">
        <f>SUM(L6:L17)</f>
        <v>67295.177051999999</v>
      </c>
      <c r="M18" s="175">
        <f>SUM(M6:M17)</f>
        <v>145064.52080200001</v>
      </c>
      <c r="N18" s="148">
        <f>SUM(N16,N14,N12,N10,N8,N6)</f>
        <v>267</v>
      </c>
      <c r="O18" s="148">
        <f>SUM(O16,O14,O12,O10,O8,O6)</f>
        <v>251</v>
      </c>
      <c r="P18" s="148">
        <f>SUM(P16,P14,P12,P10,P8,P6)</f>
        <v>247</v>
      </c>
      <c r="Q18" s="182"/>
    </row>
    <row r="19" spans="1:28" ht="15" customHeight="1" thickBot="1" x14ac:dyDescent="0.35">
      <c r="B19" s="16" t="s">
        <v>51</v>
      </c>
      <c r="C19" s="17">
        <v>1151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  <c r="Q19" s="183"/>
    </row>
    <row r="20" spans="1:28" x14ac:dyDescent="0.3">
      <c r="B20" s="16" t="s">
        <v>52</v>
      </c>
      <c r="C20" s="17">
        <v>4307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1.5936254980079681E-2</v>
      </c>
      <c r="Q20" s="139"/>
    </row>
    <row r="21" spans="1:28" ht="15" customHeight="1" thickBot="1" x14ac:dyDescent="0.35">
      <c r="A21" s="123"/>
      <c r="B21" s="168" t="s">
        <v>132</v>
      </c>
      <c r="C21" s="17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10916</v>
      </c>
      <c r="D25" s="76">
        <v>10500</v>
      </c>
      <c r="E25" s="77">
        <f t="shared" ref="E25:E33" si="0">IFERROR(D25-C25,0)</f>
        <v>-416</v>
      </c>
    </row>
    <row r="26" spans="1:28" x14ac:dyDescent="0.3">
      <c r="B26" s="74" t="s">
        <v>143</v>
      </c>
      <c r="C26" s="122">
        <v>1200</v>
      </c>
      <c r="D26" s="76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42348</v>
      </c>
      <c r="D27" s="76">
        <v>44100</v>
      </c>
      <c r="E27" s="77">
        <f t="shared" si="0"/>
        <v>1752</v>
      </c>
      <c r="G27" s="53"/>
      <c r="M27" s="53"/>
      <c r="P27" s="4"/>
      <c r="Q27" s="4"/>
    </row>
    <row r="28" spans="1:28" x14ac:dyDescent="0.3">
      <c r="B28" s="74" t="s">
        <v>145</v>
      </c>
      <c r="C28" s="122">
        <v>7973</v>
      </c>
      <c r="D28" s="76">
        <v>7973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1984</v>
      </c>
      <c r="D29" s="76">
        <v>1984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8602</v>
      </c>
      <c r="D30" s="76">
        <v>8602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14910</v>
      </c>
      <c r="D31" s="76">
        <v>15507</v>
      </c>
      <c r="E31" s="77">
        <f t="shared" si="0"/>
        <v>597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360</v>
      </c>
      <c r="D33" s="80">
        <v>360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>
    <tabColor theme="1"/>
    <pageSetUpPr fitToPage="1"/>
  </sheetPr>
  <dimension ref="A1:AB33"/>
  <sheetViews>
    <sheetView zoomScaleNormal="100" zoomScaleSheetLayoutView="70" workbookViewId="0">
      <selection activeCell="R16" sqref="R1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44847</v>
      </c>
    </row>
    <row r="3" spans="1:27" ht="18.75" customHeight="1" thickBot="1" x14ac:dyDescent="0.35">
      <c r="B3" t="s">
        <v>1</v>
      </c>
      <c r="C3" s="3">
        <f>C2+1</f>
        <v>44848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116</v>
      </c>
      <c r="E6" s="161" t="s">
        <v>22</v>
      </c>
      <c r="F6" s="119">
        <v>32672</v>
      </c>
      <c r="G6" s="117">
        <v>16520.305</v>
      </c>
      <c r="H6" s="117">
        <v>6110.7582560000001</v>
      </c>
      <c r="I6" s="152">
        <f>SUM(H6,G6)</f>
        <v>22631.063256000001</v>
      </c>
      <c r="J6" s="119">
        <v>31459</v>
      </c>
      <c r="K6" s="117">
        <v>15927.895</v>
      </c>
      <c r="L6" s="117">
        <v>5737.2460079999992</v>
      </c>
      <c r="M6" s="152">
        <f>K6+L6</f>
        <v>21665.141007999999</v>
      </c>
      <c r="N6" s="178">
        <v>86</v>
      </c>
      <c r="O6" s="88">
        <v>76</v>
      </c>
      <c r="P6" s="145">
        <v>76</v>
      </c>
      <c r="Q6" s="181">
        <f>IF(J6=0,((F6/V6)),((J6/V6)))</f>
        <v>731.60465116279067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0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1322</v>
      </c>
      <c r="G8" s="117">
        <v>6534.817</v>
      </c>
      <c r="H8" s="117">
        <v>8219.7766150000007</v>
      </c>
      <c r="I8" s="152">
        <f>SUM(H8,G8)</f>
        <v>14754.593615000002</v>
      </c>
      <c r="J8" s="119">
        <v>1654</v>
      </c>
      <c r="K8" s="117">
        <v>8780.7139999999999</v>
      </c>
      <c r="L8" s="117">
        <v>9700.1952190000029</v>
      </c>
      <c r="M8" s="152">
        <f>K8+L8</f>
        <v>18480.909219000001</v>
      </c>
      <c r="N8" s="178">
        <v>23</v>
      </c>
      <c r="O8" s="88">
        <v>24</v>
      </c>
      <c r="P8" s="145">
        <v>23</v>
      </c>
      <c r="Q8" s="117"/>
    </row>
    <row r="9" spans="1:27" x14ac:dyDescent="0.3">
      <c r="B9" s="16" t="s">
        <v>23</v>
      </c>
      <c r="C9" s="17">
        <v>6718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3">
      <c r="B10" s="28" t="s">
        <v>26</v>
      </c>
      <c r="C10" s="17">
        <v>1040</v>
      </c>
      <c r="E10" s="161" t="s">
        <v>31</v>
      </c>
      <c r="F10" s="119">
        <v>25345</v>
      </c>
      <c r="G10" s="117">
        <v>17795.006000000001</v>
      </c>
      <c r="H10" s="117">
        <v>1353.0426130000001</v>
      </c>
      <c r="I10" s="152">
        <f>SUM(H10,G10)</f>
        <v>19148.048613000003</v>
      </c>
      <c r="J10" s="119">
        <v>25262</v>
      </c>
      <c r="K10" s="117">
        <v>17787.3305</v>
      </c>
      <c r="L10" s="117">
        <v>1344.239063</v>
      </c>
      <c r="M10" s="152">
        <f>K10+L10</f>
        <v>19131.569563000001</v>
      </c>
      <c r="N10" s="178">
        <v>55</v>
      </c>
      <c r="O10" s="88">
        <v>54</v>
      </c>
      <c r="P10" s="145">
        <v>53</v>
      </c>
      <c r="Q10" s="181">
        <f>IF(J10=0,((F10/V10)),((J10/V10)))</f>
        <v>485.80769230769232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3">
      <c r="A12" s="166"/>
      <c r="B12" s="16" t="s">
        <v>30</v>
      </c>
      <c r="C12" s="17">
        <v>2515</v>
      </c>
      <c r="E12" s="161" t="s">
        <v>35</v>
      </c>
      <c r="F12" s="119">
        <v>16162</v>
      </c>
      <c r="G12" s="117">
        <v>14132.347</v>
      </c>
      <c r="H12" s="117">
        <v>20374.673218</v>
      </c>
      <c r="I12" s="152">
        <f>SUM(H12,G12)</f>
        <v>34507.020217999998</v>
      </c>
      <c r="J12" s="119">
        <v>16091</v>
      </c>
      <c r="K12" s="117">
        <v>14131.486000000001</v>
      </c>
      <c r="L12" s="117">
        <v>20360.416176999988</v>
      </c>
      <c r="M12" s="152">
        <f>K12+L12</f>
        <v>34491.902176999989</v>
      </c>
      <c r="N12" s="178">
        <v>50</v>
      </c>
      <c r="O12" s="88">
        <v>49</v>
      </c>
      <c r="P12" s="145">
        <v>50</v>
      </c>
      <c r="Q12" s="181">
        <f>IF(J12=0,((F12/V12)),((J12/V12)))</f>
        <v>459.74285714285713</v>
      </c>
      <c r="V12" s="1">
        <v>35</v>
      </c>
    </row>
    <row r="13" spans="1:27" x14ac:dyDescent="0.3">
      <c r="B13" s="16" t="s">
        <v>38</v>
      </c>
      <c r="C13" s="17">
        <v>9144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-1</v>
      </c>
      <c r="Q13" s="118"/>
    </row>
    <row r="14" spans="1:27" x14ac:dyDescent="0.3">
      <c r="B14" s="16" t="s">
        <v>40</v>
      </c>
      <c r="C14" s="17">
        <v>11753</v>
      </c>
      <c r="E14" s="161" t="s">
        <v>39</v>
      </c>
      <c r="F14" s="119">
        <v>25289</v>
      </c>
      <c r="G14" s="117">
        <v>29441.4725</v>
      </c>
      <c r="H14" s="117">
        <v>30987.128520999999</v>
      </c>
      <c r="I14" s="152">
        <f>SUM(H14,G14)</f>
        <v>60428.601020999995</v>
      </c>
      <c r="J14" s="119">
        <v>25209</v>
      </c>
      <c r="K14" s="117">
        <v>29331.084500000001</v>
      </c>
      <c r="L14" s="117">
        <v>30843.984923</v>
      </c>
      <c r="M14" s="152">
        <f>K14+L14</f>
        <v>60175.069423000001</v>
      </c>
      <c r="N14" s="178">
        <v>70</v>
      </c>
      <c r="O14" s="88">
        <v>70</v>
      </c>
      <c r="P14" s="145">
        <v>68</v>
      </c>
      <c r="Q14" s="181">
        <f>IF(J14=0,((F14/V14)),((J14/V14)))</f>
        <v>600.21428571428567</v>
      </c>
      <c r="V14" s="1">
        <v>42</v>
      </c>
    </row>
    <row r="15" spans="1:27" x14ac:dyDescent="0.3">
      <c r="B15" s="28" t="s">
        <v>42</v>
      </c>
      <c r="C15" s="17">
        <v>26401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2</v>
      </c>
      <c r="Q15" s="118"/>
    </row>
    <row r="16" spans="1:27" x14ac:dyDescent="0.3">
      <c r="B16" s="43" t="s">
        <v>47</v>
      </c>
      <c r="C16" s="17">
        <v>1512</v>
      </c>
      <c r="E16" s="161" t="s">
        <v>79</v>
      </c>
      <c r="F16" s="119">
        <v>0</v>
      </c>
      <c r="G16" s="117">
        <v>0</v>
      </c>
      <c r="H16" s="117">
        <v>5871.9412969999994</v>
      </c>
      <c r="I16" s="152">
        <f>SUM(H16,G16)</f>
        <v>5871.9412969999994</v>
      </c>
      <c r="J16" s="119">
        <v>0</v>
      </c>
      <c r="K16" s="117">
        <v>0</v>
      </c>
      <c r="L16" s="117">
        <v>5546.4828540000008</v>
      </c>
      <c r="M16" s="152">
        <f>K16+L16</f>
        <v>5546.4828540000008</v>
      </c>
      <c r="N16" s="178">
        <v>7</v>
      </c>
      <c r="O16" s="88">
        <v>8</v>
      </c>
      <c r="P16" s="145">
        <v>7</v>
      </c>
      <c r="Q16" s="180"/>
    </row>
    <row r="17" spans="1:28" s="4" customFormat="1" ht="15" customHeight="1" thickBot="1" x14ac:dyDescent="0.35">
      <c r="B17" s="43" t="s">
        <v>48</v>
      </c>
      <c r="C17" s="17">
        <v>3308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7426</v>
      </c>
      <c r="E18" s="84"/>
      <c r="F18" s="148">
        <f>SUM(F6:F16)</f>
        <v>100790</v>
      </c>
      <c r="G18" s="148">
        <f>SUM(G6:G16)</f>
        <v>84423.947499999995</v>
      </c>
      <c r="H18" s="148">
        <f>SUM(H6:H16)</f>
        <v>72917.320519999994</v>
      </c>
      <c r="I18" s="157">
        <f>SUM(I6:I17)</f>
        <v>157341.26801999999</v>
      </c>
      <c r="J18" s="149">
        <f>SUM(J6:J17)</f>
        <v>99675</v>
      </c>
      <c r="K18" s="149">
        <f>SUM(K6:K17)</f>
        <v>85958.51</v>
      </c>
      <c r="L18" s="149">
        <f>SUM(L6:L17)</f>
        <v>73532.564243999994</v>
      </c>
      <c r="M18" s="175">
        <f>SUM(M6:M17)</f>
        <v>159491.07424399999</v>
      </c>
      <c r="N18" s="148">
        <f>SUM(N16,N14,N12,N10,N8,N6)</f>
        <v>291</v>
      </c>
      <c r="O18" s="148">
        <f>SUM(O16,O14,O12,O10,O8,O6)</f>
        <v>281</v>
      </c>
      <c r="P18" s="148">
        <f>SUM(P16,P14,P12,P10,P8,P6)</f>
        <v>277</v>
      </c>
      <c r="Q18" s="182"/>
    </row>
    <row r="19" spans="1:28" ht="15" customHeight="1" thickBot="1" x14ac:dyDescent="0.35">
      <c r="B19" s="16" t="s">
        <v>51</v>
      </c>
      <c r="C19" s="17">
        <v>1784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  <c r="Q19" s="183"/>
    </row>
    <row r="20" spans="1:28" x14ac:dyDescent="0.3">
      <c r="B20" s="16" t="s">
        <v>52</v>
      </c>
      <c r="C20" s="17">
        <v>3913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1.4234875444839857E-2</v>
      </c>
      <c r="Q20" s="139"/>
    </row>
    <row r="21" spans="1:28" ht="15" customHeight="1" thickBot="1" x14ac:dyDescent="0.35">
      <c r="A21" s="123"/>
      <c r="B21" s="168" t="s">
        <v>132</v>
      </c>
      <c r="C21" s="17">
        <v>0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10513</v>
      </c>
      <c r="D25" s="76">
        <v>10314</v>
      </c>
      <c r="E25" s="77">
        <f t="shared" ref="E25:E33" si="0">IFERROR(D25-C25,0)</f>
        <v>-199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46038</v>
      </c>
      <c r="D27" s="76">
        <v>45514</v>
      </c>
      <c r="E27" s="77">
        <f t="shared" si="0"/>
        <v>-524</v>
      </c>
      <c r="G27" s="53"/>
      <c r="M27" s="53"/>
      <c r="P27" s="4"/>
      <c r="Q27" s="4"/>
    </row>
    <row r="28" spans="1:28" x14ac:dyDescent="0.3">
      <c r="B28" s="74" t="s">
        <v>145</v>
      </c>
      <c r="C28" s="122">
        <v>11505</v>
      </c>
      <c r="D28" s="76">
        <v>11505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4306</v>
      </c>
      <c r="D29" s="76">
        <v>4306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8512</v>
      </c>
      <c r="D30" s="76">
        <v>8512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14385</v>
      </c>
      <c r="D31" s="76">
        <v>13993</v>
      </c>
      <c r="E31" s="77">
        <f t="shared" si="0"/>
        <v>-392</v>
      </c>
      <c r="K31" s="53"/>
      <c r="P31" s="4"/>
      <c r="Q31" s="4"/>
    </row>
    <row r="32" spans="1:28" x14ac:dyDescent="0.3">
      <c r="B32" s="74" t="s">
        <v>60</v>
      </c>
      <c r="C32" s="122">
        <v>5550</v>
      </c>
      <c r="D32" s="76">
        <v>5550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>
    <tabColor theme="1"/>
    <pageSetUpPr fitToPage="1"/>
  </sheetPr>
  <dimension ref="A1:AB33"/>
  <sheetViews>
    <sheetView topLeftCell="C4" zoomScaleNormal="100" zoomScaleSheetLayoutView="70" workbookViewId="0">
      <selection activeCell="I7" sqref="I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546875" style="1" customWidth="1"/>
    <col min="16" max="16" width="11.44140625" style="1" customWidth="1"/>
    <col min="17" max="17" width="13.5546875" style="1" customWidth="1"/>
    <col min="18" max="18" width="18.44140625" style="1" bestFit="1" customWidth="1"/>
    <col min="19" max="19" width="5.554687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34" width="9.109375" style="1" customWidth="1"/>
    <col min="35" max="16384" width="9.109375" style="1"/>
  </cols>
  <sheetData>
    <row r="1" spans="1:27" ht="6" customHeight="1" x14ac:dyDescent="0.3"/>
    <row r="2" spans="1:27" ht="22.5" customHeight="1" x14ac:dyDescent="0.3">
      <c r="B2" t="s">
        <v>0</v>
      </c>
      <c r="C2" s="2">
        <v>44848</v>
      </c>
    </row>
    <row r="3" spans="1:27" ht="18.75" customHeight="1" thickBot="1" x14ac:dyDescent="0.35">
      <c r="B3" t="s">
        <v>1</v>
      </c>
      <c r="C3" s="3">
        <f>C2+1</f>
        <v>44849</v>
      </c>
      <c r="E3" s="3"/>
    </row>
    <row r="4" spans="1:27" ht="15.7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" customHeight="1" x14ac:dyDescent="0.3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3">
      <c r="A6" s="166"/>
      <c r="B6" s="16" t="s">
        <v>21</v>
      </c>
      <c r="C6" s="17">
        <v>0</v>
      </c>
      <c r="E6" s="161" t="s">
        <v>22</v>
      </c>
      <c r="F6" s="119">
        <v>35180</v>
      </c>
      <c r="G6" s="117">
        <v>18184.906999999999</v>
      </c>
      <c r="H6" s="117">
        <v>4422.2387490000001</v>
      </c>
      <c r="I6" s="152">
        <f>SUM(H6,G6)</f>
        <v>22607.145748999999</v>
      </c>
      <c r="J6" s="119">
        <v>34828</v>
      </c>
      <c r="K6" s="117">
        <v>17864.958999999999</v>
      </c>
      <c r="L6" s="117">
        <v>4463.6651430000002</v>
      </c>
      <c r="M6" s="152">
        <f>K6+L6</f>
        <v>22328.624143000001</v>
      </c>
      <c r="N6" s="178">
        <v>82</v>
      </c>
      <c r="O6" s="88">
        <v>78</v>
      </c>
      <c r="P6" s="145">
        <v>76</v>
      </c>
      <c r="Q6" s="181">
        <f>IF(J6=0,((F6/V6)),((J6/V6)))</f>
        <v>809.95348837209303</v>
      </c>
      <c r="V6" s="1">
        <v>43</v>
      </c>
    </row>
    <row r="7" spans="1:27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3">
      <c r="B8" s="16" t="s">
        <v>103</v>
      </c>
      <c r="C8" s="17">
        <v>0</v>
      </c>
      <c r="E8" s="161" t="s">
        <v>27</v>
      </c>
      <c r="F8" s="119">
        <v>1787</v>
      </c>
      <c r="G8" s="117">
        <v>9478.0570000000007</v>
      </c>
      <c r="H8" s="117">
        <v>11554.567244</v>
      </c>
      <c r="I8" s="152">
        <f>SUM(H8,G8)</f>
        <v>21032.624243999999</v>
      </c>
      <c r="J8" s="119">
        <v>1290</v>
      </c>
      <c r="K8" s="117">
        <v>6551.0969999999998</v>
      </c>
      <c r="L8" s="117">
        <v>9374.2692109999989</v>
      </c>
      <c r="M8" s="152">
        <f>K8+L8</f>
        <v>15925.366210999999</v>
      </c>
      <c r="N8" s="178">
        <v>27</v>
      </c>
      <c r="O8" s="88">
        <v>28</v>
      </c>
      <c r="P8" s="145">
        <v>26</v>
      </c>
      <c r="Q8" s="117"/>
    </row>
    <row r="9" spans="1:27" x14ac:dyDescent="0.3">
      <c r="B9" s="16" t="s">
        <v>23</v>
      </c>
      <c r="C9" s="17">
        <v>5105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3">
      <c r="B10" s="28" t="s">
        <v>26</v>
      </c>
      <c r="C10" s="17">
        <v>0</v>
      </c>
      <c r="E10" s="161" t="s">
        <v>31</v>
      </c>
      <c r="F10" s="119">
        <v>19886</v>
      </c>
      <c r="G10" s="117">
        <v>14409.300499999999</v>
      </c>
      <c r="H10" s="117">
        <v>564.02849000000003</v>
      </c>
      <c r="I10" s="152">
        <f>SUM(H10,G10)</f>
        <v>14973.32899</v>
      </c>
      <c r="J10" s="119">
        <v>20067</v>
      </c>
      <c r="K10" s="117">
        <v>14568.636</v>
      </c>
      <c r="L10" s="117">
        <v>615.05937000000006</v>
      </c>
      <c r="M10" s="152">
        <f>K10+L10</f>
        <v>15183.695370000001</v>
      </c>
      <c r="N10" s="178">
        <v>49</v>
      </c>
      <c r="O10" s="88">
        <v>47</v>
      </c>
      <c r="P10" s="145">
        <v>48</v>
      </c>
      <c r="Q10" s="181">
        <f>IF(J10=0,((F10/V10)),((J10/V10)))</f>
        <v>385.90384615384613</v>
      </c>
      <c r="V10" s="1">
        <v>52</v>
      </c>
    </row>
    <row r="11" spans="1:27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-1</v>
      </c>
      <c r="Q11" s="118"/>
    </row>
    <row r="12" spans="1:27" x14ac:dyDescent="0.3">
      <c r="A12" s="166"/>
      <c r="B12" s="16" t="s">
        <v>30</v>
      </c>
      <c r="C12" s="17">
        <v>3486</v>
      </c>
      <c r="E12" s="161" t="s">
        <v>35</v>
      </c>
      <c r="F12" s="119">
        <v>14410</v>
      </c>
      <c r="G12" s="117">
        <v>13533.066999999999</v>
      </c>
      <c r="H12" s="117">
        <v>16950.966803999989</v>
      </c>
      <c r="I12" s="152">
        <f>SUM(H12,G12)</f>
        <v>30484.033803999988</v>
      </c>
      <c r="J12" s="119">
        <v>13771</v>
      </c>
      <c r="K12" s="117">
        <v>12889.134</v>
      </c>
      <c r="L12" s="117">
        <v>16084.576693999999</v>
      </c>
      <c r="M12" s="152">
        <f>K12+L12</f>
        <v>28973.710694000001</v>
      </c>
      <c r="N12" s="178">
        <v>53</v>
      </c>
      <c r="O12" s="88">
        <v>50</v>
      </c>
      <c r="P12" s="145">
        <v>46</v>
      </c>
      <c r="Q12" s="181">
        <f>IF(J12=0,((F12/V12)),((J12/V12)))</f>
        <v>393.45714285714286</v>
      </c>
      <c r="V12" s="1">
        <v>35</v>
      </c>
    </row>
    <row r="13" spans="1:27" x14ac:dyDescent="0.3">
      <c r="B13" s="16" t="s">
        <v>38</v>
      </c>
      <c r="C13" s="17">
        <v>8992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3">
      <c r="B14" s="16" t="s">
        <v>40</v>
      </c>
      <c r="C14" s="17">
        <v>10321</v>
      </c>
      <c r="E14" s="161" t="s">
        <v>39</v>
      </c>
      <c r="F14" s="119">
        <v>25685</v>
      </c>
      <c r="G14" s="117">
        <v>30549.115750000001</v>
      </c>
      <c r="H14" s="117">
        <v>31888.373434000001</v>
      </c>
      <c r="I14" s="152">
        <f>SUM(H14,G14)</f>
        <v>62437.489184000005</v>
      </c>
      <c r="J14" s="119">
        <v>24363</v>
      </c>
      <c r="K14" s="117">
        <v>29220.69225</v>
      </c>
      <c r="L14" s="117">
        <v>30439.250080999991</v>
      </c>
      <c r="M14" s="152">
        <f>K14+L14</f>
        <v>59659.942330999991</v>
      </c>
      <c r="N14" s="178">
        <v>76</v>
      </c>
      <c r="O14" s="88">
        <v>77</v>
      </c>
      <c r="P14" s="145">
        <v>69</v>
      </c>
      <c r="Q14" s="181">
        <f>IF(J14=0,((F14/V14)),((J14/V14)))</f>
        <v>580.07142857142856</v>
      </c>
      <c r="V14" s="1">
        <v>42</v>
      </c>
    </row>
    <row r="15" spans="1:27" x14ac:dyDescent="0.3">
      <c r="B15" s="28" t="s">
        <v>42</v>
      </c>
      <c r="C15" s="17">
        <v>31742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  <c r="Q15" s="118"/>
    </row>
    <row r="16" spans="1:27" x14ac:dyDescent="0.3">
      <c r="B16" s="43" t="s">
        <v>47</v>
      </c>
      <c r="C16" s="17">
        <v>1899</v>
      </c>
      <c r="E16" s="161" t="s">
        <v>79</v>
      </c>
      <c r="F16" s="119">
        <v>0</v>
      </c>
      <c r="G16" s="117">
        <v>0</v>
      </c>
      <c r="H16" s="117">
        <v>8128.3191479999987</v>
      </c>
      <c r="I16" s="152">
        <f>SUM(H16,G16)</f>
        <v>8128.3191479999987</v>
      </c>
      <c r="J16" s="119">
        <v>0</v>
      </c>
      <c r="K16" s="117">
        <v>0</v>
      </c>
      <c r="L16" s="117">
        <v>7969.0473379999994</v>
      </c>
      <c r="M16" s="152">
        <f>K16+L16</f>
        <v>7969.0473379999994</v>
      </c>
      <c r="N16" s="178">
        <v>13</v>
      </c>
      <c r="O16" s="88">
        <v>14</v>
      </c>
      <c r="P16" s="145">
        <v>12</v>
      </c>
      <c r="Q16" s="180"/>
    </row>
    <row r="17" spans="1:28" s="4" customFormat="1" ht="15" customHeight="1" thickBot="1" x14ac:dyDescent="0.35">
      <c r="B17" s="43" t="s">
        <v>48</v>
      </c>
      <c r="C17" s="17">
        <v>2903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35">
      <c r="B18" s="16" t="s">
        <v>50</v>
      </c>
      <c r="C18" s="17">
        <v>8540</v>
      </c>
      <c r="E18" s="84"/>
      <c r="F18" s="148">
        <f>SUM(F6:F16)</f>
        <v>96948</v>
      </c>
      <c r="G18" s="148">
        <f>SUM(G6:G16)</f>
        <v>86154.447249999997</v>
      </c>
      <c r="H18" s="148">
        <f>SUM(H6:H16)</f>
        <v>73508.493868999984</v>
      </c>
      <c r="I18" s="157">
        <f>SUM(I6:I17)</f>
        <v>159662.941119</v>
      </c>
      <c r="J18" s="149">
        <f>SUM(J6:J17)</f>
        <v>94319</v>
      </c>
      <c r="K18" s="149">
        <f>SUM(K6:K17)</f>
        <v>81094.518249999994</v>
      </c>
      <c r="L18" s="149">
        <f>SUM(L6:L17)</f>
        <v>68945.867836999998</v>
      </c>
      <c r="M18" s="175">
        <f>SUM(M6:M17)</f>
        <v>150040.38608699999</v>
      </c>
      <c r="N18" s="148">
        <f>SUM(N16,N14,N12,N10,N8,N6)</f>
        <v>300</v>
      </c>
      <c r="O18" s="148">
        <f>SUM(O16,O14,O12,O10,O8,O6)</f>
        <v>294</v>
      </c>
      <c r="P18" s="148">
        <f>SUM(P16,P14,P12,P10,P8,P6)</f>
        <v>277</v>
      </c>
      <c r="Q18" s="182"/>
    </row>
    <row r="19" spans="1:28" ht="15" customHeight="1" thickBot="1" x14ac:dyDescent="0.35">
      <c r="B19" s="16" t="s">
        <v>51</v>
      </c>
      <c r="C19" s="17">
        <v>578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  <c r="Q19" s="183"/>
    </row>
    <row r="20" spans="1:28" x14ac:dyDescent="0.3">
      <c r="B20" s="16" t="s">
        <v>52</v>
      </c>
      <c r="C20" s="17">
        <v>4192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5.7823129251700682E-2</v>
      </c>
      <c r="Q20" s="139"/>
    </row>
    <row r="21" spans="1:28" ht="15" customHeight="1" thickBot="1" x14ac:dyDescent="0.35">
      <c r="A21" s="123"/>
      <c r="B21" s="168" t="s">
        <v>132</v>
      </c>
      <c r="C21" s="17">
        <v>1287</v>
      </c>
    </row>
    <row r="22" spans="1:28" ht="15" customHeight="1" thickBot="1" x14ac:dyDescent="0.35"/>
    <row r="23" spans="1:28" ht="15" customHeight="1" thickBot="1" x14ac:dyDescent="0.35">
      <c r="C23" s="68" t="s">
        <v>2</v>
      </c>
      <c r="D23" s="209" t="s">
        <v>3</v>
      </c>
      <c r="E23" s="210"/>
      <c r="H23" s="53"/>
    </row>
    <row r="24" spans="1:28" x14ac:dyDescent="0.3">
      <c r="B24" s="70"/>
      <c r="C24" s="71" t="s">
        <v>5</v>
      </c>
      <c r="D24" s="72" t="s">
        <v>5</v>
      </c>
      <c r="E24" s="73" t="s">
        <v>54</v>
      </c>
    </row>
    <row r="25" spans="1:28" x14ac:dyDescent="0.3">
      <c r="B25" s="74" t="s">
        <v>55</v>
      </c>
      <c r="C25" s="122">
        <v>8685</v>
      </c>
      <c r="D25" s="76">
        <v>8979</v>
      </c>
      <c r="E25" s="77">
        <f t="shared" ref="E25:E33" si="0">IFERROR(D25-C25,0)</f>
        <v>294</v>
      </c>
    </row>
    <row r="26" spans="1:28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3">
      <c r="B27" s="74" t="s">
        <v>144</v>
      </c>
      <c r="C27" s="122">
        <v>47949</v>
      </c>
      <c r="D27" s="76">
        <v>43464</v>
      </c>
      <c r="E27" s="77">
        <f t="shared" si="0"/>
        <v>-4485</v>
      </c>
      <c r="G27" s="53"/>
      <c r="M27" s="53"/>
      <c r="P27" s="4"/>
      <c r="Q27" s="4"/>
    </row>
    <row r="28" spans="1:28" x14ac:dyDescent="0.3">
      <c r="B28" s="74" t="s">
        <v>145</v>
      </c>
      <c r="C28" s="122">
        <v>7698</v>
      </c>
      <c r="D28" s="76">
        <v>7698</v>
      </c>
      <c r="E28" s="77">
        <f t="shared" si="0"/>
        <v>0</v>
      </c>
      <c r="P28" s="4"/>
      <c r="Q28" s="4"/>
    </row>
    <row r="29" spans="1:28" x14ac:dyDescent="0.3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3">
      <c r="B30" s="74" t="s">
        <v>146</v>
      </c>
      <c r="C30" s="122">
        <v>12198</v>
      </c>
      <c r="D30" s="76">
        <v>12198</v>
      </c>
      <c r="E30" s="77">
        <f t="shared" si="0"/>
        <v>0</v>
      </c>
      <c r="J30" s="53"/>
      <c r="K30" s="53"/>
      <c r="P30" s="4"/>
      <c r="Q30" s="4"/>
    </row>
    <row r="31" spans="1:28" x14ac:dyDescent="0.3">
      <c r="B31" s="74" t="s">
        <v>147</v>
      </c>
      <c r="C31" s="122">
        <v>12455</v>
      </c>
      <c r="D31" s="76">
        <v>14018</v>
      </c>
      <c r="E31" s="77">
        <f t="shared" si="0"/>
        <v>1563</v>
      </c>
      <c r="K31" s="53"/>
      <c r="P31" s="4"/>
      <c r="Q31" s="4"/>
    </row>
    <row r="32" spans="1:28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7990</v>
      </c>
      <c r="D33" s="80">
        <v>7990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>
    <tabColor theme="1"/>
    <pageSetUpPr fitToPage="1"/>
  </sheetPr>
  <dimension ref="A1:AC33"/>
  <sheetViews>
    <sheetView topLeftCell="A3" zoomScaleNormal="100" zoomScaleSheetLayoutView="70" workbookViewId="0">
      <selection activeCell="N3" sqref="N1:N1048576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44849</v>
      </c>
    </row>
    <row r="3" spans="1:28" ht="18.75" customHeight="1" thickBot="1" x14ac:dyDescent="0.35">
      <c r="B3" t="s">
        <v>1</v>
      </c>
      <c r="C3" s="3">
        <f>C2+1</f>
        <v>44850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78</v>
      </c>
      <c r="E6" s="161" t="s">
        <v>22</v>
      </c>
      <c r="F6" s="119">
        <v>37345</v>
      </c>
      <c r="G6" s="117">
        <v>19613.212</v>
      </c>
      <c r="H6" s="117">
        <v>5458.1008000000011</v>
      </c>
      <c r="I6" s="152">
        <f>G6+H6</f>
        <v>25071.3128</v>
      </c>
      <c r="J6" s="119">
        <v>37607</v>
      </c>
      <c r="K6" s="117">
        <v>19673.133999999998</v>
      </c>
      <c r="L6" s="117">
        <v>5211.3160399999997</v>
      </c>
      <c r="M6" s="162">
        <f>K6+L6</f>
        <v>24884.450039999996</v>
      </c>
      <c r="N6" s="198">
        <v>93</v>
      </c>
      <c r="O6" s="199">
        <v>76</v>
      </c>
      <c r="P6" s="199">
        <v>90</v>
      </c>
      <c r="Q6" s="200">
        <v>93</v>
      </c>
      <c r="R6" s="189">
        <f>IF(J6=0,((F6/W6)),((J6/W6)))</f>
        <v>874.58139534883719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14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1642</v>
      </c>
      <c r="G8" s="117">
        <v>8802.2109999999993</v>
      </c>
      <c r="H8" s="117">
        <v>11163.046924</v>
      </c>
      <c r="I8" s="152">
        <f>G8+H8</f>
        <v>19965.257923999998</v>
      </c>
      <c r="J8" s="119">
        <v>1824</v>
      </c>
      <c r="K8" s="117">
        <v>9641.5869999999995</v>
      </c>
      <c r="L8" s="117">
        <v>11900.837175000001</v>
      </c>
      <c r="M8" s="162">
        <f>K8+L8</f>
        <v>21542.424175</v>
      </c>
      <c r="N8" s="178">
        <v>33</v>
      </c>
      <c r="O8" s="88">
        <v>28</v>
      </c>
      <c r="P8" s="88">
        <v>32</v>
      </c>
      <c r="Q8" s="145">
        <v>36</v>
      </c>
      <c r="R8" s="191"/>
    </row>
    <row r="9" spans="1:28" x14ac:dyDescent="0.3">
      <c r="B9" s="16" t="s">
        <v>23</v>
      </c>
      <c r="C9" s="17">
        <v>5971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4</v>
      </c>
      <c r="Q9" s="143"/>
      <c r="R9" s="190"/>
    </row>
    <row r="10" spans="1:28" x14ac:dyDescent="0.3">
      <c r="B10" s="28" t="s">
        <v>26</v>
      </c>
      <c r="C10" s="17">
        <v>795</v>
      </c>
      <c r="E10" s="161" t="s">
        <v>31</v>
      </c>
      <c r="F10" s="119">
        <v>22235</v>
      </c>
      <c r="G10" s="117">
        <v>15745.901</v>
      </c>
      <c r="H10" s="117">
        <v>906.34426600000006</v>
      </c>
      <c r="I10" s="152">
        <f>G10+H10</f>
        <v>16652.245265999998</v>
      </c>
      <c r="J10" s="119">
        <v>22124</v>
      </c>
      <c r="K10" s="117">
        <v>15504.816999999999</v>
      </c>
      <c r="L10" s="117">
        <v>920.814347</v>
      </c>
      <c r="M10" s="162">
        <f>K10+L10</f>
        <v>16425.631346999999</v>
      </c>
      <c r="N10" s="178">
        <v>53</v>
      </c>
      <c r="O10" s="88">
        <v>49</v>
      </c>
      <c r="P10" s="88">
        <v>51</v>
      </c>
      <c r="Q10" s="145">
        <v>54</v>
      </c>
      <c r="R10" s="189">
        <f>IF(J10=0,((F10/W10)),((J10/W10)))</f>
        <v>425.46153846153845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2</v>
      </c>
      <c r="Q11" s="143"/>
      <c r="R11" s="190"/>
    </row>
    <row r="12" spans="1:28" x14ac:dyDescent="0.3">
      <c r="A12" s="166"/>
      <c r="B12" s="16" t="s">
        <v>30</v>
      </c>
      <c r="C12" s="17">
        <v>1812</v>
      </c>
      <c r="E12" s="161" t="s">
        <v>35</v>
      </c>
      <c r="F12" s="119">
        <v>17686</v>
      </c>
      <c r="G12" s="117">
        <v>15224.808000000001</v>
      </c>
      <c r="H12" s="117">
        <v>19860.93229200002</v>
      </c>
      <c r="I12" s="152">
        <f>G12+H12</f>
        <v>35085.740292000017</v>
      </c>
      <c r="J12" s="119">
        <v>17886</v>
      </c>
      <c r="K12" s="117">
        <v>15695.1075</v>
      </c>
      <c r="L12" s="117">
        <v>20136.962043</v>
      </c>
      <c r="M12" s="162">
        <f>K12+L12</f>
        <v>35832.069542999998</v>
      </c>
      <c r="N12" s="178">
        <v>54</v>
      </c>
      <c r="O12" s="88">
        <v>49</v>
      </c>
      <c r="P12" s="88">
        <v>54</v>
      </c>
      <c r="Q12" s="145">
        <v>54</v>
      </c>
      <c r="R12" s="189">
        <f>IF(J12=0,((F12/W12)),((J12/W12)))</f>
        <v>511.02857142857141</v>
      </c>
      <c r="W12" s="1">
        <v>35</v>
      </c>
    </row>
    <row r="13" spans="1:28" x14ac:dyDescent="0.3">
      <c r="B13" s="16" t="s">
        <v>38</v>
      </c>
      <c r="C13" s="17">
        <v>6551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5</v>
      </c>
      <c r="Q13" s="143"/>
      <c r="R13" s="190"/>
    </row>
    <row r="14" spans="1:28" x14ac:dyDescent="0.3">
      <c r="B14" s="16" t="s">
        <v>40</v>
      </c>
      <c r="C14" s="17">
        <v>13607</v>
      </c>
      <c r="E14" s="161" t="s">
        <v>39</v>
      </c>
      <c r="F14" s="119">
        <v>15665</v>
      </c>
      <c r="G14" s="117">
        <v>18517.929250000001</v>
      </c>
      <c r="H14" s="117">
        <v>19524.670475999999</v>
      </c>
      <c r="I14" s="152">
        <f>G14+H14</f>
        <v>38042.599726</v>
      </c>
      <c r="J14" s="119">
        <v>14686</v>
      </c>
      <c r="K14" s="117">
        <v>17542.616249999999</v>
      </c>
      <c r="L14" s="117">
        <v>18470.065007000001</v>
      </c>
      <c r="M14" s="162">
        <f>K14+L14</f>
        <v>36012.681257000004</v>
      </c>
      <c r="N14" s="178">
        <v>74</v>
      </c>
      <c r="O14" s="88">
        <v>57</v>
      </c>
      <c r="P14" s="88">
        <v>76</v>
      </c>
      <c r="Q14" s="145">
        <v>76</v>
      </c>
      <c r="R14" s="189">
        <f>IF(J14=0,((F14/W14)),((J14/W14)))</f>
        <v>349.66666666666669</v>
      </c>
      <c r="W14" s="1">
        <v>42</v>
      </c>
    </row>
    <row r="15" spans="1:28" x14ac:dyDescent="0.3">
      <c r="B15" s="28" t="s">
        <v>42</v>
      </c>
      <c r="C15" s="17">
        <v>27773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19</v>
      </c>
      <c r="Q15" s="143"/>
      <c r="R15" s="190"/>
    </row>
    <row r="16" spans="1:28" x14ac:dyDescent="0.3">
      <c r="B16" s="43" t="s">
        <v>47</v>
      </c>
      <c r="C16" s="17">
        <v>1060</v>
      </c>
      <c r="E16" s="161" t="s">
        <v>79</v>
      </c>
      <c r="F16" s="119">
        <v>0</v>
      </c>
      <c r="G16" s="117">
        <v>0</v>
      </c>
      <c r="H16" s="117">
        <v>5183.9154580000013</v>
      </c>
      <c r="I16" s="152">
        <f>G16+H16</f>
        <v>5183.9154580000013</v>
      </c>
      <c r="J16" s="119">
        <v>0</v>
      </c>
      <c r="K16" s="117">
        <v>0</v>
      </c>
      <c r="L16" s="117">
        <v>5106.1589440000007</v>
      </c>
      <c r="M16" s="162">
        <f>K16+L16</f>
        <v>5106.1589440000007</v>
      </c>
      <c r="N16" s="178">
        <v>11</v>
      </c>
      <c r="O16" s="88">
        <v>10</v>
      </c>
      <c r="P16" s="88">
        <v>12</v>
      </c>
      <c r="Q16" s="145">
        <v>12</v>
      </c>
      <c r="R16" s="192"/>
    </row>
    <row r="17" spans="1:29" s="4" customFormat="1" ht="15" customHeight="1" thickBot="1" x14ac:dyDescent="0.35">
      <c r="B17" s="43" t="s">
        <v>48</v>
      </c>
      <c r="C17" s="17">
        <v>2900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2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14073</v>
      </c>
      <c r="E18" s="84"/>
      <c r="F18" s="148">
        <f>SUM(F6:F16)</f>
        <v>94573</v>
      </c>
      <c r="G18" s="148">
        <f>SUM(G6:G16)</f>
        <v>77904.061249999999</v>
      </c>
      <c r="H18" s="148">
        <f>SUM(H6:H16)</f>
        <v>62097.010216000024</v>
      </c>
      <c r="I18" s="157">
        <f>SUM(I6:I17)</f>
        <v>140001.07146600002</v>
      </c>
      <c r="J18" s="149">
        <f>SUM(J6:J17)</f>
        <v>94127</v>
      </c>
      <c r="K18" s="149">
        <f>SUM(K6:K17)</f>
        <v>78057.261750000005</v>
      </c>
      <c r="L18" s="149">
        <f>SUM(L6:L17)</f>
        <v>61746.153555999997</v>
      </c>
      <c r="M18" s="175">
        <f>SUM(M6:M17)</f>
        <v>139803.41530600001</v>
      </c>
      <c r="N18" s="201">
        <f>SUM(N16,N14,N12,N10,N8,N6)</f>
        <v>318</v>
      </c>
      <c r="O18" s="204">
        <f>SUM(O16,O14,O12,O10,O8,O6)</f>
        <v>269</v>
      </c>
      <c r="P18" s="204">
        <f>SUM(P16,P14,P12,P10,P8,P6)</f>
        <v>315</v>
      </c>
      <c r="Q18" s="202"/>
      <c r="R18" s="182"/>
    </row>
    <row r="19" spans="1:29" ht="15" customHeight="1" thickBot="1" x14ac:dyDescent="0.35">
      <c r="B19" s="16" t="s">
        <v>51</v>
      </c>
      <c r="C19" s="17">
        <v>0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32</v>
      </c>
      <c r="Q19" s="183"/>
      <c r="R19" s="183"/>
    </row>
    <row r="20" spans="1:29" ht="15" customHeight="1" thickBot="1" x14ac:dyDescent="0.35">
      <c r="B20" s="16" t="s">
        <v>52</v>
      </c>
      <c r="C20" s="17">
        <v>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0.10158730158730159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17">
        <v>488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13653</v>
      </c>
      <c r="D25" s="76">
        <v>12929</v>
      </c>
      <c r="E25" s="77">
        <f t="shared" ref="E25:E33" si="0">IFERROR(D25-C25,0)</f>
        <v>-724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40708</v>
      </c>
      <c r="D27" s="76">
        <v>40813</v>
      </c>
      <c r="E27" s="77">
        <f t="shared" si="0"/>
        <v>105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8621</v>
      </c>
      <c r="D28" s="76">
        <v>8621</v>
      </c>
      <c r="E28" s="77">
        <f t="shared" si="0"/>
        <v>0</v>
      </c>
      <c r="O28" s="4"/>
      <c r="Q28" s="4"/>
      <c r="R28" s="4"/>
    </row>
    <row r="29" spans="1:29" x14ac:dyDescent="0.3">
      <c r="B29" s="74" t="s">
        <v>21</v>
      </c>
      <c r="C29" s="122">
        <v>2710</v>
      </c>
      <c r="D29" s="76">
        <v>2710</v>
      </c>
      <c r="E29" s="77">
        <f t="shared" si="0"/>
        <v>0</v>
      </c>
      <c r="O29" s="4"/>
      <c r="Q29" s="4"/>
      <c r="R29" s="4"/>
    </row>
    <row r="30" spans="1:29" x14ac:dyDescent="0.3">
      <c r="B30" s="74" t="s">
        <v>146</v>
      </c>
      <c r="C30" s="122">
        <v>6294</v>
      </c>
      <c r="D30" s="76">
        <v>6294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14675</v>
      </c>
      <c r="D31" s="76">
        <v>14847</v>
      </c>
      <c r="E31" s="77">
        <f t="shared" si="0"/>
        <v>172</v>
      </c>
      <c r="K31" s="53"/>
      <c r="O31" s="4"/>
      <c r="Q31" s="4"/>
      <c r="R31" s="4"/>
    </row>
    <row r="32" spans="1:29" x14ac:dyDescent="0.3">
      <c r="B32" s="74" t="s">
        <v>60</v>
      </c>
      <c r="C32" s="122">
        <v>4290</v>
      </c>
      <c r="D32" s="76">
        <v>4290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3636</v>
      </c>
      <c r="D33" s="80">
        <v>3636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>
    <tabColor theme="1"/>
    <pageSetUpPr fitToPage="1"/>
  </sheetPr>
  <dimension ref="A1:AC33"/>
  <sheetViews>
    <sheetView zoomScaleNormal="100" zoomScaleSheetLayoutView="70" workbookViewId="0">
      <selection activeCell="J22" sqref="J22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44850</v>
      </c>
    </row>
    <row r="3" spans="1:28" ht="18.75" customHeight="1" thickBot="1" x14ac:dyDescent="0.35">
      <c r="B3" t="s">
        <v>1</v>
      </c>
      <c r="C3" s="3">
        <f>C2+1</f>
        <v>44851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0</v>
      </c>
      <c r="E6" s="161" t="s">
        <v>22</v>
      </c>
      <c r="F6" s="119">
        <v>18391</v>
      </c>
      <c r="G6" s="117"/>
      <c r="H6" s="117"/>
      <c r="I6" s="152">
        <f>G6+H6</f>
        <v>0</v>
      </c>
      <c r="J6" s="119">
        <v>17098</v>
      </c>
      <c r="K6" s="117"/>
      <c r="L6" s="117"/>
      <c r="M6" s="162">
        <f>K6+L6</f>
        <v>0</v>
      </c>
      <c r="N6" s="198">
        <v>79</v>
      </c>
      <c r="O6" s="199">
        <v>58</v>
      </c>
      <c r="P6" s="199">
        <v>78</v>
      </c>
      <c r="Q6" s="200">
        <v>93</v>
      </c>
      <c r="R6" s="189">
        <f>IF(J6=0,((F6/W6)),((J6/W6)))</f>
        <v>397.62790697674421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20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1471</v>
      </c>
      <c r="G8" s="117"/>
      <c r="H8" s="117"/>
      <c r="I8" s="152">
        <f>G8+H8</f>
        <v>0</v>
      </c>
      <c r="J8" s="119">
        <v>950</v>
      </c>
      <c r="K8" s="117"/>
      <c r="L8" s="117"/>
      <c r="M8" s="162">
        <f>K8+L8</f>
        <v>0</v>
      </c>
      <c r="N8" s="178">
        <v>19</v>
      </c>
      <c r="O8" s="88">
        <v>18</v>
      </c>
      <c r="P8" s="88">
        <v>23</v>
      </c>
      <c r="Q8" s="145">
        <v>36</v>
      </c>
      <c r="R8" s="191"/>
    </row>
    <row r="9" spans="1:28" x14ac:dyDescent="0.3">
      <c r="B9" s="16" t="s">
        <v>23</v>
      </c>
      <c r="C9" s="17">
        <v>3376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5</v>
      </c>
      <c r="Q9" s="143"/>
      <c r="R9" s="190"/>
    </row>
    <row r="10" spans="1:28" x14ac:dyDescent="0.3">
      <c r="B10" s="28" t="s">
        <v>26</v>
      </c>
      <c r="C10" s="17">
        <v>0</v>
      </c>
      <c r="E10" s="161" t="s">
        <v>31</v>
      </c>
      <c r="F10" s="119">
        <v>6544</v>
      </c>
      <c r="G10" s="117"/>
      <c r="H10" s="117"/>
      <c r="I10" s="152">
        <f>G10+H10</f>
        <v>0</v>
      </c>
      <c r="J10" s="119">
        <v>6647</v>
      </c>
      <c r="K10" s="117"/>
      <c r="L10" s="117"/>
      <c r="M10" s="162">
        <f>K10+L10</f>
        <v>0</v>
      </c>
      <c r="N10" s="178">
        <v>11</v>
      </c>
      <c r="O10" s="88">
        <v>8</v>
      </c>
      <c r="P10" s="88">
        <v>8</v>
      </c>
      <c r="Q10" s="145">
        <v>54</v>
      </c>
      <c r="R10" s="189">
        <f>IF(J10=0,((F10/W10)),((J10/W10)))</f>
        <v>127.82692307692308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3">
      <c r="A12" s="166"/>
      <c r="B12" s="16" t="s">
        <v>30</v>
      </c>
      <c r="C12" s="17">
        <v>0</v>
      </c>
      <c r="E12" s="161" t="s">
        <v>35</v>
      </c>
      <c r="F12" s="119">
        <v>6240</v>
      </c>
      <c r="G12" s="117"/>
      <c r="H12" s="117"/>
      <c r="I12" s="152">
        <f>G12+H12</f>
        <v>0</v>
      </c>
      <c r="J12" s="119">
        <v>4819</v>
      </c>
      <c r="K12" s="117"/>
      <c r="L12" s="117"/>
      <c r="M12" s="162">
        <f>K12+L12</f>
        <v>0</v>
      </c>
      <c r="N12" s="178">
        <v>29</v>
      </c>
      <c r="O12" s="88">
        <v>23</v>
      </c>
      <c r="P12" s="88">
        <v>29</v>
      </c>
      <c r="Q12" s="145">
        <v>54</v>
      </c>
      <c r="R12" s="189">
        <f>IF(J12=0,((F12/W12)),((J12/W12)))</f>
        <v>137.68571428571428</v>
      </c>
      <c r="W12" s="1">
        <v>35</v>
      </c>
    </row>
    <row r="13" spans="1:28" x14ac:dyDescent="0.3">
      <c r="B13" s="16" t="s">
        <v>38</v>
      </c>
      <c r="C13" s="17">
        <v>8458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6</v>
      </c>
      <c r="Q13" s="143"/>
      <c r="R13" s="190"/>
    </row>
    <row r="14" spans="1:28" x14ac:dyDescent="0.3">
      <c r="B14" s="16" t="s">
        <v>40</v>
      </c>
      <c r="C14" s="17">
        <v>10168</v>
      </c>
      <c r="E14" s="161" t="s">
        <v>39</v>
      </c>
      <c r="F14" s="119">
        <v>6686</v>
      </c>
      <c r="G14" s="117"/>
      <c r="H14" s="117"/>
      <c r="I14" s="152">
        <f>G14+H14</f>
        <v>0</v>
      </c>
      <c r="J14" s="119">
        <v>5837</v>
      </c>
      <c r="K14" s="117"/>
      <c r="L14" s="117"/>
      <c r="M14" s="162">
        <f>K14+L14</f>
        <v>0</v>
      </c>
      <c r="N14" s="178">
        <v>17</v>
      </c>
      <c r="O14" s="88">
        <v>12</v>
      </c>
      <c r="P14" s="88">
        <v>17</v>
      </c>
      <c r="Q14" s="145">
        <v>76</v>
      </c>
      <c r="R14" s="189">
        <f>IF(J14=0,((F14/W14)),((J14/W14)))</f>
        <v>138.97619047619048</v>
      </c>
      <c r="W14" s="1">
        <v>42</v>
      </c>
    </row>
    <row r="15" spans="1:28" x14ac:dyDescent="0.3">
      <c r="B15" s="28" t="s">
        <v>42</v>
      </c>
      <c r="C15" s="17">
        <v>31044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5</v>
      </c>
      <c r="Q15" s="143"/>
      <c r="R15" s="190"/>
    </row>
    <row r="16" spans="1:28" x14ac:dyDescent="0.3">
      <c r="B16" s="43" t="s">
        <v>47</v>
      </c>
      <c r="C16" s="17">
        <v>0</v>
      </c>
      <c r="E16" s="161" t="s">
        <v>79</v>
      </c>
      <c r="F16" s="119">
        <v>0</v>
      </c>
      <c r="G16" s="117"/>
      <c r="H16" s="117"/>
      <c r="I16" s="152">
        <f>G16+H16</f>
        <v>0</v>
      </c>
      <c r="J16" s="119"/>
      <c r="K16" s="117"/>
      <c r="L16" s="117"/>
      <c r="M16" s="162">
        <f>K16+L16</f>
        <v>0</v>
      </c>
      <c r="N16" s="178">
        <v>0</v>
      </c>
      <c r="O16" s="88">
        <v>0</v>
      </c>
      <c r="P16" s="88">
        <v>0</v>
      </c>
      <c r="Q16" s="145">
        <v>12</v>
      </c>
      <c r="R16" s="192"/>
    </row>
    <row r="17" spans="1:29" s="4" customFormat="1" ht="15" customHeight="1" thickBot="1" x14ac:dyDescent="0.35">
      <c r="B17" s="43" t="s">
        <v>48</v>
      </c>
      <c r="C17" s="17">
        <v>1971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0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9578</v>
      </c>
      <c r="E18" s="84"/>
      <c r="F18" s="148">
        <f>SUM(F6:F16)</f>
        <v>39332</v>
      </c>
      <c r="G18" s="148">
        <f>SUM(G6:G16)</f>
        <v>0</v>
      </c>
      <c r="H18" s="148">
        <f>SUM(H6:H16)</f>
        <v>0</v>
      </c>
      <c r="I18" s="157">
        <f>SUM(I6:I17)</f>
        <v>0</v>
      </c>
      <c r="J18" s="149">
        <f>SUM(J6:J17)</f>
        <v>35351</v>
      </c>
      <c r="K18" s="149">
        <f>SUM(K6:K17)</f>
        <v>0</v>
      </c>
      <c r="L18" s="149">
        <f>SUM(L6:L17)</f>
        <v>0</v>
      </c>
      <c r="M18" s="175">
        <f>SUM(M6:M17)</f>
        <v>0</v>
      </c>
      <c r="N18" s="201">
        <f>SUM(N16,N14,N12,N10,N8,N6)</f>
        <v>155</v>
      </c>
      <c r="O18" s="204">
        <f>SUM(O16,O14,O12,O10,O8,O6)</f>
        <v>119</v>
      </c>
      <c r="P18" s="204">
        <f>SUM(P16,P14,P12,P10,P8,P6)</f>
        <v>155</v>
      </c>
      <c r="Q18" s="202"/>
      <c r="R18" s="182"/>
    </row>
    <row r="19" spans="1:29" ht="15" customHeight="1" thickBot="1" x14ac:dyDescent="0.35">
      <c r="B19" s="16" t="s">
        <v>51</v>
      </c>
      <c r="C19" s="17">
        <v>1016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16</v>
      </c>
      <c r="Q19" s="183"/>
      <c r="R19" s="183"/>
    </row>
    <row r="20" spans="1:29" ht="15" customHeight="1" thickBot="1" x14ac:dyDescent="0.35">
      <c r="B20" s="16" t="s">
        <v>52</v>
      </c>
      <c r="C20" s="17">
        <v>4407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0.1032258064516129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17">
        <v>0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9402</v>
      </c>
      <c r="D25" s="76">
        <v>8458</v>
      </c>
      <c r="E25" s="77">
        <f t="shared" ref="E25:E33" si="0">IFERROR(D25-C25,0)</f>
        <v>-944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26626</v>
      </c>
      <c r="D27" s="76">
        <v>20364</v>
      </c>
      <c r="E27" s="77">
        <f t="shared" si="0"/>
        <v>-6262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0</v>
      </c>
      <c r="D28" s="76">
        <v>0</v>
      </c>
      <c r="E28" s="77">
        <f t="shared" si="0"/>
        <v>0</v>
      </c>
      <c r="O28" s="4"/>
      <c r="Q28" s="4"/>
      <c r="R28" s="4"/>
    </row>
    <row r="29" spans="1:29" x14ac:dyDescent="0.3">
      <c r="B29" s="74" t="s">
        <v>21</v>
      </c>
      <c r="C29" s="122">
        <v>0</v>
      </c>
      <c r="D29" s="76">
        <v>0</v>
      </c>
      <c r="E29" s="77">
        <f t="shared" si="0"/>
        <v>0</v>
      </c>
      <c r="O29" s="4"/>
      <c r="Q29" s="4"/>
      <c r="R29" s="4"/>
    </row>
    <row r="30" spans="1:29" x14ac:dyDescent="0.3">
      <c r="B30" s="74" t="s">
        <v>146</v>
      </c>
      <c r="C30" s="122">
        <v>0</v>
      </c>
      <c r="D30" s="76">
        <v>0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13410</v>
      </c>
      <c r="D31" s="76">
        <v>15001</v>
      </c>
      <c r="E31" s="77">
        <f t="shared" si="0"/>
        <v>1591</v>
      </c>
      <c r="K31" s="53"/>
      <c r="O31" s="4"/>
      <c r="Q31" s="4"/>
      <c r="R31" s="4"/>
    </row>
    <row r="32" spans="1:29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>
    <tabColor theme="1"/>
    <pageSetUpPr fitToPage="1"/>
  </sheetPr>
  <dimension ref="A1:AC33"/>
  <sheetViews>
    <sheetView zoomScaleNormal="100" zoomScaleSheetLayoutView="70" workbookViewId="0">
      <selection activeCell="F19" sqref="F1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44851</v>
      </c>
    </row>
    <row r="3" spans="1:28" ht="18.75" customHeight="1" thickBot="1" x14ac:dyDescent="0.35">
      <c r="B3" t="s">
        <v>1</v>
      </c>
      <c r="C3" s="3">
        <f>C2+1</f>
        <v>44852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78</v>
      </c>
      <c r="E6" s="161" t="s">
        <v>22</v>
      </c>
      <c r="F6" s="119">
        <v>32641</v>
      </c>
      <c r="G6" s="117">
        <v>16581.293000000001</v>
      </c>
      <c r="H6" s="117">
        <v>5035.5500939999993</v>
      </c>
      <c r="I6" s="152">
        <f>G6+H6</f>
        <v>21616.843094</v>
      </c>
      <c r="J6" s="119">
        <v>33482</v>
      </c>
      <c r="K6" s="117">
        <v>17000.542750000001</v>
      </c>
      <c r="L6" s="117">
        <v>5255.3676429999996</v>
      </c>
      <c r="M6" s="162">
        <f>K6+L6</f>
        <v>22255.910392999998</v>
      </c>
      <c r="N6" s="198">
        <v>82</v>
      </c>
      <c r="O6" s="199">
        <v>72</v>
      </c>
      <c r="P6" s="199">
        <v>82</v>
      </c>
      <c r="Q6" s="200">
        <v>85</v>
      </c>
      <c r="R6" s="189">
        <f>IF(J6=0,((F6/W6)),((J6/W6)))</f>
        <v>778.65116279069764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1621</v>
      </c>
      <c r="G8" s="117">
        <v>8674.3119999999999</v>
      </c>
      <c r="H8" s="117">
        <v>10545.393786000001</v>
      </c>
      <c r="I8" s="152">
        <f>G8+H8</f>
        <v>19219.705785999999</v>
      </c>
      <c r="J8" s="119">
        <v>2030</v>
      </c>
      <c r="K8" s="117">
        <v>11134.953</v>
      </c>
      <c r="L8" s="117">
        <v>12217.641102999991</v>
      </c>
      <c r="M8" s="162">
        <f>K8+L8</f>
        <v>23352.594102999989</v>
      </c>
      <c r="N8" s="178">
        <v>30</v>
      </c>
      <c r="O8" s="88">
        <v>21</v>
      </c>
      <c r="P8" s="88">
        <v>25</v>
      </c>
      <c r="Q8" s="145">
        <v>29</v>
      </c>
      <c r="R8" s="191"/>
    </row>
    <row r="9" spans="1:28" x14ac:dyDescent="0.3">
      <c r="B9" s="16" t="s">
        <v>23</v>
      </c>
      <c r="C9" s="17">
        <v>3817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4</v>
      </c>
      <c r="Q9" s="143"/>
      <c r="R9" s="190"/>
    </row>
    <row r="10" spans="1:28" x14ac:dyDescent="0.3">
      <c r="B10" s="28" t="s">
        <v>26</v>
      </c>
      <c r="C10" s="17">
        <v>400</v>
      </c>
      <c r="E10" s="161" t="s">
        <v>31</v>
      </c>
      <c r="F10" s="119">
        <v>20711</v>
      </c>
      <c r="G10" s="117">
        <v>14509.3145</v>
      </c>
      <c r="H10" s="117">
        <v>613.16900399999997</v>
      </c>
      <c r="I10" s="152">
        <f>G10+H10</f>
        <v>15122.483504</v>
      </c>
      <c r="J10" s="119">
        <v>20786</v>
      </c>
      <c r="K10" s="117">
        <v>14491.2665</v>
      </c>
      <c r="L10" s="117">
        <v>603.65871400000003</v>
      </c>
      <c r="M10" s="162">
        <f>K10+L10</f>
        <v>15094.925213999999</v>
      </c>
      <c r="N10" s="178">
        <v>50</v>
      </c>
      <c r="O10" s="88">
        <v>47</v>
      </c>
      <c r="P10" s="88">
        <v>49</v>
      </c>
      <c r="Q10" s="145">
        <v>51</v>
      </c>
      <c r="R10" s="189">
        <f>IF(J10=0,((F10/W10)),((J10/W10)))</f>
        <v>399.73076923076923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2</v>
      </c>
      <c r="Q11" s="143"/>
      <c r="R11" s="190"/>
    </row>
    <row r="12" spans="1:28" x14ac:dyDescent="0.3">
      <c r="A12" s="166"/>
      <c r="B12" s="16" t="s">
        <v>30</v>
      </c>
      <c r="C12" s="17">
        <v>1692</v>
      </c>
      <c r="E12" s="161" t="s">
        <v>35</v>
      </c>
      <c r="F12" s="119">
        <v>13016</v>
      </c>
      <c r="G12" s="117">
        <v>11873.878000000001</v>
      </c>
      <c r="H12" s="117">
        <v>16273.559053000001</v>
      </c>
      <c r="I12" s="152">
        <f>G12+H12</f>
        <v>28147.437053000001</v>
      </c>
      <c r="J12" s="119">
        <v>12910</v>
      </c>
      <c r="K12" s="117">
        <v>11885.958500000001</v>
      </c>
      <c r="L12" s="117">
        <v>16327.092557</v>
      </c>
      <c r="M12" s="162">
        <f>K12+L12</f>
        <v>28213.051057000001</v>
      </c>
      <c r="N12" s="178">
        <v>45</v>
      </c>
      <c r="O12" s="88">
        <v>45</v>
      </c>
      <c r="P12" s="88">
        <v>47</v>
      </c>
      <c r="Q12" s="145">
        <v>47</v>
      </c>
      <c r="R12" s="189">
        <f>IF(J12=0,((F12/W12)),((J12/W12)))</f>
        <v>368.85714285714283</v>
      </c>
      <c r="W12" s="1">
        <v>35</v>
      </c>
    </row>
    <row r="13" spans="1:28" x14ac:dyDescent="0.3">
      <c r="B13" s="16" t="s">
        <v>38</v>
      </c>
      <c r="C13" s="17">
        <v>8025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2</v>
      </c>
      <c r="Q13" s="143"/>
      <c r="R13" s="190"/>
    </row>
    <row r="14" spans="1:28" x14ac:dyDescent="0.3">
      <c r="B14" s="16" t="s">
        <v>40</v>
      </c>
      <c r="C14" s="17">
        <v>14897</v>
      </c>
      <c r="E14" s="161" t="s">
        <v>39</v>
      </c>
      <c r="F14" s="119">
        <v>19729</v>
      </c>
      <c r="G14" s="117">
        <v>22689.34275</v>
      </c>
      <c r="H14" s="117">
        <v>23745.232259</v>
      </c>
      <c r="I14" s="152">
        <f>G14+H14</f>
        <v>46434.575009</v>
      </c>
      <c r="J14" s="119">
        <v>19125</v>
      </c>
      <c r="K14" s="117">
        <v>21886.155750000002</v>
      </c>
      <c r="L14" s="117">
        <v>22888.405291999999</v>
      </c>
      <c r="M14" s="162">
        <f>K14+L14</f>
        <v>44774.561042000001</v>
      </c>
      <c r="N14" s="178">
        <v>72</v>
      </c>
      <c r="O14" s="88">
        <v>60</v>
      </c>
      <c r="P14" s="88">
        <v>71</v>
      </c>
      <c r="Q14" s="145">
        <v>71</v>
      </c>
      <c r="R14" s="189">
        <f>IF(J14=0,((F14/W14)),((J14/W14)))</f>
        <v>455.35714285714283</v>
      </c>
      <c r="W14" s="1">
        <v>42</v>
      </c>
    </row>
    <row r="15" spans="1:28" x14ac:dyDescent="0.3">
      <c r="B15" s="28" t="s">
        <v>42</v>
      </c>
      <c r="C15" s="17">
        <v>25112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11</v>
      </c>
      <c r="Q15" s="143"/>
      <c r="R15" s="190"/>
    </row>
    <row r="16" spans="1:28" x14ac:dyDescent="0.3">
      <c r="B16" s="43" t="s">
        <v>47</v>
      </c>
      <c r="C16" s="17">
        <v>1883</v>
      </c>
      <c r="E16" s="161" t="s">
        <v>79</v>
      </c>
      <c r="F16" s="119">
        <v>0</v>
      </c>
      <c r="G16" s="117">
        <v>0</v>
      </c>
      <c r="H16" s="117">
        <v>7505.7941349999992</v>
      </c>
      <c r="I16" s="152">
        <f>G16+H16</f>
        <v>7505.7941349999992</v>
      </c>
      <c r="J16" s="119">
        <v>0</v>
      </c>
      <c r="K16" s="117">
        <v>0</v>
      </c>
      <c r="L16" s="117">
        <v>7642.4977899999994</v>
      </c>
      <c r="M16" s="162">
        <f>K16+L16</f>
        <v>7642.4977899999994</v>
      </c>
      <c r="N16" s="178">
        <v>11</v>
      </c>
      <c r="O16" s="88">
        <v>9</v>
      </c>
      <c r="P16" s="88">
        <v>11</v>
      </c>
      <c r="Q16" s="145">
        <v>11</v>
      </c>
      <c r="R16" s="192"/>
    </row>
    <row r="17" spans="1:29" s="4" customFormat="1" ht="15" customHeight="1" thickBot="1" x14ac:dyDescent="0.35">
      <c r="B17" s="43" t="s">
        <v>48</v>
      </c>
      <c r="C17" s="17">
        <v>2402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2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8441</v>
      </c>
      <c r="E18" s="84"/>
      <c r="F18" s="148">
        <f>SUM(F6:F16)</f>
        <v>87718</v>
      </c>
      <c r="G18" s="148">
        <f>SUM(G6:G16)</f>
        <v>74328.140249999997</v>
      </c>
      <c r="H18" s="148">
        <f>SUM(H6:H16)</f>
        <v>63718.698331</v>
      </c>
      <c r="I18" s="157">
        <f>SUM(I6:I17)</f>
        <v>138046.83858100002</v>
      </c>
      <c r="J18" s="149">
        <f>SUM(J6:J17)</f>
        <v>88333</v>
      </c>
      <c r="K18" s="149">
        <f>SUM(K6:K17)</f>
        <v>76398.876499999998</v>
      </c>
      <c r="L18" s="149">
        <f>SUM(L6:L17)</f>
        <v>64934.66309899999</v>
      </c>
      <c r="M18" s="175">
        <f>SUM(M6:M17)</f>
        <v>141333.53959899998</v>
      </c>
      <c r="N18" s="201">
        <f>SUM(N16,N14,N12,N10,N8,N6)</f>
        <v>290</v>
      </c>
      <c r="O18" s="204">
        <f>SUM(O16,O14,O12,O10,O8,O6)</f>
        <v>254</v>
      </c>
      <c r="P18" s="204">
        <f>SUM(P16,P14,P12,P10,P8,P6)</f>
        <v>285</v>
      </c>
      <c r="Q18" s="202"/>
      <c r="R18" s="182"/>
    </row>
    <row r="19" spans="1:29" ht="15" customHeight="1" thickBot="1" x14ac:dyDescent="0.35">
      <c r="B19" s="16" t="s">
        <v>51</v>
      </c>
      <c r="C19" s="17">
        <v>1071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21</v>
      </c>
      <c r="Q19" s="183"/>
      <c r="R19" s="183"/>
    </row>
    <row r="20" spans="1:29" ht="15" customHeight="1" thickBot="1" x14ac:dyDescent="0.35">
      <c r="B20" s="16" t="s">
        <v>52</v>
      </c>
      <c r="C20" s="17">
        <v>4232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7.3684210526315783E-2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17">
        <v>803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8796</v>
      </c>
      <c r="D25" s="76">
        <v>8418</v>
      </c>
      <c r="E25" s="77">
        <f t="shared" ref="E25:E33" si="0">IFERROR(D25-C25,0)</f>
        <v>-378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40389</v>
      </c>
      <c r="D27" s="76">
        <v>41552</v>
      </c>
      <c r="E27" s="77">
        <f t="shared" si="0"/>
        <v>1163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7642</v>
      </c>
      <c r="D28" s="76">
        <v>7642</v>
      </c>
      <c r="E28" s="77">
        <f t="shared" si="0"/>
        <v>0</v>
      </c>
      <c r="O28" s="4"/>
      <c r="Q28" s="4"/>
      <c r="R28" s="4"/>
    </row>
    <row r="29" spans="1:29" x14ac:dyDescent="0.3">
      <c r="B29" s="74" t="s">
        <v>21</v>
      </c>
      <c r="C29" s="122">
        <v>2766</v>
      </c>
      <c r="D29" s="76">
        <v>2766</v>
      </c>
      <c r="E29" s="77">
        <f t="shared" si="0"/>
        <v>0</v>
      </c>
      <c r="O29" s="4"/>
      <c r="Q29" s="4"/>
      <c r="R29" s="4"/>
    </row>
    <row r="30" spans="1:29" x14ac:dyDescent="0.3">
      <c r="B30" s="74" t="s">
        <v>146</v>
      </c>
      <c r="C30" s="122">
        <v>6012</v>
      </c>
      <c r="D30" s="76">
        <v>6012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14690</v>
      </c>
      <c r="D31" s="76">
        <v>14520</v>
      </c>
      <c r="E31" s="77">
        <f t="shared" si="0"/>
        <v>-170</v>
      </c>
      <c r="K31" s="53"/>
      <c r="O31" s="4"/>
      <c r="Q31" s="4"/>
      <c r="R31" s="4"/>
    </row>
    <row r="32" spans="1:29" x14ac:dyDescent="0.3">
      <c r="B32" s="74" t="s">
        <v>60</v>
      </c>
      <c r="C32" s="122">
        <v>2200</v>
      </c>
      <c r="D32" s="76">
        <v>2200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5246</v>
      </c>
      <c r="D33" s="80">
        <v>5246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>
    <tabColor theme="1"/>
    <pageSetUpPr fitToPage="1"/>
  </sheetPr>
  <dimension ref="A1:AC33"/>
  <sheetViews>
    <sheetView zoomScale="90" zoomScaleNormal="90" zoomScaleSheetLayoutView="70" workbookViewId="0">
      <selection activeCell="G24" sqref="G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44852</v>
      </c>
    </row>
    <row r="3" spans="1:28" ht="18.75" customHeight="1" thickBot="1" x14ac:dyDescent="0.35">
      <c r="B3" t="s">
        <v>1</v>
      </c>
      <c r="C3" s="3">
        <f>C2+1</f>
        <v>44853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142</v>
      </c>
      <c r="E6" s="161" t="s">
        <v>22</v>
      </c>
      <c r="F6" s="119">
        <v>37439</v>
      </c>
      <c r="G6" s="117">
        <v>19591.103999999999</v>
      </c>
      <c r="H6" s="117">
        <v>6570.0248309999979</v>
      </c>
      <c r="I6" s="152">
        <f>G6+H6</f>
        <v>26161.128830999998</v>
      </c>
      <c r="J6" s="119">
        <v>37465</v>
      </c>
      <c r="K6" s="117">
        <v>19270.133000000002</v>
      </c>
      <c r="L6" s="117">
        <v>6257.2687260000002</v>
      </c>
      <c r="M6" s="162">
        <f>K6+L6</f>
        <v>25527.401726000004</v>
      </c>
      <c r="N6" s="198">
        <v>75</v>
      </c>
      <c r="O6" s="199">
        <v>67</v>
      </c>
      <c r="P6" s="199">
        <v>85</v>
      </c>
      <c r="Q6" s="200">
        <v>86</v>
      </c>
      <c r="R6" s="189">
        <f>IF(J6=0,((F6/W6)),((J6/W6)))</f>
        <v>871.27906976744191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18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2356</v>
      </c>
      <c r="G8" s="117">
        <v>12803.883</v>
      </c>
      <c r="H8" s="117">
        <v>12989.471086</v>
      </c>
      <c r="I8" s="152">
        <f>G8+H8</f>
        <v>25793.354085999999</v>
      </c>
      <c r="J8" s="119">
        <v>1933</v>
      </c>
      <c r="K8" s="117">
        <v>10055.308999999999</v>
      </c>
      <c r="L8" s="117">
        <v>11562.471339</v>
      </c>
      <c r="M8" s="162">
        <f>K8+L8</f>
        <v>21617.780338999997</v>
      </c>
      <c r="N8" s="178">
        <v>29</v>
      </c>
      <c r="O8" s="88">
        <v>24</v>
      </c>
      <c r="P8" s="88">
        <v>25</v>
      </c>
      <c r="Q8" s="145">
        <v>27</v>
      </c>
      <c r="R8" s="191"/>
    </row>
    <row r="9" spans="1:28" x14ac:dyDescent="0.3">
      <c r="B9" s="16" t="s">
        <v>23</v>
      </c>
      <c r="C9" s="17">
        <v>5680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1</v>
      </c>
      <c r="Q9" s="143"/>
      <c r="R9" s="190"/>
    </row>
    <row r="10" spans="1:28" x14ac:dyDescent="0.3">
      <c r="B10" s="28" t="s">
        <v>26</v>
      </c>
      <c r="C10" s="17">
        <v>785</v>
      </c>
      <c r="E10" s="161" t="s">
        <v>31</v>
      </c>
      <c r="F10" s="119">
        <v>25034</v>
      </c>
      <c r="G10" s="117">
        <v>17009.612000000001</v>
      </c>
      <c r="H10" s="117">
        <v>1026.7339589999999</v>
      </c>
      <c r="I10" s="152">
        <f>G10+H10</f>
        <v>18036.345959000002</v>
      </c>
      <c r="J10" s="119">
        <v>25197</v>
      </c>
      <c r="K10" s="117">
        <v>17065.346000000001</v>
      </c>
      <c r="L10" s="117">
        <v>1061.198545</v>
      </c>
      <c r="M10" s="162">
        <f>K10+L10</f>
        <v>18126.544545000001</v>
      </c>
      <c r="N10" s="178">
        <v>51</v>
      </c>
      <c r="O10" s="88">
        <v>51</v>
      </c>
      <c r="P10" s="88">
        <v>51</v>
      </c>
      <c r="Q10" s="145">
        <v>52</v>
      </c>
      <c r="R10" s="189">
        <f>IF(J10=0,((F10/W10)),((J10/W10)))</f>
        <v>484.55769230769232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3">
      <c r="A12" s="166"/>
      <c r="B12" s="16" t="s">
        <v>30</v>
      </c>
      <c r="C12" s="17">
        <v>1802</v>
      </c>
      <c r="E12" s="161" t="s">
        <v>35</v>
      </c>
      <c r="F12" s="119">
        <v>15220</v>
      </c>
      <c r="G12" s="117">
        <v>12961.7065</v>
      </c>
      <c r="H12" s="117">
        <v>18397.444748000002</v>
      </c>
      <c r="I12" s="152">
        <f>G12+H12</f>
        <v>31359.151248000002</v>
      </c>
      <c r="J12" s="119">
        <v>14488</v>
      </c>
      <c r="K12" s="117">
        <v>12499.343999999999</v>
      </c>
      <c r="L12" s="117">
        <v>17765.252331999989</v>
      </c>
      <c r="M12" s="162">
        <f>K12+L12</f>
        <v>30264.596331999986</v>
      </c>
      <c r="N12" s="178">
        <v>53</v>
      </c>
      <c r="O12" s="88">
        <v>55</v>
      </c>
      <c r="P12" s="88">
        <v>53</v>
      </c>
      <c r="Q12" s="145">
        <v>51</v>
      </c>
      <c r="R12" s="189">
        <f>IF(J12=0,((F12/W12)),((J12/W12)))</f>
        <v>413.94285714285712</v>
      </c>
      <c r="W12" s="1">
        <v>35</v>
      </c>
    </row>
    <row r="13" spans="1:28" x14ac:dyDescent="0.3">
      <c r="B13" s="16" t="s">
        <v>38</v>
      </c>
      <c r="C13" s="17">
        <v>8353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-2</v>
      </c>
      <c r="Q13" s="143"/>
      <c r="R13" s="190"/>
    </row>
    <row r="14" spans="1:28" x14ac:dyDescent="0.3">
      <c r="B14" s="16" t="s">
        <v>40</v>
      </c>
      <c r="C14" s="17">
        <v>14451</v>
      </c>
      <c r="E14" s="161" t="s">
        <v>39</v>
      </c>
      <c r="F14" s="119">
        <v>21913</v>
      </c>
      <c r="G14" s="117">
        <v>25324.94875</v>
      </c>
      <c r="H14" s="117">
        <v>26647.717341</v>
      </c>
      <c r="I14" s="152">
        <f>G14+H14</f>
        <v>51972.666090999999</v>
      </c>
      <c r="J14" s="119">
        <v>21326</v>
      </c>
      <c r="K14" s="117">
        <v>24586.542750000001</v>
      </c>
      <c r="L14" s="117">
        <v>25643.42721799999</v>
      </c>
      <c r="M14" s="162">
        <f>K14+L14</f>
        <v>50229.96996799999</v>
      </c>
      <c r="N14" s="178">
        <v>64</v>
      </c>
      <c r="O14" s="88">
        <v>56</v>
      </c>
      <c r="P14" s="88">
        <v>71</v>
      </c>
      <c r="Q14" s="145">
        <v>71</v>
      </c>
      <c r="R14" s="189">
        <f>IF(J14=0,((F14/W14)),((J14/W14)))</f>
        <v>507.76190476190476</v>
      </c>
      <c r="W14" s="1">
        <v>42</v>
      </c>
    </row>
    <row r="15" spans="1:28" x14ac:dyDescent="0.3">
      <c r="B15" s="28" t="s">
        <v>42</v>
      </c>
      <c r="C15" s="17">
        <v>24783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15</v>
      </c>
      <c r="Q15" s="143"/>
      <c r="R15" s="190"/>
    </row>
    <row r="16" spans="1:28" x14ac:dyDescent="0.3">
      <c r="B16" s="43" t="s">
        <v>47</v>
      </c>
      <c r="C16" s="17">
        <v>1426</v>
      </c>
      <c r="E16" s="161" t="s">
        <v>79</v>
      </c>
      <c r="F16" s="119">
        <v>0</v>
      </c>
      <c r="G16" s="117">
        <v>0</v>
      </c>
      <c r="H16" s="117">
        <v>5593.1479709999994</v>
      </c>
      <c r="I16" s="152">
        <f>G16+H16</f>
        <v>5593.1479709999994</v>
      </c>
      <c r="J16" s="119">
        <v>0</v>
      </c>
      <c r="K16" s="117">
        <v>0</v>
      </c>
      <c r="L16" s="117">
        <v>5510.5719230000004</v>
      </c>
      <c r="M16" s="162">
        <f>K16+L16</f>
        <v>5510.5719230000004</v>
      </c>
      <c r="N16" s="178">
        <v>12</v>
      </c>
      <c r="O16" s="88">
        <v>10</v>
      </c>
      <c r="P16" s="88">
        <v>13</v>
      </c>
      <c r="Q16" s="145">
        <v>13</v>
      </c>
      <c r="R16" s="192"/>
    </row>
    <row r="17" spans="1:29" s="4" customFormat="1" ht="15" customHeight="1" thickBot="1" x14ac:dyDescent="0.35">
      <c r="B17" s="43" t="s">
        <v>48</v>
      </c>
      <c r="C17" s="17">
        <v>2091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3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10102</v>
      </c>
      <c r="E18" s="84"/>
      <c r="F18" s="148">
        <f>SUM(F6:F16)</f>
        <v>101962</v>
      </c>
      <c r="G18" s="148">
        <f>SUM(G6:G16)</f>
        <v>87691.254249999998</v>
      </c>
      <c r="H18" s="148">
        <f>SUM(H6:H16)</f>
        <v>71224.539936000001</v>
      </c>
      <c r="I18" s="157">
        <f>SUM(I6:I17)</f>
        <v>158915.79418599998</v>
      </c>
      <c r="J18" s="149">
        <f>SUM(J6:J17)</f>
        <v>100409</v>
      </c>
      <c r="K18" s="149">
        <f>SUM(K6:K17)</f>
        <v>83476.674750000006</v>
      </c>
      <c r="L18" s="149">
        <f>SUM(L6:L17)</f>
        <v>67800.190082999979</v>
      </c>
      <c r="M18" s="175">
        <f>SUM(M6:M17)</f>
        <v>151276.86483299997</v>
      </c>
      <c r="N18" s="201">
        <f>SUM(N16,N14,N12,N10,N8,N6)</f>
        <v>284</v>
      </c>
      <c r="O18" s="204">
        <f>SUM(O16,O14,O12,O10,O8,O6)</f>
        <v>263</v>
      </c>
      <c r="P18" s="204">
        <f>SUM(P16,P14,P12,P10,P8,P6)</f>
        <v>298</v>
      </c>
      <c r="Q18" s="202"/>
      <c r="R18" s="182"/>
    </row>
    <row r="19" spans="1:29" ht="15" customHeight="1" thickBot="1" x14ac:dyDescent="0.35">
      <c r="B19" s="16" t="s">
        <v>51</v>
      </c>
      <c r="C19" s="17">
        <v>1342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17</v>
      </c>
      <c r="Q19" s="183"/>
      <c r="R19" s="183"/>
    </row>
    <row r="20" spans="1:29" ht="15" customHeight="1" thickBot="1" x14ac:dyDescent="0.35">
      <c r="B20" s="16" t="s">
        <v>52</v>
      </c>
      <c r="C20" s="17">
        <v>4601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5.7046979865771813E-2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17">
        <v>800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10099</v>
      </c>
      <c r="D25" s="76">
        <v>9645</v>
      </c>
      <c r="E25" s="77">
        <f t="shared" ref="E25:E33" si="0">IFERROR(D25-C25,0)</f>
        <v>-454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45347</v>
      </c>
      <c r="D27" s="76">
        <v>42369</v>
      </c>
      <c r="E27" s="77">
        <f t="shared" si="0"/>
        <v>-2978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10926</v>
      </c>
      <c r="D28" s="76">
        <v>10926</v>
      </c>
      <c r="E28" s="77">
        <f t="shared" si="0"/>
        <v>0</v>
      </c>
      <c r="O28" s="4"/>
      <c r="Q28" s="4"/>
      <c r="R28" s="4"/>
    </row>
    <row r="29" spans="1:29" x14ac:dyDescent="0.3">
      <c r="B29" s="74" t="s">
        <v>21</v>
      </c>
      <c r="C29" s="122">
        <v>4966</v>
      </c>
      <c r="D29" s="76">
        <v>4966</v>
      </c>
      <c r="E29" s="77">
        <f t="shared" si="0"/>
        <v>0</v>
      </c>
      <c r="O29" s="4"/>
      <c r="Q29" s="4"/>
      <c r="R29" s="4"/>
    </row>
    <row r="30" spans="1:29" x14ac:dyDescent="0.3">
      <c r="B30" s="74" t="s">
        <v>146</v>
      </c>
      <c r="C30" s="122">
        <v>6182</v>
      </c>
      <c r="D30" s="76">
        <v>6182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15000</v>
      </c>
      <c r="D31" s="76">
        <v>16879</v>
      </c>
      <c r="E31" s="77">
        <f t="shared" si="0"/>
        <v>1879</v>
      </c>
      <c r="K31" s="53"/>
      <c r="O31" s="4"/>
      <c r="Q31" s="4"/>
      <c r="R31" s="4"/>
    </row>
    <row r="32" spans="1:29" x14ac:dyDescent="0.3">
      <c r="B32" s="74" t="s">
        <v>60</v>
      </c>
      <c r="C32" s="122">
        <v>4200</v>
      </c>
      <c r="D32" s="76">
        <v>4200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5264</v>
      </c>
      <c r="D33" s="80">
        <v>5264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>
    <tabColor theme="1"/>
    <pageSetUpPr fitToPage="1"/>
  </sheetPr>
  <dimension ref="A1:AC33"/>
  <sheetViews>
    <sheetView zoomScale="90" zoomScaleNormal="90" zoomScaleSheetLayoutView="70" workbookViewId="0">
      <selection activeCell="Y5" sqref="Y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44853</v>
      </c>
    </row>
    <row r="3" spans="1:28" ht="18.75" customHeight="1" thickBot="1" x14ac:dyDescent="0.35">
      <c r="B3" t="s">
        <v>1</v>
      </c>
      <c r="C3" s="3">
        <f>C2+1</f>
        <v>44854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58</v>
      </c>
      <c r="E6" s="161" t="s">
        <v>22</v>
      </c>
      <c r="F6" s="119">
        <v>32686</v>
      </c>
      <c r="G6" s="117">
        <v>17176.667000000001</v>
      </c>
      <c r="H6" s="117">
        <v>5276.64102</v>
      </c>
      <c r="I6" s="152">
        <f>G6+H6</f>
        <v>22453.30802</v>
      </c>
      <c r="J6" s="119">
        <v>31289</v>
      </c>
      <c r="K6" s="117">
        <v>16312.621999999999</v>
      </c>
      <c r="L6" s="117">
        <v>5137.0692489999992</v>
      </c>
      <c r="M6" s="162">
        <f>K6+L6</f>
        <v>21449.691249</v>
      </c>
      <c r="N6" s="198">
        <v>75</v>
      </c>
      <c r="O6" s="199">
        <v>71</v>
      </c>
      <c r="P6" s="199">
        <v>74</v>
      </c>
      <c r="Q6" s="200">
        <v>75</v>
      </c>
      <c r="R6" s="189">
        <f>IF(J6=0,((F6/W6)),((J6/W6)))</f>
        <v>727.65116279069764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3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22</v>
      </c>
      <c r="E8" s="161" t="s">
        <v>27</v>
      </c>
      <c r="F8" s="119">
        <v>1923</v>
      </c>
      <c r="G8" s="117">
        <v>10047.811</v>
      </c>
      <c r="H8" s="117">
        <v>12474.150249</v>
      </c>
      <c r="I8" s="152">
        <f>G8+H8</f>
        <v>22521.961249</v>
      </c>
      <c r="J8" s="119">
        <v>1562</v>
      </c>
      <c r="K8" s="117">
        <v>8411.8639999999996</v>
      </c>
      <c r="L8" s="117">
        <v>10840.996729</v>
      </c>
      <c r="M8" s="162">
        <f>K8+L8</f>
        <v>19252.860729</v>
      </c>
      <c r="N8" s="178">
        <v>30</v>
      </c>
      <c r="O8" s="88">
        <v>26</v>
      </c>
      <c r="P8" s="88">
        <v>27</v>
      </c>
      <c r="Q8" s="145">
        <v>29</v>
      </c>
      <c r="R8" s="191"/>
    </row>
    <row r="9" spans="1:28" x14ac:dyDescent="0.3">
      <c r="B9" s="16" t="s">
        <v>23</v>
      </c>
      <c r="C9" s="17">
        <v>5973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1</v>
      </c>
      <c r="Q9" s="143"/>
      <c r="R9" s="190"/>
    </row>
    <row r="10" spans="1:28" x14ac:dyDescent="0.3">
      <c r="B10" s="28" t="s">
        <v>26</v>
      </c>
      <c r="C10" s="17">
        <v>0</v>
      </c>
      <c r="E10" s="161" t="s">
        <v>31</v>
      </c>
      <c r="F10" s="119">
        <v>20875</v>
      </c>
      <c r="G10" s="117">
        <v>15115.276750000001</v>
      </c>
      <c r="H10" s="117">
        <v>608.89822600000002</v>
      </c>
      <c r="I10" s="152">
        <f>G10+H10</f>
        <v>15724.174976</v>
      </c>
      <c r="J10" s="119">
        <v>20789</v>
      </c>
      <c r="K10" s="117">
        <v>15094.117249999999</v>
      </c>
      <c r="L10" s="117">
        <v>649.29709700000001</v>
      </c>
      <c r="M10" s="162">
        <f>K10+L10</f>
        <v>15743.414347</v>
      </c>
      <c r="N10" s="178">
        <v>49</v>
      </c>
      <c r="O10" s="88">
        <v>47</v>
      </c>
      <c r="P10" s="88">
        <v>47</v>
      </c>
      <c r="Q10" s="145">
        <v>49</v>
      </c>
      <c r="R10" s="189">
        <f>IF(J10=0,((F10/W10)),((J10/W10)))</f>
        <v>399.78846153846155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3">
      <c r="A12" s="166"/>
      <c r="B12" s="16" t="s">
        <v>30</v>
      </c>
      <c r="C12" s="17">
        <v>2291</v>
      </c>
      <c r="E12" s="161" t="s">
        <v>35</v>
      </c>
      <c r="F12" s="119">
        <v>13122</v>
      </c>
      <c r="G12" s="117">
        <v>11628.049000000001</v>
      </c>
      <c r="H12" s="117">
        <v>16023.312223000001</v>
      </c>
      <c r="I12" s="152">
        <f>G12+H12</f>
        <v>27651.361223</v>
      </c>
      <c r="J12" s="119">
        <v>12894</v>
      </c>
      <c r="K12" s="117">
        <v>11515.288500000001</v>
      </c>
      <c r="L12" s="117">
        <v>15803.526426</v>
      </c>
      <c r="M12" s="162">
        <f>K12+L12</f>
        <v>27318.814925999999</v>
      </c>
      <c r="N12" s="178">
        <v>50</v>
      </c>
      <c r="O12" s="88">
        <v>49</v>
      </c>
      <c r="P12" s="88">
        <v>49</v>
      </c>
      <c r="Q12" s="145">
        <v>48</v>
      </c>
      <c r="R12" s="189">
        <f>IF(J12=0,((F12/W12)),((J12/W12)))</f>
        <v>368.4</v>
      </c>
      <c r="W12" s="1">
        <v>35</v>
      </c>
    </row>
    <row r="13" spans="1:28" x14ac:dyDescent="0.3">
      <c r="B13" s="16" t="s">
        <v>38</v>
      </c>
      <c r="C13" s="17">
        <v>8454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0</v>
      </c>
      <c r="Q13" s="143"/>
      <c r="R13" s="190"/>
    </row>
    <row r="14" spans="1:28" x14ac:dyDescent="0.3">
      <c r="B14" s="16" t="s">
        <v>40</v>
      </c>
      <c r="C14" s="17">
        <v>11973</v>
      </c>
      <c r="E14" s="161" t="s">
        <v>39</v>
      </c>
      <c r="F14" s="119">
        <v>19615</v>
      </c>
      <c r="G14" s="117">
        <v>23586.48424999999</v>
      </c>
      <c r="H14" s="117">
        <v>24291.030002</v>
      </c>
      <c r="I14" s="152">
        <f>G14+H14</f>
        <v>47877.514251999994</v>
      </c>
      <c r="J14" s="119">
        <v>20168</v>
      </c>
      <c r="K14" s="117">
        <v>24116.365750000001</v>
      </c>
      <c r="L14" s="117">
        <v>24798.080647999999</v>
      </c>
      <c r="M14" s="162">
        <f>K14+L14</f>
        <v>48914.446398</v>
      </c>
      <c r="N14" s="178">
        <v>64</v>
      </c>
      <c r="O14" s="88">
        <v>63</v>
      </c>
      <c r="P14" s="88">
        <v>69</v>
      </c>
      <c r="Q14" s="145">
        <v>69</v>
      </c>
      <c r="R14" s="189">
        <f>IF(J14=0,((F14/W14)),((J14/W14)))</f>
        <v>480.1904761904762</v>
      </c>
      <c r="W14" s="1">
        <v>42</v>
      </c>
    </row>
    <row r="15" spans="1:28" x14ac:dyDescent="0.3">
      <c r="B15" s="28" t="s">
        <v>42</v>
      </c>
      <c r="C15" s="17">
        <v>28243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6</v>
      </c>
      <c r="Q15" s="143"/>
      <c r="R15" s="190"/>
    </row>
    <row r="16" spans="1:28" x14ac:dyDescent="0.3">
      <c r="B16" s="43" t="s">
        <v>47</v>
      </c>
      <c r="C16" s="17">
        <v>1982</v>
      </c>
      <c r="E16" s="161" t="s">
        <v>79</v>
      </c>
      <c r="F16" s="119">
        <v>0</v>
      </c>
      <c r="G16" s="117">
        <v>0</v>
      </c>
      <c r="H16" s="117">
        <v>8574.6830159999954</v>
      </c>
      <c r="I16" s="152">
        <f>G16+H16</f>
        <v>8574.6830159999954</v>
      </c>
      <c r="J16" s="119">
        <v>0</v>
      </c>
      <c r="K16" s="117">
        <v>0</v>
      </c>
      <c r="L16" s="117">
        <v>8379.306548999999</v>
      </c>
      <c r="M16" s="162">
        <f>K16+L16</f>
        <v>8379.306548999999</v>
      </c>
      <c r="N16" s="178">
        <v>10</v>
      </c>
      <c r="O16" s="88">
        <v>11</v>
      </c>
      <c r="P16" s="88">
        <v>10</v>
      </c>
      <c r="Q16" s="145">
        <v>10</v>
      </c>
      <c r="R16" s="192"/>
    </row>
    <row r="17" spans="1:29" s="4" customFormat="1" ht="15" customHeight="1" thickBot="1" x14ac:dyDescent="0.35">
      <c r="B17" s="43" t="s">
        <v>48</v>
      </c>
      <c r="C17" s="17">
        <v>2696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-1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8369</v>
      </c>
      <c r="E18" s="84"/>
      <c r="F18" s="148">
        <f>SUM(F6:F16)</f>
        <v>88221</v>
      </c>
      <c r="G18" s="148">
        <f>SUM(G6:G16)</f>
        <v>77554.288</v>
      </c>
      <c r="H18" s="148">
        <f>SUM(H6:H16)</f>
        <v>67248.714735999994</v>
      </c>
      <c r="I18" s="157">
        <f>SUM(I6:I17)</f>
        <v>144803.00273599999</v>
      </c>
      <c r="J18" s="149">
        <f>SUM(J6:J17)</f>
        <v>86702</v>
      </c>
      <c r="K18" s="149">
        <f>SUM(K6:K17)</f>
        <v>75450.257500000007</v>
      </c>
      <c r="L18" s="149">
        <f>SUM(L6:L17)</f>
        <v>65608.276698000001</v>
      </c>
      <c r="M18" s="175">
        <f>SUM(M6:M17)</f>
        <v>141058.53419800001</v>
      </c>
      <c r="N18" s="201">
        <f>SUM(N16,N14,N12,N10,N8,N6)</f>
        <v>278</v>
      </c>
      <c r="O18" s="204">
        <f>SUM(O16,O14,O12,O10,O8,O6)</f>
        <v>267</v>
      </c>
      <c r="P18" s="204">
        <f>SUM(P16,P14,P12,P10,P8,P6)</f>
        <v>276</v>
      </c>
      <c r="Q18" s="202"/>
      <c r="R18" s="182"/>
    </row>
    <row r="19" spans="1:29" ht="15" customHeight="1" thickBot="1" x14ac:dyDescent="0.35">
      <c r="B19" s="16" t="s">
        <v>51</v>
      </c>
      <c r="C19" s="17">
        <v>1363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6</v>
      </c>
      <c r="Q19" s="183"/>
      <c r="R19" s="183"/>
    </row>
    <row r="20" spans="1:29" ht="15" customHeight="1" thickBot="1" x14ac:dyDescent="0.35">
      <c r="B20" s="16" t="s">
        <v>52</v>
      </c>
      <c r="C20" s="17">
        <v>4406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2.1739130434782608E-2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17">
        <v>97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10272</v>
      </c>
      <c r="D25" s="76">
        <v>9818</v>
      </c>
      <c r="E25" s="77">
        <f t="shared" ref="E25:E33" si="0">IFERROR(D25-C25,0)</f>
        <v>-454</v>
      </c>
    </row>
    <row r="26" spans="1:29" x14ac:dyDescent="0.3">
      <c r="B26" s="74" t="s">
        <v>143</v>
      </c>
      <c r="C26" s="122">
        <v>1100</v>
      </c>
      <c r="D26" s="76">
        <v>1100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43666</v>
      </c>
      <c r="D27" s="76">
        <v>42391</v>
      </c>
      <c r="E27" s="77">
        <f t="shared" si="0"/>
        <v>-1275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8187</v>
      </c>
      <c r="D28" s="76">
        <v>8187</v>
      </c>
      <c r="E28" s="77">
        <f t="shared" si="0"/>
        <v>0</v>
      </c>
      <c r="O28" s="4"/>
      <c r="Q28" s="4"/>
      <c r="R28" s="4"/>
    </row>
    <row r="29" spans="1:29" x14ac:dyDescent="0.3">
      <c r="B29" s="74" t="s">
        <v>21</v>
      </c>
      <c r="C29" s="122">
        <v>1856</v>
      </c>
      <c r="D29" s="76">
        <v>1856</v>
      </c>
      <c r="E29" s="77">
        <f t="shared" si="0"/>
        <v>0</v>
      </c>
      <c r="O29" s="4"/>
      <c r="Q29" s="4"/>
      <c r="R29" s="4"/>
    </row>
    <row r="30" spans="1:29" x14ac:dyDescent="0.3">
      <c r="B30" s="74" t="s">
        <v>146</v>
      </c>
      <c r="C30" s="122">
        <v>7670</v>
      </c>
      <c r="D30" s="76">
        <v>7670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14710</v>
      </c>
      <c r="D31" s="76">
        <v>14920</v>
      </c>
      <c r="E31" s="77">
        <f t="shared" si="0"/>
        <v>210</v>
      </c>
      <c r="K31" s="53"/>
      <c r="O31" s="4"/>
      <c r="Q31" s="4"/>
      <c r="R31" s="4"/>
    </row>
    <row r="32" spans="1:29" x14ac:dyDescent="0.3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776</v>
      </c>
      <c r="D33" s="80">
        <v>776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>
    <tabColor theme="1"/>
    <pageSetUpPr fitToPage="1"/>
  </sheetPr>
  <dimension ref="A1:AC33"/>
  <sheetViews>
    <sheetView zoomScale="90" zoomScaleNormal="90" zoomScaleSheetLayoutView="70" workbookViewId="0">
      <selection activeCell="O29" sqref="O29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44854</v>
      </c>
    </row>
    <row r="3" spans="1:28" ht="18.75" customHeight="1" thickBot="1" x14ac:dyDescent="0.35">
      <c r="B3" t="s">
        <v>1</v>
      </c>
      <c r="C3" s="3">
        <f>C2+1</f>
        <v>44855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112</v>
      </c>
      <c r="E6" s="161" t="s">
        <v>22</v>
      </c>
      <c r="F6" s="119">
        <v>30937</v>
      </c>
      <c r="G6" s="117">
        <v>15798.141</v>
      </c>
      <c r="H6" s="117">
        <v>6000.7557259999994</v>
      </c>
      <c r="I6" s="152">
        <f>G6+H6</f>
        <v>21798.896725999999</v>
      </c>
      <c r="J6" s="119">
        <v>30451</v>
      </c>
      <c r="K6" s="117">
        <v>15243.85</v>
      </c>
      <c r="L6" s="117">
        <v>6153.0313149999993</v>
      </c>
      <c r="M6" s="162">
        <f>K6+L6</f>
        <v>21396.881314999999</v>
      </c>
      <c r="N6" s="198">
        <v>81</v>
      </c>
      <c r="O6" s="199">
        <v>71</v>
      </c>
      <c r="P6" s="199">
        <v>81</v>
      </c>
      <c r="Q6" s="200">
        <v>81</v>
      </c>
      <c r="R6" s="189">
        <f>IF(J6=0,((F6/W6)),((J6/W6)))</f>
        <v>708.16279069767438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1465</v>
      </c>
      <c r="G8" s="117">
        <v>7440.99</v>
      </c>
      <c r="H8" s="117">
        <v>9623.0116080000025</v>
      </c>
      <c r="I8" s="152">
        <f>G8+H8</f>
        <v>17064.001608000002</v>
      </c>
      <c r="J8" s="119">
        <v>1201</v>
      </c>
      <c r="K8" s="117">
        <v>5996.8939999999993</v>
      </c>
      <c r="L8" s="117">
        <v>8277.1231299999999</v>
      </c>
      <c r="M8" s="162">
        <f>K8+L8</f>
        <v>14274.01713</v>
      </c>
      <c r="N8" s="178">
        <v>29</v>
      </c>
      <c r="O8" s="88">
        <v>24</v>
      </c>
      <c r="P8" s="88">
        <v>26</v>
      </c>
      <c r="Q8" s="145">
        <v>30</v>
      </c>
      <c r="R8" s="191"/>
    </row>
    <row r="9" spans="1:28" x14ac:dyDescent="0.3">
      <c r="B9" s="16" t="s">
        <v>23</v>
      </c>
      <c r="C9" s="17">
        <v>7087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2</v>
      </c>
      <c r="Q9" s="143"/>
      <c r="R9" s="190"/>
    </row>
    <row r="10" spans="1:28" x14ac:dyDescent="0.3">
      <c r="B10" s="28" t="s">
        <v>26</v>
      </c>
      <c r="C10" s="17">
        <v>1045</v>
      </c>
      <c r="E10" s="161" t="s">
        <v>31</v>
      </c>
      <c r="F10" s="119">
        <v>25252</v>
      </c>
      <c r="G10" s="117">
        <v>17753.231250000001</v>
      </c>
      <c r="H10" s="117">
        <v>964.30237800000009</v>
      </c>
      <c r="I10" s="152">
        <f>G10+H10</f>
        <v>18717.533628000001</v>
      </c>
      <c r="J10" s="119">
        <v>25200</v>
      </c>
      <c r="K10" s="117">
        <v>17885.0795</v>
      </c>
      <c r="L10" s="117">
        <v>981.37926800000002</v>
      </c>
      <c r="M10" s="162">
        <f>K10+L10</f>
        <v>18866.458768</v>
      </c>
      <c r="N10" s="178">
        <v>53</v>
      </c>
      <c r="O10" s="88">
        <v>51</v>
      </c>
      <c r="P10" s="88">
        <v>54</v>
      </c>
      <c r="Q10" s="145">
        <v>60</v>
      </c>
      <c r="R10" s="189">
        <f>IF(J10=0,((F10/W10)),((J10/W10)))</f>
        <v>484.61538461538464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3</v>
      </c>
      <c r="Q11" s="143"/>
      <c r="R11" s="190"/>
    </row>
    <row r="12" spans="1:28" x14ac:dyDescent="0.3">
      <c r="A12" s="166"/>
      <c r="B12" s="16" t="s">
        <v>30</v>
      </c>
      <c r="C12" s="17">
        <v>2087</v>
      </c>
      <c r="E12" s="161" t="s">
        <v>35</v>
      </c>
      <c r="F12" s="119">
        <v>16125</v>
      </c>
      <c r="G12" s="117">
        <v>13655.5345</v>
      </c>
      <c r="H12" s="117">
        <v>20148.520929999999</v>
      </c>
      <c r="I12" s="152">
        <f>G12+H12</f>
        <v>33804.05543</v>
      </c>
      <c r="J12" s="119">
        <v>15816</v>
      </c>
      <c r="K12" s="117">
        <v>13455.245999999999</v>
      </c>
      <c r="L12" s="117">
        <v>20070.585927</v>
      </c>
      <c r="M12" s="162">
        <f>K12+L12</f>
        <v>33525.831926999999</v>
      </c>
      <c r="N12" s="178">
        <v>49</v>
      </c>
      <c r="O12" s="88">
        <v>48</v>
      </c>
      <c r="P12" s="88">
        <v>49</v>
      </c>
      <c r="Q12" s="145">
        <v>49</v>
      </c>
      <c r="R12" s="189">
        <f>IF(J12=0,((F12/W12)),((J12/W12)))</f>
        <v>451.8857142857143</v>
      </c>
      <c r="W12" s="1">
        <v>35</v>
      </c>
    </row>
    <row r="13" spans="1:28" x14ac:dyDescent="0.3">
      <c r="B13" s="16" t="s">
        <v>38</v>
      </c>
      <c r="C13" s="17">
        <v>9518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1</v>
      </c>
      <c r="Q13" s="143"/>
      <c r="R13" s="190"/>
    </row>
    <row r="14" spans="1:28" x14ac:dyDescent="0.3">
      <c r="B14" s="16" t="s">
        <v>40</v>
      </c>
      <c r="C14" s="17">
        <v>11025</v>
      </c>
      <c r="E14" s="161" t="s">
        <v>39</v>
      </c>
      <c r="F14" s="119">
        <v>23695</v>
      </c>
      <c r="G14" s="117">
        <v>27618.022250000002</v>
      </c>
      <c r="H14" s="117">
        <v>28705.982820999991</v>
      </c>
      <c r="I14" s="152">
        <f>G14+H14</f>
        <v>56324.005070999992</v>
      </c>
      <c r="J14" s="119">
        <v>23401</v>
      </c>
      <c r="K14" s="117">
        <v>27211.0265</v>
      </c>
      <c r="L14" s="117">
        <v>27980.343281000001</v>
      </c>
      <c r="M14" s="162">
        <f>K14+L14</f>
        <v>55191.369781000001</v>
      </c>
      <c r="N14" s="178">
        <v>71</v>
      </c>
      <c r="O14" s="88">
        <v>66</v>
      </c>
      <c r="P14" s="88">
        <v>70</v>
      </c>
      <c r="Q14" s="145">
        <v>73</v>
      </c>
      <c r="R14" s="189">
        <f>IF(J14=0,((F14/W14)),((J14/W14)))</f>
        <v>557.16666666666663</v>
      </c>
      <c r="W14" s="1">
        <v>42</v>
      </c>
    </row>
    <row r="15" spans="1:28" x14ac:dyDescent="0.3">
      <c r="B15" s="28" t="s">
        <v>42</v>
      </c>
      <c r="C15" s="17">
        <v>24778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4</v>
      </c>
      <c r="Q15" s="143"/>
      <c r="R15" s="190"/>
    </row>
    <row r="16" spans="1:28" x14ac:dyDescent="0.3">
      <c r="B16" s="43" t="s">
        <v>47</v>
      </c>
      <c r="C16" s="17">
        <v>1502</v>
      </c>
      <c r="E16" s="161" t="s">
        <v>79</v>
      </c>
      <c r="F16" s="119">
        <v>0</v>
      </c>
      <c r="G16" s="117">
        <v>0</v>
      </c>
      <c r="H16" s="117">
        <v>6139.9385679999987</v>
      </c>
      <c r="I16" s="152">
        <f>G16+H16</f>
        <v>6139.9385679999987</v>
      </c>
      <c r="J16" s="119">
        <v>0</v>
      </c>
      <c r="K16" s="117">
        <v>0</v>
      </c>
      <c r="L16" s="117">
        <v>6066.3302809999996</v>
      </c>
      <c r="M16" s="162">
        <f>K16+L16</f>
        <v>6066.3302809999996</v>
      </c>
      <c r="N16" s="178">
        <v>10</v>
      </c>
      <c r="O16" s="88">
        <v>9</v>
      </c>
      <c r="P16" s="88">
        <v>10</v>
      </c>
      <c r="Q16" s="145">
        <v>10</v>
      </c>
      <c r="R16" s="192"/>
    </row>
    <row r="17" spans="1:29" s="4" customFormat="1" ht="15" customHeight="1" thickBot="1" x14ac:dyDescent="0.35">
      <c r="B17" s="43" t="s">
        <v>48</v>
      </c>
      <c r="C17" s="17">
        <v>2824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1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8462</v>
      </c>
      <c r="E18" s="84"/>
      <c r="F18" s="148">
        <v>97474</v>
      </c>
      <c r="G18" s="148">
        <v>82265.918999999994</v>
      </c>
      <c r="H18" s="148">
        <v>71582.512030999991</v>
      </c>
      <c r="I18" s="157">
        <f>SUM(I6:I17)</f>
        <v>153848.43103100001</v>
      </c>
      <c r="J18" s="149">
        <f>SUM(J6:J17)</f>
        <v>96069</v>
      </c>
      <c r="K18" s="149">
        <f>SUM(K6:K17)</f>
        <v>79792.09599999999</v>
      </c>
      <c r="L18" s="149">
        <f>SUM(L6:L17)</f>
        <v>69528.793202000001</v>
      </c>
      <c r="M18" s="175">
        <f>SUM(M6:M17)</f>
        <v>149320.88920199999</v>
      </c>
      <c r="N18" s="201">
        <f>SUM(N16,N14,N12,N10,N8,N6)</f>
        <v>293</v>
      </c>
      <c r="O18" s="204">
        <f>SUM(O16,O14,O12,O10,O8,O6)</f>
        <v>269</v>
      </c>
      <c r="P18" s="204">
        <f>SUM(P16,P14,P12,P10,P8,P6)</f>
        <v>290</v>
      </c>
      <c r="Q18" s="202"/>
      <c r="R18" s="182"/>
    </row>
    <row r="19" spans="1:29" ht="15" customHeight="1" thickBot="1" x14ac:dyDescent="0.35">
      <c r="B19" s="16" t="s">
        <v>51</v>
      </c>
      <c r="C19" s="17">
        <v>1999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11</v>
      </c>
      <c r="Q19" s="183"/>
      <c r="R19" s="183"/>
    </row>
    <row r="20" spans="1:29" ht="15" customHeight="1" thickBot="1" x14ac:dyDescent="0.35">
      <c r="B20" s="16" t="s">
        <v>52</v>
      </c>
      <c r="C20" s="17">
        <v>3877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3.793103448275862E-2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17">
        <v>0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10150</v>
      </c>
      <c r="D25" s="76">
        <v>10597</v>
      </c>
      <c r="E25" s="77">
        <f t="shared" ref="E25:E33" si="0">IFERROR(D25-C25,0)</f>
        <v>447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44669</v>
      </c>
      <c r="D27" s="76">
        <v>41414</v>
      </c>
      <c r="E27" s="77">
        <f t="shared" si="0"/>
        <v>-3255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11931</v>
      </c>
      <c r="D28" s="76">
        <v>11931</v>
      </c>
      <c r="E28" s="77">
        <f t="shared" si="0"/>
        <v>0</v>
      </c>
      <c r="O28" s="4"/>
      <c r="Q28" s="4"/>
      <c r="R28" s="4"/>
    </row>
    <row r="29" spans="1:29" x14ac:dyDescent="0.3">
      <c r="B29" s="74" t="s">
        <v>21</v>
      </c>
      <c r="C29" s="122">
        <v>4096</v>
      </c>
      <c r="D29" s="76">
        <v>4096</v>
      </c>
      <c r="E29" s="77">
        <f t="shared" si="0"/>
        <v>0</v>
      </c>
      <c r="O29" s="4"/>
      <c r="Q29" s="4"/>
      <c r="R29" s="4"/>
    </row>
    <row r="30" spans="1:29" x14ac:dyDescent="0.3">
      <c r="B30" s="74" t="s">
        <v>146</v>
      </c>
      <c r="C30" s="122">
        <v>7178</v>
      </c>
      <c r="D30" s="76">
        <v>7178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13805</v>
      </c>
      <c r="D31" s="76">
        <v>15210</v>
      </c>
      <c r="E31" s="77">
        <f t="shared" si="0"/>
        <v>1405</v>
      </c>
      <c r="K31" s="53"/>
      <c r="O31" s="4"/>
      <c r="Q31" s="4"/>
      <c r="R31" s="4"/>
    </row>
    <row r="32" spans="1:29" x14ac:dyDescent="0.3">
      <c r="B32" s="74" t="s">
        <v>60</v>
      </c>
      <c r="C32" s="122">
        <v>5660</v>
      </c>
      <c r="D32" s="76">
        <v>5660</v>
      </c>
      <c r="E32" s="77">
        <f t="shared" si="0"/>
        <v>0</v>
      </c>
    </row>
    <row r="33" spans="2:5" ht="15" customHeight="1" thickBot="1" x14ac:dyDescent="0.3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>
    <tabColor theme="1"/>
    <pageSetUpPr fitToPage="1"/>
  </sheetPr>
  <dimension ref="A1:AC33"/>
  <sheetViews>
    <sheetView zoomScale="90" zoomScaleNormal="90" zoomScaleSheetLayoutView="70" workbookViewId="0">
      <selection activeCell="G25" sqref="G25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44855</v>
      </c>
    </row>
    <row r="3" spans="1:28" ht="18.75" customHeight="1" thickBot="1" x14ac:dyDescent="0.35">
      <c r="B3" t="s">
        <v>1</v>
      </c>
      <c r="C3" s="3">
        <f>C2+1</f>
        <v>44856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0</v>
      </c>
      <c r="E6" s="161" t="s">
        <v>22</v>
      </c>
      <c r="F6" s="119">
        <v>31260</v>
      </c>
      <c r="G6" s="117">
        <v>15962.875</v>
      </c>
      <c r="H6" s="117">
        <v>4165.2276009999996</v>
      </c>
      <c r="I6" s="152">
        <f>G6+H6</f>
        <v>20128.102600999999</v>
      </c>
      <c r="J6" s="119">
        <v>30242</v>
      </c>
      <c r="K6" s="117">
        <v>15152.342000000001</v>
      </c>
      <c r="L6" s="117">
        <v>3828.0268719999999</v>
      </c>
      <c r="M6" s="162">
        <f>K6+L6</f>
        <v>18980.368871999999</v>
      </c>
      <c r="N6" s="198">
        <v>79</v>
      </c>
      <c r="O6" s="199">
        <v>73</v>
      </c>
      <c r="P6" s="199">
        <v>78</v>
      </c>
      <c r="Q6" s="200">
        <v>80</v>
      </c>
      <c r="R6" s="189">
        <f>IF(J6=0,((F6/W6)),((J6/W6)))</f>
        <v>703.30232558139539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5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1285</v>
      </c>
      <c r="G8" s="117">
        <v>6881.7250000000004</v>
      </c>
      <c r="H8" s="117">
        <v>9747.182356000003</v>
      </c>
      <c r="I8" s="152">
        <f>G8+H8</f>
        <v>16628.907356000003</v>
      </c>
      <c r="J8" s="119">
        <v>696</v>
      </c>
      <c r="K8" s="117">
        <v>3522.5309999999999</v>
      </c>
      <c r="L8" s="117">
        <v>7660.1446209999986</v>
      </c>
      <c r="M8" s="162">
        <f>K8+L8</f>
        <v>11182.675620999999</v>
      </c>
      <c r="N8" s="178">
        <v>29</v>
      </c>
      <c r="O8" s="88">
        <v>21</v>
      </c>
      <c r="P8" s="88">
        <v>29</v>
      </c>
      <c r="Q8" s="145">
        <v>30</v>
      </c>
      <c r="R8" s="191"/>
    </row>
    <row r="9" spans="1:28" x14ac:dyDescent="0.3">
      <c r="B9" s="16" t="s">
        <v>23</v>
      </c>
      <c r="C9" s="17">
        <v>6094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8</v>
      </c>
      <c r="Q9" s="143"/>
      <c r="R9" s="190"/>
    </row>
    <row r="10" spans="1:28" x14ac:dyDescent="0.3">
      <c r="B10" s="28" t="s">
        <v>26</v>
      </c>
      <c r="C10" s="17">
        <v>0</v>
      </c>
      <c r="E10" s="161" t="s">
        <v>31</v>
      </c>
      <c r="F10" s="119">
        <v>19620</v>
      </c>
      <c r="G10" s="117">
        <v>14457.62025</v>
      </c>
      <c r="H10" s="117">
        <v>583.37003600000003</v>
      </c>
      <c r="I10" s="152">
        <f>G10+H10</f>
        <v>15040.990286</v>
      </c>
      <c r="J10" s="119">
        <v>19844</v>
      </c>
      <c r="K10" s="117">
        <v>14668.590749999999</v>
      </c>
      <c r="L10" s="117">
        <v>603.26307299999996</v>
      </c>
      <c r="M10" s="162">
        <f>K10+L10</f>
        <v>15271.853822999999</v>
      </c>
      <c r="N10" s="178">
        <v>48</v>
      </c>
      <c r="O10" s="88">
        <v>45</v>
      </c>
      <c r="P10" s="88">
        <v>47</v>
      </c>
      <c r="Q10" s="145">
        <v>55</v>
      </c>
      <c r="R10" s="189">
        <f>IF(J10=0,((F10/W10)),((J10/W10)))</f>
        <v>381.61538461538464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2</v>
      </c>
      <c r="Q11" s="143"/>
      <c r="R11" s="190"/>
    </row>
    <row r="12" spans="1:28" x14ac:dyDescent="0.3">
      <c r="A12" s="166"/>
      <c r="B12" s="16" t="s">
        <v>30</v>
      </c>
      <c r="C12" s="17">
        <v>3137</v>
      </c>
      <c r="E12" s="161" t="s">
        <v>35</v>
      </c>
      <c r="F12" s="119">
        <v>14208</v>
      </c>
      <c r="G12" s="117">
        <v>13191.811</v>
      </c>
      <c r="H12" s="117">
        <v>17047.924792000002</v>
      </c>
      <c r="I12" s="152">
        <f>G12+H12</f>
        <v>30239.735791999999</v>
      </c>
      <c r="J12" s="119">
        <v>14221</v>
      </c>
      <c r="K12" s="117">
        <v>13069.859</v>
      </c>
      <c r="L12" s="117">
        <v>16698.24096599999</v>
      </c>
      <c r="M12" s="162">
        <f>K12+L12</f>
        <v>29768.099965999991</v>
      </c>
      <c r="N12" s="178">
        <v>49</v>
      </c>
      <c r="O12" s="88">
        <v>49</v>
      </c>
      <c r="P12" s="88">
        <v>50</v>
      </c>
      <c r="Q12" s="145">
        <v>48</v>
      </c>
      <c r="R12" s="189">
        <f>IF(J12=0,((F12/W12)),((J12/W12)))</f>
        <v>406.31428571428569</v>
      </c>
      <c r="W12" s="1">
        <v>35</v>
      </c>
    </row>
    <row r="13" spans="1:28" x14ac:dyDescent="0.3">
      <c r="B13" s="16" t="s">
        <v>38</v>
      </c>
      <c r="C13" s="17">
        <v>8337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1</v>
      </c>
      <c r="Q13" s="143"/>
      <c r="R13" s="190"/>
    </row>
    <row r="14" spans="1:28" x14ac:dyDescent="0.3">
      <c r="B14" s="16" t="s">
        <v>40</v>
      </c>
      <c r="C14" s="17">
        <v>9627</v>
      </c>
      <c r="E14" s="161" t="s">
        <v>39</v>
      </c>
      <c r="F14" s="119">
        <v>24448</v>
      </c>
      <c r="G14" s="117">
        <v>29485.107</v>
      </c>
      <c r="H14" s="117">
        <v>30808.04057600001</v>
      </c>
      <c r="I14" s="152">
        <f>G14+H14</f>
        <v>60293.14757600001</v>
      </c>
      <c r="J14" s="119">
        <v>24512</v>
      </c>
      <c r="K14" s="117">
        <v>29364.524249999999</v>
      </c>
      <c r="L14" s="117">
        <v>30349.844362</v>
      </c>
      <c r="M14" s="162">
        <f>K14+L14</f>
        <v>59714.368611999998</v>
      </c>
      <c r="N14" s="178">
        <v>73</v>
      </c>
      <c r="O14" s="88">
        <v>71</v>
      </c>
      <c r="P14" s="88">
        <v>75</v>
      </c>
      <c r="Q14" s="145">
        <v>76</v>
      </c>
      <c r="R14" s="189">
        <f>IF(J14=0,((F14/W14)),((J14/W14)))</f>
        <v>583.61904761904759</v>
      </c>
      <c r="W14" s="1">
        <v>42</v>
      </c>
    </row>
    <row r="15" spans="1:28" x14ac:dyDescent="0.3">
      <c r="B15" s="28" t="s">
        <v>42</v>
      </c>
      <c r="C15" s="17">
        <v>31755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4</v>
      </c>
      <c r="Q15" s="143"/>
      <c r="R15" s="190"/>
    </row>
    <row r="16" spans="1:28" x14ac:dyDescent="0.3">
      <c r="B16" s="43" t="s">
        <v>47</v>
      </c>
      <c r="C16" s="17">
        <v>1958</v>
      </c>
      <c r="E16" s="161" t="s">
        <v>79</v>
      </c>
      <c r="F16" s="119">
        <v>0</v>
      </c>
      <c r="G16" s="117">
        <v>0</v>
      </c>
      <c r="H16" s="117">
        <v>8262.3152000000009</v>
      </c>
      <c r="I16" s="152">
        <f>G16+H16</f>
        <v>8262.3152000000009</v>
      </c>
      <c r="J16" s="119">
        <v>0</v>
      </c>
      <c r="K16" s="117">
        <v>0</v>
      </c>
      <c r="L16" s="117">
        <v>7943.0473719999991</v>
      </c>
      <c r="M16" s="162">
        <f>K16+L16</f>
        <v>7943.0473719999991</v>
      </c>
      <c r="N16" s="178">
        <v>14</v>
      </c>
      <c r="O16" s="88">
        <v>14</v>
      </c>
      <c r="P16" s="88">
        <v>14</v>
      </c>
      <c r="Q16" s="145">
        <v>14</v>
      </c>
      <c r="R16" s="192"/>
    </row>
    <row r="17" spans="1:29" s="4" customFormat="1" ht="15" customHeight="1" thickBot="1" x14ac:dyDescent="0.35">
      <c r="B17" s="43" t="s">
        <v>48</v>
      </c>
      <c r="C17" s="50">
        <v>2582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0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7297</v>
      </c>
      <c r="E18" s="84"/>
      <c r="F18" s="148">
        <f t="shared" ref="F18:M18" si="0">SUM(F6:F17)</f>
        <v>90821</v>
      </c>
      <c r="G18" s="148">
        <f t="shared" si="0"/>
        <v>79979.138250000004</v>
      </c>
      <c r="H18" s="148">
        <f t="shared" si="0"/>
        <v>70614.06056100002</v>
      </c>
      <c r="I18" s="148">
        <f t="shared" si="0"/>
        <v>150593.19881100004</v>
      </c>
      <c r="J18" s="149">
        <f t="shared" si="0"/>
        <v>89515</v>
      </c>
      <c r="K18" s="149">
        <f t="shared" si="0"/>
        <v>75777.846999999994</v>
      </c>
      <c r="L18" s="149">
        <f t="shared" si="0"/>
        <v>67082.567265999984</v>
      </c>
      <c r="M18" s="175">
        <f t="shared" si="0"/>
        <v>142860.41426599998</v>
      </c>
      <c r="N18" s="201">
        <f>SUM(N16,N14,N12,N10,N8,N6)</f>
        <v>292</v>
      </c>
      <c r="O18" s="204">
        <f>SUM(O16,O14,O12,O10,O8,O6)</f>
        <v>273</v>
      </c>
      <c r="P18" s="204">
        <f>SUM(P16,P14,P12,P10,P8,P6)</f>
        <v>293</v>
      </c>
      <c r="Q18" s="202"/>
      <c r="R18" s="182"/>
    </row>
    <row r="19" spans="1:29" ht="15" customHeight="1" thickBot="1" x14ac:dyDescent="0.35">
      <c r="B19" s="16" t="s">
        <v>51</v>
      </c>
      <c r="C19" s="17">
        <v>618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15</v>
      </c>
      <c r="Q19" s="183"/>
      <c r="R19" s="183"/>
    </row>
    <row r="20" spans="1:29" ht="15" customHeight="1" thickBot="1" x14ac:dyDescent="0.35">
      <c r="B20" s="16" t="s">
        <v>52</v>
      </c>
      <c r="C20" s="17">
        <v>4181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5.1194539249146756E-2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58">
        <v>1290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8759</v>
      </c>
      <c r="D25" s="76">
        <v>8257</v>
      </c>
      <c r="E25" s="77">
        <f t="shared" ref="E25:E33" si="1">IFERROR(D25-C25,0)</f>
        <v>-502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42601</v>
      </c>
      <c r="D27" s="76">
        <v>41499</v>
      </c>
      <c r="E27" s="77">
        <f t="shared" si="1"/>
        <v>-1102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7993</v>
      </c>
      <c r="D28" s="76">
        <v>7993</v>
      </c>
      <c r="E28" s="77">
        <f t="shared" si="1"/>
        <v>0</v>
      </c>
      <c r="O28" s="4"/>
      <c r="Q28" s="4"/>
      <c r="R28" s="4"/>
    </row>
    <row r="29" spans="1:29" x14ac:dyDescent="0.3">
      <c r="B29" s="74" t="s">
        <v>21</v>
      </c>
      <c r="C29" s="122">
        <v>0</v>
      </c>
      <c r="D29" s="76">
        <v>0</v>
      </c>
      <c r="E29" s="77">
        <f t="shared" si="1"/>
        <v>0</v>
      </c>
      <c r="O29" s="4"/>
      <c r="Q29" s="4"/>
      <c r="R29" s="4"/>
    </row>
    <row r="30" spans="1:29" x14ac:dyDescent="0.3">
      <c r="B30" s="74" t="s">
        <v>146</v>
      </c>
      <c r="C30" s="122">
        <v>11018</v>
      </c>
      <c r="D30" s="76">
        <v>11018</v>
      </c>
      <c r="E30" s="77">
        <f t="shared" si="1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12455</v>
      </c>
      <c r="D31" s="76">
        <v>12750</v>
      </c>
      <c r="E31" s="77">
        <f t="shared" si="1"/>
        <v>295</v>
      </c>
      <c r="K31" s="53"/>
      <c r="O31" s="4"/>
      <c r="Q31" s="4"/>
      <c r="R31" s="4"/>
    </row>
    <row r="32" spans="1:29" x14ac:dyDescent="0.3">
      <c r="B32" s="74" t="s">
        <v>60</v>
      </c>
      <c r="C32" s="122">
        <v>0</v>
      </c>
      <c r="D32" s="76">
        <v>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21">
        <v>8018</v>
      </c>
      <c r="D33" s="80">
        <v>8018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>
    <tabColor theme="1"/>
    <pageSetUpPr fitToPage="1"/>
  </sheetPr>
  <dimension ref="A1:AC33"/>
  <sheetViews>
    <sheetView zoomScale="90" zoomScaleNormal="90" zoomScaleSheetLayoutView="70" workbookViewId="0">
      <selection activeCell="M30" sqref="M30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44856</v>
      </c>
    </row>
    <row r="3" spans="1:28" ht="18.75" customHeight="1" thickBot="1" x14ac:dyDescent="0.35">
      <c r="B3" t="s">
        <v>1</v>
      </c>
      <c r="C3" s="3">
        <f>C2+1</f>
        <v>44857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84</v>
      </c>
      <c r="E6" s="161" t="s">
        <v>22</v>
      </c>
      <c r="F6" s="119">
        <v>32726</v>
      </c>
      <c r="G6" s="117">
        <v>16414.526999999998</v>
      </c>
      <c r="H6" s="117">
        <v>5533.2440280000001</v>
      </c>
      <c r="I6" s="152">
        <f>G6+H6</f>
        <v>21947.771027999999</v>
      </c>
      <c r="J6" s="119">
        <v>32901</v>
      </c>
      <c r="K6" s="117">
        <v>16213.043</v>
      </c>
      <c r="L6" s="117">
        <v>5853.6427450000001</v>
      </c>
      <c r="M6" s="162">
        <f>K6+L6</f>
        <v>22066.685744999999</v>
      </c>
      <c r="N6" s="198">
        <v>85</v>
      </c>
      <c r="O6" s="199">
        <v>78</v>
      </c>
      <c r="P6" s="199">
        <v>86</v>
      </c>
      <c r="Q6" s="200">
        <v>90</v>
      </c>
      <c r="R6" s="189">
        <f>IF(J6=0,((F6/W6)),((J6/W6)))</f>
        <v>765.1395348837209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8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920</v>
      </c>
      <c r="G8" s="117">
        <v>4420.6890000000003</v>
      </c>
      <c r="H8" s="117">
        <v>8490.8385949999993</v>
      </c>
      <c r="I8" s="152">
        <f>G8+H8</f>
        <v>12911.527595</v>
      </c>
      <c r="J8" s="119">
        <v>996</v>
      </c>
      <c r="K8" s="117">
        <v>4623.8900000000003</v>
      </c>
      <c r="L8" s="117">
        <v>8610.8480640000034</v>
      </c>
      <c r="M8" s="162">
        <f>K8+L8</f>
        <v>13234.738064000005</v>
      </c>
      <c r="N8" s="178">
        <v>37</v>
      </c>
      <c r="O8" s="88">
        <v>29</v>
      </c>
      <c r="P8" s="88">
        <v>32</v>
      </c>
      <c r="Q8" s="145">
        <v>35</v>
      </c>
      <c r="R8" s="191"/>
    </row>
    <row r="9" spans="1:28" x14ac:dyDescent="0.3">
      <c r="B9" s="16" t="s">
        <v>23</v>
      </c>
      <c r="C9" s="17">
        <v>5379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3</v>
      </c>
      <c r="Q9" s="143"/>
      <c r="R9" s="190"/>
    </row>
    <row r="10" spans="1:28" x14ac:dyDescent="0.3">
      <c r="B10" s="28" t="s">
        <v>26</v>
      </c>
      <c r="C10" s="17">
        <v>900</v>
      </c>
      <c r="E10" s="161" t="s">
        <v>31</v>
      </c>
      <c r="F10" s="119">
        <v>20901</v>
      </c>
      <c r="G10" s="117">
        <v>14925.911249999999</v>
      </c>
      <c r="H10" s="117">
        <v>900.67071699999997</v>
      </c>
      <c r="I10" s="152">
        <f>G10+H10</f>
        <v>15826.581966999998</v>
      </c>
      <c r="J10" s="119">
        <v>21534</v>
      </c>
      <c r="K10" s="117">
        <v>15354.9995</v>
      </c>
      <c r="L10" s="117">
        <v>922.20486000000005</v>
      </c>
      <c r="M10" s="162">
        <f>K10+L10</f>
        <v>16277.20436</v>
      </c>
      <c r="N10" s="178">
        <v>52</v>
      </c>
      <c r="O10" s="88">
        <v>50</v>
      </c>
      <c r="P10" s="88">
        <v>50</v>
      </c>
      <c r="Q10" s="145">
        <v>60</v>
      </c>
      <c r="R10" s="189">
        <f>IF(J10=0,((F10/W10)),((J10/W10)))</f>
        <v>414.11538461538464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3">
      <c r="A12" s="166"/>
      <c r="B12" s="16" t="s">
        <v>30</v>
      </c>
      <c r="C12" s="17">
        <v>1698</v>
      </c>
      <c r="E12" s="161" t="s">
        <v>35</v>
      </c>
      <c r="F12" s="119">
        <v>16834</v>
      </c>
      <c r="G12" s="117">
        <v>14919.0455</v>
      </c>
      <c r="H12" s="117">
        <v>19959.84719600001</v>
      </c>
      <c r="I12" s="152">
        <f>G12+H12</f>
        <v>34878.89269600001</v>
      </c>
      <c r="J12" s="119">
        <v>16149</v>
      </c>
      <c r="K12" s="117">
        <v>14178.995000000001</v>
      </c>
      <c r="L12" s="117">
        <v>19660.804348000001</v>
      </c>
      <c r="M12" s="162">
        <f>K12+L12</f>
        <v>33839.799348</v>
      </c>
      <c r="N12" s="178">
        <v>53</v>
      </c>
      <c r="O12" s="88">
        <v>49</v>
      </c>
      <c r="P12" s="88">
        <v>54</v>
      </c>
      <c r="Q12" s="145">
        <v>54</v>
      </c>
      <c r="R12" s="189">
        <f>IF(J12=0,((F12/W12)),((J12/W12)))</f>
        <v>461.4</v>
      </c>
      <c r="W12" s="1">
        <v>35</v>
      </c>
    </row>
    <row r="13" spans="1:28" x14ac:dyDescent="0.3">
      <c r="B13" s="16" t="s">
        <v>38</v>
      </c>
      <c r="C13" s="17">
        <v>7533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5</v>
      </c>
      <c r="Q13" s="143"/>
      <c r="R13" s="190"/>
    </row>
    <row r="14" spans="1:28" x14ac:dyDescent="0.3">
      <c r="B14" s="16" t="s">
        <v>40</v>
      </c>
      <c r="C14" s="17">
        <v>10020</v>
      </c>
      <c r="E14" s="161" t="s">
        <v>39</v>
      </c>
      <c r="F14" s="119">
        <v>15946</v>
      </c>
      <c r="G14" s="117">
        <v>18527.476750000002</v>
      </c>
      <c r="H14" s="117">
        <v>19234.370730999999</v>
      </c>
      <c r="I14" s="152">
        <f>G14+H14</f>
        <v>37761.847481000004</v>
      </c>
      <c r="J14" s="119">
        <v>15076</v>
      </c>
      <c r="K14" s="117">
        <v>17175.810249999999</v>
      </c>
      <c r="L14" s="117">
        <v>17637.175543000001</v>
      </c>
      <c r="M14" s="162">
        <f>K14+L14</f>
        <v>34812.985793</v>
      </c>
      <c r="N14" s="178">
        <v>69</v>
      </c>
      <c r="O14" s="88">
        <v>60</v>
      </c>
      <c r="P14" s="88">
        <v>72</v>
      </c>
      <c r="Q14" s="145">
        <v>75</v>
      </c>
      <c r="R14" s="189">
        <f>IF(J14=0,((F14/W14)),((J14/W14)))</f>
        <v>358.95238095238096</v>
      </c>
      <c r="W14" s="1">
        <v>42</v>
      </c>
    </row>
    <row r="15" spans="1:28" x14ac:dyDescent="0.3">
      <c r="B15" s="28" t="s">
        <v>42</v>
      </c>
      <c r="C15" s="17">
        <v>26436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12</v>
      </c>
      <c r="Q15" s="143"/>
      <c r="R15" s="190"/>
    </row>
    <row r="16" spans="1:28" x14ac:dyDescent="0.3">
      <c r="B16" s="43" t="s">
        <v>47</v>
      </c>
      <c r="C16" s="17">
        <v>1054</v>
      </c>
      <c r="E16" s="161" t="s">
        <v>79</v>
      </c>
      <c r="F16" s="119">
        <v>0</v>
      </c>
      <c r="G16" s="117">
        <v>0</v>
      </c>
      <c r="H16" s="117">
        <v>5163.5568040000016</v>
      </c>
      <c r="I16" s="152">
        <f>G16+H16</f>
        <v>5163.5568040000016</v>
      </c>
      <c r="J16" s="119">
        <v>0</v>
      </c>
      <c r="K16" s="117">
        <v>0</v>
      </c>
      <c r="L16" s="117">
        <v>5239.3303570000007</v>
      </c>
      <c r="M16" s="162">
        <f>K16+L16</f>
        <v>5239.3303570000007</v>
      </c>
      <c r="N16" s="178">
        <v>11</v>
      </c>
      <c r="O16" s="88">
        <v>11</v>
      </c>
      <c r="P16" s="88">
        <v>12</v>
      </c>
      <c r="Q16" s="145">
        <v>12</v>
      </c>
      <c r="R16" s="192"/>
    </row>
    <row r="17" spans="1:29" s="4" customFormat="1" ht="15" customHeight="1" thickBot="1" x14ac:dyDescent="0.35">
      <c r="B17" s="43" t="s">
        <v>48</v>
      </c>
      <c r="C17" s="50">
        <v>2193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1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9790</v>
      </c>
      <c r="E18" s="84"/>
      <c r="F18" s="148">
        <f t="shared" ref="F18:M18" si="0">SUM(F6:F17)</f>
        <v>87327</v>
      </c>
      <c r="G18" s="148">
        <f t="shared" si="0"/>
        <v>69207.6495</v>
      </c>
      <c r="H18" s="148">
        <f t="shared" si="0"/>
        <v>59282.528071000015</v>
      </c>
      <c r="I18" s="148">
        <f t="shared" si="0"/>
        <v>128490.17757100002</v>
      </c>
      <c r="J18" s="149">
        <f t="shared" si="0"/>
        <v>86656</v>
      </c>
      <c r="K18" s="149">
        <f t="shared" si="0"/>
        <v>67546.73775</v>
      </c>
      <c r="L18" s="149">
        <f t="shared" si="0"/>
        <v>57924.005917000002</v>
      </c>
      <c r="M18" s="175">
        <f t="shared" si="0"/>
        <v>125470.743667</v>
      </c>
      <c r="N18" s="201">
        <f>SUM(N16,N14,N12,N10,N8,N6)</f>
        <v>307</v>
      </c>
      <c r="O18" s="204">
        <f>SUM(O16,O14,O12,O10,O8,O6)</f>
        <v>277</v>
      </c>
      <c r="P18" s="204">
        <f>SUM(P16,P14,P12,P10,P8,P6)</f>
        <v>306</v>
      </c>
      <c r="Q18" s="202"/>
      <c r="R18" s="182"/>
    </row>
    <row r="19" spans="1:29" ht="15" customHeight="1" thickBot="1" x14ac:dyDescent="0.35">
      <c r="B19" s="16" t="s">
        <v>51</v>
      </c>
      <c r="C19" s="17">
        <v>1561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21</v>
      </c>
      <c r="Q19" s="183"/>
      <c r="R19" s="183"/>
    </row>
    <row r="20" spans="1:29" ht="15" customHeight="1" thickBot="1" x14ac:dyDescent="0.35">
      <c r="B20" s="16" t="s">
        <v>52</v>
      </c>
      <c r="C20" s="17">
        <v>4211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6.8627450980392163E-2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58">
        <v>364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9627</v>
      </c>
      <c r="D25" s="76">
        <v>10466</v>
      </c>
      <c r="E25" s="77">
        <f t="shared" ref="E25:E33" si="1">IFERROR(D25-C25,0)</f>
        <v>839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38033</v>
      </c>
      <c r="D27" s="76">
        <v>34566</v>
      </c>
      <c r="E27" s="77">
        <f t="shared" si="1"/>
        <v>-3467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8619</v>
      </c>
      <c r="D28" s="76">
        <v>8619</v>
      </c>
      <c r="E28" s="77">
        <f t="shared" si="1"/>
        <v>0</v>
      </c>
      <c r="O28" s="4"/>
      <c r="Q28" s="4"/>
      <c r="R28" s="4"/>
    </row>
    <row r="29" spans="1:29" x14ac:dyDescent="0.3">
      <c r="B29" s="74" t="s">
        <v>21</v>
      </c>
      <c r="C29" s="122">
        <v>2906</v>
      </c>
      <c r="D29" s="76">
        <v>2906</v>
      </c>
      <c r="E29" s="77">
        <f t="shared" si="1"/>
        <v>0</v>
      </c>
      <c r="O29" s="4"/>
      <c r="Q29" s="4"/>
      <c r="R29" s="4"/>
    </row>
    <row r="30" spans="1:29" x14ac:dyDescent="0.3">
      <c r="B30" s="74" t="s">
        <v>146</v>
      </c>
      <c r="C30" s="122">
        <v>5856</v>
      </c>
      <c r="D30" s="76">
        <v>5856</v>
      </c>
      <c r="E30" s="77">
        <f t="shared" si="1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14490</v>
      </c>
      <c r="D31" s="76">
        <v>16449</v>
      </c>
      <c r="E31" s="77">
        <f t="shared" si="1"/>
        <v>1959</v>
      </c>
      <c r="K31" s="53"/>
      <c r="O31" s="4"/>
      <c r="Q31" s="4"/>
      <c r="R31" s="4"/>
    </row>
    <row r="32" spans="1:29" x14ac:dyDescent="0.3">
      <c r="B32" s="74" t="s">
        <v>60</v>
      </c>
      <c r="C32" s="122">
        <v>4900</v>
      </c>
      <c r="D32" s="76">
        <v>4900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21">
        <v>2912</v>
      </c>
      <c r="D33" s="80">
        <v>2912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>
    <tabColor theme="1"/>
    <pageSetUpPr fitToPage="1"/>
  </sheetPr>
  <dimension ref="A1:AC33"/>
  <sheetViews>
    <sheetView zoomScale="90" zoomScaleNormal="90" zoomScaleSheetLayoutView="70" workbookViewId="0">
      <selection activeCell="J24" sqref="J24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44857</v>
      </c>
    </row>
    <row r="3" spans="1:28" ht="18.75" customHeight="1" thickBot="1" x14ac:dyDescent="0.35">
      <c r="B3" t="s">
        <v>1</v>
      </c>
      <c r="C3" s="3">
        <f>C2+1</f>
        <v>44858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0</v>
      </c>
      <c r="E6" s="161" t="s">
        <v>22</v>
      </c>
      <c r="F6" s="119">
        <v>12720</v>
      </c>
      <c r="G6" s="117"/>
      <c r="H6" s="117"/>
      <c r="I6" s="152">
        <f>G6+H6</f>
        <v>0</v>
      </c>
      <c r="J6" s="119">
        <v>13433</v>
      </c>
      <c r="K6" s="117"/>
      <c r="L6" s="117"/>
      <c r="M6" s="162">
        <f>K6+L6</f>
        <v>0</v>
      </c>
      <c r="N6" s="198">
        <v>74</v>
      </c>
      <c r="O6" s="199">
        <v>64</v>
      </c>
      <c r="P6" s="199">
        <v>74</v>
      </c>
      <c r="Q6" s="200">
        <v>76</v>
      </c>
      <c r="R6" s="189">
        <f>IF(J6=0,((F6/W6)),((J6/W6)))</f>
        <v>312.39534883720933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1217</v>
      </c>
      <c r="G8" s="117"/>
      <c r="H8" s="117"/>
      <c r="I8" s="152">
        <f>G8+H8</f>
        <v>0</v>
      </c>
      <c r="J8" s="119">
        <v>1472</v>
      </c>
      <c r="K8" s="117"/>
      <c r="L8" s="117"/>
      <c r="M8" s="162">
        <f>K8+L8</f>
        <v>0</v>
      </c>
      <c r="N8" s="178">
        <v>18</v>
      </c>
      <c r="O8" s="88">
        <v>17</v>
      </c>
      <c r="P8" s="88">
        <v>22</v>
      </c>
      <c r="Q8" s="145">
        <v>23</v>
      </c>
      <c r="R8" s="191"/>
    </row>
    <row r="9" spans="1:28" x14ac:dyDescent="0.3">
      <c r="B9" s="16" t="s">
        <v>23</v>
      </c>
      <c r="C9" s="17">
        <v>0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5</v>
      </c>
      <c r="Q9" s="143"/>
      <c r="R9" s="190"/>
    </row>
    <row r="10" spans="1:28" x14ac:dyDescent="0.3">
      <c r="B10" s="28" t="s">
        <v>26</v>
      </c>
      <c r="C10" s="17">
        <v>0</v>
      </c>
      <c r="E10" s="161" t="s">
        <v>31</v>
      </c>
      <c r="F10" s="119">
        <v>1722</v>
      </c>
      <c r="G10" s="117"/>
      <c r="H10" s="117"/>
      <c r="I10" s="152">
        <f>G10+H10</f>
        <v>0</v>
      </c>
      <c r="J10" s="119">
        <v>1674</v>
      </c>
      <c r="K10" s="117"/>
      <c r="L10" s="117"/>
      <c r="M10" s="162">
        <f>K10+L10</f>
        <v>0</v>
      </c>
      <c r="N10" s="178">
        <v>11</v>
      </c>
      <c r="O10" s="88">
        <v>7</v>
      </c>
      <c r="P10" s="88">
        <v>8</v>
      </c>
      <c r="Q10" s="145">
        <v>11</v>
      </c>
      <c r="R10" s="189">
        <f>IF(J10=0,((F10/W10)),((J10/W10)))</f>
        <v>32.192307692307693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1</v>
      </c>
      <c r="Q11" s="143"/>
      <c r="R11" s="190"/>
    </row>
    <row r="12" spans="1:28" x14ac:dyDescent="0.3">
      <c r="A12" s="166"/>
      <c r="B12" s="16" t="s">
        <v>30</v>
      </c>
      <c r="C12" s="17">
        <v>0</v>
      </c>
      <c r="E12" s="161" t="s">
        <v>35</v>
      </c>
      <c r="F12" s="119">
        <v>7017</v>
      </c>
      <c r="G12" s="117"/>
      <c r="H12" s="117"/>
      <c r="I12" s="152">
        <f>G12+H12</f>
        <v>0</v>
      </c>
      <c r="J12" s="119">
        <v>6572</v>
      </c>
      <c r="K12" s="117"/>
      <c r="L12" s="117"/>
      <c r="M12" s="162">
        <f>K12+L12</f>
        <v>0</v>
      </c>
      <c r="N12" s="178">
        <v>30</v>
      </c>
      <c r="O12" s="88">
        <v>27</v>
      </c>
      <c r="P12" s="88">
        <v>27</v>
      </c>
      <c r="Q12" s="145">
        <v>27</v>
      </c>
      <c r="R12" s="189">
        <f>IF(J12=0,((F12/W12)),((J12/W12)))</f>
        <v>187.77142857142857</v>
      </c>
      <c r="W12" s="1">
        <v>35</v>
      </c>
    </row>
    <row r="13" spans="1:28" x14ac:dyDescent="0.3">
      <c r="B13" s="16" t="s">
        <v>38</v>
      </c>
      <c r="C13" s="17">
        <v>0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0</v>
      </c>
      <c r="Q13" s="143"/>
      <c r="R13" s="190"/>
    </row>
    <row r="14" spans="1:28" x14ac:dyDescent="0.3">
      <c r="B14" s="16" t="s">
        <v>40</v>
      </c>
      <c r="C14" s="17">
        <v>8016</v>
      </c>
      <c r="E14" s="161" t="s">
        <v>39</v>
      </c>
      <c r="F14" s="119">
        <v>6594</v>
      </c>
      <c r="G14" s="117"/>
      <c r="H14" s="117"/>
      <c r="I14" s="152">
        <f>G14+H14</f>
        <v>0</v>
      </c>
      <c r="J14" s="119">
        <v>5616</v>
      </c>
      <c r="K14" s="117"/>
      <c r="L14" s="117"/>
      <c r="M14" s="162">
        <f>K14+L14</f>
        <v>0</v>
      </c>
      <c r="N14" s="178">
        <v>14</v>
      </c>
      <c r="O14" s="88">
        <v>12</v>
      </c>
      <c r="P14" s="88">
        <v>14</v>
      </c>
      <c r="Q14" s="145">
        <v>15</v>
      </c>
      <c r="R14" s="189">
        <f>IF(J14=0,((F14/W14)),((J14/W14)))</f>
        <v>133.71428571428572</v>
      </c>
      <c r="W14" s="1">
        <v>42</v>
      </c>
    </row>
    <row r="15" spans="1:28" x14ac:dyDescent="0.3">
      <c r="B15" s="28" t="s">
        <v>42</v>
      </c>
      <c r="C15" s="17">
        <v>28698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2</v>
      </c>
      <c r="Q15" s="143"/>
      <c r="R15" s="190"/>
    </row>
    <row r="16" spans="1:28" x14ac:dyDescent="0.3">
      <c r="B16" s="43" t="s">
        <v>47</v>
      </c>
      <c r="C16" s="17">
        <v>0</v>
      </c>
      <c r="E16" s="161" t="s">
        <v>79</v>
      </c>
      <c r="F16" s="119">
        <v>0</v>
      </c>
      <c r="G16" s="117"/>
      <c r="H16" s="117"/>
      <c r="I16" s="152">
        <f>G16+H16</f>
        <v>0</v>
      </c>
      <c r="J16" s="119">
        <v>0</v>
      </c>
      <c r="K16" s="117"/>
      <c r="L16" s="117"/>
      <c r="M16" s="162">
        <f>K16+L16</f>
        <v>0</v>
      </c>
      <c r="N16" s="178">
        <v>0</v>
      </c>
      <c r="O16" s="88">
        <v>0</v>
      </c>
      <c r="P16" s="88">
        <v>0</v>
      </c>
      <c r="Q16" s="145">
        <v>0</v>
      </c>
      <c r="R16" s="192"/>
    </row>
    <row r="17" spans="1:29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0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8187</v>
      </c>
      <c r="E18" s="84"/>
      <c r="F18" s="148">
        <f t="shared" ref="F18:M18" si="0">SUM(F6:F17)</f>
        <v>29270</v>
      </c>
      <c r="G18" s="148">
        <f t="shared" si="0"/>
        <v>0</v>
      </c>
      <c r="H18" s="148">
        <f t="shared" si="0"/>
        <v>0</v>
      </c>
      <c r="I18" s="148">
        <f t="shared" si="0"/>
        <v>0</v>
      </c>
      <c r="J18" s="149">
        <f t="shared" si="0"/>
        <v>28767</v>
      </c>
      <c r="K18" s="149">
        <f t="shared" si="0"/>
        <v>0</v>
      </c>
      <c r="L18" s="149">
        <f t="shared" si="0"/>
        <v>0</v>
      </c>
      <c r="M18" s="175">
        <f t="shared" si="0"/>
        <v>0</v>
      </c>
      <c r="N18" s="201">
        <f>SUM(N16,N14,N12,N10,N8,N6)</f>
        <v>147</v>
      </c>
      <c r="O18" s="204">
        <f>SUM(O16,O14,O12,O10,O8,O6)</f>
        <v>127</v>
      </c>
      <c r="P18" s="204">
        <f>SUM(P16,P14,P12,P10,P8,P6)</f>
        <v>145</v>
      </c>
      <c r="Q18" s="202"/>
      <c r="R18" s="182"/>
    </row>
    <row r="19" spans="1:29" ht="15" customHeight="1" thickBot="1" x14ac:dyDescent="0.35">
      <c r="B19" s="16" t="s">
        <v>51</v>
      </c>
      <c r="C19" s="17">
        <v>812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SUM(P15,P13,P11,P9,P7,P17)</f>
        <v>18</v>
      </c>
      <c r="Q19" s="183"/>
      <c r="R19" s="183"/>
    </row>
    <row r="20" spans="1:29" ht="15" customHeight="1" thickBot="1" x14ac:dyDescent="0.35">
      <c r="B20" s="16" t="s">
        <v>52</v>
      </c>
      <c r="C20" s="17">
        <v>4434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0.12413793103448276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58">
        <v>0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0</v>
      </c>
      <c r="D25" s="76"/>
      <c r="E25" s="77">
        <f t="shared" ref="E25:E33" si="1">IFERROR(D25-C25,0)</f>
        <v>0</v>
      </c>
    </row>
    <row r="26" spans="1:29" x14ac:dyDescent="0.3">
      <c r="B26" s="74" t="s">
        <v>143</v>
      </c>
      <c r="C26" s="122">
        <v>0</v>
      </c>
      <c r="D26" s="76"/>
      <c r="E26" s="77">
        <f t="shared" si="1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24445</v>
      </c>
      <c r="D27" s="76">
        <v>21983</v>
      </c>
      <c r="E27" s="77">
        <f t="shared" si="1"/>
        <v>-2462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0</v>
      </c>
      <c r="D28" s="76"/>
      <c r="E28" s="77">
        <f t="shared" si="1"/>
        <v>0</v>
      </c>
      <c r="O28" s="4"/>
      <c r="Q28" s="4"/>
      <c r="R28" s="4"/>
    </row>
    <row r="29" spans="1:29" x14ac:dyDescent="0.3">
      <c r="B29" s="74" t="s">
        <v>21</v>
      </c>
      <c r="C29" s="122">
        <v>0</v>
      </c>
      <c r="D29" s="76"/>
      <c r="E29" s="77">
        <f t="shared" si="1"/>
        <v>0</v>
      </c>
      <c r="O29" s="4"/>
      <c r="Q29" s="4"/>
      <c r="R29" s="4"/>
    </row>
    <row r="30" spans="1:29" x14ac:dyDescent="0.3">
      <c r="B30" s="74" t="s">
        <v>146</v>
      </c>
      <c r="C30" s="122">
        <v>0</v>
      </c>
      <c r="D30" s="76"/>
      <c r="E30" s="77">
        <f t="shared" si="1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12720</v>
      </c>
      <c r="D31" s="76">
        <v>13433</v>
      </c>
      <c r="E31" s="77">
        <f t="shared" si="1"/>
        <v>713</v>
      </c>
      <c r="K31" s="53"/>
      <c r="O31" s="4"/>
      <c r="Q31" s="4"/>
      <c r="R31" s="4"/>
    </row>
    <row r="32" spans="1:29" x14ac:dyDescent="0.3">
      <c r="B32" s="74" t="s">
        <v>60</v>
      </c>
      <c r="C32" s="122">
        <v>0</v>
      </c>
      <c r="D32" s="76"/>
      <c r="E32" s="77">
        <f t="shared" si="1"/>
        <v>0</v>
      </c>
    </row>
    <row r="33" spans="2:5" ht="15" customHeight="1" thickBot="1" x14ac:dyDescent="0.35">
      <c r="B33" s="170" t="s">
        <v>132</v>
      </c>
      <c r="C33" s="121">
        <v>0</v>
      </c>
      <c r="D33" s="80"/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>
    <tabColor theme="1"/>
    <pageSetUpPr fitToPage="1"/>
  </sheetPr>
  <dimension ref="A1:AC33"/>
  <sheetViews>
    <sheetView tabSelected="1" zoomScale="90" zoomScaleNormal="90" zoomScaleSheetLayoutView="70" workbookViewId="0">
      <selection activeCell="T17" sqref="T17"/>
    </sheetView>
  </sheetViews>
  <sheetFormatPr defaultColWidth="9.109375" defaultRowHeight="14.4" outlineLevelCol="1" x14ac:dyDescent="0.3"/>
  <cols>
    <col min="1" max="1" width="19.6640625" style="1" customWidth="1"/>
    <col min="2" max="2" width="23" style="1" bestFit="1" customWidth="1"/>
    <col min="3" max="3" width="16.109375" style="1" bestFit="1" customWidth="1"/>
    <col min="4" max="4" width="12.88671875" style="1" bestFit="1" customWidth="1"/>
    <col min="5" max="5" width="13.44140625" style="1" customWidth="1"/>
    <col min="6" max="6" width="16.44140625" style="1" bestFit="1" customWidth="1"/>
    <col min="7" max="7" width="10.5546875" style="1" customWidth="1"/>
    <col min="8" max="8" width="12.8867187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8671875" style="1" customWidth="1"/>
    <col min="15" max="15" width="12" style="1" customWidth="1"/>
    <col min="16" max="16" width="11.109375" style="1" customWidth="1"/>
    <col min="17" max="17" width="8.109375" style="1" customWidth="1"/>
    <col min="18" max="18" width="13.5546875" style="1" customWidth="1"/>
    <col min="19" max="19" width="18.44140625" style="1" bestFit="1" customWidth="1"/>
    <col min="20" max="20" width="5.554687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35" width="9.109375" style="1" customWidth="1"/>
    <col min="36" max="16384" width="9.109375" style="1"/>
  </cols>
  <sheetData>
    <row r="1" spans="1:28" ht="6" customHeight="1" x14ac:dyDescent="0.3"/>
    <row r="2" spans="1:28" ht="22.5" customHeight="1" x14ac:dyDescent="0.3">
      <c r="B2" t="s">
        <v>0</v>
      </c>
      <c r="C2" s="2">
        <v>44858</v>
      </c>
    </row>
    <row r="3" spans="1:28" ht="18.75" customHeight="1" thickBot="1" x14ac:dyDescent="0.35">
      <c r="B3" t="s">
        <v>1</v>
      </c>
      <c r="C3" s="3">
        <f>C2+1</f>
        <v>44859</v>
      </c>
      <c r="E3" s="3"/>
    </row>
    <row r="4" spans="1:28" ht="29.25" customHeight="1" thickBot="1" x14ac:dyDescent="0.3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8" customHeight="1" thickBot="1" x14ac:dyDescent="0.3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3">
      <c r="A6" s="166"/>
      <c r="B6" s="16" t="s">
        <v>21</v>
      </c>
      <c r="C6" s="17">
        <v>63</v>
      </c>
      <c r="E6" s="161" t="s">
        <v>22</v>
      </c>
      <c r="F6" s="119">
        <v>28691</v>
      </c>
      <c r="G6" s="117">
        <v>14704.499</v>
      </c>
      <c r="H6" s="117">
        <v>4541.3763419999996</v>
      </c>
      <c r="I6" s="152">
        <f>G6+H6</f>
        <v>19245.875341999999</v>
      </c>
      <c r="J6" s="119">
        <v>29069</v>
      </c>
      <c r="K6" s="117">
        <v>14319.638999999999</v>
      </c>
      <c r="L6" s="117">
        <v>4650.9208359999993</v>
      </c>
      <c r="M6" s="162">
        <f>K6+L6</f>
        <v>18970.559836</v>
      </c>
      <c r="N6" s="198">
        <v>80</v>
      </c>
      <c r="O6" s="199">
        <v>70</v>
      </c>
      <c r="P6" s="199">
        <v>80</v>
      </c>
      <c r="Q6" s="200">
        <v>84</v>
      </c>
      <c r="R6" s="189">
        <f>IF(J6=0,((F6/W6)),((J6/W6)))</f>
        <v>676.02325581395348</v>
      </c>
      <c r="W6" s="1">
        <v>43</v>
      </c>
    </row>
    <row r="7" spans="1:28" x14ac:dyDescent="0.3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3">
      <c r="B8" s="16" t="s">
        <v>103</v>
      </c>
      <c r="C8" s="17">
        <v>0</v>
      </c>
      <c r="E8" s="161" t="s">
        <v>27</v>
      </c>
      <c r="F8" s="119">
        <v>795</v>
      </c>
      <c r="G8" s="117">
        <v>4383.2579999999998</v>
      </c>
      <c r="H8" s="117">
        <v>7719.4822089999989</v>
      </c>
      <c r="I8" s="152">
        <f>G8+H8</f>
        <v>12102.740209</v>
      </c>
      <c r="J8" s="119">
        <v>950</v>
      </c>
      <c r="K8" s="117">
        <v>5058.4219999999996</v>
      </c>
      <c r="L8" s="117">
        <v>8055.1912500000017</v>
      </c>
      <c r="M8" s="162">
        <f>K8+L8</f>
        <v>13113.613250000002</v>
      </c>
      <c r="N8" s="178">
        <v>29</v>
      </c>
      <c r="O8" s="88">
        <v>23</v>
      </c>
      <c r="P8" s="88">
        <v>26</v>
      </c>
      <c r="Q8" s="145">
        <v>29</v>
      </c>
      <c r="R8" s="191"/>
    </row>
    <row r="9" spans="1:28" x14ac:dyDescent="0.3">
      <c r="B9" s="16" t="s">
        <v>23</v>
      </c>
      <c r="C9" s="17">
        <v>5832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3</v>
      </c>
      <c r="Q9" s="143"/>
      <c r="R9" s="190"/>
    </row>
    <row r="10" spans="1:28" x14ac:dyDescent="0.3">
      <c r="B10" s="28" t="s">
        <v>26</v>
      </c>
      <c r="C10" s="17">
        <v>395</v>
      </c>
      <c r="E10" s="161" t="s">
        <v>31</v>
      </c>
      <c r="F10" s="119">
        <v>19770</v>
      </c>
      <c r="G10" s="117">
        <v>14133.527</v>
      </c>
      <c r="H10" s="117">
        <v>609.83228399999996</v>
      </c>
      <c r="I10" s="152">
        <f>G10+H10</f>
        <v>14743.359284</v>
      </c>
      <c r="J10" s="119">
        <v>19859</v>
      </c>
      <c r="K10" s="117">
        <v>14193.08</v>
      </c>
      <c r="L10" s="117">
        <v>649.01575500000001</v>
      </c>
      <c r="M10" s="162">
        <f>K10+L10</f>
        <v>14842.095755</v>
      </c>
      <c r="N10" s="178">
        <v>50</v>
      </c>
      <c r="O10" s="88">
        <v>48</v>
      </c>
      <c r="P10" s="88">
        <v>49</v>
      </c>
      <c r="Q10" s="145">
        <v>58</v>
      </c>
      <c r="R10" s="189">
        <f>IF(J10=0,((F10/W10)),((J10/W10)))</f>
        <v>381.90384615384613</v>
      </c>
      <c r="W10" s="1">
        <v>52</v>
      </c>
    </row>
    <row r="11" spans="1:28" x14ac:dyDescent="0.3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1</v>
      </c>
      <c r="Q11" s="143"/>
      <c r="R11" s="190"/>
    </row>
    <row r="12" spans="1:28" x14ac:dyDescent="0.3">
      <c r="A12" s="166"/>
      <c r="B12" s="16" t="s">
        <v>30</v>
      </c>
      <c r="C12" s="17">
        <v>0</v>
      </c>
      <c r="E12" s="161" t="s">
        <v>35</v>
      </c>
      <c r="F12" s="119">
        <v>12816</v>
      </c>
      <c r="G12" s="117">
        <v>11154.130999999999</v>
      </c>
      <c r="H12" s="117">
        <v>15021.340853</v>
      </c>
      <c r="I12" s="152">
        <f>G12+H12</f>
        <v>26175.471852999999</v>
      </c>
      <c r="J12" s="119">
        <v>12920</v>
      </c>
      <c r="K12" s="117">
        <v>11242.613499999999</v>
      </c>
      <c r="L12" s="117">
        <v>14899.98906</v>
      </c>
      <c r="M12" s="162">
        <f>K12+L12</f>
        <v>26142.602559999999</v>
      </c>
      <c r="N12" s="178">
        <v>44</v>
      </c>
      <c r="O12" s="88">
        <v>45</v>
      </c>
      <c r="P12" s="88">
        <v>46</v>
      </c>
      <c r="Q12" s="145">
        <v>46</v>
      </c>
      <c r="R12" s="189">
        <f>IF(J12=0,((F12/W12)),((J12/W12)))</f>
        <v>369.14285714285717</v>
      </c>
      <c r="W12" s="1">
        <v>35</v>
      </c>
    </row>
    <row r="13" spans="1:28" x14ac:dyDescent="0.3">
      <c r="B13" s="16" t="s">
        <v>38</v>
      </c>
      <c r="C13" s="17">
        <v>8514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1</v>
      </c>
      <c r="Q13" s="143"/>
      <c r="R13" s="190"/>
    </row>
    <row r="14" spans="1:28" x14ac:dyDescent="0.3">
      <c r="B14" s="16" t="s">
        <v>40</v>
      </c>
      <c r="C14" s="17">
        <v>10087</v>
      </c>
      <c r="E14" s="161" t="s">
        <v>39</v>
      </c>
      <c r="F14" s="119">
        <v>13839</v>
      </c>
      <c r="G14" s="117">
        <v>15489.437749999999</v>
      </c>
      <c r="H14" s="117">
        <v>16281.929453000001</v>
      </c>
      <c r="I14" s="152">
        <f>G14+H14</f>
        <v>31771.367203000002</v>
      </c>
      <c r="J14" s="119">
        <v>14278</v>
      </c>
      <c r="K14" s="117">
        <v>16133.16325</v>
      </c>
      <c r="L14" s="117">
        <v>16917.328021000001</v>
      </c>
      <c r="M14" s="162">
        <f>K14+L14</f>
        <v>33050.491270999999</v>
      </c>
      <c r="N14" s="178">
        <v>70</v>
      </c>
      <c r="O14" s="88">
        <v>61</v>
      </c>
      <c r="P14" s="88">
        <v>70</v>
      </c>
      <c r="Q14" s="145">
        <v>72</v>
      </c>
      <c r="R14" s="189">
        <f>IF(J14=0,((F14/W14)),((J14/W14)))</f>
        <v>339.95238095238096</v>
      </c>
      <c r="W14" s="1">
        <v>42</v>
      </c>
    </row>
    <row r="15" spans="1:28" x14ac:dyDescent="0.3">
      <c r="B15" s="28" t="s">
        <v>42</v>
      </c>
      <c r="C15" s="17">
        <v>23019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9</v>
      </c>
      <c r="Q15" s="143"/>
      <c r="R15" s="190"/>
    </row>
    <row r="16" spans="1:28" x14ac:dyDescent="0.3">
      <c r="B16" s="43" t="s">
        <v>47</v>
      </c>
      <c r="C16" s="17">
        <v>1923</v>
      </c>
      <c r="E16" s="161" t="s">
        <v>79</v>
      </c>
      <c r="F16" s="119">
        <v>0</v>
      </c>
      <c r="G16" s="117">
        <v>0</v>
      </c>
      <c r="H16" s="117">
        <v>7563.611060000002</v>
      </c>
      <c r="I16" s="152">
        <f>G16+H16</f>
        <v>7563.611060000002</v>
      </c>
      <c r="J16" s="119">
        <v>0</v>
      </c>
      <c r="K16" s="117">
        <v>0</v>
      </c>
      <c r="L16" s="117">
        <v>7428.3094539999993</v>
      </c>
      <c r="M16" s="162">
        <f>K16+L16</f>
        <v>7428.3094539999993</v>
      </c>
      <c r="N16" s="178">
        <v>10</v>
      </c>
      <c r="O16" s="88">
        <v>9</v>
      </c>
      <c r="P16" s="88">
        <v>11</v>
      </c>
      <c r="Q16" s="145">
        <v>11</v>
      </c>
      <c r="R16" s="192"/>
    </row>
    <row r="17" spans="1:29" s="4" customFormat="1" ht="15" customHeight="1" thickBot="1" x14ac:dyDescent="0.3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2</v>
      </c>
      <c r="Q17" s="143"/>
      <c r="R17" s="193"/>
      <c r="S17" s="27"/>
      <c r="T17" s="27"/>
      <c r="U17" s="27"/>
      <c r="AC17" s="1"/>
    </row>
    <row r="18" spans="1:29" ht="15" customHeight="1" thickBot="1" x14ac:dyDescent="0.35">
      <c r="B18" s="16" t="s">
        <v>50</v>
      </c>
      <c r="C18" s="17">
        <v>9372</v>
      </c>
      <c r="E18" s="84"/>
      <c r="F18" s="148">
        <f t="shared" ref="F18:M18" si="0">SUM(F6:F17)</f>
        <v>75911</v>
      </c>
      <c r="G18" s="148">
        <f t="shared" si="0"/>
        <v>59864.852749999998</v>
      </c>
      <c r="H18" s="148">
        <f t="shared" si="0"/>
        <v>51737.572200999995</v>
      </c>
      <c r="I18" s="148">
        <f t="shared" si="0"/>
        <v>111602.42495099999</v>
      </c>
      <c r="J18" s="149">
        <f t="shared" si="0"/>
        <v>77076</v>
      </c>
      <c r="K18" s="149">
        <f t="shared" si="0"/>
        <v>60946.917749999993</v>
      </c>
      <c r="L18" s="149">
        <f t="shared" si="0"/>
        <v>52600.754376000004</v>
      </c>
      <c r="M18" s="175">
        <f t="shared" si="0"/>
        <v>113547.67212600002</v>
      </c>
      <c r="N18" s="201">
        <f>SUM(N16,N14,N12,N10,N8,N6)</f>
        <v>283</v>
      </c>
      <c r="O18" s="204">
        <f>SUM(O16,O14,O12,O10,O8,O6)</f>
        <v>256</v>
      </c>
      <c r="P18" s="204">
        <f>SUM(P16,P14,P12,P10,P8,P6)</f>
        <v>282</v>
      </c>
      <c r="Q18" s="202"/>
      <c r="R18" s="182"/>
    </row>
    <row r="19" spans="1:29" ht="15" customHeight="1" thickBot="1" x14ac:dyDescent="0.35">
      <c r="B19" s="16" t="s">
        <v>51</v>
      </c>
      <c r="C19" s="17">
        <v>1100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SUM(P15,P13,P11,P9,P7,P17)</f>
        <v>26</v>
      </c>
      <c r="Q19" s="183"/>
      <c r="R19" s="183"/>
    </row>
    <row r="20" spans="1:29" ht="15" customHeight="1" thickBot="1" x14ac:dyDescent="0.35">
      <c r="B20" s="16" t="s">
        <v>52</v>
      </c>
      <c r="C20" s="17">
        <v>4355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9.2198581560283682E-2</v>
      </c>
      <c r="Q20" s="139"/>
      <c r="R20" s="139"/>
    </row>
    <row r="21" spans="1:29" ht="15" customHeight="1" thickBot="1" x14ac:dyDescent="0.35">
      <c r="A21" s="123"/>
      <c r="B21" s="168" t="s">
        <v>132</v>
      </c>
      <c r="C21" s="58">
        <v>788</v>
      </c>
    </row>
    <row r="22" spans="1:29" ht="15" customHeight="1" thickBot="1" x14ac:dyDescent="0.35"/>
    <row r="23" spans="1:29" ht="15" customHeight="1" thickBot="1" x14ac:dyDescent="0.35">
      <c r="C23" s="68" t="s">
        <v>2</v>
      </c>
      <c r="D23" s="209" t="s">
        <v>3</v>
      </c>
      <c r="E23" s="210"/>
      <c r="H23" s="53"/>
    </row>
    <row r="24" spans="1:29" x14ac:dyDescent="0.3">
      <c r="B24" s="70"/>
      <c r="C24" s="71" t="s">
        <v>5</v>
      </c>
      <c r="D24" s="72" t="s">
        <v>5</v>
      </c>
      <c r="E24" s="73" t="s">
        <v>54</v>
      </c>
    </row>
    <row r="25" spans="1:29" x14ac:dyDescent="0.3">
      <c r="B25" s="74" t="s">
        <v>55</v>
      </c>
      <c r="C25" s="122">
        <v>8682</v>
      </c>
      <c r="D25" s="76">
        <v>9077</v>
      </c>
      <c r="E25" s="77">
        <f t="shared" ref="E25:E33" si="1">IFERROR(D25-C25,0)</f>
        <v>395</v>
      </c>
    </row>
    <row r="26" spans="1:29" x14ac:dyDescent="0.3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O26" s="4"/>
      <c r="Q26" s="4"/>
      <c r="R26" s="4"/>
    </row>
    <row r="27" spans="1:29" x14ac:dyDescent="0.3">
      <c r="B27" s="74" t="s">
        <v>144</v>
      </c>
      <c r="C27" s="122">
        <v>35610</v>
      </c>
      <c r="D27" s="76">
        <v>35402</v>
      </c>
      <c r="E27" s="77">
        <f t="shared" si="1"/>
        <v>-208</v>
      </c>
      <c r="G27" s="53"/>
      <c r="M27" s="53"/>
      <c r="O27" s="4"/>
      <c r="Q27" s="4"/>
      <c r="R27" s="4"/>
    </row>
    <row r="28" spans="1:29" x14ac:dyDescent="0.3">
      <c r="B28" s="74" t="s">
        <v>145</v>
      </c>
      <c r="C28" s="122">
        <v>7894</v>
      </c>
      <c r="D28" s="76">
        <v>7550</v>
      </c>
      <c r="E28" s="77">
        <f t="shared" si="1"/>
        <v>-344</v>
      </c>
      <c r="O28" s="4"/>
      <c r="Q28" s="4"/>
      <c r="R28" s="4"/>
    </row>
    <row r="29" spans="1:29" x14ac:dyDescent="0.3">
      <c r="B29" s="74" t="s">
        <v>21</v>
      </c>
      <c r="C29" s="122">
        <v>2230</v>
      </c>
      <c r="D29" s="76">
        <v>2230</v>
      </c>
      <c r="E29" s="77">
        <f t="shared" si="1"/>
        <v>0</v>
      </c>
      <c r="O29" s="4"/>
      <c r="Q29" s="4"/>
      <c r="R29" s="4"/>
    </row>
    <row r="30" spans="1:29" x14ac:dyDescent="0.3">
      <c r="B30" s="74" t="s">
        <v>146</v>
      </c>
      <c r="C30" s="122">
        <v>0</v>
      </c>
      <c r="D30" s="76">
        <v>0</v>
      </c>
      <c r="E30" s="77">
        <f t="shared" si="1"/>
        <v>0</v>
      </c>
      <c r="J30" s="53"/>
      <c r="K30" s="53"/>
      <c r="O30" s="4"/>
      <c r="Q30" s="4"/>
      <c r="R30" s="4"/>
    </row>
    <row r="31" spans="1:29" x14ac:dyDescent="0.3">
      <c r="B31" s="74" t="s">
        <v>147</v>
      </c>
      <c r="C31" s="122">
        <v>14295</v>
      </c>
      <c r="D31" s="76">
        <v>15617</v>
      </c>
      <c r="E31" s="77">
        <f t="shared" si="1"/>
        <v>1322</v>
      </c>
      <c r="K31" s="53"/>
      <c r="O31" s="4"/>
      <c r="Q31" s="4"/>
      <c r="R31" s="4"/>
    </row>
    <row r="32" spans="1:29" x14ac:dyDescent="0.3">
      <c r="B32" s="74" t="s">
        <v>60</v>
      </c>
      <c r="C32" s="122">
        <v>2090</v>
      </c>
      <c r="D32" s="76">
        <v>2090</v>
      </c>
      <c r="E32" s="77">
        <f t="shared" si="1"/>
        <v>0</v>
      </c>
    </row>
    <row r="33" spans="2:5" ht="15" customHeight="1" thickBot="1" x14ac:dyDescent="0.35">
      <c r="B33" s="170" t="s">
        <v>132</v>
      </c>
      <c r="C33" s="121">
        <v>5126</v>
      </c>
      <c r="D33" s="80">
        <v>5126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504</vt:i4>
      </vt:variant>
      <vt:variant>
        <vt:lpstr>Named Ranges</vt:lpstr>
      </vt:variant>
      <vt:variant>
        <vt:i4>504</vt:i4>
      </vt:variant>
    </vt:vector>
  </HeadingPairs>
  <TitlesOfParts>
    <vt:vector size="1008" baseType="lpstr">
      <vt:lpstr>6.1</vt:lpstr>
      <vt:lpstr>6.2</vt:lpstr>
      <vt:lpstr>6.3</vt:lpstr>
      <vt:lpstr>6.4</vt:lpstr>
      <vt:lpstr>6.5</vt:lpstr>
      <vt:lpstr>6.8</vt:lpstr>
      <vt:lpstr>6.9</vt:lpstr>
      <vt:lpstr>6.11</vt:lpstr>
      <vt:lpstr>6.12</vt:lpstr>
      <vt:lpstr>6.13</vt:lpstr>
      <vt:lpstr>6.14</vt:lpstr>
      <vt:lpstr>6.15</vt:lpstr>
      <vt:lpstr>6.16</vt:lpstr>
      <vt:lpstr>6.17</vt:lpstr>
      <vt:lpstr>6.18</vt:lpstr>
      <vt:lpstr>6.19</vt:lpstr>
      <vt:lpstr>6.20</vt:lpstr>
      <vt:lpstr>6.21</vt:lpstr>
      <vt:lpstr>6.22</vt:lpstr>
      <vt:lpstr>6.23</vt:lpstr>
      <vt:lpstr>6.24</vt:lpstr>
      <vt:lpstr>6.25</vt:lpstr>
      <vt:lpstr>6.26</vt:lpstr>
      <vt:lpstr>6.27</vt:lpstr>
      <vt:lpstr>6.28</vt:lpstr>
      <vt:lpstr>6.29</vt:lpstr>
      <vt:lpstr>6.30</vt:lpstr>
      <vt:lpstr>7.01</vt:lpstr>
      <vt:lpstr>7.02</vt:lpstr>
      <vt:lpstr>7.03</vt:lpstr>
      <vt:lpstr>7.04</vt:lpstr>
      <vt:lpstr>7.05</vt:lpstr>
      <vt:lpstr>7.06</vt:lpstr>
      <vt:lpstr>7.07</vt:lpstr>
      <vt:lpstr>7.08</vt:lpstr>
      <vt:lpstr>7.09</vt:lpstr>
      <vt:lpstr>7.10</vt:lpstr>
      <vt:lpstr>7.11</vt:lpstr>
      <vt:lpstr>7.12</vt:lpstr>
      <vt:lpstr>7.13</vt:lpstr>
      <vt:lpstr>7.14</vt:lpstr>
      <vt:lpstr>7.15</vt:lpstr>
      <vt:lpstr>7.16</vt:lpstr>
      <vt:lpstr>7.17</vt:lpstr>
      <vt:lpstr>7.18</vt:lpstr>
      <vt:lpstr>7.19</vt:lpstr>
      <vt:lpstr>7.20</vt:lpstr>
      <vt:lpstr>7.21</vt:lpstr>
      <vt:lpstr>7.22</vt:lpstr>
      <vt:lpstr>7.23</vt:lpstr>
      <vt:lpstr>7.24</vt:lpstr>
      <vt:lpstr>7.25</vt:lpstr>
      <vt:lpstr>7.26</vt:lpstr>
      <vt:lpstr>7.27</vt:lpstr>
      <vt:lpstr>7.28</vt:lpstr>
      <vt:lpstr>7.29</vt:lpstr>
      <vt:lpstr>7.30</vt:lpstr>
      <vt:lpstr>7.31</vt:lpstr>
      <vt:lpstr>8.1</vt:lpstr>
      <vt:lpstr>8.2</vt:lpstr>
      <vt:lpstr>8.3</vt:lpstr>
      <vt:lpstr>8.4</vt:lpstr>
      <vt:lpstr>8.5</vt:lpstr>
      <vt:lpstr>8.6</vt:lpstr>
      <vt:lpstr>8.7</vt:lpstr>
      <vt:lpstr>8.8</vt:lpstr>
      <vt:lpstr>8.9</vt:lpstr>
      <vt:lpstr>8.10</vt:lpstr>
      <vt:lpstr>8.11</vt:lpstr>
      <vt:lpstr>8.12</vt:lpstr>
      <vt:lpstr>8.13</vt:lpstr>
      <vt:lpstr>8.14</vt:lpstr>
      <vt:lpstr>8.15</vt:lpstr>
      <vt:lpstr>8.16</vt:lpstr>
      <vt:lpstr>8.17</vt:lpstr>
      <vt:lpstr>8.18</vt:lpstr>
      <vt:lpstr>8.19</vt:lpstr>
      <vt:lpstr>8.20</vt:lpstr>
      <vt:lpstr>8.21</vt:lpstr>
      <vt:lpstr>8.22</vt:lpstr>
      <vt:lpstr>8.23</vt:lpstr>
      <vt:lpstr>8.24</vt:lpstr>
      <vt:lpstr>8.25</vt:lpstr>
      <vt:lpstr>8.26</vt:lpstr>
      <vt:lpstr>8.27</vt:lpstr>
      <vt:lpstr>8.28</vt:lpstr>
      <vt:lpstr>8.29</vt:lpstr>
      <vt:lpstr>8.30</vt:lpstr>
      <vt:lpstr>8.31</vt:lpstr>
      <vt:lpstr>9.01</vt:lpstr>
      <vt:lpstr>9.02</vt:lpstr>
      <vt:lpstr>9.03</vt:lpstr>
      <vt:lpstr>9.04</vt:lpstr>
      <vt:lpstr>9.05</vt:lpstr>
      <vt:lpstr>9.06</vt:lpstr>
      <vt:lpstr>9.07</vt:lpstr>
      <vt:lpstr>9.08</vt:lpstr>
      <vt:lpstr>9.09</vt:lpstr>
      <vt:lpstr>9.10</vt:lpstr>
      <vt:lpstr>9.11</vt:lpstr>
      <vt:lpstr>9.12</vt:lpstr>
      <vt:lpstr>9.13</vt:lpstr>
      <vt:lpstr>9.14</vt:lpstr>
      <vt:lpstr>9.15</vt:lpstr>
      <vt:lpstr>9.16</vt:lpstr>
      <vt:lpstr>9.17</vt:lpstr>
      <vt:lpstr>9.18</vt:lpstr>
      <vt:lpstr>9.19</vt:lpstr>
      <vt:lpstr>9.20</vt:lpstr>
      <vt:lpstr>9.21</vt:lpstr>
      <vt:lpstr>9.22</vt:lpstr>
      <vt:lpstr>9.23</vt:lpstr>
      <vt:lpstr>9.24</vt:lpstr>
      <vt:lpstr>9.25</vt:lpstr>
      <vt:lpstr>9.27</vt:lpstr>
      <vt:lpstr>9.26</vt:lpstr>
      <vt:lpstr>9.28</vt:lpstr>
      <vt:lpstr>9.29</vt:lpstr>
      <vt:lpstr>9.30</vt:lpstr>
      <vt:lpstr>10.01</vt:lpstr>
      <vt:lpstr>10.02</vt:lpstr>
      <vt:lpstr>10.03</vt:lpstr>
      <vt:lpstr>10.04</vt:lpstr>
      <vt:lpstr>10.05</vt:lpstr>
      <vt:lpstr>10.06</vt:lpstr>
      <vt:lpstr>10.07</vt:lpstr>
      <vt:lpstr>10.08</vt:lpstr>
      <vt:lpstr>10.09</vt:lpstr>
      <vt:lpstr>10.10</vt:lpstr>
      <vt:lpstr>10.11</vt:lpstr>
      <vt:lpstr>10.12</vt:lpstr>
      <vt:lpstr>10.13</vt:lpstr>
      <vt:lpstr>10.14</vt:lpstr>
      <vt:lpstr>10.15</vt:lpstr>
      <vt:lpstr>10.16</vt:lpstr>
      <vt:lpstr>10.17</vt:lpstr>
      <vt:lpstr>10.18</vt:lpstr>
      <vt:lpstr>10.19</vt:lpstr>
      <vt:lpstr>10.20</vt:lpstr>
      <vt:lpstr>10.21</vt:lpstr>
      <vt:lpstr>10.22</vt:lpstr>
      <vt:lpstr>10.23</vt:lpstr>
      <vt:lpstr>10.24</vt:lpstr>
      <vt:lpstr>10.25</vt:lpstr>
      <vt:lpstr>10.26</vt:lpstr>
      <vt:lpstr>10.27</vt:lpstr>
      <vt:lpstr>10.28</vt:lpstr>
      <vt:lpstr>10.29</vt:lpstr>
      <vt:lpstr>10.30</vt:lpstr>
      <vt:lpstr>10.31</vt:lpstr>
      <vt:lpstr>11.1</vt:lpstr>
      <vt:lpstr>11.2</vt:lpstr>
      <vt:lpstr>11.3</vt:lpstr>
      <vt:lpstr>11.4</vt:lpstr>
      <vt:lpstr>11.5</vt:lpstr>
      <vt:lpstr>11.6</vt:lpstr>
      <vt:lpstr>11.7</vt:lpstr>
      <vt:lpstr>11.8</vt:lpstr>
      <vt:lpstr>11.9</vt:lpstr>
      <vt:lpstr>11.10</vt:lpstr>
      <vt:lpstr>11.11</vt:lpstr>
      <vt:lpstr>11.12</vt:lpstr>
      <vt:lpstr>11.13</vt:lpstr>
      <vt:lpstr>11.14</vt:lpstr>
      <vt:lpstr>11.15</vt:lpstr>
      <vt:lpstr>11.16</vt:lpstr>
      <vt:lpstr>11.17</vt:lpstr>
      <vt:lpstr>11.18</vt:lpstr>
      <vt:lpstr>11.19</vt:lpstr>
      <vt:lpstr>11.20</vt:lpstr>
      <vt:lpstr>11.21</vt:lpstr>
      <vt:lpstr>11.22</vt:lpstr>
      <vt:lpstr>11.23</vt:lpstr>
      <vt:lpstr>11.24</vt:lpstr>
      <vt:lpstr>11.26</vt:lpstr>
      <vt:lpstr>11.27</vt:lpstr>
      <vt:lpstr>11.28</vt:lpstr>
      <vt:lpstr>11.29</vt:lpstr>
      <vt:lpstr>11.30</vt:lpstr>
      <vt:lpstr>12.1</vt:lpstr>
      <vt:lpstr>12.2</vt:lpstr>
      <vt:lpstr>12.3</vt:lpstr>
      <vt:lpstr>12.4</vt:lpstr>
      <vt:lpstr>12.5</vt:lpstr>
      <vt:lpstr>12.6</vt:lpstr>
      <vt:lpstr>12.7</vt:lpstr>
      <vt:lpstr>12.8</vt:lpstr>
      <vt:lpstr>12.9</vt:lpstr>
      <vt:lpstr>12.10</vt:lpstr>
      <vt:lpstr>12.11</vt:lpstr>
      <vt:lpstr>12.12</vt:lpstr>
      <vt:lpstr>12.13</vt:lpstr>
      <vt:lpstr>12.14</vt:lpstr>
      <vt:lpstr>12.15</vt:lpstr>
      <vt:lpstr>12.16</vt:lpstr>
      <vt:lpstr>12.17</vt:lpstr>
      <vt:lpstr>12.18</vt:lpstr>
      <vt:lpstr>12.19</vt:lpstr>
      <vt:lpstr>12.20</vt:lpstr>
      <vt:lpstr>12.21</vt:lpstr>
      <vt:lpstr>12.22</vt:lpstr>
      <vt:lpstr>12.23</vt:lpstr>
      <vt:lpstr>12.24</vt:lpstr>
      <vt:lpstr>12.26</vt:lpstr>
      <vt:lpstr>12.27</vt:lpstr>
      <vt:lpstr>12.28</vt:lpstr>
      <vt:lpstr>12.29</vt:lpstr>
      <vt:lpstr>12.30</vt:lpstr>
      <vt:lpstr>12.31</vt:lpstr>
      <vt:lpstr>1.1.22</vt:lpstr>
      <vt:lpstr>1.2.22</vt:lpstr>
      <vt:lpstr>1.3.22</vt:lpstr>
      <vt:lpstr>1.4.22</vt:lpstr>
      <vt:lpstr>1.5</vt:lpstr>
      <vt:lpstr>1.6</vt:lpstr>
      <vt:lpstr>1.7</vt:lpstr>
      <vt:lpstr>1.8</vt:lpstr>
      <vt:lpstr>1.9</vt:lpstr>
      <vt:lpstr>1.10</vt:lpstr>
      <vt:lpstr>1.11</vt:lpstr>
      <vt:lpstr>1.12</vt:lpstr>
      <vt:lpstr>1.13</vt:lpstr>
      <vt:lpstr>1.14</vt:lpstr>
      <vt:lpstr>1.15</vt:lpstr>
      <vt:lpstr>1.16</vt:lpstr>
      <vt:lpstr>1.17</vt:lpstr>
      <vt:lpstr>1.18</vt:lpstr>
      <vt:lpstr>1.19</vt:lpstr>
      <vt:lpstr>1.20</vt:lpstr>
      <vt:lpstr>1.21</vt:lpstr>
      <vt:lpstr>1.22</vt:lpstr>
      <vt:lpstr>1.23</vt:lpstr>
      <vt:lpstr>1.24</vt:lpstr>
      <vt:lpstr>1.25</vt:lpstr>
      <vt:lpstr>1.26</vt:lpstr>
      <vt:lpstr>1.27</vt:lpstr>
      <vt:lpstr>1.28</vt:lpstr>
      <vt:lpstr>1.29</vt:lpstr>
      <vt:lpstr>1.30</vt:lpstr>
      <vt:lpstr>1.31</vt:lpstr>
      <vt:lpstr>2.1</vt:lpstr>
      <vt:lpstr>2.2</vt:lpstr>
      <vt:lpstr>2.3</vt:lpstr>
      <vt:lpstr>2.4</vt:lpstr>
      <vt:lpstr>2.5</vt:lpstr>
      <vt:lpstr>2.6</vt:lpstr>
      <vt:lpstr>2.7</vt:lpstr>
      <vt:lpstr>2.8</vt:lpstr>
      <vt:lpstr>2.9</vt:lpstr>
      <vt:lpstr>2.10</vt:lpstr>
      <vt:lpstr>2.11</vt:lpstr>
      <vt:lpstr>2.12</vt:lpstr>
      <vt:lpstr>2.13</vt:lpstr>
      <vt:lpstr>2.14</vt:lpstr>
      <vt:lpstr>2.15</vt:lpstr>
      <vt:lpstr>2.16</vt:lpstr>
      <vt:lpstr>2.17</vt:lpstr>
      <vt:lpstr>2.18</vt:lpstr>
      <vt:lpstr>2.19</vt:lpstr>
      <vt:lpstr>2.20</vt:lpstr>
      <vt:lpstr>2.21</vt:lpstr>
      <vt:lpstr>2.22</vt:lpstr>
      <vt:lpstr>2.23</vt:lpstr>
      <vt:lpstr>2.24</vt:lpstr>
      <vt:lpstr>2.25</vt:lpstr>
      <vt:lpstr>2.26</vt:lpstr>
      <vt:lpstr>2.27</vt:lpstr>
      <vt:lpstr>2.28</vt:lpstr>
      <vt:lpstr>3.01</vt:lpstr>
      <vt:lpstr>3.02</vt:lpstr>
      <vt:lpstr>3.03</vt:lpstr>
      <vt:lpstr>3.04</vt:lpstr>
      <vt:lpstr>3.5</vt:lpstr>
      <vt:lpstr>3.6</vt:lpstr>
      <vt:lpstr>3.7</vt:lpstr>
      <vt:lpstr>3.8</vt:lpstr>
      <vt:lpstr>3.9</vt:lpstr>
      <vt:lpstr>3.10</vt:lpstr>
      <vt:lpstr>3.11</vt:lpstr>
      <vt:lpstr>3.12</vt:lpstr>
      <vt:lpstr>3.13</vt:lpstr>
      <vt:lpstr>3.14</vt:lpstr>
      <vt:lpstr>3.15</vt:lpstr>
      <vt:lpstr>3.16</vt:lpstr>
      <vt:lpstr>3.17</vt:lpstr>
      <vt:lpstr>3.18</vt:lpstr>
      <vt:lpstr>3.19</vt:lpstr>
      <vt:lpstr>3.20</vt:lpstr>
      <vt:lpstr>3.21</vt:lpstr>
      <vt:lpstr>3.22</vt:lpstr>
      <vt:lpstr>3.23</vt:lpstr>
      <vt:lpstr>3.24</vt:lpstr>
      <vt:lpstr>3.25</vt:lpstr>
      <vt:lpstr>3.26</vt:lpstr>
      <vt:lpstr>3.27</vt:lpstr>
      <vt:lpstr>3.28</vt:lpstr>
      <vt:lpstr>3.29</vt:lpstr>
      <vt:lpstr>3.30</vt:lpstr>
      <vt:lpstr>3.31</vt:lpstr>
      <vt:lpstr>4.1</vt:lpstr>
      <vt:lpstr>4.2</vt:lpstr>
      <vt:lpstr>4.3</vt:lpstr>
      <vt:lpstr>4.4</vt:lpstr>
      <vt:lpstr>4.5</vt:lpstr>
      <vt:lpstr>4.6</vt:lpstr>
      <vt:lpstr>4.7</vt:lpstr>
      <vt:lpstr>4.8</vt:lpstr>
      <vt:lpstr>4.9</vt:lpstr>
      <vt:lpstr>4.10</vt:lpstr>
      <vt:lpstr>4.11</vt:lpstr>
      <vt:lpstr>4.12</vt:lpstr>
      <vt:lpstr>4.13</vt:lpstr>
      <vt:lpstr>4.14</vt:lpstr>
      <vt:lpstr>4.15</vt:lpstr>
      <vt:lpstr>4.16</vt:lpstr>
      <vt:lpstr>4.17</vt:lpstr>
      <vt:lpstr>4.18</vt:lpstr>
      <vt:lpstr>4.19</vt:lpstr>
      <vt:lpstr>4.20</vt:lpstr>
      <vt:lpstr>4.21</vt:lpstr>
      <vt:lpstr>4.22</vt:lpstr>
      <vt:lpstr>4.23</vt:lpstr>
      <vt:lpstr>4.24</vt:lpstr>
      <vt:lpstr>4.25</vt:lpstr>
      <vt:lpstr>4.26</vt:lpstr>
      <vt:lpstr>4.27</vt:lpstr>
      <vt:lpstr>4.28</vt:lpstr>
      <vt:lpstr>4.29</vt:lpstr>
      <vt:lpstr>4.30</vt:lpstr>
      <vt:lpstr>5.1</vt:lpstr>
      <vt:lpstr>5.2</vt:lpstr>
      <vt:lpstr>5.3</vt:lpstr>
      <vt:lpstr>5.4</vt:lpstr>
      <vt:lpstr>5.5</vt:lpstr>
      <vt:lpstr>5.6</vt:lpstr>
      <vt:lpstr>5.7</vt:lpstr>
      <vt:lpstr>5.8</vt:lpstr>
      <vt:lpstr>5.9</vt:lpstr>
      <vt:lpstr>5.10</vt:lpstr>
      <vt:lpstr>5.11</vt:lpstr>
      <vt:lpstr>5.12</vt:lpstr>
      <vt:lpstr>5.13</vt:lpstr>
      <vt:lpstr>5.14</vt:lpstr>
      <vt:lpstr>5.15</vt:lpstr>
      <vt:lpstr>5.16</vt:lpstr>
      <vt:lpstr>5.17</vt:lpstr>
      <vt:lpstr>5.18</vt:lpstr>
      <vt:lpstr>5.19</vt:lpstr>
      <vt:lpstr>5.20</vt:lpstr>
      <vt:lpstr>5.21</vt:lpstr>
      <vt:lpstr>5.22</vt:lpstr>
      <vt:lpstr>5.23</vt:lpstr>
      <vt:lpstr>5.24</vt:lpstr>
      <vt:lpstr>5.25</vt:lpstr>
      <vt:lpstr>5.26</vt:lpstr>
      <vt:lpstr>5.27</vt:lpstr>
      <vt:lpstr>5.28</vt:lpstr>
      <vt:lpstr>5.29</vt:lpstr>
      <vt:lpstr>5.30</vt:lpstr>
      <vt:lpstr>5.31</vt:lpstr>
      <vt:lpstr>6.1.22</vt:lpstr>
      <vt:lpstr>6.2.22</vt:lpstr>
      <vt:lpstr>6.3.22</vt:lpstr>
      <vt:lpstr>6.4.22</vt:lpstr>
      <vt:lpstr>6.5.22</vt:lpstr>
      <vt:lpstr>6.6.22</vt:lpstr>
      <vt:lpstr>6.7.22</vt:lpstr>
      <vt:lpstr>6.8.22</vt:lpstr>
      <vt:lpstr>6.9.22</vt:lpstr>
      <vt:lpstr>6.10.22</vt:lpstr>
      <vt:lpstr>6.11.22</vt:lpstr>
      <vt:lpstr>6.12.22</vt:lpstr>
      <vt:lpstr>6.13.22</vt:lpstr>
      <vt:lpstr>6.14.22</vt:lpstr>
      <vt:lpstr>6.15.22</vt:lpstr>
      <vt:lpstr>6.16.22</vt:lpstr>
      <vt:lpstr>6.17.22</vt:lpstr>
      <vt:lpstr>6.18.22</vt:lpstr>
      <vt:lpstr>6.19.22</vt:lpstr>
      <vt:lpstr>6.20.22</vt:lpstr>
      <vt:lpstr>6.21.22</vt:lpstr>
      <vt:lpstr>6.22.22</vt:lpstr>
      <vt:lpstr>6.23.22</vt:lpstr>
      <vt:lpstr>6.24.22</vt:lpstr>
      <vt:lpstr>6.25.22</vt:lpstr>
      <vt:lpstr>6.26.22</vt:lpstr>
      <vt:lpstr>6.27.22</vt:lpstr>
      <vt:lpstr>6.28.22</vt:lpstr>
      <vt:lpstr>6.29.22</vt:lpstr>
      <vt:lpstr>6.30.22</vt:lpstr>
      <vt:lpstr>7.1.22</vt:lpstr>
      <vt:lpstr>7.2.22</vt:lpstr>
      <vt:lpstr>7.3.22</vt:lpstr>
      <vt:lpstr>7.4.22</vt:lpstr>
      <vt:lpstr>7.5.22</vt:lpstr>
      <vt:lpstr>7.6.22</vt:lpstr>
      <vt:lpstr>7.7.22</vt:lpstr>
      <vt:lpstr>7.8.22</vt:lpstr>
      <vt:lpstr>7.9.22</vt:lpstr>
      <vt:lpstr>7.10.22</vt:lpstr>
      <vt:lpstr>7.11.22</vt:lpstr>
      <vt:lpstr>7.12.22</vt:lpstr>
      <vt:lpstr>7.13.22</vt:lpstr>
      <vt:lpstr>7.14.22</vt:lpstr>
      <vt:lpstr>7.15.22</vt:lpstr>
      <vt:lpstr>7.16.22</vt:lpstr>
      <vt:lpstr>7.17.22</vt:lpstr>
      <vt:lpstr>7.18.22</vt:lpstr>
      <vt:lpstr>7.19.22</vt:lpstr>
      <vt:lpstr>7.20.22</vt:lpstr>
      <vt:lpstr>7.21.22</vt:lpstr>
      <vt:lpstr>7.22.22</vt:lpstr>
      <vt:lpstr>7.23.22</vt:lpstr>
      <vt:lpstr>7.24.22</vt:lpstr>
      <vt:lpstr>7.25.22</vt:lpstr>
      <vt:lpstr>7.26.22</vt:lpstr>
      <vt:lpstr>7.27.22</vt:lpstr>
      <vt:lpstr>7.28.22</vt:lpstr>
      <vt:lpstr>7.29.22</vt:lpstr>
      <vt:lpstr>7.30.22</vt:lpstr>
      <vt:lpstr>7.31.22</vt:lpstr>
      <vt:lpstr>8.1.22</vt:lpstr>
      <vt:lpstr>8.2.22</vt:lpstr>
      <vt:lpstr>8.3.22</vt:lpstr>
      <vt:lpstr>8.4.22</vt:lpstr>
      <vt:lpstr>8.5.22</vt:lpstr>
      <vt:lpstr>8.6.22</vt:lpstr>
      <vt:lpstr>8.7.22</vt:lpstr>
      <vt:lpstr>8.8.22</vt:lpstr>
      <vt:lpstr>8.9.22</vt:lpstr>
      <vt:lpstr>8.10.22</vt:lpstr>
      <vt:lpstr>8.11.22</vt:lpstr>
      <vt:lpstr>8.12.22</vt:lpstr>
      <vt:lpstr>8.13.22</vt:lpstr>
      <vt:lpstr>8.14.22</vt:lpstr>
      <vt:lpstr>8.15.22</vt:lpstr>
      <vt:lpstr>8.16.22</vt:lpstr>
      <vt:lpstr>8.17.22 </vt:lpstr>
      <vt:lpstr>8.18.22</vt:lpstr>
      <vt:lpstr>8.19.22</vt:lpstr>
      <vt:lpstr>8.20.22</vt:lpstr>
      <vt:lpstr>8.21.22</vt:lpstr>
      <vt:lpstr>8.22.22</vt:lpstr>
      <vt:lpstr>8.23.22</vt:lpstr>
      <vt:lpstr>8.24.22</vt:lpstr>
      <vt:lpstr>8.25.22</vt:lpstr>
      <vt:lpstr>8.26.22</vt:lpstr>
      <vt:lpstr>8.27.22</vt:lpstr>
      <vt:lpstr>8.28.22</vt:lpstr>
      <vt:lpstr>8.29.22</vt:lpstr>
      <vt:lpstr>8.30.22</vt:lpstr>
      <vt:lpstr>8.31.22</vt:lpstr>
      <vt:lpstr>9.1.22</vt:lpstr>
      <vt:lpstr>9.2.22</vt:lpstr>
      <vt:lpstr>9.3.22</vt:lpstr>
      <vt:lpstr>9.4.22</vt:lpstr>
      <vt:lpstr>9.5.22</vt:lpstr>
      <vt:lpstr>9.6.22</vt:lpstr>
      <vt:lpstr>9.7.22</vt:lpstr>
      <vt:lpstr>9.8.22</vt:lpstr>
      <vt:lpstr>9.9.22</vt:lpstr>
      <vt:lpstr>9.10.22</vt:lpstr>
      <vt:lpstr>9.11.22</vt:lpstr>
      <vt:lpstr>9.12.22</vt:lpstr>
      <vt:lpstr>9.13.22</vt:lpstr>
      <vt:lpstr>9.14.2022</vt:lpstr>
      <vt:lpstr>9.15.2022 </vt:lpstr>
      <vt:lpstr>9.16.2022</vt:lpstr>
      <vt:lpstr>9.17.2022</vt:lpstr>
      <vt:lpstr>9.18.2022</vt:lpstr>
      <vt:lpstr>9.19.2022</vt:lpstr>
      <vt:lpstr>9.20.2022</vt:lpstr>
      <vt:lpstr>9.21.2022</vt:lpstr>
      <vt:lpstr>9.22.2022</vt:lpstr>
      <vt:lpstr>9.23.2022</vt:lpstr>
      <vt:lpstr>9.26.2022</vt:lpstr>
      <vt:lpstr>9.27.2022</vt:lpstr>
      <vt:lpstr>9.28.2022</vt:lpstr>
      <vt:lpstr>9.29.2022</vt:lpstr>
      <vt:lpstr>9.30.2022</vt:lpstr>
      <vt:lpstr>10.1.2022</vt:lpstr>
      <vt:lpstr>10.2.2022</vt:lpstr>
      <vt:lpstr>10.3.2022</vt:lpstr>
      <vt:lpstr>10.4.2022</vt:lpstr>
      <vt:lpstr>10.5.2022</vt:lpstr>
      <vt:lpstr>10.6.2022</vt:lpstr>
      <vt:lpstr>10.7.2022</vt:lpstr>
      <vt:lpstr>10.8.2022</vt:lpstr>
      <vt:lpstr>10.9.2022</vt:lpstr>
      <vt:lpstr>10.10.2022</vt:lpstr>
      <vt:lpstr>10.11.2022</vt:lpstr>
      <vt:lpstr>10.12.2022</vt:lpstr>
      <vt:lpstr>10.13.2022</vt:lpstr>
      <vt:lpstr>10.14.2022</vt:lpstr>
      <vt:lpstr>10.15.2022</vt:lpstr>
      <vt:lpstr>10.16.2022</vt:lpstr>
      <vt:lpstr>10.17.2022</vt:lpstr>
      <vt:lpstr>10.18.2022</vt:lpstr>
      <vt:lpstr>10.19.2022</vt:lpstr>
      <vt:lpstr>10.20.2022</vt:lpstr>
      <vt:lpstr>10.21.2022</vt:lpstr>
      <vt:lpstr>10.22.2022</vt:lpstr>
      <vt:lpstr>10.23.2022</vt:lpstr>
      <vt:lpstr>10.24.2022</vt:lpstr>
      <vt:lpstr>'1.1.22'!Print_Area</vt:lpstr>
      <vt:lpstr>'1.10'!Print_Area</vt:lpstr>
      <vt:lpstr>'1.11'!Print_Area</vt:lpstr>
      <vt:lpstr>'1.12'!Print_Area</vt:lpstr>
      <vt:lpstr>'1.13'!Print_Area</vt:lpstr>
      <vt:lpstr>'1.14'!Print_Area</vt:lpstr>
      <vt:lpstr>'1.15'!Print_Area</vt:lpstr>
      <vt:lpstr>'1.16'!Print_Area</vt:lpstr>
      <vt:lpstr>'1.17'!Print_Area</vt:lpstr>
      <vt:lpstr>'1.18'!Print_Area</vt:lpstr>
      <vt:lpstr>'1.19'!Print_Area</vt:lpstr>
      <vt:lpstr>'1.2.22'!Print_Area</vt:lpstr>
      <vt:lpstr>'1.20'!Print_Area</vt:lpstr>
      <vt:lpstr>'1.21'!Print_Area</vt:lpstr>
      <vt:lpstr>'1.22'!Print_Area</vt:lpstr>
      <vt:lpstr>'1.23'!Print_Area</vt:lpstr>
      <vt:lpstr>'1.24'!Print_Area</vt:lpstr>
      <vt:lpstr>'1.25'!Print_Area</vt:lpstr>
      <vt:lpstr>'1.26'!Print_Area</vt:lpstr>
      <vt:lpstr>'1.27'!Print_Area</vt:lpstr>
      <vt:lpstr>'1.28'!Print_Area</vt:lpstr>
      <vt:lpstr>'1.29'!Print_Area</vt:lpstr>
      <vt:lpstr>'1.3.22'!Print_Area</vt:lpstr>
      <vt:lpstr>'1.30'!Print_Area</vt:lpstr>
      <vt:lpstr>'1.31'!Print_Area</vt:lpstr>
      <vt:lpstr>'1.4.22'!Print_Area</vt:lpstr>
      <vt:lpstr>'1.5'!Print_Area</vt:lpstr>
      <vt:lpstr>'1.6'!Print_Area</vt:lpstr>
      <vt:lpstr>'1.7'!Print_Area</vt:lpstr>
      <vt:lpstr>'1.8'!Print_Area</vt:lpstr>
      <vt:lpstr>'1.9'!Print_Area</vt:lpstr>
      <vt:lpstr>'10.01'!Print_Area</vt:lpstr>
      <vt:lpstr>'10.02'!Print_Area</vt:lpstr>
      <vt:lpstr>'10.03'!Print_Area</vt:lpstr>
      <vt:lpstr>'10.04'!Print_Area</vt:lpstr>
      <vt:lpstr>'10.05'!Print_Area</vt:lpstr>
      <vt:lpstr>'10.06'!Print_Area</vt:lpstr>
      <vt:lpstr>'10.07'!Print_Area</vt:lpstr>
      <vt:lpstr>'10.08'!Print_Area</vt:lpstr>
      <vt:lpstr>'10.09'!Print_Area</vt:lpstr>
      <vt:lpstr>'10.1.2022'!Print_Area</vt:lpstr>
      <vt:lpstr>'10.10'!Print_Area</vt:lpstr>
      <vt:lpstr>'10.10.2022'!Print_Area</vt:lpstr>
      <vt:lpstr>'10.11'!Print_Area</vt:lpstr>
      <vt:lpstr>'10.11.2022'!Print_Area</vt:lpstr>
      <vt:lpstr>'10.12'!Print_Area</vt:lpstr>
      <vt:lpstr>'10.12.2022'!Print_Area</vt:lpstr>
      <vt:lpstr>'10.13'!Print_Area</vt:lpstr>
      <vt:lpstr>'10.13.2022'!Print_Area</vt:lpstr>
      <vt:lpstr>'10.14'!Print_Area</vt:lpstr>
      <vt:lpstr>'10.14.2022'!Print_Area</vt:lpstr>
      <vt:lpstr>'10.15'!Print_Area</vt:lpstr>
      <vt:lpstr>'10.15.2022'!Print_Area</vt:lpstr>
      <vt:lpstr>'10.16'!Print_Area</vt:lpstr>
      <vt:lpstr>'10.16.2022'!Print_Area</vt:lpstr>
      <vt:lpstr>'10.17'!Print_Area</vt:lpstr>
      <vt:lpstr>'10.17.2022'!Print_Area</vt:lpstr>
      <vt:lpstr>'10.18'!Print_Area</vt:lpstr>
      <vt:lpstr>'10.18.2022'!Print_Area</vt:lpstr>
      <vt:lpstr>'10.19'!Print_Area</vt:lpstr>
      <vt:lpstr>'10.19.2022'!Print_Area</vt:lpstr>
      <vt:lpstr>'10.2.2022'!Print_Area</vt:lpstr>
      <vt:lpstr>'10.20'!Print_Area</vt:lpstr>
      <vt:lpstr>'10.20.2022'!Print_Area</vt:lpstr>
      <vt:lpstr>'10.21'!Print_Area</vt:lpstr>
      <vt:lpstr>'10.21.2022'!Print_Area</vt:lpstr>
      <vt:lpstr>'10.22'!Print_Area</vt:lpstr>
      <vt:lpstr>'10.22.2022'!Print_Area</vt:lpstr>
      <vt:lpstr>'10.23'!Print_Area</vt:lpstr>
      <vt:lpstr>'10.23.2022'!Print_Area</vt:lpstr>
      <vt:lpstr>'10.24'!Print_Area</vt:lpstr>
      <vt:lpstr>'10.24.2022'!Print_Area</vt:lpstr>
      <vt:lpstr>'10.25'!Print_Area</vt:lpstr>
      <vt:lpstr>'10.26'!Print_Area</vt:lpstr>
      <vt:lpstr>'10.27'!Print_Area</vt:lpstr>
      <vt:lpstr>'10.28'!Print_Area</vt:lpstr>
      <vt:lpstr>'10.29'!Print_Area</vt:lpstr>
      <vt:lpstr>'10.3.2022'!Print_Area</vt:lpstr>
      <vt:lpstr>'10.30'!Print_Area</vt:lpstr>
      <vt:lpstr>'10.31'!Print_Area</vt:lpstr>
      <vt:lpstr>'10.4.2022'!Print_Area</vt:lpstr>
      <vt:lpstr>'10.5.2022'!Print_Area</vt:lpstr>
      <vt:lpstr>'10.6.2022'!Print_Area</vt:lpstr>
      <vt:lpstr>'10.7.2022'!Print_Area</vt:lpstr>
      <vt:lpstr>'10.8.2022'!Print_Area</vt:lpstr>
      <vt:lpstr>'10.9.2022'!Print_Area</vt:lpstr>
      <vt:lpstr>'11.1'!Print_Area</vt:lpstr>
      <vt:lpstr>'11.10'!Print_Area</vt:lpstr>
      <vt:lpstr>'11.11'!Print_Area</vt:lpstr>
      <vt:lpstr>'11.12'!Print_Area</vt:lpstr>
      <vt:lpstr>'11.13'!Print_Area</vt:lpstr>
      <vt:lpstr>'11.14'!Print_Area</vt:lpstr>
      <vt:lpstr>'11.15'!Print_Area</vt:lpstr>
      <vt:lpstr>'11.16'!Print_Area</vt:lpstr>
      <vt:lpstr>'11.17'!Print_Area</vt:lpstr>
      <vt:lpstr>'11.18'!Print_Area</vt:lpstr>
      <vt:lpstr>'11.19'!Print_Area</vt:lpstr>
      <vt:lpstr>'11.2'!Print_Area</vt:lpstr>
      <vt:lpstr>'11.20'!Print_Area</vt:lpstr>
      <vt:lpstr>'11.21'!Print_Area</vt:lpstr>
      <vt:lpstr>'11.22'!Print_Area</vt:lpstr>
      <vt:lpstr>'11.23'!Print_Area</vt:lpstr>
      <vt:lpstr>'11.24'!Print_Area</vt:lpstr>
      <vt:lpstr>'11.26'!Print_Area</vt:lpstr>
      <vt:lpstr>'11.27'!Print_Area</vt:lpstr>
      <vt:lpstr>'11.28'!Print_Area</vt:lpstr>
      <vt:lpstr>'11.29'!Print_Area</vt:lpstr>
      <vt:lpstr>'11.3'!Print_Area</vt:lpstr>
      <vt:lpstr>'11.30'!Print_Area</vt:lpstr>
      <vt:lpstr>'11.4'!Print_Area</vt:lpstr>
      <vt:lpstr>'11.5'!Print_Area</vt:lpstr>
      <vt:lpstr>'11.6'!Print_Area</vt:lpstr>
      <vt:lpstr>'11.7'!Print_Area</vt:lpstr>
      <vt:lpstr>'11.8'!Print_Area</vt:lpstr>
      <vt:lpstr>'11.9'!Print_Area</vt:lpstr>
      <vt:lpstr>'12.1'!Print_Area</vt:lpstr>
      <vt:lpstr>'12.10'!Print_Area</vt:lpstr>
      <vt:lpstr>'12.11'!Print_Area</vt:lpstr>
      <vt:lpstr>'12.12'!Print_Area</vt:lpstr>
      <vt:lpstr>'12.13'!Print_Area</vt:lpstr>
      <vt:lpstr>'12.14'!Print_Area</vt:lpstr>
      <vt:lpstr>'12.15'!Print_Area</vt:lpstr>
      <vt:lpstr>'12.16'!Print_Area</vt:lpstr>
      <vt:lpstr>'12.17'!Print_Area</vt:lpstr>
      <vt:lpstr>'12.18'!Print_Area</vt:lpstr>
      <vt:lpstr>'12.19'!Print_Area</vt:lpstr>
      <vt:lpstr>'12.2'!Print_Area</vt:lpstr>
      <vt:lpstr>'12.20'!Print_Area</vt:lpstr>
      <vt:lpstr>'12.21'!Print_Area</vt:lpstr>
      <vt:lpstr>'12.22'!Print_Area</vt:lpstr>
      <vt:lpstr>'12.23'!Print_Area</vt:lpstr>
      <vt:lpstr>'12.24'!Print_Area</vt:lpstr>
      <vt:lpstr>'12.26'!Print_Area</vt:lpstr>
      <vt:lpstr>'12.27'!Print_Area</vt:lpstr>
      <vt:lpstr>'12.28'!Print_Area</vt:lpstr>
      <vt:lpstr>'12.29'!Print_Area</vt:lpstr>
      <vt:lpstr>'12.3'!Print_Area</vt:lpstr>
      <vt:lpstr>'12.30'!Print_Area</vt:lpstr>
      <vt:lpstr>'12.31'!Print_Area</vt:lpstr>
      <vt:lpstr>'12.4'!Print_Area</vt:lpstr>
      <vt:lpstr>'12.5'!Print_Area</vt:lpstr>
      <vt:lpstr>'12.6'!Print_Area</vt:lpstr>
      <vt:lpstr>'12.7'!Print_Area</vt:lpstr>
      <vt:lpstr>'12.8'!Print_Area</vt:lpstr>
      <vt:lpstr>'12.9'!Print_Area</vt:lpstr>
      <vt:lpstr>'2.1'!Print_Area</vt:lpstr>
      <vt:lpstr>'2.10'!Print_Area</vt:lpstr>
      <vt:lpstr>'2.11'!Print_Area</vt:lpstr>
      <vt:lpstr>'2.12'!Print_Area</vt:lpstr>
      <vt:lpstr>'2.13'!Print_Area</vt:lpstr>
      <vt:lpstr>'2.14'!Print_Area</vt:lpstr>
      <vt:lpstr>'2.15'!Print_Area</vt:lpstr>
      <vt:lpstr>'2.16'!Print_Area</vt:lpstr>
      <vt:lpstr>'2.17'!Print_Area</vt:lpstr>
      <vt:lpstr>'2.18'!Print_Area</vt:lpstr>
      <vt:lpstr>'2.19'!Print_Area</vt:lpstr>
      <vt:lpstr>'2.2'!Print_Area</vt:lpstr>
      <vt:lpstr>'2.20'!Print_Area</vt:lpstr>
      <vt:lpstr>'2.21'!Print_Area</vt:lpstr>
      <vt:lpstr>'2.22'!Print_Area</vt:lpstr>
      <vt:lpstr>'2.23'!Print_Area</vt:lpstr>
      <vt:lpstr>'2.24'!Print_Area</vt:lpstr>
      <vt:lpstr>'2.25'!Print_Area</vt:lpstr>
      <vt:lpstr>'2.26'!Print_Area</vt:lpstr>
      <vt:lpstr>'2.27'!Print_Area</vt:lpstr>
      <vt:lpstr>'2.28'!Print_Area</vt:lpstr>
      <vt:lpstr>'2.3'!Print_Area</vt:lpstr>
      <vt:lpstr>'2.4'!Print_Area</vt:lpstr>
      <vt:lpstr>'2.5'!Print_Area</vt:lpstr>
      <vt:lpstr>'2.6'!Print_Area</vt:lpstr>
      <vt:lpstr>'2.7'!Print_Area</vt:lpstr>
      <vt:lpstr>'2.8'!Print_Area</vt:lpstr>
      <vt:lpstr>'2.9'!Print_Area</vt:lpstr>
      <vt:lpstr>'3.01'!Print_Area</vt:lpstr>
      <vt:lpstr>'3.02'!Print_Area</vt:lpstr>
      <vt:lpstr>'3.03'!Print_Area</vt:lpstr>
      <vt:lpstr>'3.04'!Print_Area</vt:lpstr>
      <vt:lpstr>'3.10'!Print_Area</vt:lpstr>
      <vt:lpstr>'3.11'!Print_Area</vt:lpstr>
      <vt:lpstr>'3.12'!Print_Area</vt:lpstr>
      <vt:lpstr>'3.13'!Print_Area</vt:lpstr>
      <vt:lpstr>'3.14'!Print_Area</vt:lpstr>
      <vt:lpstr>'3.15'!Print_Area</vt:lpstr>
      <vt:lpstr>'3.16'!Print_Area</vt:lpstr>
      <vt:lpstr>'3.17'!Print_Area</vt:lpstr>
      <vt:lpstr>'3.18'!Print_Area</vt:lpstr>
      <vt:lpstr>'3.19'!Print_Area</vt:lpstr>
      <vt:lpstr>'3.20'!Print_Area</vt:lpstr>
      <vt:lpstr>'3.21'!Print_Area</vt:lpstr>
      <vt:lpstr>'3.22'!Print_Area</vt:lpstr>
      <vt:lpstr>'3.23'!Print_Area</vt:lpstr>
      <vt:lpstr>'3.24'!Print_Area</vt:lpstr>
      <vt:lpstr>'3.25'!Print_Area</vt:lpstr>
      <vt:lpstr>'3.26'!Print_Area</vt:lpstr>
      <vt:lpstr>'3.27'!Print_Area</vt:lpstr>
      <vt:lpstr>'3.28'!Print_Area</vt:lpstr>
      <vt:lpstr>'3.29'!Print_Area</vt:lpstr>
      <vt:lpstr>'3.30'!Print_Area</vt:lpstr>
      <vt:lpstr>'3.31'!Print_Area</vt:lpstr>
      <vt:lpstr>'3.5'!Print_Area</vt:lpstr>
      <vt:lpstr>'3.6'!Print_Area</vt:lpstr>
      <vt:lpstr>'3.7'!Print_Area</vt:lpstr>
      <vt:lpstr>'3.8'!Print_Area</vt:lpstr>
      <vt:lpstr>'3.9'!Print_Area</vt:lpstr>
      <vt:lpstr>'4.1'!Print_Area</vt:lpstr>
      <vt:lpstr>'4.10'!Print_Area</vt:lpstr>
      <vt:lpstr>'4.11'!Print_Area</vt:lpstr>
      <vt:lpstr>'4.12'!Print_Area</vt:lpstr>
      <vt:lpstr>'4.13'!Print_Area</vt:lpstr>
      <vt:lpstr>'4.14'!Print_Area</vt:lpstr>
      <vt:lpstr>'4.15'!Print_Area</vt:lpstr>
      <vt:lpstr>'4.16'!Print_Area</vt:lpstr>
      <vt:lpstr>'4.17'!Print_Area</vt:lpstr>
      <vt:lpstr>'4.18'!Print_Area</vt:lpstr>
      <vt:lpstr>'4.19'!Print_Area</vt:lpstr>
      <vt:lpstr>'4.2'!Print_Area</vt:lpstr>
      <vt:lpstr>'4.20'!Print_Area</vt:lpstr>
      <vt:lpstr>'4.21'!Print_Area</vt:lpstr>
      <vt:lpstr>'4.22'!Print_Area</vt:lpstr>
      <vt:lpstr>'4.23'!Print_Area</vt:lpstr>
      <vt:lpstr>'4.24'!Print_Area</vt:lpstr>
      <vt:lpstr>'4.25'!Print_Area</vt:lpstr>
      <vt:lpstr>'4.26'!Print_Area</vt:lpstr>
      <vt:lpstr>'4.27'!Print_Area</vt:lpstr>
      <vt:lpstr>'4.28'!Print_Area</vt:lpstr>
      <vt:lpstr>'4.29'!Print_Area</vt:lpstr>
      <vt:lpstr>'4.3'!Print_Area</vt:lpstr>
      <vt:lpstr>'4.30'!Print_Area</vt:lpstr>
      <vt:lpstr>'4.4'!Print_Area</vt:lpstr>
      <vt:lpstr>'4.5'!Print_Area</vt:lpstr>
      <vt:lpstr>'4.6'!Print_Area</vt:lpstr>
      <vt:lpstr>'4.7'!Print_Area</vt:lpstr>
      <vt:lpstr>'4.8'!Print_Area</vt:lpstr>
      <vt:lpstr>'4.9'!Print_Area</vt:lpstr>
      <vt:lpstr>'5.1'!Print_Area</vt:lpstr>
      <vt:lpstr>'5.10'!Print_Area</vt:lpstr>
      <vt:lpstr>'5.11'!Print_Area</vt:lpstr>
      <vt:lpstr>'5.12'!Print_Area</vt:lpstr>
      <vt:lpstr>'5.13'!Print_Area</vt:lpstr>
      <vt:lpstr>'5.14'!Print_Area</vt:lpstr>
      <vt:lpstr>'5.15'!Print_Area</vt:lpstr>
      <vt:lpstr>'5.16'!Print_Area</vt:lpstr>
      <vt:lpstr>'5.17'!Print_Area</vt:lpstr>
      <vt:lpstr>'5.18'!Print_Area</vt:lpstr>
      <vt:lpstr>'5.19'!Print_Area</vt:lpstr>
      <vt:lpstr>'5.2'!Print_Area</vt:lpstr>
      <vt:lpstr>'5.20'!Print_Area</vt:lpstr>
      <vt:lpstr>'5.21'!Print_Area</vt:lpstr>
      <vt:lpstr>'5.22'!Print_Area</vt:lpstr>
      <vt:lpstr>'5.23'!Print_Area</vt:lpstr>
      <vt:lpstr>'5.24'!Print_Area</vt:lpstr>
      <vt:lpstr>'5.25'!Print_Area</vt:lpstr>
      <vt:lpstr>'5.26'!Print_Area</vt:lpstr>
      <vt:lpstr>'5.27'!Print_Area</vt:lpstr>
      <vt:lpstr>'5.28'!Print_Area</vt:lpstr>
      <vt:lpstr>'5.29'!Print_Area</vt:lpstr>
      <vt:lpstr>'5.3'!Print_Area</vt:lpstr>
      <vt:lpstr>'5.30'!Print_Area</vt:lpstr>
      <vt:lpstr>'5.31'!Print_Area</vt:lpstr>
      <vt:lpstr>'5.4'!Print_Area</vt:lpstr>
      <vt:lpstr>'5.5'!Print_Area</vt:lpstr>
      <vt:lpstr>'5.6'!Print_Area</vt:lpstr>
      <vt:lpstr>'5.7'!Print_Area</vt:lpstr>
      <vt:lpstr>'5.8'!Print_Area</vt:lpstr>
      <vt:lpstr>'5.9'!Print_Area</vt:lpstr>
      <vt:lpstr>'6.1'!Print_Area</vt:lpstr>
      <vt:lpstr>'6.1.22'!Print_Area</vt:lpstr>
      <vt:lpstr>'6.10.22'!Print_Area</vt:lpstr>
      <vt:lpstr>'6.11'!Print_Area</vt:lpstr>
      <vt:lpstr>'6.11.22'!Print_Area</vt:lpstr>
      <vt:lpstr>'6.12'!Print_Area</vt:lpstr>
      <vt:lpstr>'6.12.22'!Print_Area</vt:lpstr>
      <vt:lpstr>'6.13'!Print_Area</vt:lpstr>
      <vt:lpstr>'6.13.22'!Print_Area</vt:lpstr>
      <vt:lpstr>'6.14'!Print_Area</vt:lpstr>
      <vt:lpstr>'6.14.22'!Print_Area</vt:lpstr>
      <vt:lpstr>'6.15'!Print_Area</vt:lpstr>
      <vt:lpstr>'6.15.22'!Print_Area</vt:lpstr>
      <vt:lpstr>'6.16'!Print_Area</vt:lpstr>
      <vt:lpstr>'6.16.22'!Print_Area</vt:lpstr>
      <vt:lpstr>'6.17'!Print_Area</vt:lpstr>
      <vt:lpstr>'6.17.22'!Print_Area</vt:lpstr>
      <vt:lpstr>'6.18'!Print_Area</vt:lpstr>
      <vt:lpstr>'6.18.22'!Print_Area</vt:lpstr>
      <vt:lpstr>'6.19'!Print_Area</vt:lpstr>
      <vt:lpstr>'6.19.22'!Print_Area</vt:lpstr>
      <vt:lpstr>'6.2'!Print_Area</vt:lpstr>
      <vt:lpstr>'6.2.22'!Print_Area</vt:lpstr>
      <vt:lpstr>'6.20'!Print_Area</vt:lpstr>
      <vt:lpstr>'6.20.22'!Print_Area</vt:lpstr>
      <vt:lpstr>'6.21'!Print_Area</vt:lpstr>
      <vt:lpstr>'6.21.22'!Print_Area</vt:lpstr>
      <vt:lpstr>'6.22'!Print_Area</vt:lpstr>
      <vt:lpstr>'6.22.22'!Print_Area</vt:lpstr>
      <vt:lpstr>'6.23'!Print_Area</vt:lpstr>
      <vt:lpstr>'6.23.22'!Print_Area</vt:lpstr>
      <vt:lpstr>'6.24'!Print_Area</vt:lpstr>
      <vt:lpstr>'6.24.22'!Print_Area</vt:lpstr>
      <vt:lpstr>'6.25'!Print_Area</vt:lpstr>
      <vt:lpstr>'6.25.22'!Print_Area</vt:lpstr>
      <vt:lpstr>'6.26'!Print_Area</vt:lpstr>
      <vt:lpstr>'6.26.22'!Print_Area</vt:lpstr>
      <vt:lpstr>'6.27'!Print_Area</vt:lpstr>
      <vt:lpstr>'6.27.22'!Print_Area</vt:lpstr>
      <vt:lpstr>'6.28'!Print_Area</vt:lpstr>
      <vt:lpstr>'6.28.22'!Print_Area</vt:lpstr>
      <vt:lpstr>'6.29'!Print_Area</vt:lpstr>
      <vt:lpstr>'6.29.22'!Print_Area</vt:lpstr>
      <vt:lpstr>'6.3'!Print_Area</vt:lpstr>
      <vt:lpstr>'6.3.22'!Print_Area</vt:lpstr>
      <vt:lpstr>'6.30'!Print_Area</vt:lpstr>
      <vt:lpstr>'6.30.22'!Print_Area</vt:lpstr>
      <vt:lpstr>'6.4'!Print_Area</vt:lpstr>
      <vt:lpstr>'6.4.22'!Print_Area</vt:lpstr>
      <vt:lpstr>'6.5'!Print_Area</vt:lpstr>
      <vt:lpstr>'6.5.22'!Print_Area</vt:lpstr>
      <vt:lpstr>'6.6.22'!Print_Area</vt:lpstr>
      <vt:lpstr>'6.7.22'!Print_Area</vt:lpstr>
      <vt:lpstr>'6.8'!Print_Area</vt:lpstr>
      <vt:lpstr>'6.8.22'!Print_Area</vt:lpstr>
      <vt:lpstr>'6.9'!Print_Area</vt:lpstr>
      <vt:lpstr>'6.9.22'!Print_Area</vt:lpstr>
      <vt:lpstr>'7.01'!Print_Area</vt:lpstr>
      <vt:lpstr>'7.02'!Print_Area</vt:lpstr>
      <vt:lpstr>'7.03'!Print_Area</vt:lpstr>
      <vt:lpstr>'7.04'!Print_Area</vt:lpstr>
      <vt:lpstr>'7.05'!Print_Area</vt:lpstr>
      <vt:lpstr>'7.06'!Print_Area</vt:lpstr>
      <vt:lpstr>'7.07'!Print_Area</vt:lpstr>
      <vt:lpstr>'7.08'!Print_Area</vt:lpstr>
      <vt:lpstr>'7.09'!Print_Area</vt:lpstr>
      <vt:lpstr>'7.1.22'!Print_Area</vt:lpstr>
      <vt:lpstr>'7.10'!Print_Area</vt:lpstr>
      <vt:lpstr>'7.10.22'!Print_Area</vt:lpstr>
      <vt:lpstr>'7.11'!Print_Area</vt:lpstr>
      <vt:lpstr>'7.11.22'!Print_Area</vt:lpstr>
      <vt:lpstr>'7.12'!Print_Area</vt:lpstr>
      <vt:lpstr>'7.12.22'!Print_Area</vt:lpstr>
      <vt:lpstr>'7.13'!Print_Area</vt:lpstr>
      <vt:lpstr>'7.13.22'!Print_Area</vt:lpstr>
      <vt:lpstr>'7.14'!Print_Area</vt:lpstr>
      <vt:lpstr>'7.14.22'!Print_Area</vt:lpstr>
      <vt:lpstr>'7.15'!Print_Area</vt:lpstr>
      <vt:lpstr>'7.15.22'!Print_Area</vt:lpstr>
      <vt:lpstr>'7.16'!Print_Area</vt:lpstr>
      <vt:lpstr>'7.16.22'!Print_Area</vt:lpstr>
      <vt:lpstr>'7.17'!Print_Area</vt:lpstr>
      <vt:lpstr>'7.17.22'!Print_Area</vt:lpstr>
      <vt:lpstr>'7.18'!Print_Area</vt:lpstr>
      <vt:lpstr>'7.18.22'!Print_Area</vt:lpstr>
      <vt:lpstr>'7.19'!Print_Area</vt:lpstr>
      <vt:lpstr>'7.19.22'!Print_Area</vt:lpstr>
      <vt:lpstr>'7.2.22'!Print_Area</vt:lpstr>
      <vt:lpstr>'7.20'!Print_Area</vt:lpstr>
      <vt:lpstr>'7.20.22'!Print_Area</vt:lpstr>
      <vt:lpstr>'7.21'!Print_Area</vt:lpstr>
      <vt:lpstr>'7.21.22'!Print_Area</vt:lpstr>
      <vt:lpstr>'7.22'!Print_Area</vt:lpstr>
      <vt:lpstr>'7.22.22'!Print_Area</vt:lpstr>
      <vt:lpstr>'7.23'!Print_Area</vt:lpstr>
      <vt:lpstr>'7.23.22'!Print_Area</vt:lpstr>
      <vt:lpstr>'7.24'!Print_Area</vt:lpstr>
      <vt:lpstr>'7.24.22'!Print_Area</vt:lpstr>
      <vt:lpstr>'7.25'!Print_Area</vt:lpstr>
      <vt:lpstr>'7.25.22'!Print_Area</vt:lpstr>
      <vt:lpstr>'7.26'!Print_Area</vt:lpstr>
      <vt:lpstr>'7.26.22'!Print_Area</vt:lpstr>
      <vt:lpstr>'7.27'!Print_Area</vt:lpstr>
      <vt:lpstr>'7.27.22'!Print_Area</vt:lpstr>
      <vt:lpstr>'7.28'!Print_Area</vt:lpstr>
      <vt:lpstr>'7.28.22'!Print_Area</vt:lpstr>
      <vt:lpstr>'7.29'!Print_Area</vt:lpstr>
      <vt:lpstr>'7.29.22'!Print_Area</vt:lpstr>
      <vt:lpstr>'7.3.22'!Print_Area</vt:lpstr>
      <vt:lpstr>'7.30'!Print_Area</vt:lpstr>
      <vt:lpstr>'7.30.22'!Print_Area</vt:lpstr>
      <vt:lpstr>'7.31'!Print_Area</vt:lpstr>
      <vt:lpstr>'7.31.22'!Print_Area</vt:lpstr>
      <vt:lpstr>'7.4.22'!Print_Area</vt:lpstr>
      <vt:lpstr>'7.5.22'!Print_Area</vt:lpstr>
      <vt:lpstr>'7.6.22'!Print_Area</vt:lpstr>
      <vt:lpstr>'7.7.22'!Print_Area</vt:lpstr>
      <vt:lpstr>'7.8.22'!Print_Area</vt:lpstr>
      <vt:lpstr>'7.9.22'!Print_Area</vt:lpstr>
      <vt:lpstr>'8.1'!Print_Area</vt:lpstr>
      <vt:lpstr>'8.1.22'!Print_Area</vt:lpstr>
      <vt:lpstr>'8.10'!Print_Area</vt:lpstr>
      <vt:lpstr>'8.10.22'!Print_Area</vt:lpstr>
      <vt:lpstr>'8.11'!Print_Area</vt:lpstr>
      <vt:lpstr>'8.11.22'!Print_Area</vt:lpstr>
      <vt:lpstr>'8.12'!Print_Area</vt:lpstr>
      <vt:lpstr>'8.12.22'!Print_Area</vt:lpstr>
      <vt:lpstr>'8.13'!Print_Area</vt:lpstr>
      <vt:lpstr>'8.13.22'!Print_Area</vt:lpstr>
      <vt:lpstr>'8.14'!Print_Area</vt:lpstr>
      <vt:lpstr>'8.14.22'!Print_Area</vt:lpstr>
      <vt:lpstr>'8.15'!Print_Area</vt:lpstr>
      <vt:lpstr>'8.15.22'!Print_Area</vt:lpstr>
      <vt:lpstr>'8.16'!Print_Area</vt:lpstr>
      <vt:lpstr>'8.16.22'!Print_Area</vt:lpstr>
      <vt:lpstr>'8.17'!Print_Area</vt:lpstr>
      <vt:lpstr>'8.17.22 '!Print_Area</vt:lpstr>
      <vt:lpstr>'8.18'!Print_Area</vt:lpstr>
      <vt:lpstr>'8.18.22'!Print_Area</vt:lpstr>
      <vt:lpstr>'8.19'!Print_Area</vt:lpstr>
      <vt:lpstr>'8.19.22'!Print_Area</vt:lpstr>
      <vt:lpstr>'8.2'!Print_Area</vt:lpstr>
      <vt:lpstr>'8.2.22'!Print_Area</vt:lpstr>
      <vt:lpstr>'8.20'!Print_Area</vt:lpstr>
      <vt:lpstr>'8.20.22'!Print_Area</vt:lpstr>
      <vt:lpstr>'8.21'!Print_Area</vt:lpstr>
      <vt:lpstr>'8.21.22'!Print_Area</vt:lpstr>
      <vt:lpstr>'8.22'!Print_Area</vt:lpstr>
      <vt:lpstr>'8.22.22'!Print_Area</vt:lpstr>
      <vt:lpstr>'8.23'!Print_Area</vt:lpstr>
      <vt:lpstr>'8.23.22'!Print_Area</vt:lpstr>
      <vt:lpstr>'8.24'!Print_Area</vt:lpstr>
      <vt:lpstr>'8.24.22'!Print_Area</vt:lpstr>
      <vt:lpstr>'8.25'!Print_Area</vt:lpstr>
      <vt:lpstr>'8.25.22'!Print_Area</vt:lpstr>
      <vt:lpstr>'8.26'!Print_Area</vt:lpstr>
      <vt:lpstr>'8.26.22'!Print_Area</vt:lpstr>
      <vt:lpstr>'8.27'!Print_Area</vt:lpstr>
      <vt:lpstr>'8.27.22'!Print_Area</vt:lpstr>
      <vt:lpstr>'8.28'!Print_Area</vt:lpstr>
      <vt:lpstr>'8.28.22'!Print_Area</vt:lpstr>
      <vt:lpstr>'8.29'!Print_Area</vt:lpstr>
      <vt:lpstr>'8.29.22'!Print_Area</vt:lpstr>
      <vt:lpstr>'8.3'!Print_Area</vt:lpstr>
      <vt:lpstr>'8.3.22'!Print_Area</vt:lpstr>
      <vt:lpstr>'8.30'!Print_Area</vt:lpstr>
      <vt:lpstr>'8.30.22'!Print_Area</vt:lpstr>
      <vt:lpstr>'8.31'!Print_Area</vt:lpstr>
      <vt:lpstr>'8.31.22'!Print_Area</vt:lpstr>
      <vt:lpstr>'8.4'!Print_Area</vt:lpstr>
      <vt:lpstr>'8.4.22'!Print_Area</vt:lpstr>
      <vt:lpstr>'8.5'!Print_Area</vt:lpstr>
      <vt:lpstr>'8.5.22'!Print_Area</vt:lpstr>
      <vt:lpstr>'8.6'!Print_Area</vt:lpstr>
      <vt:lpstr>'8.6.22'!Print_Area</vt:lpstr>
      <vt:lpstr>'8.7'!Print_Area</vt:lpstr>
      <vt:lpstr>'8.7.22'!Print_Area</vt:lpstr>
      <vt:lpstr>'8.8'!Print_Area</vt:lpstr>
      <vt:lpstr>'8.8.22'!Print_Area</vt:lpstr>
      <vt:lpstr>'8.9'!Print_Area</vt:lpstr>
      <vt:lpstr>'8.9.22'!Print_Area</vt:lpstr>
      <vt:lpstr>'9.01'!Print_Area</vt:lpstr>
      <vt:lpstr>'9.02'!Print_Area</vt:lpstr>
      <vt:lpstr>'9.03'!Print_Area</vt:lpstr>
      <vt:lpstr>'9.04'!Print_Area</vt:lpstr>
      <vt:lpstr>'9.05'!Print_Area</vt:lpstr>
      <vt:lpstr>'9.06'!Print_Area</vt:lpstr>
      <vt:lpstr>'9.07'!Print_Area</vt:lpstr>
      <vt:lpstr>'9.08'!Print_Area</vt:lpstr>
      <vt:lpstr>'9.09'!Print_Area</vt:lpstr>
      <vt:lpstr>'9.1.22'!Print_Area</vt:lpstr>
      <vt:lpstr>'9.10'!Print_Area</vt:lpstr>
      <vt:lpstr>'9.10.22'!Print_Area</vt:lpstr>
      <vt:lpstr>'9.11'!Print_Area</vt:lpstr>
      <vt:lpstr>'9.11.22'!Print_Area</vt:lpstr>
      <vt:lpstr>'9.12'!Print_Area</vt:lpstr>
      <vt:lpstr>'9.12.22'!Print_Area</vt:lpstr>
      <vt:lpstr>'9.13'!Print_Area</vt:lpstr>
      <vt:lpstr>'9.13.22'!Print_Area</vt:lpstr>
      <vt:lpstr>'9.14'!Print_Area</vt:lpstr>
      <vt:lpstr>'9.14.2022'!Print_Area</vt:lpstr>
      <vt:lpstr>'9.15'!Print_Area</vt:lpstr>
      <vt:lpstr>'9.15.2022 '!Print_Area</vt:lpstr>
      <vt:lpstr>'9.16'!Print_Area</vt:lpstr>
      <vt:lpstr>'9.16.2022'!Print_Area</vt:lpstr>
      <vt:lpstr>'9.17'!Print_Area</vt:lpstr>
      <vt:lpstr>'9.17.2022'!Print_Area</vt:lpstr>
      <vt:lpstr>'9.18'!Print_Area</vt:lpstr>
      <vt:lpstr>'9.18.2022'!Print_Area</vt:lpstr>
      <vt:lpstr>'9.19'!Print_Area</vt:lpstr>
      <vt:lpstr>'9.19.2022'!Print_Area</vt:lpstr>
      <vt:lpstr>'9.2.22'!Print_Area</vt:lpstr>
      <vt:lpstr>'9.20'!Print_Area</vt:lpstr>
      <vt:lpstr>'9.20.2022'!Print_Area</vt:lpstr>
      <vt:lpstr>'9.21'!Print_Area</vt:lpstr>
      <vt:lpstr>'9.21.2022'!Print_Area</vt:lpstr>
      <vt:lpstr>'9.22'!Print_Area</vt:lpstr>
      <vt:lpstr>'9.22.2022'!Print_Area</vt:lpstr>
      <vt:lpstr>'9.23'!Print_Area</vt:lpstr>
      <vt:lpstr>'9.23.2022'!Print_Area</vt:lpstr>
      <vt:lpstr>'9.24'!Print_Area</vt:lpstr>
      <vt:lpstr>'9.25'!Print_Area</vt:lpstr>
      <vt:lpstr>'9.26'!Print_Area</vt:lpstr>
      <vt:lpstr>'9.26.2022'!Print_Area</vt:lpstr>
      <vt:lpstr>'9.27'!Print_Area</vt:lpstr>
      <vt:lpstr>'9.27.2022'!Print_Area</vt:lpstr>
      <vt:lpstr>'9.28'!Print_Area</vt:lpstr>
      <vt:lpstr>'9.28.2022'!Print_Area</vt:lpstr>
      <vt:lpstr>'9.29'!Print_Area</vt:lpstr>
      <vt:lpstr>'9.29.2022'!Print_Area</vt:lpstr>
      <vt:lpstr>'9.3.22'!Print_Area</vt:lpstr>
      <vt:lpstr>'9.30'!Print_Area</vt:lpstr>
      <vt:lpstr>'9.30.2022'!Print_Area</vt:lpstr>
      <vt:lpstr>'9.4.22'!Print_Area</vt:lpstr>
      <vt:lpstr>'9.5.22'!Print_Area</vt:lpstr>
      <vt:lpstr>'9.6.22'!Print_Area</vt:lpstr>
      <vt:lpstr>'9.7.22'!Print_Area</vt:lpstr>
      <vt:lpstr>'9.8.22'!Print_Area</vt:lpstr>
      <vt:lpstr>'9.9.22'!Print_Area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Jones</dc:creator>
  <cp:lastModifiedBy>JBayingana</cp:lastModifiedBy>
  <cp:lastPrinted>2022-04-25T15:02:52Z</cp:lastPrinted>
  <dcterms:created xsi:type="dcterms:W3CDTF">2021-05-17T22:15:28Z</dcterms:created>
  <dcterms:modified xsi:type="dcterms:W3CDTF">2022-10-28T03:19:50Z</dcterms:modified>
</cp:coreProperties>
</file>